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drawings/drawing2.xml" ContentType="application/vnd.openxmlformats-officedocument.drawing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drawings/drawing3.xml" ContentType="application/vnd.openxmlformats-officedocument.drawing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4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drawings/drawing5.xml" ContentType="application/vnd.openxmlformats-officedocument.drawing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drawings/drawing6.xml" ContentType="application/vnd.openxmlformats-officedocument.drawing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7.xml" ContentType="application/vnd.openxmlformats-officedocument.drawing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charts/chart133.xml" ContentType="application/vnd.openxmlformats-officedocument.drawingml.chart+xml"/>
  <Override PartName="/xl/drawings/drawing8.xml" ContentType="application/vnd.openxmlformats-officedocument.drawing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drawings/drawing9.xml" ContentType="application/vnd.openxmlformats-officedocument.drawing+xml"/>
  <Override PartName="/xl/charts/chart153.xml" ContentType="application/vnd.openxmlformats-officedocument.drawingml.chart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drawings/drawing10.xml" ContentType="application/vnd.openxmlformats-officedocument.drawing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charts/chart190.xml" ContentType="application/vnd.openxmlformats-officedocument.drawingml.chart+xml"/>
  <Override PartName="/xl/drawings/drawing11.xml" ContentType="application/vnd.openxmlformats-officedocument.drawing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drawings/drawing12.xml" ContentType="application/vnd.openxmlformats-officedocument.drawing+xml"/>
  <Override PartName="/xl/charts/chart210.xml" ContentType="application/vnd.openxmlformats-officedocument.drawingml.chart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updateLinks="never" codeName="ThisWorkbook" defaultThemeVersion="124226"/>
  <bookViews>
    <workbookView xWindow="0" yWindow="-165" windowWidth="6570" windowHeight="4815" tabRatio="696" activeTab="1"/>
  </bookViews>
  <sheets>
    <sheet name="Jan G" sheetId="85" r:id="rId1"/>
    <sheet name="JAN" sheetId="84" r:id="rId2"/>
    <sheet name="Feb G" sheetId="94" r:id="rId3"/>
    <sheet name="Feb" sheetId="86" r:id="rId4"/>
    <sheet name="Mar G" sheetId="95" r:id="rId5"/>
    <sheet name="Mar" sheetId="87" r:id="rId6"/>
    <sheet name="Apr G" sheetId="96" r:id="rId7"/>
    <sheet name="Apr" sheetId="89" r:id="rId8"/>
    <sheet name="May G" sheetId="97" r:id="rId9"/>
    <sheet name="May" sheetId="88" r:id="rId10"/>
    <sheet name="Jun G" sheetId="98" r:id="rId11"/>
    <sheet name="Jun" sheetId="91" r:id="rId12"/>
    <sheet name="July G" sheetId="99" r:id="rId13"/>
    <sheet name="Jul" sheetId="92" r:id="rId14"/>
    <sheet name="Aug G" sheetId="100" r:id="rId15"/>
    <sheet name="Aug" sheetId="93" r:id="rId16"/>
    <sheet name="Sep G" sheetId="103" r:id="rId17"/>
    <sheet name="Sep" sheetId="76" r:id="rId18"/>
    <sheet name="Oct G" sheetId="104" r:id="rId19"/>
    <sheet name="Oct" sheetId="78" r:id="rId20"/>
    <sheet name="Nov G" sheetId="105" r:id="rId21"/>
    <sheet name="Nov" sheetId="80" r:id="rId22"/>
    <sheet name="Dec G" sheetId="106" r:id="rId23"/>
    <sheet name="Dec" sheetId="82" r:id="rId24"/>
  </sheets>
  <calcPr calcId="145621"/>
  <customWorkbookViews>
    <customWorkbookView name="BLR Ben - Personal View" guid="{90FA845D-4088-4BEA-B920-24E22DEDA278}" mergeInterval="0" personalView="1" maximized="1" windowWidth="1676" windowHeight="902" tabRatio="704" activeSheetId="1"/>
  </customWorkbookViews>
</workbook>
</file>

<file path=xl/calcChain.xml><?xml version="1.0" encoding="utf-8"?>
<calcChain xmlns="http://schemas.openxmlformats.org/spreadsheetml/2006/main">
  <c r="AY38" i="78" l="1"/>
  <c r="AS38" i="78"/>
  <c r="AW38" i="78"/>
  <c r="AT38" i="78"/>
  <c r="AY38" i="80"/>
  <c r="AS38" i="80"/>
  <c r="AW38" i="80"/>
  <c r="AY38" i="82"/>
  <c r="AS38" i="82"/>
  <c r="AW38" i="82"/>
  <c r="G38" i="78"/>
  <c r="F38" i="78"/>
  <c r="BJ83" i="80"/>
  <c r="BI83" i="80"/>
  <c r="BH83" i="80"/>
  <c r="BG83" i="80"/>
  <c r="BF83" i="80"/>
  <c r="BJ34" i="80"/>
  <c r="AB91" i="80"/>
  <c r="BI4" i="80"/>
  <c r="AB48" i="80"/>
  <c r="AA91" i="80"/>
  <c r="AB92" i="80"/>
  <c r="AB93" i="80"/>
  <c r="AB94" i="80"/>
  <c r="AB95" i="80"/>
  <c r="AB96" i="80"/>
  <c r="AB97" i="80"/>
  <c r="AB98" i="80"/>
  <c r="AB99" i="80"/>
  <c r="AB100" i="80"/>
  <c r="AB101" i="80"/>
  <c r="AB102" i="80"/>
  <c r="AB103" i="80"/>
  <c r="AB104" i="80"/>
  <c r="AB105" i="80"/>
  <c r="AB106" i="80"/>
  <c r="AB107" i="80"/>
  <c r="AB108" i="80"/>
  <c r="AB109" i="80"/>
  <c r="AB110" i="80"/>
  <c r="AB111" i="80"/>
  <c r="AB112" i="80"/>
  <c r="AB113" i="80"/>
  <c r="AB114" i="80"/>
  <c r="AB115" i="80"/>
  <c r="AB116" i="80"/>
  <c r="AB117" i="80"/>
  <c r="AB118" i="80"/>
  <c r="AB119" i="80"/>
  <c r="AB120" i="80"/>
  <c r="BA4" i="80"/>
  <c r="BA5" i="80"/>
  <c r="BA6" i="80"/>
  <c r="BA7" i="80"/>
  <c r="BA8" i="80"/>
  <c r="BA9" i="80"/>
  <c r="BA10" i="80"/>
  <c r="BA11" i="80"/>
  <c r="BA12" i="80"/>
  <c r="BA13" i="80"/>
  <c r="BA14" i="80"/>
  <c r="BA15" i="80"/>
  <c r="BA16" i="80"/>
  <c r="BA17" i="80"/>
  <c r="BA18" i="80"/>
  <c r="BA19" i="80"/>
  <c r="BA20" i="80"/>
  <c r="BA21" i="80"/>
  <c r="BA22" i="80"/>
  <c r="BA23" i="80"/>
  <c r="BA24" i="80"/>
  <c r="BA25" i="80"/>
  <c r="BA26" i="80"/>
  <c r="BA27" i="80"/>
  <c r="BA28" i="80"/>
  <c r="BA29" i="80"/>
  <c r="BA30" i="80"/>
  <c r="BA31" i="80"/>
  <c r="BA32" i="80"/>
  <c r="BA33" i="80"/>
  <c r="BA34" i="80"/>
  <c r="AY43" i="80"/>
  <c r="R4" i="80"/>
  <c r="AX4" i="80"/>
  <c r="R5" i="80"/>
  <c r="AX5" i="80"/>
  <c r="R10" i="80"/>
  <c r="R14" i="80"/>
  <c r="R15" i="80"/>
  <c r="R17" i="80"/>
  <c r="R18" i="80"/>
  <c r="R19" i="80"/>
  <c r="R20" i="80"/>
  <c r="R21" i="80"/>
  <c r="R22" i="80"/>
  <c r="R23" i="80"/>
  <c r="R25" i="80"/>
  <c r="R26" i="80"/>
  <c r="R27" i="80"/>
  <c r="R28" i="80"/>
  <c r="R29" i="80"/>
  <c r="R30" i="80"/>
  <c r="R31" i="80"/>
  <c r="R32" i="80"/>
  <c r="R33" i="80"/>
  <c r="AW4" i="80"/>
  <c r="AW5" i="80"/>
  <c r="AW6" i="80"/>
  <c r="AW7" i="80"/>
  <c r="AW8" i="80"/>
  <c r="AW9" i="80"/>
  <c r="AW10" i="80"/>
  <c r="AW11" i="80"/>
  <c r="AW12" i="80"/>
  <c r="AW13" i="80"/>
  <c r="AW14" i="80"/>
  <c r="AW15" i="80"/>
  <c r="AW16" i="80"/>
  <c r="AW17" i="80"/>
  <c r="AW43" i="80"/>
  <c r="AW18" i="80"/>
  <c r="AW19" i="80"/>
  <c r="AW20" i="80"/>
  <c r="AW21" i="80"/>
  <c r="AW22" i="80"/>
  <c r="AW23" i="80"/>
  <c r="AW24" i="80"/>
  <c r="AW25" i="80"/>
  <c r="AW26" i="80"/>
  <c r="AW27" i="80"/>
  <c r="AW28" i="80"/>
  <c r="AW29" i="80"/>
  <c r="AW30" i="80"/>
  <c r="AW31" i="80"/>
  <c r="AW32" i="80"/>
  <c r="AW33" i="80"/>
  <c r="AV4" i="80"/>
  <c r="AV5" i="80"/>
  <c r="AV6" i="80"/>
  <c r="AV7" i="80"/>
  <c r="AV8" i="80"/>
  <c r="AV9" i="80"/>
  <c r="AV10" i="80"/>
  <c r="AV11" i="80"/>
  <c r="AV12" i="80"/>
  <c r="AV13" i="80"/>
  <c r="AV14" i="80"/>
  <c r="AV15" i="80"/>
  <c r="AV16" i="80"/>
  <c r="AV17" i="80"/>
  <c r="AV18" i="80"/>
  <c r="AV19" i="80"/>
  <c r="AV20" i="80"/>
  <c r="AV21" i="80"/>
  <c r="AV22" i="80"/>
  <c r="AV23" i="80"/>
  <c r="AV24" i="80"/>
  <c r="AV25" i="80"/>
  <c r="AV26" i="80"/>
  <c r="AV27" i="80"/>
  <c r="AV28" i="80"/>
  <c r="AV29" i="80"/>
  <c r="AV30" i="80"/>
  <c r="AV31" i="80"/>
  <c r="AV32" i="80"/>
  <c r="AV33" i="80"/>
  <c r="AV43" i="80"/>
  <c r="AU4" i="80"/>
  <c r="AU5" i="80"/>
  <c r="AU6" i="80"/>
  <c r="AU7" i="80"/>
  <c r="AU8" i="80"/>
  <c r="AU9" i="80"/>
  <c r="AU10" i="80"/>
  <c r="AU11" i="80"/>
  <c r="AU12" i="80"/>
  <c r="AU13" i="80"/>
  <c r="AU14" i="80"/>
  <c r="AU15" i="80"/>
  <c r="AU43" i="80"/>
  <c r="AU16" i="80"/>
  <c r="AU17" i="80"/>
  <c r="AU18" i="80"/>
  <c r="AU19" i="80"/>
  <c r="AU20" i="80"/>
  <c r="AU21" i="80"/>
  <c r="AU22" i="80"/>
  <c r="AU23" i="80"/>
  <c r="AU24" i="80"/>
  <c r="AU25" i="80"/>
  <c r="AU26" i="80"/>
  <c r="AU27" i="80"/>
  <c r="AU28" i="80"/>
  <c r="AU29" i="80"/>
  <c r="AU30" i="80"/>
  <c r="AU31" i="80"/>
  <c r="AU32" i="80"/>
  <c r="AU33" i="80"/>
  <c r="AT4" i="80"/>
  <c r="AT5" i="80"/>
  <c r="AT6" i="80"/>
  <c r="AT7" i="80"/>
  <c r="AT8" i="80"/>
  <c r="AT9" i="80"/>
  <c r="AT10" i="80"/>
  <c r="AT11" i="80"/>
  <c r="AT12" i="80"/>
  <c r="AT13" i="80"/>
  <c r="AT14" i="80"/>
  <c r="AT15" i="80"/>
  <c r="AT16" i="80"/>
  <c r="AT17" i="80"/>
  <c r="AT18" i="80"/>
  <c r="AT19" i="80"/>
  <c r="AT20" i="80"/>
  <c r="AT21" i="80"/>
  <c r="AT22" i="80"/>
  <c r="AT23" i="80"/>
  <c r="AT24" i="80"/>
  <c r="AT25" i="80"/>
  <c r="AT26" i="80"/>
  <c r="AT27" i="80"/>
  <c r="AT28" i="80"/>
  <c r="AT29" i="80"/>
  <c r="AT30" i="80"/>
  <c r="AT31" i="80"/>
  <c r="AT32" i="80"/>
  <c r="AT33" i="80"/>
  <c r="AT43" i="80"/>
  <c r="AS4" i="80"/>
  <c r="AS5" i="80"/>
  <c r="AS6" i="80"/>
  <c r="AS7" i="80"/>
  <c r="AS43" i="80"/>
  <c r="AS8" i="80"/>
  <c r="AS9" i="80"/>
  <c r="AS10" i="80"/>
  <c r="AS11" i="80"/>
  <c r="AS12" i="80"/>
  <c r="AS13" i="80"/>
  <c r="AS14" i="80"/>
  <c r="AS15" i="80"/>
  <c r="AS16" i="80"/>
  <c r="AS17" i="80"/>
  <c r="AS18" i="80"/>
  <c r="AS19" i="80"/>
  <c r="AS20" i="80"/>
  <c r="AS21" i="80"/>
  <c r="AS22" i="80"/>
  <c r="AS23" i="80"/>
  <c r="AS24" i="80"/>
  <c r="AS25" i="80"/>
  <c r="AS26" i="80"/>
  <c r="AS27" i="80"/>
  <c r="AS28" i="80"/>
  <c r="AS29" i="80"/>
  <c r="AS30" i="80"/>
  <c r="AS31" i="80"/>
  <c r="AS32" i="80"/>
  <c r="AS33" i="80"/>
  <c r="AJ4" i="80"/>
  <c r="AJ43" i="80"/>
  <c r="AJ5" i="80"/>
  <c r="AJ6" i="80"/>
  <c r="AJ7" i="80"/>
  <c r="AJ8" i="80"/>
  <c r="AJ9" i="80"/>
  <c r="AJ10" i="80"/>
  <c r="AJ11" i="80"/>
  <c r="AJ12" i="80"/>
  <c r="AJ13" i="80"/>
  <c r="AJ14" i="80"/>
  <c r="AJ15" i="80"/>
  <c r="AJ16" i="80"/>
  <c r="AJ17" i="80"/>
  <c r="AJ18" i="80"/>
  <c r="AJ19" i="80"/>
  <c r="AJ20" i="80"/>
  <c r="AJ21" i="80"/>
  <c r="AJ22" i="80"/>
  <c r="AJ23" i="80"/>
  <c r="AJ24" i="80"/>
  <c r="AJ25" i="80"/>
  <c r="AJ26" i="80"/>
  <c r="AJ27" i="80"/>
  <c r="AJ28" i="80"/>
  <c r="AJ29" i="80"/>
  <c r="AJ30" i="80"/>
  <c r="AJ31" i="80"/>
  <c r="AJ32" i="80"/>
  <c r="AJ33" i="80"/>
  <c r="AJ34" i="80"/>
  <c r="AI43" i="80"/>
  <c r="AH43" i="80"/>
  <c r="AG43" i="80"/>
  <c r="AD86" i="80"/>
  <c r="AD85" i="80"/>
  <c r="AE43" i="80"/>
  <c r="AD4" i="80"/>
  <c r="AD5" i="80"/>
  <c r="AD6" i="80"/>
  <c r="AD7" i="80"/>
  <c r="AD8" i="80"/>
  <c r="AD9" i="80"/>
  <c r="AD10" i="80"/>
  <c r="AD11" i="80"/>
  <c r="AD12" i="80"/>
  <c r="AD13" i="80"/>
  <c r="AD14" i="80"/>
  <c r="AD15" i="80"/>
  <c r="AD16" i="80"/>
  <c r="AD17" i="80"/>
  <c r="AD18" i="80"/>
  <c r="AD19" i="80"/>
  <c r="AD20" i="80"/>
  <c r="AD21" i="80"/>
  <c r="AD22" i="80"/>
  <c r="AD23" i="80"/>
  <c r="AD24" i="80"/>
  <c r="AD25" i="80"/>
  <c r="AD26" i="80"/>
  <c r="AD27" i="80"/>
  <c r="AD28" i="80"/>
  <c r="AD29" i="80"/>
  <c r="AD30" i="80"/>
  <c r="AD31" i="80"/>
  <c r="AD32" i="80"/>
  <c r="AD33" i="80"/>
  <c r="Z38" i="80"/>
  <c r="AC4" i="80"/>
  <c r="AC86" i="80"/>
  <c r="AC5" i="80"/>
  <c r="AC6" i="80"/>
  <c r="AC7" i="80"/>
  <c r="AC8" i="80"/>
  <c r="AC9" i="80"/>
  <c r="AC10" i="80"/>
  <c r="AC11" i="80"/>
  <c r="AC12" i="80"/>
  <c r="AC13" i="80"/>
  <c r="AC14" i="80"/>
  <c r="AC15" i="80"/>
  <c r="AC16" i="80"/>
  <c r="AC17" i="80"/>
  <c r="AC18" i="80"/>
  <c r="AC19" i="80"/>
  <c r="AC20" i="80"/>
  <c r="AC21" i="80"/>
  <c r="AC22" i="80"/>
  <c r="AC23" i="80"/>
  <c r="AC24" i="80"/>
  <c r="AC25" i="80"/>
  <c r="AC26" i="80"/>
  <c r="AC27" i="80"/>
  <c r="AC28" i="80"/>
  <c r="AC29" i="80"/>
  <c r="AC30" i="80"/>
  <c r="AC31" i="80"/>
  <c r="AC32" i="80"/>
  <c r="AC33" i="80"/>
  <c r="AC34" i="80"/>
  <c r="AC85" i="80"/>
  <c r="AB86" i="80"/>
  <c r="AB85" i="80"/>
  <c r="AB43" i="80"/>
  <c r="AA86" i="80"/>
  <c r="AA85" i="80"/>
  <c r="AA43" i="80"/>
  <c r="Z43" i="80"/>
  <c r="W43" i="80"/>
  <c r="V43" i="80"/>
  <c r="U43" i="80"/>
  <c r="S4" i="80"/>
  <c r="S5" i="80"/>
  <c r="S6" i="80"/>
  <c r="S7" i="80"/>
  <c r="S8" i="80"/>
  <c r="S9" i="80"/>
  <c r="S10" i="80"/>
  <c r="S11" i="80"/>
  <c r="S12" i="80"/>
  <c r="S13" i="80"/>
  <c r="S14" i="80"/>
  <c r="S15" i="80"/>
  <c r="S16" i="80"/>
  <c r="S17" i="80"/>
  <c r="S18" i="80"/>
  <c r="S19" i="80"/>
  <c r="S20" i="80"/>
  <c r="S21" i="80"/>
  <c r="S22" i="80"/>
  <c r="S23" i="80"/>
  <c r="S24" i="80"/>
  <c r="S25" i="80"/>
  <c r="S26" i="80"/>
  <c r="S27" i="80"/>
  <c r="S28" i="80"/>
  <c r="S29" i="80"/>
  <c r="S30" i="80"/>
  <c r="S31" i="80"/>
  <c r="S32" i="80"/>
  <c r="S33" i="80"/>
  <c r="Q43" i="80"/>
  <c r="P43" i="80"/>
  <c r="N43" i="80"/>
  <c r="M43" i="80"/>
  <c r="L43" i="80"/>
  <c r="K43" i="80"/>
  <c r="I43" i="80"/>
  <c r="H43" i="80"/>
  <c r="G43" i="80"/>
  <c r="F43" i="80"/>
  <c r="BJ82" i="80"/>
  <c r="BI82" i="80"/>
  <c r="BH82" i="80"/>
  <c r="BG82" i="80"/>
  <c r="BF82" i="80"/>
  <c r="AY8" i="80"/>
  <c r="AY9" i="80"/>
  <c r="AY86" i="80"/>
  <c r="AY42" i="80"/>
  <c r="AY10" i="80"/>
  <c r="AY11" i="80"/>
  <c r="AY12" i="80"/>
  <c r="AY13" i="80"/>
  <c r="AY14" i="80"/>
  <c r="AY15" i="80"/>
  <c r="AY16" i="80"/>
  <c r="AY17" i="80"/>
  <c r="AY18" i="80"/>
  <c r="AY19" i="80"/>
  <c r="AY20" i="80"/>
  <c r="AY21" i="80"/>
  <c r="AY22" i="80"/>
  <c r="AY23" i="80"/>
  <c r="AY24" i="80"/>
  <c r="AY25" i="80"/>
  <c r="AY26" i="80"/>
  <c r="AY27" i="80"/>
  <c r="AY28" i="80"/>
  <c r="AY29" i="80"/>
  <c r="AY30" i="80"/>
  <c r="AY31" i="80"/>
  <c r="AY32" i="80"/>
  <c r="AY33" i="80"/>
  <c r="AY85" i="80"/>
  <c r="AW86" i="80"/>
  <c r="AW85" i="80"/>
  <c r="AW42" i="80"/>
  <c r="AV86" i="80"/>
  <c r="AV85" i="80"/>
  <c r="AV42" i="80"/>
  <c r="AU86" i="80"/>
  <c r="AU85" i="80"/>
  <c r="AU42" i="80"/>
  <c r="AT86" i="80"/>
  <c r="AT85" i="80"/>
  <c r="AT42" i="80"/>
  <c r="AS86" i="80"/>
  <c r="AS85" i="80"/>
  <c r="AS42" i="80"/>
  <c r="AJ86" i="80"/>
  <c r="AJ85" i="80"/>
  <c r="AJ42" i="80"/>
  <c r="AI86" i="80"/>
  <c r="AI85" i="80"/>
  <c r="AI42" i="80"/>
  <c r="AH86" i="80"/>
  <c r="AH85" i="80"/>
  <c r="AH42" i="80"/>
  <c r="AG86" i="80"/>
  <c r="AG85" i="80"/>
  <c r="AG42" i="80"/>
  <c r="AE42" i="80"/>
  <c r="AB42" i="80"/>
  <c r="AA42" i="80"/>
  <c r="Z86" i="80"/>
  <c r="Z85" i="80"/>
  <c r="Z42" i="80"/>
  <c r="W86" i="80"/>
  <c r="W85" i="80"/>
  <c r="W42" i="80"/>
  <c r="V86" i="80"/>
  <c r="V85" i="80"/>
  <c r="V42" i="80"/>
  <c r="U86" i="80"/>
  <c r="U85" i="80"/>
  <c r="U42" i="80"/>
  <c r="Q86" i="80"/>
  <c r="Q85" i="80"/>
  <c r="Q42" i="80"/>
  <c r="P86" i="80"/>
  <c r="P85" i="80"/>
  <c r="P42" i="80"/>
  <c r="N86" i="80"/>
  <c r="N85" i="80"/>
  <c r="N42" i="80"/>
  <c r="M86" i="80"/>
  <c r="M85" i="80"/>
  <c r="M42" i="80"/>
  <c r="L86" i="80"/>
  <c r="L85" i="80"/>
  <c r="L42" i="80"/>
  <c r="K86" i="80"/>
  <c r="K85" i="80"/>
  <c r="K42" i="80"/>
  <c r="I86" i="80"/>
  <c r="I85" i="80"/>
  <c r="I42" i="80"/>
  <c r="H86" i="80"/>
  <c r="H85" i="80"/>
  <c r="H42" i="80"/>
  <c r="G86" i="80"/>
  <c r="G85" i="80"/>
  <c r="G42" i="80"/>
  <c r="F86" i="80"/>
  <c r="F85" i="80"/>
  <c r="F42" i="80"/>
  <c r="E80" i="80"/>
  <c r="E79" i="80"/>
  <c r="E78" i="80"/>
  <c r="E77" i="80"/>
  <c r="E76" i="80"/>
  <c r="E75" i="80"/>
  <c r="E74" i="80"/>
  <c r="E73" i="80"/>
  <c r="E66" i="80"/>
  <c r="E65" i="80"/>
  <c r="E64" i="80"/>
  <c r="E62" i="80"/>
  <c r="E61" i="80"/>
  <c r="E60" i="80"/>
  <c r="E58" i="80"/>
  <c r="E53" i="80"/>
  <c r="E52" i="80"/>
  <c r="E51" i="80"/>
  <c r="E49" i="80"/>
  <c r="F49" i="80"/>
  <c r="F51" i="80"/>
  <c r="F52" i="80"/>
  <c r="F53" i="80"/>
  <c r="F58" i="80"/>
  <c r="F60" i="80"/>
  <c r="F61" i="80"/>
  <c r="F62" i="80"/>
  <c r="F64" i="80"/>
  <c r="F65" i="80"/>
  <c r="F66" i="80"/>
  <c r="F73" i="80"/>
  <c r="F74" i="80"/>
  <c r="F75" i="80"/>
  <c r="F76" i="80"/>
  <c r="F77" i="80"/>
  <c r="F78" i="80"/>
  <c r="F79" i="80"/>
  <c r="F80" i="80"/>
  <c r="M53" i="80"/>
  <c r="AT67" i="80"/>
  <c r="BI91" i="80"/>
  <c r="BI92" i="80"/>
  <c r="AN95" i="80" a="1"/>
  <c r="BI93" i="80"/>
  <c r="BI94" i="80"/>
  <c r="BI95" i="80"/>
  <c r="BI96" i="80"/>
  <c r="BI97" i="80"/>
  <c r="BI98" i="80"/>
  <c r="BI99" i="80"/>
  <c r="BI100" i="80"/>
  <c r="BI101" i="80"/>
  <c r="BI102" i="80"/>
  <c r="BI103" i="80"/>
  <c r="BI104" i="80"/>
  <c r="BI105" i="80"/>
  <c r="BI106" i="80"/>
  <c r="BI107" i="80"/>
  <c r="BI108" i="80"/>
  <c r="BI109" i="80"/>
  <c r="BI110" i="80"/>
  <c r="BI111" i="80"/>
  <c r="BI112" i="80"/>
  <c r="BI113" i="80"/>
  <c r="BI114" i="80"/>
  <c r="BI115" i="80"/>
  <c r="BI116" i="80"/>
  <c r="BI117" i="80"/>
  <c r="BI118" i="80"/>
  <c r="BI119" i="80"/>
  <c r="BI120" i="80"/>
  <c r="BI121" i="80"/>
  <c r="AT70" i="80"/>
  <c r="AD53" i="80"/>
  <c r="BJ80" i="80"/>
  <c r="BI80" i="80"/>
  <c r="BH80" i="80"/>
  <c r="BG80" i="80"/>
  <c r="BF80" i="80"/>
  <c r="AN94" i="80" a="1"/>
  <c r="AJ91" i="80"/>
  <c r="AN48" i="80"/>
  <c r="AJ92" i="80"/>
  <c r="AJ93" i="80"/>
  <c r="AJ94" i="80"/>
  <c r="AJ95" i="80"/>
  <c r="AJ96" i="80"/>
  <c r="AJ97" i="80"/>
  <c r="AJ98" i="80"/>
  <c r="AJ99" i="80"/>
  <c r="AJ100" i="80"/>
  <c r="AJ101" i="80"/>
  <c r="AJ102" i="80"/>
  <c r="AJ103" i="80"/>
  <c r="AJ104" i="80"/>
  <c r="AJ105" i="80"/>
  <c r="AJ106" i="80"/>
  <c r="AJ107" i="80"/>
  <c r="AJ108" i="80"/>
  <c r="AJ109" i="80"/>
  <c r="AJ110" i="80"/>
  <c r="AJ111" i="80"/>
  <c r="AJ112" i="80"/>
  <c r="AJ113" i="80"/>
  <c r="AJ114" i="80"/>
  <c r="AJ115" i="80"/>
  <c r="AJ116" i="80"/>
  <c r="AJ117" i="80"/>
  <c r="AJ118" i="80"/>
  <c r="AJ119" i="80"/>
  <c r="AJ120" i="80"/>
  <c r="AJ121" i="80"/>
  <c r="AP54" i="80"/>
  <c r="AE38" i="80"/>
  <c r="AL120" i="80"/>
  <c r="AL119" i="80"/>
  <c r="AL118" i="80"/>
  <c r="AL117" i="80"/>
  <c r="AL116" i="80"/>
  <c r="AL115" i="80"/>
  <c r="AL114" i="80"/>
  <c r="AL113" i="80"/>
  <c r="AL112" i="80"/>
  <c r="AL111" i="80"/>
  <c r="AL110" i="80"/>
  <c r="AL109" i="80"/>
  <c r="AL108" i="80"/>
  <c r="AL107" i="80"/>
  <c r="AL106" i="80"/>
  <c r="AL105" i="80"/>
  <c r="AL104" i="80"/>
  <c r="AL103" i="80"/>
  <c r="AL102" i="80"/>
  <c r="AL101" i="80"/>
  <c r="AL100" i="80"/>
  <c r="AL99" i="80"/>
  <c r="AL98" i="80"/>
  <c r="AL97" i="80"/>
  <c r="AL96" i="80"/>
  <c r="AL95" i="80"/>
  <c r="AL94" i="80"/>
  <c r="AL93" i="80"/>
  <c r="AL92" i="80"/>
  <c r="AL91" i="80"/>
  <c r="AN38" i="80"/>
  <c r="AB38" i="80"/>
  <c r="AA38" i="80"/>
  <c r="W38" i="80"/>
  <c r="V38" i="80"/>
  <c r="G38" i="80"/>
  <c r="J33" i="80"/>
  <c r="J32" i="80"/>
  <c r="J31" i="80"/>
  <c r="J30" i="80"/>
  <c r="J29" i="80"/>
  <c r="J28" i="80"/>
  <c r="J27" i="80"/>
  <c r="J26" i="80"/>
  <c r="J25" i="80"/>
  <c r="J24" i="80"/>
  <c r="J23" i="80"/>
  <c r="J22" i="80"/>
  <c r="J21" i="80"/>
  <c r="J20" i="80"/>
  <c r="J19" i="80"/>
  <c r="J18" i="80"/>
  <c r="J17" i="80"/>
  <c r="J16" i="80"/>
  <c r="J15" i="80"/>
  <c r="J14" i="80"/>
  <c r="J13" i="80"/>
  <c r="J12" i="80"/>
  <c r="J11" i="80"/>
  <c r="J10" i="80"/>
  <c r="J9" i="80"/>
  <c r="J8" i="80"/>
  <c r="J7" i="80"/>
  <c r="J6" i="80"/>
  <c r="J5" i="80"/>
  <c r="J4" i="80"/>
  <c r="C43" i="80"/>
  <c r="F38" i="80"/>
  <c r="O33" i="80"/>
  <c r="O32" i="80"/>
  <c r="O31" i="80"/>
  <c r="O30" i="80"/>
  <c r="O29" i="80"/>
  <c r="O28" i="80"/>
  <c r="O27" i="80"/>
  <c r="O26" i="80"/>
  <c r="O25" i="80"/>
  <c r="O24" i="80"/>
  <c r="O23" i="80"/>
  <c r="O22" i="80"/>
  <c r="O21" i="80"/>
  <c r="O20" i="80"/>
  <c r="O19" i="80"/>
  <c r="O18" i="80"/>
  <c r="O17" i="80"/>
  <c r="O16" i="80"/>
  <c r="O15" i="80"/>
  <c r="O14" i="80"/>
  <c r="O13" i="80"/>
  <c r="O12" i="80"/>
  <c r="O11" i="80"/>
  <c r="O10" i="80"/>
  <c r="O9" i="80"/>
  <c r="O8" i="80"/>
  <c r="O7" i="80"/>
  <c r="O6" i="80"/>
  <c r="O5" i="80"/>
  <c r="O4" i="80"/>
  <c r="B43" i="80"/>
  <c r="BB4" i="80"/>
  <c r="BB5" i="80"/>
  <c r="BB6" i="80"/>
  <c r="BB7" i="80"/>
  <c r="BB8" i="80"/>
  <c r="BB9" i="80"/>
  <c r="BB10" i="80"/>
  <c r="BB11" i="80"/>
  <c r="BB12" i="80"/>
  <c r="BB13" i="80"/>
  <c r="BB14" i="80"/>
  <c r="BB15" i="80"/>
  <c r="BB16" i="80"/>
  <c r="BB17" i="80"/>
  <c r="BB18" i="80"/>
  <c r="BB19" i="80"/>
  <c r="BB20" i="80"/>
  <c r="BB21" i="80"/>
  <c r="BB22" i="80"/>
  <c r="BB23" i="80"/>
  <c r="BB24" i="80"/>
  <c r="BB25" i="80"/>
  <c r="BB26" i="80"/>
  <c r="BB27" i="80"/>
  <c r="BB28" i="80"/>
  <c r="BB29" i="80"/>
  <c r="BB30" i="80"/>
  <c r="BB31" i="80"/>
  <c r="BB32" i="80"/>
  <c r="BB33" i="80"/>
  <c r="BB34" i="80"/>
  <c r="BB86" i="80"/>
  <c r="BA85" i="80"/>
  <c r="AN92" i="80" a="1"/>
  <c r="AN60" i="80" a="1"/>
  <c r="AY91" i="80"/>
  <c r="AY92" i="80"/>
  <c r="AY93" i="80"/>
  <c r="AY94" i="80"/>
  <c r="AY95" i="80"/>
  <c r="AY96" i="80"/>
  <c r="AY97" i="80"/>
  <c r="AY98" i="80"/>
  <c r="AY99" i="80"/>
  <c r="AY100" i="80"/>
  <c r="AY101" i="80"/>
  <c r="AY102" i="80"/>
  <c r="AY103" i="80"/>
  <c r="AY104" i="80"/>
  <c r="AY105" i="80"/>
  <c r="AY106" i="80"/>
  <c r="AY107" i="80"/>
  <c r="AY108" i="80"/>
  <c r="AY109" i="80"/>
  <c r="AY110" i="80"/>
  <c r="AY111" i="80"/>
  <c r="AY112" i="80"/>
  <c r="AY113" i="80"/>
  <c r="AY114" i="80"/>
  <c r="AY115" i="80"/>
  <c r="AY116" i="80"/>
  <c r="AY117" i="80"/>
  <c r="AY118" i="80"/>
  <c r="AY119" i="80"/>
  <c r="AY120" i="80"/>
  <c r="AY121" i="80"/>
  <c r="AH68" i="80"/>
  <c r="BH91" i="80"/>
  <c r="BH92" i="80"/>
  <c r="BH93" i="80"/>
  <c r="BH94" i="80"/>
  <c r="BH95" i="80"/>
  <c r="BH96" i="80"/>
  <c r="BH97" i="80"/>
  <c r="BH98" i="80"/>
  <c r="BH99" i="80"/>
  <c r="BH100" i="80"/>
  <c r="BH101" i="80"/>
  <c r="BH102" i="80"/>
  <c r="BH103" i="80"/>
  <c r="BH104" i="80"/>
  <c r="BH105" i="80"/>
  <c r="BH106" i="80"/>
  <c r="BH107" i="80"/>
  <c r="BH108" i="80"/>
  <c r="BH109" i="80"/>
  <c r="BH110" i="80"/>
  <c r="BH111" i="80"/>
  <c r="BH112" i="80"/>
  <c r="BH113" i="80"/>
  <c r="BH114" i="80"/>
  <c r="BH115" i="80"/>
  <c r="BH116" i="80"/>
  <c r="BH117" i="80"/>
  <c r="BH118" i="80"/>
  <c r="BH119" i="80"/>
  <c r="BH120" i="80"/>
  <c r="BH121" i="80"/>
  <c r="AH65" i="80"/>
  <c r="AY49" i="80"/>
  <c r="AX91" i="80"/>
  <c r="AY50" i="80"/>
  <c r="AX92" i="80"/>
  <c r="AY51" i="80"/>
  <c r="AX93" i="80"/>
  <c r="AY52" i="80"/>
  <c r="AX94" i="80"/>
  <c r="AY53" i="80"/>
  <c r="AX95" i="80"/>
  <c r="AY54" i="80"/>
  <c r="AX96" i="80"/>
  <c r="AY55" i="80"/>
  <c r="AX97" i="80"/>
  <c r="AY56" i="80"/>
  <c r="AX98" i="80"/>
  <c r="AY57" i="80"/>
  <c r="AX99" i="80"/>
  <c r="AY58" i="80"/>
  <c r="AX100" i="80"/>
  <c r="AY59" i="80"/>
  <c r="AX101" i="80"/>
  <c r="AY60" i="80"/>
  <c r="AX102" i="80"/>
  <c r="AY61" i="80"/>
  <c r="AX103" i="80"/>
  <c r="AY62" i="80"/>
  <c r="AX104" i="80"/>
  <c r="AY63" i="80"/>
  <c r="AX105" i="80"/>
  <c r="AY64" i="80"/>
  <c r="AX106" i="80"/>
  <c r="AY65" i="80"/>
  <c r="AX107" i="80"/>
  <c r="AY66" i="80"/>
  <c r="AX108" i="80"/>
  <c r="AY67" i="80"/>
  <c r="AX109" i="80"/>
  <c r="AY68" i="80"/>
  <c r="AX110" i="80"/>
  <c r="AY69" i="80"/>
  <c r="AX111" i="80"/>
  <c r="AY70" i="80"/>
  <c r="AX112" i="80"/>
  <c r="AY71" i="80"/>
  <c r="AX113" i="80"/>
  <c r="AY72" i="80"/>
  <c r="AX114" i="80"/>
  <c r="AY73" i="80"/>
  <c r="AX115" i="80"/>
  <c r="AY74" i="80"/>
  <c r="AX116" i="80"/>
  <c r="AY75" i="80"/>
  <c r="AX117" i="80"/>
  <c r="AY76" i="80"/>
  <c r="AX118" i="80"/>
  <c r="AY77" i="80"/>
  <c r="AX119" i="80"/>
  <c r="AY78" i="80"/>
  <c r="AX120" i="80"/>
  <c r="AX121" i="80"/>
  <c r="AH53" i="80"/>
  <c r="AW91" i="80"/>
  <c r="AW92" i="80"/>
  <c r="AW93" i="80"/>
  <c r="AW94" i="80"/>
  <c r="AW95" i="80"/>
  <c r="AW96" i="80"/>
  <c r="AW97" i="80"/>
  <c r="AW98" i="80"/>
  <c r="AW99" i="80"/>
  <c r="AW100" i="80"/>
  <c r="AW101" i="80"/>
  <c r="AW102" i="80"/>
  <c r="AW103" i="80"/>
  <c r="AW104" i="80"/>
  <c r="AW105" i="80"/>
  <c r="AW106" i="80"/>
  <c r="AW107" i="80"/>
  <c r="AW108" i="80"/>
  <c r="AW109" i="80"/>
  <c r="AW110" i="80"/>
  <c r="AW111" i="80"/>
  <c r="AW112" i="80"/>
  <c r="AW113" i="80"/>
  <c r="AW114" i="80"/>
  <c r="AW115" i="80"/>
  <c r="AW116" i="80"/>
  <c r="AW117" i="80"/>
  <c r="AW118" i="80"/>
  <c r="AW119" i="80"/>
  <c r="AW120" i="80"/>
  <c r="AW121" i="80"/>
  <c r="AH50" i="80"/>
  <c r="AJ38" i="80"/>
  <c r="AI38" i="80"/>
  <c r="AH38" i="80"/>
  <c r="AG38" i="80"/>
  <c r="AN108" i="80" a="1"/>
  <c r="AB47" i="80"/>
  <c r="Z40" i="80"/>
  <c r="U38" i="80"/>
  <c r="R38" i="80"/>
  <c r="L38" i="80"/>
  <c r="K38" i="80"/>
  <c r="M38" i="80"/>
  <c r="H38" i="80"/>
  <c r="X53" i="80"/>
  <c r="X52" i="80"/>
  <c r="X51" i="80"/>
  <c r="X50" i="80"/>
  <c r="X49" i="80"/>
  <c r="X48" i="80"/>
  <c r="X47" i="80"/>
  <c r="X46" i="80"/>
  <c r="Z71" i="80"/>
  <c r="AB71" i="80"/>
  <c r="AA71" i="80"/>
  <c r="X71" i="80"/>
  <c r="W71" i="80"/>
  <c r="U71" i="80"/>
  <c r="N71" i="80"/>
  <c r="M71" i="80"/>
  <c r="L71" i="80"/>
  <c r="Q71" i="80"/>
  <c r="K71" i="80"/>
  <c r="P71" i="80"/>
  <c r="Z70" i="80"/>
  <c r="AB70" i="80"/>
  <c r="AA70" i="80"/>
  <c r="X70" i="80"/>
  <c r="W70" i="80"/>
  <c r="U70" i="80"/>
  <c r="N70" i="80"/>
  <c r="M70" i="80"/>
  <c r="L70" i="80"/>
  <c r="Q70" i="80"/>
  <c r="K70" i="80"/>
  <c r="P70" i="80"/>
  <c r="Z69" i="80"/>
  <c r="AB69" i="80"/>
  <c r="AA69" i="80"/>
  <c r="X69" i="80"/>
  <c r="W69" i="80"/>
  <c r="V69" i="80"/>
  <c r="U69" i="80"/>
  <c r="N69" i="80"/>
  <c r="M69" i="80"/>
  <c r="L69" i="80"/>
  <c r="Q69" i="80"/>
  <c r="K69" i="80"/>
  <c r="P69" i="80"/>
  <c r="Z68" i="80"/>
  <c r="AB68" i="80"/>
  <c r="AA68" i="80"/>
  <c r="X68" i="80"/>
  <c r="W68" i="80"/>
  <c r="U68" i="80"/>
  <c r="N68" i="80"/>
  <c r="M68" i="80"/>
  <c r="L68" i="80"/>
  <c r="Q68" i="80"/>
  <c r="K68" i="80"/>
  <c r="P68" i="80"/>
  <c r="Z67" i="80"/>
  <c r="AB67" i="80"/>
  <c r="AA67" i="80"/>
  <c r="X67" i="80"/>
  <c r="W67" i="80"/>
  <c r="U67" i="80"/>
  <c r="N67" i="80"/>
  <c r="M67" i="80"/>
  <c r="L67" i="80"/>
  <c r="Q67" i="80"/>
  <c r="K67" i="80"/>
  <c r="P67" i="80"/>
  <c r="Z66" i="80"/>
  <c r="AB66" i="80"/>
  <c r="AA66" i="80"/>
  <c r="X66" i="80"/>
  <c r="W66" i="80"/>
  <c r="U66" i="80"/>
  <c r="N66" i="80"/>
  <c r="M66" i="80"/>
  <c r="L66" i="80"/>
  <c r="Q66" i="80"/>
  <c r="K66" i="80"/>
  <c r="P66" i="80"/>
  <c r="Z64" i="80"/>
  <c r="AB64" i="80"/>
  <c r="AA64" i="80"/>
  <c r="X64" i="80"/>
  <c r="W64" i="80"/>
  <c r="U64" i="80"/>
  <c r="N64" i="80"/>
  <c r="M64" i="80"/>
  <c r="L64" i="80"/>
  <c r="Q64" i="80"/>
  <c r="K64" i="80"/>
  <c r="P64" i="80"/>
  <c r="Z63" i="80"/>
  <c r="AB63" i="80"/>
  <c r="AA63" i="80"/>
  <c r="X63" i="80"/>
  <c r="W63" i="80"/>
  <c r="U63" i="80"/>
  <c r="N63" i="80"/>
  <c r="M63" i="80"/>
  <c r="L63" i="80"/>
  <c r="Q63" i="80"/>
  <c r="K63" i="80"/>
  <c r="P63" i="80"/>
  <c r="Z62" i="80"/>
  <c r="AB62" i="80"/>
  <c r="AA62" i="80"/>
  <c r="X62" i="80"/>
  <c r="W62" i="80"/>
  <c r="U62" i="80"/>
  <c r="N62" i="80"/>
  <c r="M62" i="80"/>
  <c r="L62" i="80"/>
  <c r="Q62" i="80"/>
  <c r="K62" i="80"/>
  <c r="P62" i="80"/>
  <c r="Z60" i="80"/>
  <c r="AB60" i="80"/>
  <c r="AA60" i="80"/>
  <c r="X60" i="80"/>
  <c r="W60" i="80"/>
  <c r="U60" i="80"/>
  <c r="N60" i="80"/>
  <c r="M60" i="80"/>
  <c r="L60" i="80"/>
  <c r="Q60" i="80"/>
  <c r="K60" i="80"/>
  <c r="P60" i="80"/>
  <c r="Z59" i="80"/>
  <c r="AB59" i="80"/>
  <c r="AA59" i="80"/>
  <c r="X59" i="80"/>
  <c r="W59" i="80"/>
  <c r="U59" i="80"/>
  <c r="N59" i="80"/>
  <c r="M59" i="80"/>
  <c r="L59" i="80"/>
  <c r="Q59" i="80"/>
  <c r="K59" i="80"/>
  <c r="P59" i="80"/>
  <c r="BB85" i="80"/>
  <c r="BD33" i="80"/>
  <c r="BD32" i="80"/>
  <c r="BD31" i="80"/>
  <c r="BD30" i="80"/>
  <c r="BD29" i="80"/>
  <c r="BD28" i="80"/>
  <c r="BD27" i="80"/>
  <c r="BD26" i="80"/>
  <c r="BD25" i="80"/>
  <c r="BD24" i="80"/>
  <c r="BD23" i="80"/>
  <c r="BD22" i="80"/>
  <c r="BD21" i="80"/>
  <c r="BD20" i="80"/>
  <c r="BD19" i="80"/>
  <c r="BD18" i="80"/>
  <c r="BD17" i="80"/>
  <c r="BD16" i="80"/>
  <c r="BD15" i="80"/>
  <c r="BD14" i="80"/>
  <c r="BD13" i="80"/>
  <c r="BD12" i="80"/>
  <c r="BD11" i="80"/>
  <c r="BD10" i="80"/>
  <c r="BD9" i="80"/>
  <c r="BD8" i="80"/>
  <c r="BD7" i="80"/>
  <c r="BD6" i="80"/>
  <c r="BD5" i="80"/>
  <c r="BD4" i="80"/>
  <c r="BJ83" i="82"/>
  <c r="BI83" i="82"/>
  <c r="BH83" i="82"/>
  <c r="BG83" i="82"/>
  <c r="BF83" i="82"/>
  <c r="AB91" i="82"/>
  <c r="AB92" i="82"/>
  <c r="AB93" i="82"/>
  <c r="AB94" i="82"/>
  <c r="AB95" i="82"/>
  <c r="AB96" i="82"/>
  <c r="AB97" i="82"/>
  <c r="AB98" i="82"/>
  <c r="AB99" i="82"/>
  <c r="AB100" i="82"/>
  <c r="AB101" i="82"/>
  <c r="AB102" i="82"/>
  <c r="AB103" i="82"/>
  <c r="AB104" i="82"/>
  <c r="AB105" i="82"/>
  <c r="AB106" i="82"/>
  <c r="AB107" i="82"/>
  <c r="AB108" i="82"/>
  <c r="AB109" i="82"/>
  <c r="AB110" i="82"/>
  <c r="AB111" i="82"/>
  <c r="AB112" i="82"/>
  <c r="AB113" i="82"/>
  <c r="AB114" i="82"/>
  <c r="AB115" i="82"/>
  <c r="AB116" i="82"/>
  <c r="AB117" i="82"/>
  <c r="AB118" i="82"/>
  <c r="AB119" i="82"/>
  <c r="AB120" i="82"/>
  <c r="AB121" i="82"/>
  <c r="BA4" i="82"/>
  <c r="AY43" i="82"/>
  <c r="BA5" i="82"/>
  <c r="BA6" i="82"/>
  <c r="BA7" i="82"/>
  <c r="BA8" i="82"/>
  <c r="BA9" i="82"/>
  <c r="BA10" i="82"/>
  <c r="BA11" i="82"/>
  <c r="BA12" i="82"/>
  <c r="BA13" i="82"/>
  <c r="BA14" i="82"/>
  <c r="BA15" i="82"/>
  <c r="BA16" i="82"/>
  <c r="BA17" i="82"/>
  <c r="BA18" i="82"/>
  <c r="BA19" i="82"/>
  <c r="BA20" i="82"/>
  <c r="BA21" i="82"/>
  <c r="BA22" i="82"/>
  <c r="BA23" i="82"/>
  <c r="BA24" i="82"/>
  <c r="BA25" i="82"/>
  <c r="BA26" i="82"/>
  <c r="BA27" i="82"/>
  <c r="BA28" i="82"/>
  <c r="BA29" i="82"/>
  <c r="BA30" i="82"/>
  <c r="BA31" i="82"/>
  <c r="BA32" i="82"/>
  <c r="BA33" i="82"/>
  <c r="BA34" i="82"/>
  <c r="R4" i="82"/>
  <c r="AX4" i="82"/>
  <c r="R6" i="82"/>
  <c r="R11" i="82"/>
  <c r="R13" i="82"/>
  <c r="R15" i="82"/>
  <c r="R20" i="82"/>
  <c r="R21" i="82"/>
  <c r="R22" i="82"/>
  <c r="R23" i="82"/>
  <c r="R24" i="82"/>
  <c r="R25" i="82"/>
  <c r="R26" i="82"/>
  <c r="R28" i="82"/>
  <c r="R30" i="82"/>
  <c r="R31" i="82"/>
  <c r="R32" i="82"/>
  <c r="R33" i="82"/>
  <c r="R34" i="82"/>
  <c r="AW4" i="82"/>
  <c r="AW43" i="82"/>
  <c r="AW5" i="82"/>
  <c r="AW6" i="82"/>
  <c r="AW7" i="82"/>
  <c r="AW8" i="82"/>
  <c r="AW9" i="82"/>
  <c r="AW10" i="82"/>
  <c r="AW11" i="82"/>
  <c r="AW12" i="82"/>
  <c r="AW13" i="82"/>
  <c r="AW14" i="82"/>
  <c r="AW15" i="82"/>
  <c r="AW16" i="82"/>
  <c r="AW17" i="82"/>
  <c r="AW18" i="82"/>
  <c r="AW19" i="82"/>
  <c r="AW20" i="82"/>
  <c r="AW21" i="82"/>
  <c r="AW22" i="82"/>
  <c r="AW23" i="82"/>
  <c r="AW24" i="82"/>
  <c r="AW25" i="82"/>
  <c r="AW26" i="82"/>
  <c r="AW27" i="82"/>
  <c r="AW28" i="82"/>
  <c r="AW29" i="82"/>
  <c r="AW30" i="82"/>
  <c r="AW31" i="82"/>
  <c r="AW32" i="82"/>
  <c r="AW33" i="82"/>
  <c r="AW34" i="82"/>
  <c r="AV4" i="82"/>
  <c r="AV43" i="82"/>
  <c r="AV5" i="82"/>
  <c r="AV6" i="82"/>
  <c r="AV7" i="82"/>
  <c r="AV8" i="82"/>
  <c r="AV9" i="82"/>
  <c r="AV10" i="82"/>
  <c r="AV11" i="82"/>
  <c r="AV12" i="82"/>
  <c r="AV13" i="82"/>
  <c r="AV14" i="82"/>
  <c r="AV15" i="82"/>
  <c r="AV16" i="82"/>
  <c r="AV17" i="82"/>
  <c r="AV18" i="82"/>
  <c r="AV19" i="82"/>
  <c r="AV20" i="82"/>
  <c r="AV21" i="82"/>
  <c r="AV22" i="82"/>
  <c r="AV23" i="82"/>
  <c r="AV24" i="82"/>
  <c r="AV25" i="82"/>
  <c r="AV26" i="82"/>
  <c r="AV27" i="82"/>
  <c r="AV28" i="82"/>
  <c r="AV29" i="82"/>
  <c r="AV30" i="82"/>
  <c r="AV31" i="82"/>
  <c r="AV32" i="82"/>
  <c r="AV33" i="82"/>
  <c r="AV34" i="82"/>
  <c r="AU4" i="82"/>
  <c r="AU43" i="82"/>
  <c r="AU5" i="82"/>
  <c r="AU6" i="82"/>
  <c r="AU7" i="82"/>
  <c r="AU8" i="82"/>
  <c r="AU9" i="82"/>
  <c r="AU10" i="82"/>
  <c r="AU11" i="82"/>
  <c r="AU12" i="82"/>
  <c r="AU13" i="82"/>
  <c r="AU14" i="82"/>
  <c r="AU15" i="82"/>
  <c r="AU16" i="82"/>
  <c r="AU17" i="82"/>
  <c r="AU18" i="82"/>
  <c r="AU19" i="82"/>
  <c r="AU20" i="82"/>
  <c r="AU21" i="82"/>
  <c r="AU22" i="82"/>
  <c r="AU23" i="82"/>
  <c r="AU24" i="82"/>
  <c r="AU25" i="82"/>
  <c r="AU26" i="82"/>
  <c r="AU27" i="82"/>
  <c r="AU28" i="82"/>
  <c r="AU29" i="82"/>
  <c r="AU30" i="82"/>
  <c r="AU31" i="82"/>
  <c r="AU32" i="82"/>
  <c r="AU33" i="82"/>
  <c r="AU34" i="82"/>
  <c r="AT4" i="82"/>
  <c r="AT43" i="82"/>
  <c r="AT5" i="82"/>
  <c r="AT6" i="82"/>
  <c r="AT7" i="82"/>
  <c r="AT8" i="82"/>
  <c r="AT9" i="82"/>
  <c r="AT10" i="82"/>
  <c r="AT11" i="82"/>
  <c r="AT12" i="82"/>
  <c r="AT13" i="82"/>
  <c r="AT14" i="82"/>
  <c r="AT15" i="82"/>
  <c r="AT16" i="82"/>
  <c r="AT17" i="82"/>
  <c r="AT18" i="82"/>
  <c r="AT19" i="82"/>
  <c r="AT20" i="82"/>
  <c r="AT21" i="82"/>
  <c r="AT22" i="82"/>
  <c r="AT23" i="82"/>
  <c r="AT24" i="82"/>
  <c r="AT25" i="82"/>
  <c r="AT26" i="82"/>
  <c r="AT27" i="82"/>
  <c r="AT28" i="82"/>
  <c r="AT29" i="82"/>
  <c r="AT30" i="82"/>
  <c r="AT31" i="82"/>
  <c r="AT32" i="82"/>
  <c r="AT33" i="82"/>
  <c r="AT34" i="82"/>
  <c r="AS4" i="82"/>
  <c r="AS43" i="82"/>
  <c r="AS5" i="82"/>
  <c r="AS6" i="82"/>
  <c r="AS7" i="82"/>
  <c r="AS8" i="82"/>
  <c r="AS9" i="82"/>
  <c r="AS10" i="82"/>
  <c r="AS11" i="82"/>
  <c r="AS12" i="82"/>
  <c r="AS13" i="82"/>
  <c r="AS14" i="82"/>
  <c r="AS15" i="82"/>
  <c r="AS16" i="82"/>
  <c r="AS17" i="82"/>
  <c r="AS18" i="82"/>
  <c r="AS19" i="82"/>
  <c r="AS20" i="82"/>
  <c r="AS21" i="82"/>
  <c r="AS22" i="82"/>
  <c r="AS23" i="82"/>
  <c r="AS24" i="82"/>
  <c r="AS25" i="82"/>
  <c r="AS26" i="82"/>
  <c r="AS27" i="82"/>
  <c r="AS28" i="82"/>
  <c r="AS29" i="82"/>
  <c r="AS30" i="82"/>
  <c r="AS31" i="82"/>
  <c r="AS32" i="82"/>
  <c r="AS33" i="82"/>
  <c r="AS34" i="82"/>
  <c r="AJ4" i="82"/>
  <c r="AJ43" i="82"/>
  <c r="AJ5" i="82"/>
  <c r="AJ6" i="82"/>
  <c r="AJ7" i="82"/>
  <c r="AJ8" i="82"/>
  <c r="AJ9" i="82"/>
  <c r="AJ10" i="82"/>
  <c r="AJ11" i="82"/>
  <c r="AJ12" i="82"/>
  <c r="AJ13" i="82"/>
  <c r="AJ14" i="82"/>
  <c r="AJ15" i="82"/>
  <c r="AJ16" i="82"/>
  <c r="AJ17" i="82"/>
  <c r="AJ18" i="82"/>
  <c r="AJ19" i="82"/>
  <c r="AJ20" i="82"/>
  <c r="AJ21" i="82"/>
  <c r="AJ22" i="82"/>
  <c r="AJ23" i="82"/>
  <c r="AJ24" i="82"/>
  <c r="AJ25" i="82"/>
  <c r="AJ26" i="82"/>
  <c r="AJ27" i="82"/>
  <c r="AJ28" i="82"/>
  <c r="AJ29" i="82"/>
  <c r="AJ30" i="82"/>
  <c r="AJ31" i="82"/>
  <c r="AJ32" i="82"/>
  <c r="AJ33" i="82"/>
  <c r="AJ34" i="82"/>
  <c r="AI43" i="82"/>
  <c r="AH43" i="82"/>
  <c r="AG43" i="82"/>
  <c r="AD86" i="82"/>
  <c r="AD85" i="82"/>
  <c r="AE43" i="82"/>
  <c r="AD4" i="82"/>
  <c r="AE86" i="82"/>
  <c r="AD5" i="82"/>
  <c r="AD6" i="82"/>
  <c r="AD7" i="82"/>
  <c r="AD8" i="82"/>
  <c r="AD9" i="82"/>
  <c r="AD10" i="82"/>
  <c r="AD11" i="82"/>
  <c r="AD12" i="82"/>
  <c r="AD13" i="82"/>
  <c r="AD14" i="82"/>
  <c r="AD15" i="82"/>
  <c r="AD16" i="82"/>
  <c r="AD17" i="82"/>
  <c r="AD18" i="82"/>
  <c r="AD19" i="82"/>
  <c r="AD20" i="82"/>
  <c r="AD21" i="82"/>
  <c r="AD22" i="82"/>
  <c r="AD23" i="82"/>
  <c r="AD24" i="82"/>
  <c r="AD25" i="82"/>
  <c r="AD26" i="82"/>
  <c r="AD27" i="82"/>
  <c r="AD28" i="82"/>
  <c r="AD29" i="82"/>
  <c r="AD30" i="82"/>
  <c r="AD31" i="82"/>
  <c r="AD32" i="82"/>
  <c r="AD33" i="82"/>
  <c r="AD34" i="82"/>
  <c r="AE85" i="82"/>
  <c r="Z38" i="82"/>
  <c r="AC4" i="82"/>
  <c r="AC5" i="82"/>
  <c r="AC7" i="82"/>
  <c r="AC8" i="82"/>
  <c r="AC9" i="82"/>
  <c r="AC11" i="82"/>
  <c r="AC12" i="82"/>
  <c r="AC13" i="82"/>
  <c r="AC15" i="82"/>
  <c r="AC17" i="82"/>
  <c r="AC19" i="82"/>
  <c r="AC21" i="82"/>
  <c r="AC23" i="82"/>
  <c r="AC25" i="82"/>
  <c r="AC27" i="82"/>
  <c r="AC28" i="82"/>
  <c r="AC29" i="82"/>
  <c r="AC30" i="82"/>
  <c r="AC31" i="82"/>
  <c r="AC33" i="82"/>
  <c r="AB86" i="82"/>
  <c r="AB85" i="82"/>
  <c r="AB43" i="82"/>
  <c r="AA86" i="82"/>
  <c r="AA42" i="82"/>
  <c r="AA85" i="82"/>
  <c r="AA43" i="82"/>
  <c r="Z43" i="82"/>
  <c r="W43" i="82"/>
  <c r="V43" i="82"/>
  <c r="U43" i="82"/>
  <c r="S4" i="82"/>
  <c r="S6" i="82"/>
  <c r="S11" i="82"/>
  <c r="S13" i="82"/>
  <c r="S15" i="82"/>
  <c r="S20" i="82"/>
  <c r="S21" i="82"/>
  <c r="S22" i="82"/>
  <c r="S23" i="82"/>
  <c r="S24" i="82"/>
  <c r="S25" i="82"/>
  <c r="S26" i="82"/>
  <c r="S28" i="82"/>
  <c r="S30" i="82"/>
  <c r="S31" i="82"/>
  <c r="S32" i="82"/>
  <c r="S33" i="82"/>
  <c r="S34" i="82"/>
  <c r="Q43" i="82"/>
  <c r="P43" i="82"/>
  <c r="N43" i="82"/>
  <c r="M43" i="82"/>
  <c r="L43" i="82"/>
  <c r="K43" i="82"/>
  <c r="I43" i="82"/>
  <c r="H43" i="82"/>
  <c r="G43" i="82"/>
  <c r="F43" i="82"/>
  <c r="BJ82" i="82"/>
  <c r="BI82" i="82"/>
  <c r="BH82" i="82"/>
  <c r="BG82" i="82"/>
  <c r="BF82" i="82"/>
  <c r="AY8" i="82"/>
  <c r="AY9" i="82"/>
  <c r="AY85" i="82"/>
  <c r="AY42" i="82"/>
  <c r="AY10" i="82"/>
  <c r="AY11" i="82"/>
  <c r="AY12" i="82"/>
  <c r="AY13" i="82"/>
  <c r="AY14" i="82"/>
  <c r="AY15" i="82"/>
  <c r="AY16" i="82"/>
  <c r="AY17" i="82"/>
  <c r="AY18" i="82"/>
  <c r="AY19" i="82"/>
  <c r="AY20" i="82"/>
  <c r="AY21" i="82"/>
  <c r="AY22" i="82"/>
  <c r="AY23" i="82"/>
  <c r="AY24" i="82"/>
  <c r="AY25" i="82"/>
  <c r="AY26" i="82"/>
  <c r="AY27" i="82"/>
  <c r="AY28" i="82"/>
  <c r="AY29" i="82"/>
  <c r="AY30" i="82"/>
  <c r="AY31" i="82"/>
  <c r="AY32" i="82"/>
  <c r="AY33" i="82"/>
  <c r="AY34" i="82"/>
  <c r="AY86" i="82"/>
  <c r="AW86" i="82"/>
  <c r="AW85" i="82"/>
  <c r="AW42" i="82"/>
  <c r="AV86" i="82"/>
  <c r="AV85" i="82"/>
  <c r="AV42" i="82"/>
  <c r="AU86" i="82"/>
  <c r="AU85" i="82"/>
  <c r="AU42" i="82"/>
  <c r="AT86" i="82"/>
  <c r="AT85" i="82"/>
  <c r="AT42" i="82"/>
  <c r="AS86" i="82"/>
  <c r="AS85" i="82"/>
  <c r="AS42" i="82"/>
  <c r="AJ86" i="82"/>
  <c r="AJ85" i="82"/>
  <c r="AJ42" i="82"/>
  <c r="AI86" i="82"/>
  <c r="AI85" i="82"/>
  <c r="AI42" i="82"/>
  <c r="AH86" i="82"/>
  <c r="AH85" i="82"/>
  <c r="AH42" i="82"/>
  <c r="AG86" i="82"/>
  <c r="AG85" i="82"/>
  <c r="AG42" i="82"/>
  <c r="AE42" i="82"/>
  <c r="AB42" i="82"/>
  <c r="Z86" i="82"/>
  <c r="Z85" i="82"/>
  <c r="Z42" i="82"/>
  <c r="W86" i="82"/>
  <c r="W85" i="82"/>
  <c r="W42" i="82"/>
  <c r="V86" i="82"/>
  <c r="V85" i="82"/>
  <c r="V42" i="82"/>
  <c r="U86" i="82"/>
  <c r="U85" i="82"/>
  <c r="U42" i="82"/>
  <c r="Q86" i="82"/>
  <c r="Q85" i="82"/>
  <c r="Q42" i="82"/>
  <c r="P86" i="82"/>
  <c r="P85" i="82"/>
  <c r="P42" i="82"/>
  <c r="N86" i="82"/>
  <c r="N85" i="82"/>
  <c r="N42" i="82"/>
  <c r="M86" i="82"/>
  <c r="M85" i="82"/>
  <c r="M42" i="82"/>
  <c r="L86" i="82"/>
  <c r="L85" i="82"/>
  <c r="L42" i="82"/>
  <c r="K86" i="82"/>
  <c r="K85" i="82"/>
  <c r="K42" i="82"/>
  <c r="I86" i="82"/>
  <c r="I85" i="82"/>
  <c r="I42" i="82"/>
  <c r="H86" i="82"/>
  <c r="H85" i="82"/>
  <c r="H42" i="82"/>
  <c r="G86" i="82"/>
  <c r="G85" i="82"/>
  <c r="G42" i="82"/>
  <c r="F86" i="82"/>
  <c r="F85" i="82"/>
  <c r="F42" i="82"/>
  <c r="E80" i="82"/>
  <c r="E79" i="82"/>
  <c r="E78" i="82"/>
  <c r="E77" i="82"/>
  <c r="E76" i="82"/>
  <c r="E75" i="82"/>
  <c r="E74" i="82"/>
  <c r="E73" i="82"/>
  <c r="E66" i="82"/>
  <c r="E65" i="82"/>
  <c r="E64" i="82"/>
  <c r="E62" i="82"/>
  <c r="E61" i="82"/>
  <c r="E60" i="82"/>
  <c r="E58" i="82"/>
  <c r="E53" i="82"/>
  <c r="E52" i="82"/>
  <c r="E51" i="82"/>
  <c r="E49" i="82"/>
  <c r="F49" i="82"/>
  <c r="F51" i="82"/>
  <c r="F52" i="82"/>
  <c r="F53" i="82"/>
  <c r="F58" i="82"/>
  <c r="F60" i="82"/>
  <c r="F61" i="82"/>
  <c r="F62" i="82"/>
  <c r="F64" i="82"/>
  <c r="F65" i="82"/>
  <c r="F66" i="82"/>
  <c r="F73" i="82"/>
  <c r="F74" i="82"/>
  <c r="F75" i="82"/>
  <c r="F76" i="82"/>
  <c r="F77" i="82"/>
  <c r="F78" i="82"/>
  <c r="F79" i="82"/>
  <c r="F80" i="82"/>
  <c r="M53" i="82"/>
  <c r="BI91" i="82"/>
  <c r="AT70" i="82"/>
  <c r="AT67" i="82"/>
  <c r="BI92" i="82"/>
  <c r="BI93" i="82"/>
  <c r="BI94" i="82"/>
  <c r="BI95" i="82"/>
  <c r="BI96" i="82"/>
  <c r="BI97" i="82"/>
  <c r="BI98" i="82"/>
  <c r="BI99" i="82"/>
  <c r="BI100" i="82"/>
  <c r="BI101" i="82"/>
  <c r="BI102" i="82"/>
  <c r="BI103" i="82"/>
  <c r="BI104" i="82"/>
  <c r="BI105" i="82"/>
  <c r="BI106" i="82"/>
  <c r="BI107" i="82"/>
  <c r="BI108" i="82"/>
  <c r="BI109" i="82"/>
  <c r="BI110" i="82"/>
  <c r="BI111" i="82"/>
  <c r="BI112" i="82"/>
  <c r="BI113" i="82"/>
  <c r="BI114" i="82"/>
  <c r="BI115" i="82"/>
  <c r="BI116" i="82"/>
  <c r="BI117" i="82"/>
  <c r="BI118" i="82"/>
  <c r="BI119" i="82"/>
  <c r="BI120" i="82"/>
  <c r="BI121" i="82"/>
  <c r="AD53" i="82"/>
  <c r="BJ80" i="82"/>
  <c r="BI80" i="82"/>
  <c r="BH80" i="82"/>
  <c r="BG80" i="82"/>
  <c r="BF80" i="82"/>
  <c r="AN95" i="82" a="1"/>
  <c r="AN94" i="82" a="1"/>
  <c r="AJ91" i="82"/>
  <c r="AN48" i="82"/>
  <c r="AJ92" i="82"/>
  <c r="AJ93" i="82"/>
  <c r="AJ94" i="82"/>
  <c r="AJ95" i="82"/>
  <c r="AJ96" i="82"/>
  <c r="AJ97" i="82"/>
  <c r="AN60" i="82" a="1"/>
  <c r="AJ98" i="82"/>
  <c r="AJ99" i="82"/>
  <c r="AJ100" i="82"/>
  <c r="AJ101" i="82"/>
  <c r="AJ102" i="82"/>
  <c r="AJ103" i="82"/>
  <c r="AJ104" i="82"/>
  <c r="AJ105" i="82"/>
  <c r="AJ106" i="82"/>
  <c r="AJ107" i="82"/>
  <c r="AJ108" i="82"/>
  <c r="AJ109" i="82"/>
  <c r="AJ110" i="82"/>
  <c r="AJ111" i="82"/>
  <c r="AJ112" i="82"/>
  <c r="AJ113" i="82"/>
  <c r="AJ114" i="82"/>
  <c r="AJ115" i="82"/>
  <c r="AJ116" i="82"/>
  <c r="AJ117" i="82"/>
  <c r="AJ118" i="82"/>
  <c r="AJ119" i="82"/>
  <c r="AJ120" i="82"/>
  <c r="AJ121" i="82"/>
  <c r="AL121" i="82"/>
  <c r="AL120" i="82"/>
  <c r="AL119" i="82"/>
  <c r="AL118" i="82"/>
  <c r="AL117" i="82"/>
  <c r="AL116" i="82"/>
  <c r="AL115" i="82"/>
  <c r="AL114" i="82"/>
  <c r="AL113" i="82"/>
  <c r="AL112" i="82"/>
  <c r="AL111" i="82"/>
  <c r="AL110" i="82"/>
  <c r="AL109" i="82"/>
  <c r="AL108" i="82"/>
  <c r="AL107" i="82"/>
  <c r="AL106" i="82"/>
  <c r="AL105" i="82"/>
  <c r="AL104" i="82"/>
  <c r="AL103" i="82"/>
  <c r="AL102" i="82"/>
  <c r="AL101" i="82"/>
  <c r="AL100" i="82"/>
  <c r="AL99" i="82"/>
  <c r="AL98" i="82"/>
  <c r="AL97" i="82"/>
  <c r="AL96" i="82"/>
  <c r="AL95" i="82"/>
  <c r="AL94" i="82"/>
  <c r="AL93" i="82"/>
  <c r="AL92" i="82"/>
  <c r="AL91" i="82"/>
  <c r="AN38" i="82"/>
  <c r="AE38" i="82"/>
  <c r="AA38" i="82"/>
  <c r="W38" i="82"/>
  <c r="V38" i="82"/>
  <c r="G38" i="82"/>
  <c r="J34" i="82"/>
  <c r="J33" i="82"/>
  <c r="J32" i="82"/>
  <c r="J31" i="82"/>
  <c r="J30" i="82"/>
  <c r="J29" i="82"/>
  <c r="J28" i="82"/>
  <c r="J27" i="82"/>
  <c r="J26" i="82"/>
  <c r="J25" i="82"/>
  <c r="J24" i="82"/>
  <c r="J23" i="82"/>
  <c r="J22" i="82"/>
  <c r="J21" i="82"/>
  <c r="J20" i="82"/>
  <c r="J19" i="82"/>
  <c r="J18" i="82"/>
  <c r="J17" i="82"/>
  <c r="J16" i="82"/>
  <c r="J15" i="82"/>
  <c r="J14" i="82"/>
  <c r="J13" i="82"/>
  <c r="J12" i="82"/>
  <c r="J11" i="82"/>
  <c r="J10" i="82"/>
  <c r="J9" i="82"/>
  <c r="J8" i="82"/>
  <c r="J7" i="82"/>
  <c r="J6" i="82"/>
  <c r="J5" i="82"/>
  <c r="J4" i="82"/>
  <c r="C43" i="82"/>
  <c r="B39" i="82"/>
  <c r="F38" i="82"/>
  <c r="B40" i="82"/>
  <c r="O34" i="82"/>
  <c r="O33" i="82"/>
  <c r="O32" i="82"/>
  <c r="O31" i="82"/>
  <c r="O30" i="82"/>
  <c r="O29" i="82"/>
  <c r="O28" i="82"/>
  <c r="O27" i="82"/>
  <c r="O26" i="82"/>
  <c r="O25" i="82"/>
  <c r="O24" i="82"/>
  <c r="O23" i="82"/>
  <c r="O22" i="82"/>
  <c r="O21" i="82"/>
  <c r="O20" i="82"/>
  <c r="O19" i="82"/>
  <c r="O18" i="82"/>
  <c r="O17" i="82"/>
  <c r="O16" i="82"/>
  <c r="O15" i="82"/>
  <c r="O14" i="82"/>
  <c r="O13" i="82"/>
  <c r="O12" i="82"/>
  <c r="O11" i="82"/>
  <c r="O10" i="82"/>
  <c r="O9" i="82"/>
  <c r="O8" i="82"/>
  <c r="O7" i="82"/>
  <c r="O6" i="82"/>
  <c r="O5" i="82"/>
  <c r="O4" i="82"/>
  <c r="B43" i="82"/>
  <c r="BB4" i="82"/>
  <c r="BB86" i="82"/>
  <c r="BB5" i="82"/>
  <c r="BB6" i="82"/>
  <c r="BB7" i="82"/>
  <c r="BB8" i="82"/>
  <c r="BB9" i="82"/>
  <c r="BB10" i="82"/>
  <c r="BB11" i="82"/>
  <c r="BB12" i="82"/>
  <c r="BB13" i="82"/>
  <c r="BB14" i="82"/>
  <c r="BB15" i="82"/>
  <c r="BB16" i="82"/>
  <c r="BB17" i="82"/>
  <c r="BB18" i="82"/>
  <c r="BB19" i="82"/>
  <c r="BB20" i="82"/>
  <c r="BB21" i="82"/>
  <c r="BB22" i="82"/>
  <c r="BB23" i="82"/>
  <c r="BB24" i="82"/>
  <c r="BB25" i="82"/>
  <c r="BB26" i="82"/>
  <c r="BB27" i="82"/>
  <c r="BB28" i="82"/>
  <c r="BB29" i="82"/>
  <c r="BB30" i="82"/>
  <c r="BB31" i="82"/>
  <c r="BB32" i="82"/>
  <c r="BB33" i="82"/>
  <c r="BB34" i="82"/>
  <c r="BA85" i="82"/>
  <c r="AY91" i="82"/>
  <c r="AH68" i="82"/>
  <c r="AY92" i="82"/>
  <c r="AY93" i="82"/>
  <c r="AY94" i="82"/>
  <c r="AY95" i="82"/>
  <c r="AY96" i="82"/>
  <c r="AY97" i="82"/>
  <c r="AY98" i="82"/>
  <c r="AY99" i="82"/>
  <c r="AY100" i="82"/>
  <c r="AY101" i="82"/>
  <c r="AY102" i="82"/>
  <c r="AY103" i="82"/>
  <c r="AY104" i="82"/>
  <c r="AY105" i="82"/>
  <c r="AY106" i="82"/>
  <c r="AY107" i="82"/>
  <c r="AY108" i="82"/>
  <c r="AY109" i="82"/>
  <c r="AY110" i="82"/>
  <c r="AY111" i="82"/>
  <c r="AY112" i="82"/>
  <c r="AY113" i="82"/>
  <c r="AY114" i="82"/>
  <c r="AY115" i="82"/>
  <c r="AY116" i="82"/>
  <c r="AY117" i="82"/>
  <c r="AY118" i="82"/>
  <c r="AY119" i="82"/>
  <c r="AY120" i="82"/>
  <c r="AY121" i="82"/>
  <c r="BH91" i="82"/>
  <c r="AH65" i="82"/>
  <c r="BH92" i="82"/>
  <c r="BH93" i="82"/>
  <c r="BH94" i="82"/>
  <c r="BH95" i="82"/>
  <c r="BH96" i="82"/>
  <c r="BH97" i="82"/>
  <c r="BH98" i="82"/>
  <c r="BH99" i="82"/>
  <c r="BH100" i="82"/>
  <c r="BH101" i="82"/>
  <c r="BH102" i="82"/>
  <c r="BH103" i="82"/>
  <c r="BH104" i="82"/>
  <c r="BH105" i="82"/>
  <c r="BH106" i="82"/>
  <c r="BH107" i="82"/>
  <c r="BH108" i="82"/>
  <c r="BH109" i="82"/>
  <c r="BH110" i="82"/>
  <c r="BH111" i="82"/>
  <c r="BH112" i="82"/>
  <c r="BH113" i="82"/>
  <c r="BH114" i="82"/>
  <c r="BH115" i="82"/>
  <c r="BH116" i="82"/>
  <c r="BH117" i="82"/>
  <c r="BH118" i="82"/>
  <c r="BH119" i="82"/>
  <c r="BH120" i="82"/>
  <c r="BH121" i="82"/>
  <c r="AY49" i="82"/>
  <c r="AX91" i="82"/>
  <c r="AY50" i="82"/>
  <c r="AX92" i="82"/>
  <c r="AY51" i="82"/>
  <c r="AX93" i="82"/>
  <c r="AY52" i="82"/>
  <c r="AX94" i="82"/>
  <c r="AY53" i="82"/>
  <c r="AX95" i="82"/>
  <c r="AY54" i="82"/>
  <c r="AX96" i="82"/>
  <c r="AY55" i="82"/>
  <c r="AX97" i="82"/>
  <c r="AY56" i="82"/>
  <c r="AX98" i="82"/>
  <c r="AY57" i="82"/>
  <c r="AX99" i="82"/>
  <c r="AY58" i="82"/>
  <c r="AX100" i="82"/>
  <c r="AY59" i="82"/>
  <c r="AX101" i="82"/>
  <c r="AY60" i="82"/>
  <c r="AX102" i="82"/>
  <c r="AY61" i="82"/>
  <c r="AX103" i="82"/>
  <c r="AY62" i="82"/>
  <c r="AX104" i="82"/>
  <c r="AY63" i="82"/>
  <c r="AX105" i="82"/>
  <c r="AY64" i="82"/>
  <c r="AX106" i="82"/>
  <c r="AY65" i="82"/>
  <c r="AX107" i="82"/>
  <c r="AY66" i="82"/>
  <c r="AX108" i="82"/>
  <c r="AY67" i="82"/>
  <c r="AX109" i="82"/>
  <c r="AY68" i="82"/>
  <c r="AX110" i="82"/>
  <c r="AY69" i="82"/>
  <c r="AX111" i="82"/>
  <c r="AY70" i="82"/>
  <c r="AX112" i="82"/>
  <c r="AY71" i="82"/>
  <c r="AX113" i="82"/>
  <c r="AY72" i="82"/>
  <c r="AX114" i="82"/>
  <c r="AY73" i="82"/>
  <c r="AX115" i="82"/>
  <c r="AY74" i="82"/>
  <c r="AX116" i="82"/>
  <c r="AY75" i="82"/>
  <c r="AX117" i="82"/>
  <c r="AY76" i="82"/>
  <c r="AX118" i="82"/>
  <c r="AY77" i="82"/>
  <c r="AX119" i="82"/>
  <c r="AY78" i="82"/>
  <c r="AX120" i="82"/>
  <c r="AY79" i="82"/>
  <c r="AX121" i="82"/>
  <c r="AW92" i="82"/>
  <c r="AW94" i="82"/>
  <c r="AW96" i="82"/>
  <c r="AW98" i="82"/>
  <c r="AW100" i="82"/>
  <c r="AW102" i="82"/>
  <c r="AW104" i="82"/>
  <c r="AW106" i="82"/>
  <c r="AW108" i="82"/>
  <c r="AW110" i="82"/>
  <c r="AW112" i="82"/>
  <c r="AW114" i="82"/>
  <c r="AW116" i="82"/>
  <c r="AW118" i="82"/>
  <c r="AW120" i="82"/>
  <c r="AJ38" i="82"/>
  <c r="AI38" i="82"/>
  <c r="AH38" i="82"/>
  <c r="AG38" i="82"/>
  <c r="AA46" i="82"/>
  <c r="AN54" i="82"/>
  <c r="AN108" i="82" a="1"/>
  <c r="AB47" i="82"/>
  <c r="U38" i="82"/>
  <c r="R38" i="82"/>
  <c r="L38" i="82"/>
  <c r="K38" i="82"/>
  <c r="M38" i="82"/>
  <c r="H38" i="82"/>
  <c r="X53" i="82"/>
  <c r="X52" i="82"/>
  <c r="X51" i="82"/>
  <c r="X50" i="82"/>
  <c r="X49" i="82"/>
  <c r="X48" i="82"/>
  <c r="X47" i="82"/>
  <c r="X46" i="82"/>
  <c r="Z71" i="82"/>
  <c r="AB71" i="82"/>
  <c r="X71" i="82"/>
  <c r="W71" i="82"/>
  <c r="U71" i="82"/>
  <c r="N71" i="82"/>
  <c r="M71" i="82"/>
  <c r="L71" i="82"/>
  <c r="Q71" i="82"/>
  <c r="K71" i="82"/>
  <c r="P71" i="82"/>
  <c r="Z70" i="82"/>
  <c r="AB70" i="82"/>
  <c r="AA70" i="82"/>
  <c r="X70" i="82"/>
  <c r="W70" i="82"/>
  <c r="U70" i="82"/>
  <c r="N70" i="82"/>
  <c r="M70" i="82"/>
  <c r="L70" i="82"/>
  <c r="Q70" i="82"/>
  <c r="K70" i="82"/>
  <c r="P70" i="82"/>
  <c r="Z69" i="82"/>
  <c r="AB69" i="82"/>
  <c r="X69" i="82"/>
  <c r="U69" i="82"/>
  <c r="N69" i="82"/>
  <c r="M69" i="82"/>
  <c r="L69" i="82"/>
  <c r="Q69" i="82"/>
  <c r="K69" i="82"/>
  <c r="P69" i="82"/>
  <c r="Z68" i="82"/>
  <c r="AB68" i="82"/>
  <c r="AA68" i="82"/>
  <c r="X68" i="82"/>
  <c r="W68" i="82"/>
  <c r="U68" i="82"/>
  <c r="N68" i="82"/>
  <c r="M68" i="82"/>
  <c r="L68" i="82"/>
  <c r="Q68" i="82"/>
  <c r="K68" i="82"/>
  <c r="P68" i="82"/>
  <c r="Z67" i="82"/>
  <c r="AB67" i="82"/>
  <c r="AA67" i="82"/>
  <c r="X67" i="82"/>
  <c r="W67" i="82"/>
  <c r="U67" i="82"/>
  <c r="N67" i="82"/>
  <c r="M67" i="82"/>
  <c r="L67" i="82"/>
  <c r="Q67" i="82"/>
  <c r="K67" i="82"/>
  <c r="P67" i="82"/>
  <c r="Z66" i="82"/>
  <c r="AB66" i="82"/>
  <c r="AA66" i="82"/>
  <c r="X66" i="82"/>
  <c r="W66" i="82"/>
  <c r="U66" i="82"/>
  <c r="N66" i="82"/>
  <c r="M66" i="82"/>
  <c r="L66" i="82"/>
  <c r="Q66" i="82"/>
  <c r="K66" i="82"/>
  <c r="P66" i="82"/>
  <c r="Z64" i="82"/>
  <c r="AB64" i="82"/>
  <c r="AA64" i="82"/>
  <c r="X64" i="82"/>
  <c r="W64" i="82"/>
  <c r="U64" i="82"/>
  <c r="N64" i="82"/>
  <c r="M64" i="82"/>
  <c r="L64" i="82"/>
  <c r="Q64" i="82"/>
  <c r="K64" i="82"/>
  <c r="P64" i="82"/>
  <c r="Z63" i="82"/>
  <c r="AB63" i="82"/>
  <c r="AA63" i="82"/>
  <c r="X63" i="82"/>
  <c r="W63" i="82"/>
  <c r="U63" i="82"/>
  <c r="N63" i="82"/>
  <c r="M63" i="82"/>
  <c r="L63" i="82"/>
  <c r="Q63" i="82"/>
  <c r="K63" i="82"/>
  <c r="P63" i="82"/>
  <c r="Z62" i="82"/>
  <c r="AB62" i="82"/>
  <c r="AA62" i="82"/>
  <c r="X62" i="82"/>
  <c r="W62" i="82"/>
  <c r="U62" i="82"/>
  <c r="N62" i="82"/>
  <c r="M62" i="82"/>
  <c r="L62" i="82"/>
  <c r="Q62" i="82"/>
  <c r="K62" i="82"/>
  <c r="P62" i="82"/>
  <c r="Z60" i="82"/>
  <c r="AB60" i="82"/>
  <c r="AA60" i="82"/>
  <c r="X60" i="82"/>
  <c r="W60" i="82"/>
  <c r="U60" i="82"/>
  <c r="N60" i="82"/>
  <c r="M60" i="82"/>
  <c r="L60" i="82"/>
  <c r="Q60" i="82"/>
  <c r="K60" i="82"/>
  <c r="P60" i="82"/>
  <c r="Z59" i="82"/>
  <c r="AB59" i="82"/>
  <c r="AA59" i="82"/>
  <c r="X59" i="82"/>
  <c r="W59" i="82"/>
  <c r="U59" i="82"/>
  <c r="N59" i="82"/>
  <c r="M59" i="82"/>
  <c r="L59" i="82"/>
  <c r="Q59" i="82"/>
  <c r="K59" i="82"/>
  <c r="P59" i="82"/>
  <c r="BB85" i="82"/>
  <c r="BD34" i="82"/>
  <c r="BD33" i="82"/>
  <c r="BD32" i="82"/>
  <c r="BD31" i="82"/>
  <c r="BD30" i="82"/>
  <c r="BD29" i="82"/>
  <c r="BD28" i="82"/>
  <c r="BD27" i="82"/>
  <c r="BD26" i="82"/>
  <c r="BD25" i="82"/>
  <c r="BD24" i="82"/>
  <c r="BD23" i="82"/>
  <c r="BD22" i="82"/>
  <c r="BD21" i="82"/>
  <c r="BD20" i="82"/>
  <c r="BD19" i="82"/>
  <c r="BD18" i="82"/>
  <c r="BD17" i="82"/>
  <c r="BD16" i="82"/>
  <c r="BD15" i="82"/>
  <c r="BD14" i="82"/>
  <c r="BD13" i="82"/>
  <c r="BD12" i="82"/>
  <c r="BD11" i="82"/>
  <c r="BD10" i="82"/>
  <c r="BD9" i="82"/>
  <c r="BD8" i="82"/>
  <c r="BD7" i="82"/>
  <c r="BD6" i="82"/>
  <c r="BD5" i="82"/>
  <c r="BD4" i="82"/>
  <c r="BJ83" i="78"/>
  <c r="BI83" i="78"/>
  <c r="BH83" i="78"/>
  <c r="BG83" i="78"/>
  <c r="BF83" i="78"/>
  <c r="AB91" i="78"/>
  <c r="AB48" i="78"/>
  <c r="AA91" i="78"/>
  <c r="BI4" i="78"/>
  <c r="AB92" i="78"/>
  <c r="AB93" i="78"/>
  <c r="AB94" i="78"/>
  <c r="AB95" i="78"/>
  <c r="AB96" i="78"/>
  <c r="AB97" i="78"/>
  <c r="AB98" i="78"/>
  <c r="AB99" i="78"/>
  <c r="AB100" i="78"/>
  <c r="AB101" i="78"/>
  <c r="AB102" i="78"/>
  <c r="AB103" i="78"/>
  <c r="AB104" i="78"/>
  <c r="AB105" i="78"/>
  <c r="AB106" i="78"/>
  <c r="AB107" i="78"/>
  <c r="AB108" i="78"/>
  <c r="AB109" i="78"/>
  <c r="AB110" i="78"/>
  <c r="AB111" i="78"/>
  <c r="AB112" i="78"/>
  <c r="AB113" i="78"/>
  <c r="AB114" i="78"/>
  <c r="AB115" i="78"/>
  <c r="AB116" i="78"/>
  <c r="AB117" i="78"/>
  <c r="AB118" i="78"/>
  <c r="AB119" i="78"/>
  <c r="AB120" i="78"/>
  <c r="AB121" i="78"/>
  <c r="AA121" i="78"/>
  <c r="BI34" i="78"/>
  <c r="BA4" i="78"/>
  <c r="BA5" i="78"/>
  <c r="BA6" i="78"/>
  <c r="BA7" i="78"/>
  <c r="BA8" i="78"/>
  <c r="BA9" i="78"/>
  <c r="BA10" i="78"/>
  <c r="BA11" i="78"/>
  <c r="BA12" i="78"/>
  <c r="BA13" i="78"/>
  <c r="BA14" i="78"/>
  <c r="BA15" i="78"/>
  <c r="BA16" i="78"/>
  <c r="BA17" i="78"/>
  <c r="BA18" i="78"/>
  <c r="BA19" i="78"/>
  <c r="BA20" i="78"/>
  <c r="BA21" i="78"/>
  <c r="BA22" i="78"/>
  <c r="BA23" i="78"/>
  <c r="BA24" i="78"/>
  <c r="BA25" i="78"/>
  <c r="BA26" i="78"/>
  <c r="BA27" i="78"/>
  <c r="BA28" i="78"/>
  <c r="BA29" i="78"/>
  <c r="BA30" i="78"/>
  <c r="BA31" i="78"/>
  <c r="BA32" i="78"/>
  <c r="BA33" i="78"/>
  <c r="BA34" i="78"/>
  <c r="AY43" i="78"/>
  <c r="R7" i="78"/>
  <c r="R8" i="78"/>
  <c r="R10" i="78"/>
  <c r="R11" i="78"/>
  <c r="R12" i="78"/>
  <c r="R16" i="78"/>
  <c r="R18" i="78"/>
  <c r="R19" i="78"/>
  <c r="R20" i="78"/>
  <c r="R22" i="78"/>
  <c r="R24" i="78"/>
  <c r="R25" i="78"/>
  <c r="R26" i="78"/>
  <c r="R28" i="78"/>
  <c r="R29" i="78"/>
  <c r="R30" i="78"/>
  <c r="R31" i="78"/>
  <c r="R32" i="78"/>
  <c r="R33" i="78"/>
  <c r="R34" i="78"/>
  <c r="AW4" i="78"/>
  <c r="AW5" i="78"/>
  <c r="AW6" i="78"/>
  <c r="AW7" i="78"/>
  <c r="AW8" i="78"/>
  <c r="AW9" i="78"/>
  <c r="AW10" i="78"/>
  <c r="AW11" i="78"/>
  <c r="AW12" i="78"/>
  <c r="AW13" i="78"/>
  <c r="AW14" i="78"/>
  <c r="AW15" i="78"/>
  <c r="AW16" i="78"/>
  <c r="AW17" i="78"/>
  <c r="AW18" i="78"/>
  <c r="AW19" i="78"/>
  <c r="AW20" i="78"/>
  <c r="AW21" i="78"/>
  <c r="AW22" i="78"/>
  <c r="AW23" i="78"/>
  <c r="AW24" i="78"/>
  <c r="AW25" i="78"/>
  <c r="AW26" i="78"/>
  <c r="AW27" i="78"/>
  <c r="AW28" i="78"/>
  <c r="AW29" i="78"/>
  <c r="AW30" i="78"/>
  <c r="AW31" i="78"/>
  <c r="AW32" i="78"/>
  <c r="AW33" i="78"/>
  <c r="AW34" i="78"/>
  <c r="AW43" i="78"/>
  <c r="AV4" i="78"/>
  <c r="AV5" i="78"/>
  <c r="AV6" i="78"/>
  <c r="AV7" i="78"/>
  <c r="AV8" i="78"/>
  <c r="AV9" i="78"/>
  <c r="AV10" i="78"/>
  <c r="AV11" i="78"/>
  <c r="AV12" i="78"/>
  <c r="AV13" i="78"/>
  <c r="AV14" i="78"/>
  <c r="AV15" i="78"/>
  <c r="AV16" i="78"/>
  <c r="AV17" i="78"/>
  <c r="AV18" i="78"/>
  <c r="AV19" i="78"/>
  <c r="AV20" i="78"/>
  <c r="AV21" i="78"/>
  <c r="AV22" i="78"/>
  <c r="AV23" i="78"/>
  <c r="AV24" i="78"/>
  <c r="AV25" i="78"/>
  <c r="AV26" i="78"/>
  <c r="AV27" i="78"/>
  <c r="AV28" i="78"/>
  <c r="AV29" i="78"/>
  <c r="AV30" i="78"/>
  <c r="AV31" i="78"/>
  <c r="AV32" i="78"/>
  <c r="AV33" i="78"/>
  <c r="AV34" i="78"/>
  <c r="AV43" i="78"/>
  <c r="AU4" i="78"/>
  <c r="AU5" i="78"/>
  <c r="AU6" i="78"/>
  <c r="AU7" i="78"/>
  <c r="AU8" i="78"/>
  <c r="AU9" i="78"/>
  <c r="AU10" i="78"/>
  <c r="AU11" i="78"/>
  <c r="AU12" i="78"/>
  <c r="AU13" i="78"/>
  <c r="AU14" i="78"/>
  <c r="AU15" i="78"/>
  <c r="AU16" i="78"/>
  <c r="AU17" i="78"/>
  <c r="AU18" i="78"/>
  <c r="AU19" i="78"/>
  <c r="AU20" i="78"/>
  <c r="AU21" i="78"/>
  <c r="AU22" i="78"/>
  <c r="AU23" i="78"/>
  <c r="AU24" i="78"/>
  <c r="AU25" i="78"/>
  <c r="AU26" i="78"/>
  <c r="AU27" i="78"/>
  <c r="AU28" i="78"/>
  <c r="AU29" i="78"/>
  <c r="AU30" i="78"/>
  <c r="AU31" i="78"/>
  <c r="AU32" i="78"/>
  <c r="AU33" i="78"/>
  <c r="AU34" i="78"/>
  <c r="AU43" i="78"/>
  <c r="AT4" i="78"/>
  <c r="AT5" i="78"/>
  <c r="AT6" i="78"/>
  <c r="AT7" i="78"/>
  <c r="AT8" i="78"/>
  <c r="AT9" i="78"/>
  <c r="AT10" i="78"/>
  <c r="AT11" i="78"/>
  <c r="AT12" i="78"/>
  <c r="AT13" i="78"/>
  <c r="AT14" i="78"/>
  <c r="AT15" i="78"/>
  <c r="AT16" i="78"/>
  <c r="AT17" i="78"/>
  <c r="AT18" i="78"/>
  <c r="AT19" i="78"/>
  <c r="AT20" i="78"/>
  <c r="AT21" i="78"/>
  <c r="AT22" i="78"/>
  <c r="AT23" i="78"/>
  <c r="AT24" i="78"/>
  <c r="AT25" i="78"/>
  <c r="AT26" i="78"/>
  <c r="AT27" i="78"/>
  <c r="AT28" i="78"/>
  <c r="AT29" i="78"/>
  <c r="AT30" i="78"/>
  <c r="AT31" i="78"/>
  <c r="AT32" i="78"/>
  <c r="AT33" i="78"/>
  <c r="AT34" i="78"/>
  <c r="AT43" i="78"/>
  <c r="AS4" i="78"/>
  <c r="AS5" i="78"/>
  <c r="AS6" i="78"/>
  <c r="AS7" i="78"/>
  <c r="AS8" i="78"/>
  <c r="AS9" i="78"/>
  <c r="AS10" i="78"/>
  <c r="AS11" i="78"/>
  <c r="AS12" i="78"/>
  <c r="AS13" i="78"/>
  <c r="AS14" i="78"/>
  <c r="AS15" i="78"/>
  <c r="AS16" i="78"/>
  <c r="AS17" i="78"/>
  <c r="AS18" i="78"/>
  <c r="AS19" i="78"/>
  <c r="AS20" i="78"/>
  <c r="AS21" i="78"/>
  <c r="AS22" i="78"/>
  <c r="AS23" i="78"/>
  <c r="AS24" i="78"/>
  <c r="AS25" i="78"/>
  <c r="AS26" i="78"/>
  <c r="AS27" i="78"/>
  <c r="AS28" i="78"/>
  <c r="AS29" i="78"/>
  <c r="AS30" i="78"/>
  <c r="AS31" i="78"/>
  <c r="AS32" i="78"/>
  <c r="AS33" i="78"/>
  <c r="AS34" i="78"/>
  <c r="AS43" i="78"/>
  <c r="AJ4" i="78"/>
  <c r="AJ5" i="78"/>
  <c r="AJ6" i="78"/>
  <c r="AJ7" i="78"/>
  <c r="AJ8" i="78"/>
  <c r="AJ9" i="78"/>
  <c r="AJ10" i="78"/>
  <c r="AJ11" i="78"/>
  <c r="AJ12" i="78"/>
  <c r="AJ13" i="78"/>
  <c r="AJ14" i="78"/>
  <c r="AJ15" i="78"/>
  <c r="AJ16" i="78"/>
  <c r="AJ17" i="78"/>
  <c r="AJ18" i="78"/>
  <c r="AJ19" i="78"/>
  <c r="AJ20" i="78"/>
  <c r="AJ21" i="78"/>
  <c r="AJ22" i="78"/>
  <c r="AJ23" i="78"/>
  <c r="AJ24" i="78"/>
  <c r="AJ25" i="78"/>
  <c r="AJ26" i="78"/>
  <c r="AJ27" i="78"/>
  <c r="AJ28" i="78"/>
  <c r="AJ29" i="78"/>
  <c r="AJ30" i="78"/>
  <c r="AJ31" i="78"/>
  <c r="AJ32" i="78"/>
  <c r="AJ33" i="78"/>
  <c r="AJ34" i="78"/>
  <c r="AJ43" i="78"/>
  <c r="AI43" i="78"/>
  <c r="AH43" i="78"/>
  <c r="AG43" i="78"/>
  <c r="AD86" i="78"/>
  <c r="AD85" i="78"/>
  <c r="AE43" i="78"/>
  <c r="AD4" i="78"/>
  <c r="AD5" i="78"/>
  <c r="AD6" i="78"/>
  <c r="AD7" i="78"/>
  <c r="AD8" i="78"/>
  <c r="AD9" i="78"/>
  <c r="AD10" i="78"/>
  <c r="AD11" i="78"/>
  <c r="AD12" i="78"/>
  <c r="AD13" i="78"/>
  <c r="AD14" i="78"/>
  <c r="AD15" i="78"/>
  <c r="AD16" i="78"/>
  <c r="AD17" i="78"/>
  <c r="AD18" i="78"/>
  <c r="AD19" i="78"/>
  <c r="AD20" i="78"/>
  <c r="AD21" i="78"/>
  <c r="AD22" i="78"/>
  <c r="AD23" i="78"/>
  <c r="AD24" i="78"/>
  <c r="AD25" i="78"/>
  <c r="AD26" i="78"/>
  <c r="AD27" i="78"/>
  <c r="AD28" i="78"/>
  <c r="AD29" i="78"/>
  <c r="AD30" i="78"/>
  <c r="AD31" i="78"/>
  <c r="AE85" i="78"/>
  <c r="AD32" i="78"/>
  <c r="AD33" i="78"/>
  <c r="AD34" i="78"/>
  <c r="AE86" i="78"/>
  <c r="AC4" i="78"/>
  <c r="AC5" i="78"/>
  <c r="AC6" i="78"/>
  <c r="AC7" i="78"/>
  <c r="Z38" i="78"/>
  <c r="AC8" i="78"/>
  <c r="AC9" i="78"/>
  <c r="AC10" i="78"/>
  <c r="AC11" i="78"/>
  <c r="AC12" i="78"/>
  <c r="AC13" i="78"/>
  <c r="AC14" i="78"/>
  <c r="AC15" i="78"/>
  <c r="AC16" i="78"/>
  <c r="AC17" i="78"/>
  <c r="AC18" i="78"/>
  <c r="AC19" i="78"/>
  <c r="AC20" i="78"/>
  <c r="AC21" i="78"/>
  <c r="AC22" i="78"/>
  <c r="AC23" i="78"/>
  <c r="AC24" i="78"/>
  <c r="AC25" i="78"/>
  <c r="AC26" i="78"/>
  <c r="AC27" i="78"/>
  <c r="AC28" i="78"/>
  <c r="AC29" i="78"/>
  <c r="AC30" i="78"/>
  <c r="AC31" i="78"/>
  <c r="AC32" i="78"/>
  <c r="AC86" i="78"/>
  <c r="AC33" i="78"/>
  <c r="AC34" i="78"/>
  <c r="AC85" i="78"/>
  <c r="AB86" i="78"/>
  <c r="AB85" i="78"/>
  <c r="AB43" i="78"/>
  <c r="AA86" i="78"/>
  <c r="AA85" i="78"/>
  <c r="AA43" i="78"/>
  <c r="Z43" i="78"/>
  <c r="W43" i="78"/>
  <c r="V43" i="78"/>
  <c r="U43" i="78"/>
  <c r="S7" i="78"/>
  <c r="S8" i="78"/>
  <c r="S10" i="78"/>
  <c r="S11" i="78"/>
  <c r="S12" i="78"/>
  <c r="S16" i="78"/>
  <c r="S18" i="78"/>
  <c r="S19" i="78"/>
  <c r="S20" i="78"/>
  <c r="S22" i="78"/>
  <c r="S24" i="78"/>
  <c r="S25" i="78"/>
  <c r="S26" i="78"/>
  <c r="S28" i="78"/>
  <c r="S29" i="78"/>
  <c r="S30" i="78"/>
  <c r="S31" i="78"/>
  <c r="S32" i="78"/>
  <c r="S33" i="78"/>
  <c r="S34" i="78"/>
  <c r="Q43" i="78"/>
  <c r="P43" i="78"/>
  <c r="N43" i="78"/>
  <c r="M43" i="78"/>
  <c r="L43" i="78"/>
  <c r="K43" i="78"/>
  <c r="I43" i="78"/>
  <c r="H43" i="78"/>
  <c r="G43" i="78"/>
  <c r="F43" i="78"/>
  <c r="BJ82" i="78"/>
  <c r="BI82" i="78"/>
  <c r="BH82" i="78"/>
  <c r="BG82" i="78"/>
  <c r="BF82" i="78"/>
  <c r="AY8" i="78"/>
  <c r="AY9" i="78"/>
  <c r="AY10" i="78"/>
  <c r="AY11" i="78"/>
  <c r="AY12" i="78"/>
  <c r="AY13" i="78"/>
  <c r="AY14" i="78"/>
  <c r="AY15" i="78"/>
  <c r="AY16" i="78"/>
  <c r="AY17" i="78"/>
  <c r="AY18" i="78"/>
  <c r="AY19" i="78"/>
  <c r="AY20" i="78"/>
  <c r="AY21" i="78"/>
  <c r="AY22" i="78"/>
  <c r="AY23" i="78"/>
  <c r="AY24" i="78"/>
  <c r="AY25" i="78"/>
  <c r="AY26" i="78"/>
  <c r="AY27" i="78"/>
  <c r="AY28" i="78"/>
  <c r="AY29" i="78"/>
  <c r="AY30" i="78"/>
  <c r="AY31" i="78"/>
  <c r="AY32" i="78"/>
  <c r="AY33" i="78"/>
  <c r="AY85" i="78"/>
  <c r="AY42" i="78"/>
  <c r="AY34" i="78"/>
  <c r="AY86" i="78"/>
  <c r="AW86" i="78"/>
  <c r="AW85" i="78"/>
  <c r="AW42" i="78"/>
  <c r="AV86" i="78"/>
  <c r="AV85" i="78"/>
  <c r="AV42" i="78"/>
  <c r="AU86" i="78"/>
  <c r="AU85" i="78"/>
  <c r="AU42" i="78"/>
  <c r="AT86" i="78"/>
  <c r="AT85" i="78"/>
  <c r="AT42" i="78"/>
  <c r="AS86" i="78"/>
  <c r="AS85" i="78"/>
  <c r="AS42" i="78"/>
  <c r="AJ86" i="78"/>
  <c r="AJ85" i="78"/>
  <c r="AJ42" i="78"/>
  <c r="AI86" i="78"/>
  <c r="AI85" i="78"/>
  <c r="AI42" i="78"/>
  <c r="AH86" i="78"/>
  <c r="AH85" i="78"/>
  <c r="AH42" i="78"/>
  <c r="AG86" i="78"/>
  <c r="AG85" i="78"/>
  <c r="AG42" i="78"/>
  <c r="AE42" i="78"/>
  <c r="AB42" i="78"/>
  <c r="AA42" i="78"/>
  <c r="Z86" i="78"/>
  <c r="Z85" i="78"/>
  <c r="Z42" i="78"/>
  <c r="W86" i="78"/>
  <c r="W85" i="78"/>
  <c r="W42" i="78"/>
  <c r="V86" i="78"/>
  <c r="V85" i="78"/>
  <c r="V42" i="78"/>
  <c r="U86" i="78"/>
  <c r="U85" i="78"/>
  <c r="U42" i="78"/>
  <c r="Q86" i="78"/>
  <c r="Q85" i="78"/>
  <c r="Q42" i="78"/>
  <c r="P86" i="78"/>
  <c r="P85" i="78"/>
  <c r="P42" i="78"/>
  <c r="N86" i="78"/>
  <c r="N85" i="78"/>
  <c r="N42" i="78"/>
  <c r="M86" i="78"/>
  <c r="M85" i="78"/>
  <c r="M42" i="78"/>
  <c r="L86" i="78"/>
  <c r="L85" i="78"/>
  <c r="L42" i="78"/>
  <c r="K86" i="78"/>
  <c r="K85" i="78"/>
  <c r="K42" i="78"/>
  <c r="I86" i="78"/>
  <c r="I85" i="78"/>
  <c r="I42" i="78"/>
  <c r="H86" i="78"/>
  <c r="H85" i="78"/>
  <c r="H42" i="78"/>
  <c r="G86" i="78"/>
  <c r="G85" i="78"/>
  <c r="G42" i="78"/>
  <c r="F86" i="78"/>
  <c r="F85" i="78"/>
  <c r="F42" i="78"/>
  <c r="E80" i="78"/>
  <c r="E79" i="78"/>
  <c r="E78" i="78"/>
  <c r="E77" i="78"/>
  <c r="E76" i="78"/>
  <c r="E75" i="78"/>
  <c r="E74" i="78"/>
  <c r="E73" i="78"/>
  <c r="E66" i="78"/>
  <c r="E65" i="78"/>
  <c r="E64" i="78"/>
  <c r="E62" i="78"/>
  <c r="E61" i="78"/>
  <c r="E60" i="78"/>
  <c r="E58" i="78"/>
  <c r="E53" i="78"/>
  <c r="E52" i="78"/>
  <c r="E51" i="78"/>
  <c r="E49" i="78"/>
  <c r="F49" i="78"/>
  <c r="F51" i="78"/>
  <c r="F52" i="78"/>
  <c r="F53" i="78"/>
  <c r="F58" i="78"/>
  <c r="F60" i="78"/>
  <c r="F61" i="78"/>
  <c r="F62" i="78"/>
  <c r="F64" i="78"/>
  <c r="F65" i="78"/>
  <c r="F66" i="78"/>
  <c r="F73" i="78"/>
  <c r="F74" i="78"/>
  <c r="F75" i="78"/>
  <c r="F76" i="78"/>
  <c r="F77" i="78"/>
  <c r="F78" i="78"/>
  <c r="F79" i="78"/>
  <c r="F80" i="78"/>
  <c r="M53" i="78"/>
  <c r="BI91" i="78"/>
  <c r="BI92" i="78"/>
  <c r="BI93" i="78"/>
  <c r="BI94" i="78"/>
  <c r="BI95" i="78"/>
  <c r="BI96" i="78"/>
  <c r="BI97" i="78"/>
  <c r="BI98" i="78"/>
  <c r="BI99" i="78"/>
  <c r="BI100" i="78"/>
  <c r="BI101" i="78"/>
  <c r="BI102" i="78"/>
  <c r="BI103" i="78"/>
  <c r="BI104" i="78"/>
  <c r="BI105" i="78"/>
  <c r="BI106" i="78"/>
  <c r="BI107" i="78"/>
  <c r="BI108" i="78"/>
  <c r="BI109" i="78"/>
  <c r="BI110" i="78"/>
  <c r="BI111" i="78"/>
  <c r="BI112" i="78"/>
  <c r="BI113" i="78"/>
  <c r="BI114" i="78"/>
  <c r="BI115" i="78"/>
  <c r="BI116" i="78"/>
  <c r="BI117" i="78"/>
  <c r="BI118" i="78"/>
  <c r="BI119" i="78"/>
  <c r="BI120" i="78"/>
  <c r="BI121" i="78"/>
  <c r="AT70" i="78"/>
  <c r="AT67" i="78"/>
  <c r="AD53" i="78"/>
  <c r="BJ80" i="78"/>
  <c r="BI80" i="78"/>
  <c r="BH80" i="78"/>
  <c r="BG80" i="78"/>
  <c r="BF80" i="78"/>
  <c r="AN95" i="78" a="1"/>
  <c r="AN94" i="78" a="1"/>
  <c r="AJ91" i="78"/>
  <c r="AJ92" i="78"/>
  <c r="AJ93" i="78"/>
  <c r="AJ94" i="78"/>
  <c r="AJ95" i="78"/>
  <c r="AJ96" i="78"/>
  <c r="AJ97" i="78"/>
  <c r="AJ98" i="78"/>
  <c r="AJ99" i="78"/>
  <c r="AJ100" i="78"/>
  <c r="AJ101" i="78"/>
  <c r="AJ102" i="78"/>
  <c r="AJ103" i="78"/>
  <c r="AJ104" i="78"/>
  <c r="AJ105" i="78"/>
  <c r="AJ106" i="78"/>
  <c r="AJ107" i="78"/>
  <c r="AJ108" i="78"/>
  <c r="AJ109" i="78"/>
  <c r="AJ110" i="78"/>
  <c r="AJ111" i="78"/>
  <c r="AJ112" i="78"/>
  <c r="AJ113" i="78"/>
  <c r="AJ114" i="78"/>
  <c r="AJ115" i="78"/>
  <c r="AJ116" i="78"/>
  <c r="AJ117" i="78"/>
  <c r="AJ118" i="78"/>
  <c r="AJ119" i="78"/>
  <c r="AJ120" i="78"/>
  <c r="AJ121" i="78"/>
  <c r="AP54" i="78"/>
  <c r="AE38" i="78"/>
  <c r="AL121" i="78"/>
  <c r="AL120" i="78"/>
  <c r="AL119" i="78"/>
  <c r="AL118" i="78"/>
  <c r="AL117" i="78"/>
  <c r="AL116" i="78"/>
  <c r="AL115" i="78"/>
  <c r="AL114" i="78"/>
  <c r="AL113" i="78"/>
  <c r="AL112" i="78"/>
  <c r="AL111" i="78"/>
  <c r="AL110" i="78"/>
  <c r="AL109" i="78"/>
  <c r="AL108" i="78"/>
  <c r="AL107" i="78"/>
  <c r="AL106" i="78"/>
  <c r="AL105" i="78"/>
  <c r="AL104" i="78"/>
  <c r="AL103" i="78"/>
  <c r="AL102" i="78"/>
  <c r="AL101" i="78"/>
  <c r="AL100" i="78"/>
  <c r="AL99" i="78"/>
  <c r="AL98" i="78"/>
  <c r="AL97" i="78"/>
  <c r="AL96" i="78"/>
  <c r="AL95" i="78"/>
  <c r="AL94" i="78"/>
  <c r="AL93" i="78"/>
  <c r="AL92" i="78"/>
  <c r="AL91" i="78"/>
  <c r="AN38" i="78"/>
  <c r="W38" i="78"/>
  <c r="V38" i="78"/>
  <c r="C39" i="78"/>
  <c r="C40" i="78"/>
  <c r="J34" i="78"/>
  <c r="J33" i="78"/>
  <c r="J32" i="78"/>
  <c r="J31" i="78"/>
  <c r="J30" i="78"/>
  <c r="J29" i="78"/>
  <c r="J28" i="78"/>
  <c r="J27" i="78"/>
  <c r="J26" i="78"/>
  <c r="J25" i="78"/>
  <c r="J24" i="78"/>
  <c r="J23" i="78"/>
  <c r="J22" i="78"/>
  <c r="J21" i="78"/>
  <c r="J20" i="78"/>
  <c r="J19" i="78"/>
  <c r="J18" i="78"/>
  <c r="J17" i="78"/>
  <c r="J16" i="78"/>
  <c r="J15" i="78"/>
  <c r="J14" i="78"/>
  <c r="J13" i="78"/>
  <c r="J12" i="78"/>
  <c r="J11" i="78"/>
  <c r="J10" i="78"/>
  <c r="J9" i="78"/>
  <c r="J8" i="78"/>
  <c r="J7" i="78"/>
  <c r="J6" i="78"/>
  <c r="J5" i="78"/>
  <c r="J4" i="78"/>
  <c r="C43" i="78"/>
  <c r="B39" i="78"/>
  <c r="B40" i="78"/>
  <c r="O34" i="78"/>
  <c r="O33" i="78"/>
  <c r="O32" i="78"/>
  <c r="O31" i="78"/>
  <c r="O30" i="78"/>
  <c r="O29" i="78"/>
  <c r="O28" i="78"/>
  <c r="O27" i="78"/>
  <c r="O26" i="78"/>
  <c r="O25" i="78"/>
  <c r="O24" i="78"/>
  <c r="O23" i="78"/>
  <c r="O22" i="78"/>
  <c r="O21" i="78"/>
  <c r="O20" i="78"/>
  <c r="O19" i="78"/>
  <c r="O18" i="78"/>
  <c r="O17" i="78"/>
  <c r="O16" i="78"/>
  <c r="O15" i="78"/>
  <c r="O14" i="78"/>
  <c r="O13" i="78"/>
  <c r="O12" i="78"/>
  <c r="O11" i="78"/>
  <c r="O10" i="78"/>
  <c r="O9" i="78"/>
  <c r="O8" i="78"/>
  <c r="O7" i="78"/>
  <c r="O6" i="78"/>
  <c r="O5" i="78"/>
  <c r="O4" i="78"/>
  <c r="B43" i="78"/>
  <c r="BB4" i="78"/>
  <c r="BB86" i="78"/>
  <c r="BB5" i="78"/>
  <c r="BB6" i="78"/>
  <c r="BB7" i="78"/>
  <c r="BB8" i="78"/>
  <c r="BB9" i="78"/>
  <c r="BB10" i="78"/>
  <c r="BB11" i="78"/>
  <c r="BB12" i="78"/>
  <c r="BB13" i="78"/>
  <c r="BB14" i="78"/>
  <c r="BB15" i="78"/>
  <c r="BB16" i="78"/>
  <c r="BB17" i="78"/>
  <c r="BB18" i="78"/>
  <c r="BB19" i="78"/>
  <c r="BB20" i="78"/>
  <c r="BB21" i="78"/>
  <c r="BB22" i="78"/>
  <c r="BB23" i="78"/>
  <c r="BB24" i="78"/>
  <c r="BB25" i="78"/>
  <c r="BB26" i="78"/>
  <c r="BB27" i="78"/>
  <c r="BB28" i="78"/>
  <c r="BB29" i="78"/>
  <c r="BB30" i="78"/>
  <c r="BB31" i="78"/>
  <c r="BB32" i="78"/>
  <c r="BB33" i="78"/>
  <c r="BB34" i="78"/>
  <c r="B86" i="78"/>
  <c r="C85" i="78"/>
  <c r="AN107" i="78"/>
  <c r="BA85" i="78"/>
  <c r="AN92" i="78" a="1"/>
  <c r="AN60" i="78" a="1"/>
  <c r="AY91" i="78"/>
  <c r="AY92" i="78"/>
  <c r="AY93" i="78"/>
  <c r="AY94" i="78"/>
  <c r="AY95" i="78"/>
  <c r="AY96" i="78"/>
  <c r="AY97" i="78"/>
  <c r="AY98" i="78"/>
  <c r="AY99" i="78"/>
  <c r="AY100" i="78"/>
  <c r="AY101" i="78"/>
  <c r="AY102" i="78"/>
  <c r="AY103" i="78"/>
  <c r="AY104" i="78"/>
  <c r="AY105" i="78"/>
  <c r="AY106" i="78"/>
  <c r="AY107" i="78"/>
  <c r="AY108" i="78"/>
  <c r="AY109" i="78"/>
  <c r="AY110" i="78"/>
  <c r="AY111" i="78"/>
  <c r="AY112" i="78"/>
  <c r="AY113" i="78"/>
  <c r="AY114" i="78"/>
  <c r="AY115" i="78"/>
  <c r="AY116" i="78"/>
  <c r="AY117" i="78"/>
  <c r="AY118" i="78"/>
  <c r="AY119" i="78"/>
  <c r="AY120" i="78"/>
  <c r="AY121" i="78"/>
  <c r="AH68" i="78"/>
  <c r="BH91" i="78"/>
  <c r="BH92" i="78"/>
  <c r="BH93" i="78"/>
  <c r="BH94" i="78"/>
  <c r="BH95" i="78"/>
  <c r="BH96" i="78"/>
  <c r="BH97" i="78"/>
  <c r="BH98" i="78"/>
  <c r="BH99" i="78"/>
  <c r="BH100" i="78"/>
  <c r="BH101" i="78"/>
  <c r="BH102" i="78"/>
  <c r="BH103" i="78"/>
  <c r="BH104" i="78"/>
  <c r="BH105" i="78"/>
  <c r="BH106" i="78"/>
  <c r="BH107" i="78"/>
  <c r="BH108" i="78"/>
  <c r="BH109" i="78"/>
  <c r="BH110" i="78"/>
  <c r="BH111" i="78"/>
  <c r="BH112" i="78"/>
  <c r="BH113" i="78"/>
  <c r="BH114" i="78"/>
  <c r="BH115" i="78"/>
  <c r="BH116" i="78"/>
  <c r="BH117" i="78"/>
  <c r="BH118" i="78"/>
  <c r="BH119" i="78"/>
  <c r="BH120" i="78"/>
  <c r="BH121" i="78"/>
  <c r="AH65" i="78"/>
  <c r="AY49" i="78"/>
  <c r="AX91" i="78"/>
  <c r="AH53" i="78"/>
  <c r="AY50" i="78"/>
  <c r="AX92" i="78"/>
  <c r="AY51" i="78"/>
  <c r="AX93" i="78"/>
  <c r="AY52" i="78"/>
  <c r="AX94" i="78"/>
  <c r="AY53" i="78"/>
  <c r="AX95" i="78"/>
  <c r="AY54" i="78"/>
  <c r="AX96" i="78"/>
  <c r="AY55" i="78"/>
  <c r="AX97" i="78"/>
  <c r="AY56" i="78"/>
  <c r="AX98" i="78"/>
  <c r="AY57" i="78"/>
  <c r="AX99" i="78"/>
  <c r="AY58" i="78"/>
  <c r="AX100" i="78"/>
  <c r="AY59" i="78"/>
  <c r="AX101" i="78"/>
  <c r="AY60" i="78"/>
  <c r="AX102" i="78"/>
  <c r="AY61" i="78"/>
  <c r="AX103" i="78"/>
  <c r="AY62" i="78"/>
  <c r="AX104" i="78"/>
  <c r="AY63" i="78"/>
  <c r="AX105" i="78"/>
  <c r="AY64" i="78"/>
  <c r="AX106" i="78"/>
  <c r="AY65" i="78"/>
  <c r="AX107" i="78"/>
  <c r="AY66" i="78"/>
  <c r="AX108" i="78"/>
  <c r="AY67" i="78"/>
  <c r="AX109" i="78"/>
  <c r="AY68" i="78"/>
  <c r="AX110" i="78"/>
  <c r="AY69" i="78"/>
  <c r="AX111" i="78"/>
  <c r="AY70" i="78"/>
  <c r="AX112" i="78"/>
  <c r="AY71" i="78"/>
  <c r="AX113" i="78"/>
  <c r="AY72" i="78"/>
  <c r="AX114" i="78"/>
  <c r="AY73" i="78"/>
  <c r="AX115" i="78"/>
  <c r="AY74" i="78"/>
  <c r="AX116" i="78"/>
  <c r="AY75" i="78"/>
  <c r="AX117" i="78"/>
  <c r="AY76" i="78"/>
  <c r="AX118" i="78"/>
  <c r="AY77" i="78"/>
  <c r="AX119" i="78"/>
  <c r="AY78" i="78"/>
  <c r="AX120" i="78"/>
  <c r="AY79" i="78"/>
  <c r="AX121" i="78"/>
  <c r="AW91" i="78"/>
  <c r="AH50" i="78"/>
  <c r="AW92" i="78"/>
  <c r="AW93" i="78"/>
  <c r="AW94" i="78"/>
  <c r="AW95" i="78"/>
  <c r="AW96" i="78"/>
  <c r="AW97" i="78"/>
  <c r="AW98" i="78"/>
  <c r="AW99" i="78"/>
  <c r="AW100" i="78"/>
  <c r="AW101" i="78"/>
  <c r="AW102" i="78"/>
  <c r="AW103" i="78"/>
  <c r="AW104" i="78"/>
  <c r="AW105" i="78"/>
  <c r="AW106" i="78"/>
  <c r="AW107" i="78"/>
  <c r="AW108" i="78"/>
  <c r="AW109" i="78"/>
  <c r="AW110" i="78"/>
  <c r="AW111" i="78"/>
  <c r="AW112" i="78"/>
  <c r="AW113" i="78"/>
  <c r="AW114" i="78"/>
  <c r="AW115" i="78"/>
  <c r="AW116" i="78"/>
  <c r="AW117" i="78"/>
  <c r="AW118" i="78"/>
  <c r="AW119" i="78"/>
  <c r="AW120" i="78"/>
  <c r="AW121" i="78"/>
  <c r="AJ38" i="78"/>
  <c r="AI38" i="78"/>
  <c r="AH38" i="78"/>
  <c r="AG38" i="78"/>
  <c r="AN108" i="78" a="1"/>
  <c r="AB47" i="78"/>
  <c r="Z40" i="78"/>
  <c r="U38" i="78"/>
  <c r="R38" i="78"/>
  <c r="L38" i="78"/>
  <c r="K38" i="78"/>
  <c r="M38" i="78"/>
  <c r="H38" i="78"/>
  <c r="X53" i="78"/>
  <c r="X52" i="78"/>
  <c r="X51" i="78"/>
  <c r="X50" i="78"/>
  <c r="X49" i="78"/>
  <c r="X48" i="78"/>
  <c r="X47" i="78"/>
  <c r="X46" i="78"/>
  <c r="Z71" i="78"/>
  <c r="AB71" i="78"/>
  <c r="AA71" i="78"/>
  <c r="X71" i="78"/>
  <c r="W71" i="78"/>
  <c r="V71" i="78"/>
  <c r="U71" i="78"/>
  <c r="N71" i="78"/>
  <c r="M71" i="78"/>
  <c r="L71" i="78"/>
  <c r="Q71" i="78"/>
  <c r="K71" i="78"/>
  <c r="P71" i="78"/>
  <c r="Z70" i="78"/>
  <c r="AB70" i="78"/>
  <c r="AA70" i="78"/>
  <c r="X70" i="78"/>
  <c r="W70" i="78"/>
  <c r="U70" i="78"/>
  <c r="N70" i="78"/>
  <c r="M70" i="78"/>
  <c r="L70" i="78"/>
  <c r="Q70" i="78"/>
  <c r="K70" i="78"/>
  <c r="P70" i="78"/>
  <c r="Z69" i="78"/>
  <c r="AB69" i="78"/>
  <c r="AA69" i="78"/>
  <c r="X69" i="78"/>
  <c r="W69" i="78"/>
  <c r="U69" i="78"/>
  <c r="N69" i="78"/>
  <c r="M69" i="78"/>
  <c r="L69" i="78"/>
  <c r="Q69" i="78"/>
  <c r="K69" i="78"/>
  <c r="P69" i="78"/>
  <c r="Z68" i="78"/>
  <c r="AB68" i="78"/>
  <c r="AA68" i="78"/>
  <c r="X68" i="78"/>
  <c r="W68" i="78"/>
  <c r="U68" i="78"/>
  <c r="N68" i="78"/>
  <c r="M68" i="78"/>
  <c r="L68" i="78"/>
  <c r="Q68" i="78"/>
  <c r="K68" i="78"/>
  <c r="P68" i="78"/>
  <c r="Z67" i="78"/>
  <c r="AB67" i="78"/>
  <c r="AA67" i="78"/>
  <c r="X67" i="78"/>
  <c r="W67" i="78"/>
  <c r="U67" i="78"/>
  <c r="N67" i="78"/>
  <c r="M67" i="78"/>
  <c r="L67" i="78"/>
  <c r="Q67" i="78"/>
  <c r="K67" i="78"/>
  <c r="P67" i="78"/>
  <c r="Z66" i="78"/>
  <c r="AB66" i="78"/>
  <c r="AA66" i="78"/>
  <c r="X66" i="78"/>
  <c r="W66" i="78"/>
  <c r="U66" i="78"/>
  <c r="N66" i="78"/>
  <c r="M66" i="78"/>
  <c r="L66" i="78"/>
  <c r="Q66" i="78"/>
  <c r="K66" i="78"/>
  <c r="P66" i="78"/>
  <c r="Z64" i="78"/>
  <c r="AB64" i="78"/>
  <c r="AA64" i="78"/>
  <c r="X64" i="78"/>
  <c r="W64" i="78"/>
  <c r="U64" i="78"/>
  <c r="N64" i="78"/>
  <c r="M64" i="78"/>
  <c r="L64" i="78"/>
  <c r="Q64" i="78"/>
  <c r="K64" i="78"/>
  <c r="P64" i="78"/>
  <c r="Z63" i="78"/>
  <c r="AB63" i="78"/>
  <c r="AA63" i="78"/>
  <c r="X63" i="78"/>
  <c r="W63" i="78"/>
  <c r="U63" i="78"/>
  <c r="N63" i="78"/>
  <c r="M63" i="78"/>
  <c r="L63" i="78"/>
  <c r="Q63" i="78"/>
  <c r="K63" i="78"/>
  <c r="P63" i="78"/>
  <c r="Z62" i="78"/>
  <c r="AB62" i="78"/>
  <c r="AA62" i="78"/>
  <c r="X62" i="78"/>
  <c r="W62" i="78"/>
  <c r="U62" i="78"/>
  <c r="N62" i="78"/>
  <c r="M62" i="78"/>
  <c r="L62" i="78"/>
  <c r="Q62" i="78"/>
  <c r="K62" i="78"/>
  <c r="P62" i="78"/>
  <c r="Z60" i="78"/>
  <c r="AB60" i="78"/>
  <c r="AA60" i="78"/>
  <c r="X60" i="78"/>
  <c r="W60" i="78"/>
  <c r="U60" i="78"/>
  <c r="N60" i="78"/>
  <c r="M60" i="78"/>
  <c r="L60" i="78"/>
  <c r="Q60" i="78"/>
  <c r="K60" i="78"/>
  <c r="P60" i="78"/>
  <c r="Z59" i="78"/>
  <c r="AB59" i="78"/>
  <c r="AA59" i="78"/>
  <c r="X59" i="78"/>
  <c r="W59" i="78"/>
  <c r="U59" i="78"/>
  <c r="N59" i="78"/>
  <c r="M59" i="78"/>
  <c r="L59" i="78"/>
  <c r="Q59" i="78"/>
  <c r="K59" i="78"/>
  <c r="P59" i="78"/>
  <c r="BB85" i="78"/>
  <c r="BD34" i="78"/>
  <c r="BD33" i="78"/>
  <c r="BD32" i="78"/>
  <c r="BD31" i="78"/>
  <c r="BD30" i="78"/>
  <c r="BD29" i="78"/>
  <c r="BD28" i="78"/>
  <c r="BD27" i="78"/>
  <c r="BD26" i="78"/>
  <c r="BD25" i="78"/>
  <c r="BD24" i="78"/>
  <c r="BD23" i="78"/>
  <c r="BD22" i="78"/>
  <c r="BD21" i="78"/>
  <c r="BD20" i="78"/>
  <c r="BD19" i="78"/>
  <c r="BD18" i="78"/>
  <c r="BD17" i="78"/>
  <c r="BD16" i="78"/>
  <c r="BD15" i="78"/>
  <c r="BD14" i="78"/>
  <c r="BD13" i="78"/>
  <c r="BD12" i="78"/>
  <c r="BD11" i="78"/>
  <c r="BD10" i="78"/>
  <c r="BD9" i="78"/>
  <c r="BD8" i="78"/>
  <c r="BD7" i="78"/>
  <c r="BD6" i="78"/>
  <c r="BD5" i="78"/>
  <c r="BD4" i="78"/>
  <c r="Y34" i="82"/>
  <c r="Y33" i="82"/>
  <c r="Y32" i="82"/>
  <c r="Y31" i="82"/>
  <c r="Y30" i="82"/>
  <c r="Y29" i="82"/>
  <c r="S29" i="82"/>
  <c r="R29" i="82"/>
  <c r="V71" i="82"/>
  <c r="Y28" i="82"/>
  <c r="Y27" i="82"/>
  <c r="S27" i="82"/>
  <c r="R27" i="82"/>
  <c r="Y26" i="82"/>
  <c r="Y25" i="82"/>
  <c r="Y24" i="82"/>
  <c r="Y23" i="82"/>
  <c r="Y22" i="82"/>
  <c r="Y21" i="82"/>
  <c r="Y20" i="82"/>
  <c r="Y19" i="82"/>
  <c r="S19" i="82"/>
  <c r="R19" i="82"/>
  <c r="Y18" i="82"/>
  <c r="S18" i="82"/>
  <c r="R18" i="82"/>
  <c r="Y17" i="82"/>
  <c r="S17" i="82"/>
  <c r="R17" i="82"/>
  <c r="Y16" i="82"/>
  <c r="S16" i="82"/>
  <c r="R16" i="82"/>
  <c r="Y15" i="82"/>
  <c r="Y14" i="82"/>
  <c r="S14" i="82"/>
  <c r="R14" i="82"/>
  <c r="Y13" i="82"/>
  <c r="Y12" i="82"/>
  <c r="S12" i="82"/>
  <c r="R12" i="82"/>
  <c r="Y11" i="82"/>
  <c r="Y10" i="82"/>
  <c r="S10" i="82"/>
  <c r="R10" i="82"/>
  <c r="Y9" i="82"/>
  <c r="S9" i="82"/>
  <c r="R9" i="82"/>
  <c r="V67" i="82"/>
  <c r="Y8" i="82"/>
  <c r="S8" i="82"/>
  <c r="R8" i="82"/>
  <c r="Y7" i="82"/>
  <c r="S7" i="82"/>
  <c r="R7" i="82"/>
  <c r="Y6" i="82"/>
  <c r="Y5" i="82"/>
  <c r="S5" i="82"/>
  <c r="R5" i="82"/>
  <c r="Y4" i="82"/>
  <c r="AQ43" i="80"/>
  <c r="AP43" i="80"/>
  <c r="AN91" i="80"/>
  <c r="AN43" i="80"/>
  <c r="AD34" i="80"/>
  <c r="AE86" i="80"/>
  <c r="S34" i="80"/>
  <c r="R6" i="80"/>
  <c r="R7" i="80"/>
  <c r="R8" i="80"/>
  <c r="R9" i="80"/>
  <c r="R11" i="80"/>
  <c r="R12" i="80"/>
  <c r="R13" i="80"/>
  <c r="R16" i="80"/>
  <c r="R24" i="80"/>
  <c r="R34" i="80"/>
  <c r="V71" i="80"/>
  <c r="AQ86" i="80"/>
  <c r="AQ85" i="80"/>
  <c r="AQ42" i="80"/>
  <c r="AP86" i="80"/>
  <c r="AP85" i="80"/>
  <c r="AP42" i="80"/>
  <c r="AQ47" i="80"/>
  <c r="AQ40" i="80"/>
  <c r="AP47" i="80"/>
  <c r="AP40" i="80"/>
  <c r="AN40" i="80"/>
  <c r="AE40" i="80"/>
  <c r="AQ38" i="80"/>
  <c r="AA40" i="80"/>
  <c r="X40" i="80"/>
  <c r="W40" i="80"/>
  <c r="V40" i="80"/>
  <c r="U40" i="80"/>
  <c r="R40" i="80"/>
  <c r="M40" i="80"/>
  <c r="I38" i="80"/>
  <c r="I39" i="80"/>
  <c r="I40" i="80"/>
  <c r="H40" i="80"/>
  <c r="G40" i="80"/>
  <c r="F40" i="80"/>
  <c r="C34" i="80"/>
  <c r="B34" i="80"/>
  <c r="AD39" i="80"/>
  <c r="AP38" i="80"/>
  <c r="AC38" i="80"/>
  <c r="Q38" i="80"/>
  <c r="P38" i="80"/>
  <c r="N38" i="80"/>
  <c r="Y34" i="80"/>
  <c r="Y33" i="80"/>
  <c r="E5" i="80"/>
  <c r="E6" i="80"/>
  <c r="A5" i="80"/>
  <c r="A6" i="80"/>
  <c r="A7" i="80"/>
  <c r="A8" i="80"/>
  <c r="A9" i="80"/>
  <c r="A10" i="80"/>
  <c r="A11" i="80"/>
  <c r="A12" i="80"/>
  <c r="A13" i="80"/>
  <c r="A14" i="80"/>
  <c r="A15" i="80"/>
  <c r="A16" i="80"/>
  <c r="A17" i="80"/>
  <c r="A18" i="80"/>
  <c r="A19" i="80"/>
  <c r="A20" i="80"/>
  <c r="A21" i="80"/>
  <c r="A22" i="80"/>
  <c r="A23" i="80"/>
  <c r="A24" i="80"/>
  <c r="A25" i="80"/>
  <c r="A26" i="80"/>
  <c r="A27" i="80"/>
  <c r="A28" i="80"/>
  <c r="A29" i="80"/>
  <c r="A30" i="80"/>
  <c r="A31" i="80"/>
  <c r="A32" i="80"/>
  <c r="A33" i="80"/>
  <c r="Y32" i="80"/>
  <c r="Y31" i="80"/>
  <c r="Y30" i="80"/>
  <c r="Y29" i="80"/>
  <c r="Y28" i="80"/>
  <c r="Y27" i="80"/>
  <c r="Y26" i="80"/>
  <c r="Y25" i="80"/>
  <c r="Y24" i="80"/>
  <c r="Y23" i="80"/>
  <c r="Y22" i="80"/>
  <c r="Y21" i="80"/>
  <c r="Y20" i="80"/>
  <c r="Y19" i="80"/>
  <c r="Y18" i="80"/>
  <c r="Y17" i="80"/>
  <c r="Y16" i="80"/>
  <c r="Y15" i="80"/>
  <c r="Y14" i="80"/>
  <c r="Y13" i="80"/>
  <c r="Y12" i="80"/>
  <c r="Y11" i="80"/>
  <c r="Y10" i="80"/>
  <c r="Y9" i="80"/>
  <c r="Y8" i="80"/>
  <c r="Y7" i="80"/>
  <c r="Y6" i="80"/>
  <c r="Y5" i="80"/>
  <c r="Y4" i="80"/>
  <c r="AQ43" i="78"/>
  <c r="AP43" i="78"/>
  <c r="AN91" i="78"/>
  <c r="AN43" i="78"/>
  <c r="S4" i="78"/>
  <c r="S38" i="78"/>
  <c r="S5" i="78"/>
  <c r="S6" i="78"/>
  <c r="S9" i="78"/>
  <c r="S13" i="78"/>
  <c r="S14" i="78"/>
  <c r="S15" i="78"/>
  <c r="S17" i="78"/>
  <c r="S21" i="78"/>
  <c r="S23" i="78"/>
  <c r="S27" i="78"/>
  <c r="R4" i="78"/>
  <c r="R5" i="78"/>
  <c r="R6" i="78"/>
  <c r="R9" i="78"/>
  <c r="V67" i="78"/>
  <c r="R13" i="78"/>
  <c r="R14" i="78"/>
  <c r="V68" i="78"/>
  <c r="R15" i="78"/>
  <c r="R17" i="78"/>
  <c r="R21" i="78"/>
  <c r="V69" i="78"/>
  <c r="R23" i="78"/>
  <c r="R27" i="78"/>
  <c r="V70" i="78"/>
  <c r="AQ86" i="78"/>
  <c r="AQ85" i="78"/>
  <c r="AQ42" i="78"/>
  <c r="AP86" i="78"/>
  <c r="AP85" i="78"/>
  <c r="AP42" i="78"/>
  <c r="AQ47" i="78"/>
  <c r="AQ40" i="78"/>
  <c r="AP47" i="78"/>
  <c r="AP40" i="78"/>
  <c r="AQ38" i="78"/>
  <c r="AD38" i="78"/>
  <c r="AD40" i="78"/>
  <c r="AA40" i="78"/>
  <c r="X40" i="78"/>
  <c r="W40" i="78"/>
  <c r="V40" i="78"/>
  <c r="U40" i="78"/>
  <c r="R40" i="78"/>
  <c r="M40" i="78"/>
  <c r="I38" i="78"/>
  <c r="I39" i="78"/>
  <c r="I40" i="78"/>
  <c r="H40" i="78"/>
  <c r="G40" i="78"/>
  <c r="F40" i="78"/>
  <c r="AD39" i="78"/>
  <c r="AP38" i="78"/>
  <c r="Q38" i="78"/>
  <c r="P38" i="78"/>
  <c r="N38" i="78"/>
  <c r="Y34" i="78"/>
  <c r="Y33" i="78"/>
  <c r="E5" i="78"/>
  <c r="AA92" i="78"/>
  <c r="BI5" i="78"/>
  <c r="E6" i="78"/>
  <c r="AA93" i="78"/>
  <c r="BI6" i="78"/>
  <c r="A5" i="78"/>
  <c r="A6" i="78"/>
  <c r="A7" i="78"/>
  <c r="A8" i="78"/>
  <c r="A9" i="78"/>
  <c r="A10" i="78"/>
  <c r="A11" i="78"/>
  <c r="A12" i="78"/>
  <c r="A13" i="78"/>
  <c r="A14" i="78"/>
  <c r="A15" i="78"/>
  <c r="A16" i="78"/>
  <c r="A17" i="78"/>
  <c r="A18" i="78"/>
  <c r="A19" i="78"/>
  <c r="A20" i="78"/>
  <c r="A21" i="78"/>
  <c r="A22" i="78"/>
  <c r="A23" i="78"/>
  <c r="A24" i="78"/>
  <c r="A25" i="78"/>
  <c r="A26" i="78"/>
  <c r="A27" i="78"/>
  <c r="A28" i="78"/>
  <c r="A29" i="78"/>
  <c r="A30" i="78"/>
  <c r="A31" i="78"/>
  <c r="A32" i="78"/>
  <c r="A33" i="78"/>
  <c r="Y32" i="78"/>
  <c r="Y31" i="78"/>
  <c r="Y30" i="78"/>
  <c r="Y29" i="78"/>
  <c r="Y28" i="78"/>
  <c r="Y27" i="78"/>
  <c r="Y26" i="78"/>
  <c r="Y25" i="78"/>
  <c r="Y24" i="78"/>
  <c r="Y23" i="78"/>
  <c r="Y22" i="78"/>
  <c r="Y21" i="78"/>
  <c r="Y20" i="78"/>
  <c r="Y19" i="78"/>
  <c r="Y18" i="78"/>
  <c r="Y17" i="78"/>
  <c r="Y16" i="78"/>
  <c r="Y15" i="78"/>
  <c r="Y14" i="78"/>
  <c r="Y13" i="78"/>
  <c r="Y12" i="78"/>
  <c r="Y11" i="78"/>
  <c r="Y10" i="78"/>
  <c r="Y9" i="78"/>
  <c r="Y8" i="78"/>
  <c r="Y7" i="78"/>
  <c r="Y6" i="78"/>
  <c r="Y5" i="78"/>
  <c r="Y4" i="78"/>
  <c r="Z38" i="76"/>
  <c r="J34" i="93"/>
  <c r="J33" i="93"/>
  <c r="C32" i="93"/>
  <c r="J32" i="93"/>
  <c r="C31" i="93"/>
  <c r="J31" i="93"/>
  <c r="C30" i="93"/>
  <c r="J30" i="93"/>
  <c r="C29" i="93"/>
  <c r="J29" i="93"/>
  <c r="C28" i="93"/>
  <c r="J28" i="93"/>
  <c r="C27" i="93"/>
  <c r="J27" i="93"/>
  <c r="J26" i="93"/>
  <c r="J25" i="93"/>
  <c r="J24" i="93"/>
  <c r="J23" i="93"/>
  <c r="J22" i="93"/>
  <c r="J21" i="93"/>
  <c r="J20" i="93"/>
  <c r="J19" i="93"/>
  <c r="J18" i="93"/>
  <c r="J17" i="93"/>
  <c r="J16" i="93"/>
  <c r="J15" i="93"/>
  <c r="J14" i="93"/>
  <c r="J13" i="93"/>
  <c r="J12" i="93"/>
  <c r="J11" i="93"/>
  <c r="J10" i="93"/>
  <c r="J9" i="93"/>
  <c r="J8" i="93"/>
  <c r="J7" i="93"/>
  <c r="J6" i="93"/>
  <c r="J5" i="93"/>
  <c r="J4" i="93"/>
  <c r="C43" i="93"/>
  <c r="O34" i="93"/>
  <c r="O33" i="93"/>
  <c r="B32" i="93"/>
  <c r="O32" i="93"/>
  <c r="B31" i="93"/>
  <c r="O31" i="93"/>
  <c r="O30" i="93"/>
  <c r="O29" i="93"/>
  <c r="O28" i="93"/>
  <c r="B27" i="93"/>
  <c r="O27" i="93"/>
  <c r="B26" i="93"/>
  <c r="O26" i="93"/>
  <c r="O25" i="93"/>
  <c r="O24" i="93"/>
  <c r="O23" i="93"/>
  <c r="O22" i="93"/>
  <c r="O21" i="93"/>
  <c r="O20" i="93"/>
  <c r="O19" i="93"/>
  <c r="O18" i="93"/>
  <c r="O17" i="93"/>
  <c r="O16" i="93"/>
  <c r="O15" i="93"/>
  <c r="O14" i="93"/>
  <c r="O13" i="93"/>
  <c r="O12" i="93"/>
  <c r="O11" i="93"/>
  <c r="O10" i="93"/>
  <c r="O9" i="93"/>
  <c r="O8" i="93"/>
  <c r="O7" i="93"/>
  <c r="O6" i="93"/>
  <c r="O5" i="93"/>
  <c r="O4" i="93"/>
  <c r="C39" i="93"/>
  <c r="E5" i="93"/>
  <c r="E6" i="93"/>
  <c r="E7" i="93"/>
  <c r="E8" i="93"/>
  <c r="E9" i="93"/>
  <c r="E10" i="93"/>
  <c r="E11" i="93"/>
  <c r="E12" i="93"/>
  <c r="E13" i="93"/>
  <c r="E14" i="93"/>
  <c r="E15" i="93"/>
  <c r="E16" i="93"/>
  <c r="E17" i="93"/>
  <c r="E18" i="93"/>
  <c r="E19" i="93"/>
  <c r="E20" i="93"/>
  <c r="E21" i="93"/>
  <c r="E22" i="93"/>
  <c r="E23" i="93"/>
  <c r="E24" i="93"/>
  <c r="E25" i="93"/>
  <c r="E26" i="93"/>
  <c r="E27" i="93"/>
  <c r="E28" i="93"/>
  <c r="E29" i="93"/>
  <c r="E30" i="93"/>
  <c r="E31" i="93"/>
  <c r="E32" i="93"/>
  <c r="E33" i="93"/>
  <c r="A5" i="93"/>
  <c r="A6" i="93"/>
  <c r="A7" i="93"/>
  <c r="A8" i="93"/>
  <c r="A9" i="93"/>
  <c r="A10" i="93"/>
  <c r="A11" i="93"/>
  <c r="A12" i="93"/>
  <c r="A13" i="93"/>
  <c r="A14" i="93"/>
  <c r="A15" i="93"/>
  <c r="A16" i="93"/>
  <c r="A17" i="93"/>
  <c r="A18" i="93"/>
  <c r="A19" i="93"/>
  <c r="A20" i="93"/>
  <c r="A21" i="93"/>
  <c r="A22" i="93"/>
  <c r="A23" i="93"/>
  <c r="A24" i="93"/>
  <c r="A25" i="93"/>
  <c r="A26" i="93"/>
  <c r="A27" i="93"/>
  <c r="A28" i="93"/>
  <c r="A29" i="93"/>
  <c r="A30" i="93"/>
  <c r="A31" i="93"/>
  <c r="A32" i="93"/>
  <c r="A33" i="93"/>
  <c r="BI91" i="76"/>
  <c r="BI92" i="76"/>
  <c r="BI93" i="76"/>
  <c r="BI94" i="76"/>
  <c r="BI95" i="76"/>
  <c r="BI96" i="76"/>
  <c r="BI97" i="76"/>
  <c r="BI98" i="76"/>
  <c r="BI99" i="76"/>
  <c r="BI100" i="76"/>
  <c r="BI101" i="76"/>
  <c r="BI102" i="76"/>
  <c r="BI103" i="76"/>
  <c r="BI104" i="76"/>
  <c r="BI105" i="76"/>
  <c r="BI106" i="76"/>
  <c r="BI107" i="76"/>
  <c r="BI108" i="76"/>
  <c r="BI109" i="76"/>
  <c r="BI110" i="76"/>
  <c r="BI111" i="76"/>
  <c r="BI112" i="76"/>
  <c r="BI113" i="76"/>
  <c r="BI114" i="76"/>
  <c r="BI115" i="76"/>
  <c r="BI116" i="76"/>
  <c r="BI117" i="76"/>
  <c r="BI118" i="76"/>
  <c r="BI119" i="76"/>
  <c r="BI120" i="76"/>
  <c r="G38" i="76"/>
  <c r="C43" i="76"/>
  <c r="F38" i="76"/>
  <c r="B43" i="76"/>
  <c r="AV91" i="76"/>
  <c r="AV92" i="76"/>
  <c r="AV93" i="76"/>
  <c r="AV94" i="76"/>
  <c r="AV95" i="76"/>
  <c r="AV96" i="76"/>
  <c r="AV97" i="76"/>
  <c r="AV98" i="76"/>
  <c r="AV99" i="76"/>
  <c r="AV100" i="76"/>
  <c r="AV101" i="76"/>
  <c r="AV102" i="76"/>
  <c r="AV103" i="76"/>
  <c r="AV104" i="76"/>
  <c r="AV105" i="76"/>
  <c r="AV106" i="76"/>
  <c r="AV107" i="76"/>
  <c r="AV108" i="76"/>
  <c r="AV109" i="76"/>
  <c r="AV110" i="76"/>
  <c r="AV111" i="76"/>
  <c r="AV112" i="76"/>
  <c r="AV113" i="76"/>
  <c r="AV114" i="76"/>
  <c r="AV115" i="76"/>
  <c r="AV116" i="76"/>
  <c r="AV117" i="76"/>
  <c r="AV118" i="76"/>
  <c r="AV119" i="76"/>
  <c r="AV120" i="76"/>
  <c r="AY91" i="76"/>
  <c r="AY92" i="76"/>
  <c r="AY93" i="76"/>
  <c r="AY94" i="76"/>
  <c r="AY95" i="76"/>
  <c r="AY96" i="76"/>
  <c r="AY97" i="76"/>
  <c r="AY98" i="76"/>
  <c r="AY99" i="76"/>
  <c r="AY100" i="76"/>
  <c r="AY101" i="76"/>
  <c r="AY102" i="76"/>
  <c r="AY103" i="76"/>
  <c r="AY104" i="76"/>
  <c r="AY105" i="76"/>
  <c r="AY106" i="76"/>
  <c r="AY107" i="76"/>
  <c r="AY108" i="76"/>
  <c r="AY109" i="76"/>
  <c r="AY110" i="76"/>
  <c r="AY111" i="76"/>
  <c r="AY112" i="76"/>
  <c r="AY113" i="76"/>
  <c r="AY114" i="76"/>
  <c r="AY115" i="76"/>
  <c r="AY116" i="76"/>
  <c r="AY117" i="76"/>
  <c r="AY118" i="76"/>
  <c r="AY119" i="76"/>
  <c r="AY120" i="76"/>
  <c r="BH91" i="76"/>
  <c r="BH92" i="76"/>
  <c r="BH93" i="76"/>
  <c r="BH94" i="76"/>
  <c r="BH95" i="76"/>
  <c r="BH96" i="76"/>
  <c r="BH97" i="76"/>
  <c r="BH98" i="76"/>
  <c r="BH99" i="76"/>
  <c r="BH100" i="76"/>
  <c r="BH101" i="76"/>
  <c r="BH102" i="76"/>
  <c r="BH103" i="76"/>
  <c r="BH104" i="76"/>
  <c r="BH105" i="76"/>
  <c r="BH106" i="76"/>
  <c r="BH107" i="76"/>
  <c r="BH108" i="76"/>
  <c r="BH109" i="76"/>
  <c r="BH110" i="76"/>
  <c r="BH111" i="76"/>
  <c r="BH112" i="76"/>
  <c r="BH113" i="76"/>
  <c r="BH114" i="76"/>
  <c r="BH115" i="76"/>
  <c r="BH116" i="76"/>
  <c r="BH117" i="76"/>
  <c r="BH118" i="76"/>
  <c r="BH119" i="76"/>
  <c r="BH120" i="76"/>
  <c r="AY49" i="76"/>
  <c r="AX91" i="76"/>
  <c r="AY50" i="76"/>
  <c r="AX92" i="76"/>
  <c r="AY51" i="76"/>
  <c r="AX93" i="76"/>
  <c r="AY52" i="76"/>
  <c r="AX94" i="76"/>
  <c r="AY53" i="76"/>
  <c r="AX95" i="76"/>
  <c r="AY54" i="76"/>
  <c r="AX96" i="76"/>
  <c r="AY55" i="76"/>
  <c r="AX97" i="76"/>
  <c r="AY56" i="76"/>
  <c r="AX98" i="76"/>
  <c r="AY57" i="76"/>
  <c r="AX99" i="76"/>
  <c r="AY58" i="76"/>
  <c r="AX100" i="76"/>
  <c r="AY59" i="76"/>
  <c r="AX101" i="76"/>
  <c r="AY60" i="76"/>
  <c r="AX102" i="76"/>
  <c r="AY61" i="76"/>
  <c r="AX103" i="76"/>
  <c r="AY62" i="76"/>
  <c r="AX104" i="76"/>
  <c r="AY63" i="76"/>
  <c r="AX105" i="76"/>
  <c r="AY64" i="76"/>
  <c r="AX106" i="76"/>
  <c r="AY65" i="76"/>
  <c r="AX107" i="76"/>
  <c r="AY66" i="76"/>
  <c r="AX108" i="76"/>
  <c r="AY67" i="76"/>
  <c r="AX109" i="76"/>
  <c r="AY68" i="76"/>
  <c r="AX110" i="76"/>
  <c r="AY69" i="76"/>
  <c r="AX111" i="76"/>
  <c r="AY70" i="76"/>
  <c r="AX112" i="76"/>
  <c r="AY71" i="76"/>
  <c r="AX113" i="76"/>
  <c r="AY72" i="76"/>
  <c r="AX114" i="76"/>
  <c r="AY73" i="76"/>
  <c r="AX115" i="76"/>
  <c r="AY74" i="76"/>
  <c r="AX116" i="76"/>
  <c r="AY75" i="76"/>
  <c r="AX117" i="76"/>
  <c r="AY76" i="76"/>
  <c r="AX118" i="76"/>
  <c r="AY77" i="76"/>
  <c r="AX119" i="76"/>
  <c r="AY78" i="76"/>
  <c r="AX120" i="76"/>
  <c r="AW91" i="76"/>
  <c r="AW92" i="76"/>
  <c r="AW93" i="76"/>
  <c r="AW94" i="76"/>
  <c r="AW95" i="76"/>
  <c r="AW96" i="76"/>
  <c r="AW97" i="76"/>
  <c r="AW98" i="76"/>
  <c r="AW99" i="76"/>
  <c r="AW100" i="76"/>
  <c r="AW101" i="76"/>
  <c r="AW102" i="76"/>
  <c r="AW103" i="76"/>
  <c r="AW104" i="76"/>
  <c r="AW105" i="76"/>
  <c r="AW106" i="76"/>
  <c r="AW107" i="76"/>
  <c r="AW108" i="76"/>
  <c r="AW109" i="76"/>
  <c r="AW110" i="76"/>
  <c r="AW111" i="76"/>
  <c r="AW112" i="76"/>
  <c r="AW113" i="76"/>
  <c r="AW114" i="76"/>
  <c r="AW115" i="76"/>
  <c r="AW116" i="76"/>
  <c r="AW117" i="76"/>
  <c r="AW118" i="76"/>
  <c r="AW119" i="76"/>
  <c r="AW120" i="76"/>
  <c r="AJ91" i="76"/>
  <c r="AJ92" i="76"/>
  <c r="AJ93" i="76"/>
  <c r="AJ94" i="76"/>
  <c r="AJ95" i="76"/>
  <c r="AJ96" i="76"/>
  <c r="AJ97" i="76"/>
  <c r="AJ98" i="76"/>
  <c r="AJ99" i="76"/>
  <c r="AJ100" i="76"/>
  <c r="AJ101" i="76"/>
  <c r="AJ102" i="76"/>
  <c r="AJ103" i="76"/>
  <c r="AJ104" i="76"/>
  <c r="AJ105" i="76"/>
  <c r="AJ106" i="76"/>
  <c r="AJ107" i="76"/>
  <c r="AJ108" i="76"/>
  <c r="AJ109" i="76"/>
  <c r="AJ110" i="76"/>
  <c r="AJ111" i="76"/>
  <c r="AJ112" i="76"/>
  <c r="AJ113" i="76"/>
  <c r="AJ114" i="76"/>
  <c r="AJ115" i="76"/>
  <c r="AJ116" i="76"/>
  <c r="AJ117" i="76"/>
  <c r="AJ118" i="76"/>
  <c r="AJ119" i="76"/>
  <c r="AJ120" i="76"/>
  <c r="AB48" i="93"/>
  <c r="AA91" i="93"/>
  <c r="AP54" i="93"/>
  <c r="B86" i="93"/>
  <c r="C85" i="93"/>
  <c r="AN107" i="93"/>
  <c r="AT38" i="93"/>
  <c r="U86" i="76"/>
  <c r="U85" i="76"/>
  <c r="U42" i="76"/>
  <c r="AU60" i="76"/>
  <c r="AQ38" i="76"/>
  <c r="AP86" i="76"/>
  <c r="AP85" i="76"/>
  <c r="AP42" i="76"/>
  <c r="AU56" i="76"/>
  <c r="AU55" i="76"/>
  <c r="AU54" i="76"/>
  <c r="AU53" i="76"/>
  <c r="AU52" i="76"/>
  <c r="AU50" i="76"/>
  <c r="K60" i="76"/>
  <c r="AJ34" i="93"/>
  <c r="AD34" i="93"/>
  <c r="AC34" i="93"/>
  <c r="Y34" i="93"/>
  <c r="S34" i="93"/>
  <c r="R34" i="93"/>
  <c r="AJ33" i="93"/>
  <c r="AD33" i="93"/>
  <c r="AC33" i="93"/>
  <c r="Y33" i="93"/>
  <c r="S33" i="93"/>
  <c r="R33" i="93"/>
  <c r="AJ32" i="93"/>
  <c r="AD32" i="93"/>
  <c r="AC32" i="93"/>
  <c r="Y32" i="93"/>
  <c r="S32" i="93"/>
  <c r="R32" i="93"/>
  <c r="AJ31" i="93"/>
  <c r="AD31" i="93"/>
  <c r="Z38" i="93"/>
  <c r="AC31" i="93"/>
  <c r="Y31" i="93"/>
  <c r="S31" i="93"/>
  <c r="R31" i="93"/>
  <c r="AJ30" i="93"/>
  <c r="AD30" i="93"/>
  <c r="AC30" i="93"/>
  <c r="Y30" i="93"/>
  <c r="S30" i="93"/>
  <c r="R30" i="93"/>
  <c r="AJ29" i="93"/>
  <c r="AD29" i="93"/>
  <c r="AC29" i="93"/>
  <c r="Y29" i="93"/>
  <c r="S29" i="93"/>
  <c r="R29" i="93"/>
  <c r="AJ28" i="93"/>
  <c r="AD28" i="93"/>
  <c r="AC28" i="93"/>
  <c r="Y28" i="93"/>
  <c r="S28" i="93"/>
  <c r="R28" i="93"/>
  <c r="AJ27" i="93"/>
  <c r="AD27" i="93"/>
  <c r="AC27" i="93"/>
  <c r="Y27" i="93"/>
  <c r="S27" i="93"/>
  <c r="R27" i="93"/>
  <c r="AJ26" i="93"/>
  <c r="AD26" i="93"/>
  <c r="AC26" i="93"/>
  <c r="Y26" i="93"/>
  <c r="S26" i="93"/>
  <c r="R26" i="93"/>
  <c r="AJ25" i="93"/>
  <c r="AD25" i="93"/>
  <c r="AC25" i="93"/>
  <c r="Y25" i="93"/>
  <c r="S25" i="93"/>
  <c r="R25" i="93"/>
  <c r="AJ24" i="93"/>
  <c r="AD24" i="93"/>
  <c r="AC24" i="93"/>
  <c r="Y24" i="93"/>
  <c r="S24" i="93"/>
  <c r="R24" i="93"/>
  <c r="AJ23" i="93"/>
  <c r="AD23" i="93"/>
  <c r="AC23" i="93"/>
  <c r="Y23" i="93"/>
  <c r="S23" i="93"/>
  <c r="R23" i="93"/>
  <c r="AJ22" i="93"/>
  <c r="AD22" i="93"/>
  <c r="AC22" i="93"/>
  <c r="Y22" i="93"/>
  <c r="S22" i="93"/>
  <c r="R22" i="93"/>
  <c r="AJ21" i="93"/>
  <c r="AD21" i="93"/>
  <c r="AC21" i="93"/>
  <c r="Y21" i="93"/>
  <c r="S21" i="93"/>
  <c r="R21" i="93"/>
  <c r="AJ20" i="93"/>
  <c r="AD20" i="93"/>
  <c r="AC20" i="93"/>
  <c r="Y20" i="93"/>
  <c r="S20" i="93"/>
  <c r="R20" i="93"/>
  <c r="AJ19" i="93"/>
  <c r="AD19" i="93"/>
  <c r="AC19" i="93"/>
  <c r="Y19" i="93"/>
  <c r="S19" i="93"/>
  <c r="R19" i="93"/>
  <c r="AJ18" i="93"/>
  <c r="AD18" i="93"/>
  <c r="AC18" i="93"/>
  <c r="Y18" i="93"/>
  <c r="S18" i="93"/>
  <c r="R18" i="93"/>
  <c r="AJ17" i="93"/>
  <c r="AD17" i="93"/>
  <c r="AC17" i="93"/>
  <c r="Y17" i="93"/>
  <c r="S17" i="93"/>
  <c r="R17" i="93"/>
  <c r="AJ16" i="93"/>
  <c r="AD16" i="93"/>
  <c r="AC16" i="93"/>
  <c r="Y16" i="93"/>
  <c r="S16" i="93"/>
  <c r="R16" i="93"/>
  <c r="AJ15" i="93"/>
  <c r="AD15" i="93"/>
  <c r="AC15" i="93"/>
  <c r="Y15" i="93"/>
  <c r="S15" i="93"/>
  <c r="R15" i="93"/>
  <c r="AJ14" i="93"/>
  <c r="AD14" i="93"/>
  <c r="AC14" i="93"/>
  <c r="Y14" i="93"/>
  <c r="S14" i="93"/>
  <c r="R14" i="93"/>
  <c r="AJ13" i="93"/>
  <c r="AD13" i="93"/>
  <c r="AC13" i="93"/>
  <c r="Y13" i="93"/>
  <c r="S13" i="93"/>
  <c r="R13" i="93"/>
  <c r="AJ12" i="93"/>
  <c r="AD12" i="93"/>
  <c r="AC12" i="93"/>
  <c r="Y12" i="93"/>
  <c r="S12" i="93"/>
  <c r="R12" i="93"/>
  <c r="AJ11" i="93"/>
  <c r="AD11" i="93"/>
  <c r="AC11" i="93"/>
  <c r="Y11" i="93"/>
  <c r="S11" i="93"/>
  <c r="R11" i="93"/>
  <c r="AJ10" i="93"/>
  <c r="AD10" i="93"/>
  <c r="AC10" i="93"/>
  <c r="Y10" i="93"/>
  <c r="S10" i="93"/>
  <c r="R10" i="93"/>
  <c r="AJ9" i="93"/>
  <c r="AD9" i="93"/>
  <c r="AC9" i="93"/>
  <c r="Y9" i="93"/>
  <c r="S9" i="93"/>
  <c r="R9" i="93"/>
  <c r="AJ8" i="93"/>
  <c r="AD8" i="93"/>
  <c r="AC8" i="93"/>
  <c r="Y8" i="93"/>
  <c r="S8" i="93"/>
  <c r="R8" i="93"/>
  <c r="AJ7" i="93"/>
  <c r="AD7" i="93"/>
  <c r="AC7" i="93"/>
  <c r="Y7" i="93"/>
  <c r="S7" i="93"/>
  <c r="R7" i="93"/>
  <c r="AJ6" i="93"/>
  <c r="AD6" i="93"/>
  <c r="AC6" i="93"/>
  <c r="Y6" i="93"/>
  <c r="S6" i="93"/>
  <c r="R6" i="93"/>
  <c r="AJ5" i="93"/>
  <c r="AD5" i="93"/>
  <c r="AC5" i="93"/>
  <c r="Y5" i="93"/>
  <c r="S5" i="93"/>
  <c r="R5" i="93"/>
  <c r="AJ4" i="93"/>
  <c r="AD4" i="93"/>
  <c r="AC4" i="93"/>
  <c r="Y4" i="93"/>
  <c r="S4" i="93"/>
  <c r="R4" i="93"/>
  <c r="AU58" i="93"/>
  <c r="C23" i="92"/>
  <c r="B23" i="92"/>
  <c r="C24" i="92"/>
  <c r="B24" i="92"/>
  <c r="C25" i="92"/>
  <c r="B25" i="92"/>
  <c r="C26" i="92"/>
  <c r="B26" i="92"/>
  <c r="C27" i="92"/>
  <c r="B27" i="92"/>
  <c r="C28" i="92"/>
  <c r="B28" i="92"/>
  <c r="C29" i="92"/>
  <c r="B29" i="92"/>
  <c r="C30" i="92"/>
  <c r="B30" i="92"/>
  <c r="C31" i="92"/>
  <c r="B31" i="92"/>
  <c r="C32" i="92"/>
  <c r="B32" i="92"/>
  <c r="C33" i="92"/>
  <c r="B33" i="92"/>
  <c r="C34" i="92"/>
  <c r="B34" i="92"/>
  <c r="Z38" i="92"/>
  <c r="AC8" i="92"/>
  <c r="AQ43" i="92"/>
  <c r="AP43" i="92"/>
  <c r="M53" i="92"/>
  <c r="AN18" i="92"/>
  <c r="AN17" i="92"/>
  <c r="AN15" i="92"/>
  <c r="AN91" i="92"/>
  <c r="AN43" i="92"/>
  <c r="AJ4" i="92"/>
  <c r="AJ5" i="92"/>
  <c r="AJ85" i="92"/>
  <c r="AJ42" i="92"/>
  <c r="AJ6" i="92"/>
  <c r="AJ7" i="92"/>
  <c r="AJ8" i="92"/>
  <c r="AJ9" i="92"/>
  <c r="AJ10" i="92"/>
  <c r="AJ11" i="92"/>
  <c r="AJ12" i="92"/>
  <c r="AJ13" i="92"/>
  <c r="AJ14" i="92"/>
  <c r="AJ15" i="92"/>
  <c r="AJ16" i="92"/>
  <c r="AJ17" i="92"/>
  <c r="AJ18" i="92"/>
  <c r="AJ19" i="92"/>
  <c r="AJ20" i="92"/>
  <c r="AJ21" i="92"/>
  <c r="AJ22" i="92"/>
  <c r="AJ43" i="92"/>
  <c r="AI43" i="92"/>
  <c r="AH43" i="92"/>
  <c r="AG43" i="92"/>
  <c r="AD86" i="92"/>
  <c r="AD85" i="92"/>
  <c r="AE43" i="92"/>
  <c r="AD4" i="92"/>
  <c r="AD5" i="92"/>
  <c r="AE85" i="92"/>
  <c r="AD43" i="92"/>
  <c r="AD6" i="92"/>
  <c r="AD7" i="92"/>
  <c r="AD8" i="92"/>
  <c r="AD9" i="92"/>
  <c r="AD10" i="92"/>
  <c r="AD11" i="92"/>
  <c r="AD12" i="92"/>
  <c r="AD13" i="92"/>
  <c r="AD14" i="92"/>
  <c r="AD15" i="92"/>
  <c r="AD16" i="92"/>
  <c r="AD17" i="92"/>
  <c r="AD18" i="92"/>
  <c r="AD19" i="92"/>
  <c r="AD20" i="92"/>
  <c r="AD21" i="92"/>
  <c r="AD22" i="92"/>
  <c r="AE86" i="92"/>
  <c r="AD42" i="92"/>
  <c r="AC4" i="92"/>
  <c r="AC5" i="92"/>
  <c r="AC6" i="92"/>
  <c r="AC7" i="92"/>
  <c r="AC9" i="92"/>
  <c r="AC11" i="92"/>
  <c r="AC12" i="92"/>
  <c r="AC13" i="92"/>
  <c r="AC14" i="92"/>
  <c r="AC15" i="92"/>
  <c r="AC16" i="92"/>
  <c r="AC17" i="92"/>
  <c r="AC18" i="92"/>
  <c r="AC19" i="92"/>
  <c r="AC21" i="92"/>
  <c r="AB86" i="92"/>
  <c r="AB85" i="92"/>
  <c r="AB43" i="92"/>
  <c r="AA86" i="92"/>
  <c r="AA85" i="92"/>
  <c r="AA43" i="92"/>
  <c r="Z43" i="92"/>
  <c r="W43" i="92"/>
  <c r="V43" i="92"/>
  <c r="U43" i="92"/>
  <c r="S4" i="92"/>
  <c r="S5" i="92"/>
  <c r="S86" i="92"/>
  <c r="S42" i="92"/>
  <c r="S6" i="92"/>
  <c r="S7" i="92"/>
  <c r="S8" i="92"/>
  <c r="S9" i="92"/>
  <c r="S10" i="92"/>
  <c r="S11" i="92"/>
  <c r="S12" i="92"/>
  <c r="S13" i="92"/>
  <c r="S14" i="92"/>
  <c r="S15" i="92"/>
  <c r="S16" i="92"/>
  <c r="S17" i="92"/>
  <c r="S18" i="92"/>
  <c r="S19" i="92"/>
  <c r="S20" i="92"/>
  <c r="S21" i="92"/>
  <c r="S22" i="92"/>
  <c r="S43" i="92"/>
  <c r="R4" i="92"/>
  <c r="R5" i="92"/>
  <c r="R85" i="92"/>
  <c r="R42" i="92"/>
  <c r="R6" i="92"/>
  <c r="R7" i="92"/>
  <c r="R8" i="92"/>
  <c r="R9" i="92"/>
  <c r="R10" i="92"/>
  <c r="R11" i="92"/>
  <c r="R12" i="92"/>
  <c r="R13" i="92"/>
  <c r="R14" i="92"/>
  <c r="R15" i="92"/>
  <c r="R16" i="92"/>
  <c r="R17" i="92"/>
  <c r="R18" i="92"/>
  <c r="R19" i="92"/>
  <c r="R20" i="92"/>
  <c r="R21" i="92"/>
  <c r="R22" i="92"/>
  <c r="R43" i="92"/>
  <c r="Q43" i="92"/>
  <c r="P43" i="92"/>
  <c r="N4" i="92"/>
  <c r="N5" i="92"/>
  <c r="N86" i="92"/>
  <c r="N42" i="92"/>
  <c r="N6" i="92"/>
  <c r="N7" i="92"/>
  <c r="N8" i="92"/>
  <c r="N9" i="92"/>
  <c r="N10" i="92"/>
  <c r="N11" i="92"/>
  <c r="N12" i="92"/>
  <c r="N13" i="92"/>
  <c r="N14" i="92"/>
  <c r="N15" i="92"/>
  <c r="N16" i="92"/>
  <c r="N17" i="92"/>
  <c r="N18" i="92"/>
  <c r="N19" i="92"/>
  <c r="N20" i="92"/>
  <c r="N21" i="92"/>
  <c r="N22" i="92"/>
  <c r="N43" i="92"/>
  <c r="M43" i="92"/>
  <c r="L43" i="92"/>
  <c r="K43" i="92"/>
  <c r="I4" i="92"/>
  <c r="I43" i="92"/>
  <c r="I5" i="92"/>
  <c r="I6" i="92"/>
  <c r="I7" i="92"/>
  <c r="I8" i="92"/>
  <c r="I9" i="92"/>
  <c r="I10" i="92"/>
  <c r="I11" i="92"/>
  <c r="I12" i="92"/>
  <c r="I13" i="92"/>
  <c r="I14" i="92"/>
  <c r="I15" i="92"/>
  <c r="I16" i="92"/>
  <c r="I17" i="92"/>
  <c r="I18" i="92"/>
  <c r="I19" i="92"/>
  <c r="I20" i="92"/>
  <c r="I21" i="92"/>
  <c r="I22" i="92"/>
  <c r="H43" i="92"/>
  <c r="G43" i="92"/>
  <c r="F43" i="92"/>
  <c r="C22" i="92"/>
  <c r="J22" i="92"/>
  <c r="C21" i="92"/>
  <c r="J21" i="92"/>
  <c r="C20" i="92"/>
  <c r="J20" i="92"/>
  <c r="C19" i="92"/>
  <c r="J19" i="92"/>
  <c r="C18" i="92"/>
  <c r="J18" i="92"/>
  <c r="C17" i="92"/>
  <c r="J17" i="92"/>
  <c r="C16" i="92"/>
  <c r="J16" i="92"/>
  <c r="C15" i="92"/>
  <c r="J15" i="92"/>
  <c r="C14" i="92"/>
  <c r="J14" i="92"/>
  <c r="C13" i="92"/>
  <c r="J13" i="92"/>
  <c r="C12" i="92"/>
  <c r="J12" i="92"/>
  <c r="C11" i="92"/>
  <c r="J11" i="92"/>
  <c r="C10" i="92"/>
  <c r="J10" i="92"/>
  <c r="C9" i="92"/>
  <c r="J9" i="92"/>
  <c r="C8" i="92"/>
  <c r="J8" i="92"/>
  <c r="C7" i="92"/>
  <c r="J7" i="92"/>
  <c r="C6" i="92"/>
  <c r="J6" i="92"/>
  <c r="C5" i="92"/>
  <c r="J5" i="92"/>
  <c r="C4" i="92"/>
  <c r="J4" i="92"/>
  <c r="C43" i="92"/>
  <c r="B22" i="92"/>
  <c r="O22" i="92"/>
  <c r="O21" i="92"/>
  <c r="B20" i="92"/>
  <c r="O20" i="92"/>
  <c r="O19" i="92"/>
  <c r="B18" i="92"/>
  <c r="O18" i="92"/>
  <c r="B17" i="92"/>
  <c r="O17" i="92"/>
  <c r="B16" i="92"/>
  <c r="O16" i="92"/>
  <c r="B15" i="92"/>
  <c r="O15" i="92"/>
  <c r="B14" i="92"/>
  <c r="O14" i="92"/>
  <c r="B13" i="92"/>
  <c r="O13" i="92"/>
  <c r="B12" i="92"/>
  <c r="O12" i="92"/>
  <c r="B11" i="92"/>
  <c r="O11" i="92"/>
  <c r="O10" i="92"/>
  <c r="B9" i="92"/>
  <c r="O9" i="92"/>
  <c r="B8" i="92"/>
  <c r="O8" i="92"/>
  <c r="B7" i="92"/>
  <c r="O7" i="92"/>
  <c r="B6" i="92"/>
  <c r="O6" i="92"/>
  <c r="B5" i="92"/>
  <c r="O5" i="92"/>
  <c r="B4" i="92"/>
  <c r="O4" i="92"/>
  <c r="B43" i="92"/>
  <c r="AQ86" i="92"/>
  <c r="AQ85" i="92"/>
  <c r="AQ42" i="92"/>
  <c r="AP86" i="92"/>
  <c r="AP85" i="92"/>
  <c r="AP42" i="92"/>
  <c r="AJ86" i="92"/>
  <c r="AI86" i="92"/>
  <c r="AI85" i="92"/>
  <c r="AI42" i="92"/>
  <c r="AH86" i="92"/>
  <c r="AH85" i="92"/>
  <c r="AH42" i="92"/>
  <c r="AG86" i="92"/>
  <c r="AG85" i="92"/>
  <c r="AG42" i="92"/>
  <c r="AE42" i="92"/>
  <c r="AA42" i="92"/>
  <c r="Z86" i="92"/>
  <c r="Z85" i="92"/>
  <c r="Z42" i="92"/>
  <c r="W86" i="92"/>
  <c r="W85" i="92"/>
  <c r="W42" i="92"/>
  <c r="V86" i="92"/>
  <c r="V85" i="92"/>
  <c r="V42" i="92"/>
  <c r="U86" i="92"/>
  <c r="U85" i="92"/>
  <c r="U42" i="92"/>
  <c r="S85" i="92"/>
  <c r="R86" i="92"/>
  <c r="Q86" i="92"/>
  <c r="Q85" i="92"/>
  <c r="Q42" i="92"/>
  <c r="P86" i="92"/>
  <c r="P85" i="92"/>
  <c r="P42" i="92"/>
  <c r="N85" i="92"/>
  <c r="M86" i="92"/>
  <c r="M85" i="92"/>
  <c r="M42" i="92"/>
  <c r="L86" i="92"/>
  <c r="L85" i="92"/>
  <c r="L42" i="92"/>
  <c r="K86" i="92"/>
  <c r="K85" i="92"/>
  <c r="K42" i="92"/>
  <c r="I85" i="92"/>
  <c r="H86" i="92"/>
  <c r="H85" i="92"/>
  <c r="H42" i="92"/>
  <c r="G86" i="92"/>
  <c r="G85" i="92"/>
  <c r="G42" i="92"/>
  <c r="F86" i="92"/>
  <c r="F85" i="92"/>
  <c r="F42" i="92"/>
  <c r="AQ47" i="92"/>
  <c r="AQ40" i="92"/>
  <c r="AP47" i="92"/>
  <c r="AP54" i="92"/>
  <c r="AP40" i="92"/>
  <c r="AL121" i="92"/>
  <c r="AL120" i="92"/>
  <c r="AL119" i="92"/>
  <c r="AL118" i="92"/>
  <c r="AL117" i="92"/>
  <c r="AL116" i="92"/>
  <c r="AL115" i="92"/>
  <c r="AL114" i="92"/>
  <c r="AL113" i="92"/>
  <c r="AL112" i="92"/>
  <c r="AL111" i="92"/>
  <c r="AL110" i="92"/>
  <c r="AL109" i="92"/>
  <c r="AL108" i="92"/>
  <c r="AL107" i="92"/>
  <c r="AL106" i="92"/>
  <c r="AL105" i="92"/>
  <c r="AL104" i="92"/>
  <c r="AL103" i="92"/>
  <c r="AL102" i="92"/>
  <c r="AL101" i="92"/>
  <c r="AL100" i="92"/>
  <c r="AL99" i="92"/>
  <c r="AL98" i="92"/>
  <c r="AL97" i="92"/>
  <c r="AL96" i="92"/>
  <c r="AL95" i="92"/>
  <c r="AL94" i="92"/>
  <c r="AL93" i="92"/>
  <c r="AL92" i="92"/>
  <c r="AL91" i="92"/>
  <c r="AN38" i="92"/>
  <c r="AQ38" i="92"/>
  <c r="AD38" i="92"/>
  <c r="AD40" i="92"/>
  <c r="AA40" i="92"/>
  <c r="AB47" i="92"/>
  <c r="AB48" i="92"/>
  <c r="Z40" i="92"/>
  <c r="X40" i="92"/>
  <c r="W40" i="92"/>
  <c r="V40" i="92"/>
  <c r="U38" i="92"/>
  <c r="U40" i="92"/>
  <c r="R38" i="92"/>
  <c r="R40" i="92"/>
  <c r="M40" i="92"/>
  <c r="H40" i="92"/>
  <c r="G38" i="92"/>
  <c r="G40" i="92"/>
  <c r="F38" i="92"/>
  <c r="F40" i="92"/>
  <c r="C39" i="92"/>
  <c r="C40" i="92"/>
  <c r="B39" i="92"/>
  <c r="B40" i="92"/>
  <c r="AP38" i="92"/>
  <c r="AJ38" i="92"/>
  <c r="AI38" i="92"/>
  <c r="AH38" i="92"/>
  <c r="AG38" i="92"/>
  <c r="AE38" i="92"/>
  <c r="W38" i="92"/>
  <c r="V38" i="92"/>
  <c r="S38" i="92"/>
  <c r="Q38" i="92"/>
  <c r="P38" i="92"/>
  <c r="N38" i="92"/>
  <c r="M38" i="92"/>
  <c r="L38" i="92"/>
  <c r="K38" i="92"/>
  <c r="H38" i="92"/>
  <c r="E5" i="92"/>
  <c r="E6" i="92"/>
  <c r="E7" i="92"/>
  <c r="E8" i="92"/>
  <c r="E9" i="92"/>
  <c r="E10" i="92"/>
  <c r="E11" i="92"/>
  <c r="E12" i="92"/>
  <c r="E13" i="92"/>
  <c r="E14" i="92"/>
  <c r="E15" i="92"/>
  <c r="E16" i="92"/>
  <c r="E17" i="92"/>
  <c r="E18" i="92"/>
  <c r="E19" i="92"/>
  <c r="E20" i="92"/>
  <c r="E21" i="92"/>
  <c r="E22" i="92"/>
  <c r="E23" i="92"/>
  <c r="E24" i="92"/>
  <c r="E25" i="92"/>
  <c r="E26" i="92"/>
  <c r="E27" i="92"/>
  <c r="E28" i="92"/>
  <c r="E29" i="92"/>
  <c r="E30" i="92"/>
  <c r="E31" i="92"/>
  <c r="E32" i="92"/>
  <c r="E33" i="92"/>
  <c r="A5" i="92"/>
  <c r="A6" i="92"/>
  <c r="A7" i="92"/>
  <c r="A8" i="92"/>
  <c r="A9" i="92"/>
  <c r="A10" i="92"/>
  <c r="A11" i="92"/>
  <c r="A12" i="92"/>
  <c r="A13" i="92"/>
  <c r="A14" i="92"/>
  <c r="A15" i="92"/>
  <c r="A16" i="92"/>
  <c r="A17" i="92"/>
  <c r="A18" i="92"/>
  <c r="A19" i="92"/>
  <c r="A20" i="92"/>
  <c r="A21" i="92"/>
  <c r="A22" i="92"/>
  <c r="A23" i="92"/>
  <c r="A24" i="92"/>
  <c r="A25" i="92"/>
  <c r="A26" i="92"/>
  <c r="A27" i="92"/>
  <c r="A28" i="92"/>
  <c r="A29" i="92"/>
  <c r="A30" i="92"/>
  <c r="A31" i="92"/>
  <c r="A32" i="92"/>
  <c r="A33" i="92"/>
  <c r="Y22" i="92"/>
  <c r="Y21" i="92"/>
  <c r="Y20" i="92"/>
  <c r="Y19" i="92"/>
  <c r="Y18" i="92"/>
  <c r="Y17" i="92"/>
  <c r="Y16" i="92"/>
  <c r="Y15" i="92"/>
  <c r="Y14" i="92"/>
  <c r="Y13" i="92"/>
  <c r="Y12" i="92"/>
  <c r="Y11" i="92"/>
  <c r="Y10" i="92"/>
  <c r="Y9" i="92"/>
  <c r="Y8" i="92"/>
  <c r="Y7" i="92"/>
  <c r="Y6" i="92"/>
  <c r="Y5" i="92"/>
  <c r="Y4" i="92"/>
  <c r="AJ33" i="91"/>
  <c r="AD33" i="91"/>
  <c r="Z38" i="91"/>
  <c r="Y33" i="91"/>
  <c r="S33" i="91"/>
  <c r="R33" i="91"/>
  <c r="B33" i="91"/>
  <c r="O33" i="91"/>
  <c r="N33" i="91"/>
  <c r="C33" i="91"/>
  <c r="J33" i="91"/>
  <c r="I33" i="91"/>
  <c r="AJ32" i="91"/>
  <c r="AD32" i="91"/>
  <c r="AC32" i="91"/>
  <c r="Y32" i="91"/>
  <c r="S32" i="91"/>
  <c r="R32" i="91"/>
  <c r="B32" i="91"/>
  <c r="O32" i="91"/>
  <c r="N32" i="91"/>
  <c r="C32" i="91"/>
  <c r="J32" i="91"/>
  <c r="I32" i="91"/>
  <c r="AJ31" i="91"/>
  <c r="AD31" i="91"/>
  <c r="Y31" i="91"/>
  <c r="S31" i="91"/>
  <c r="R31" i="91"/>
  <c r="O31" i="91"/>
  <c r="N31" i="91"/>
  <c r="J31" i="91"/>
  <c r="I31" i="91"/>
  <c r="AJ30" i="91"/>
  <c r="AD30" i="91"/>
  <c r="AC30" i="91"/>
  <c r="Y30" i="91"/>
  <c r="S30" i="91"/>
  <c r="R30" i="91"/>
  <c r="B30" i="91"/>
  <c r="O30" i="91"/>
  <c r="N30" i="91"/>
  <c r="C30" i="91"/>
  <c r="J30" i="91"/>
  <c r="I30" i="91"/>
  <c r="AJ29" i="91"/>
  <c r="AD29" i="91"/>
  <c r="AC29" i="91"/>
  <c r="Y29" i="91"/>
  <c r="S29" i="91"/>
  <c r="R29" i="91"/>
  <c r="B29" i="91"/>
  <c r="O29" i="91"/>
  <c r="N29" i="91"/>
  <c r="C29" i="91"/>
  <c r="J29" i="91"/>
  <c r="I29" i="91"/>
  <c r="AJ28" i="91"/>
  <c r="AD28" i="91"/>
  <c r="Y28" i="91"/>
  <c r="S28" i="91"/>
  <c r="R28" i="91"/>
  <c r="B28" i="91"/>
  <c r="O28" i="91"/>
  <c r="N28" i="91"/>
  <c r="C28" i="91"/>
  <c r="J28" i="91"/>
  <c r="I28" i="91"/>
  <c r="AJ27" i="91"/>
  <c r="AD27" i="91"/>
  <c r="Y27" i="91"/>
  <c r="S27" i="91"/>
  <c r="R27" i="91"/>
  <c r="B27" i="91"/>
  <c r="O27" i="91"/>
  <c r="N27" i="91"/>
  <c r="C27" i="91"/>
  <c r="J27" i="91"/>
  <c r="I27" i="91"/>
  <c r="AJ26" i="91"/>
  <c r="AD26" i="91"/>
  <c r="Y26" i="91"/>
  <c r="S26" i="91"/>
  <c r="R26" i="91"/>
  <c r="B26" i="91"/>
  <c r="O26" i="91"/>
  <c r="N26" i="91"/>
  <c r="C26" i="91"/>
  <c r="J26" i="91"/>
  <c r="I26" i="91"/>
  <c r="AJ25" i="91"/>
  <c r="AD25" i="91"/>
  <c r="Y25" i="91"/>
  <c r="S25" i="91"/>
  <c r="R25" i="91"/>
  <c r="B25" i="91"/>
  <c r="O25" i="91"/>
  <c r="N25" i="91"/>
  <c r="C25" i="91"/>
  <c r="J25" i="91"/>
  <c r="I25" i="91"/>
  <c r="AJ24" i="91"/>
  <c r="AD24" i="91"/>
  <c r="AC24" i="91"/>
  <c r="Y24" i="91"/>
  <c r="S24" i="91"/>
  <c r="R24" i="91"/>
  <c r="B24" i="91"/>
  <c r="O24" i="91"/>
  <c r="N24" i="91"/>
  <c r="C24" i="91"/>
  <c r="J24" i="91"/>
  <c r="I24" i="91"/>
  <c r="AJ23" i="91"/>
  <c r="AD23" i="91"/>
  <c r="Y23" i="91"/>
  <c r="S23" i="91"/>
  <c r="R23" i="91"/>
  <c r="B23" i="91"/>
  <c r="O23" i="91"/>
  <c r="N23" i="91"/>
  <c r="C23" i="91"/>
  <c r="J23" i="91"/>
  <c r="I23" i="91"/>
  <c r="AJ22" i="91"/>
  <c r="AD22" i="91"/>
  <c r="Y22" i="91"/>
  <c r="S22" i="91"/>
  <c r="R22" i="91"/>
  <c r="B22" i="91"/>
  <c r="O22" i="91"/>
  <c r="N22" i="91"/>
  <c r="C22" i="91"/>
  <c r="J22" i="91"/>
  <c r="I22" i="91"/>
  <c r="AJ21" i="91"/>
  <c r="AD21" i="91"/>
  <c r="Y21" i="91"/>
  <c r="S21" i="91"/>
  <c r="R21" i="91"/>
  <c r="B21" i="91"/>
  <c r="O21" i="91"/>
  <c r="N21" i="91"/>
  <c r="C21" i="91"/>
  <c r="J21" i="91"/>
  <c r="I21" i="91"/>
  <c r="AJ20" i="91"/>
  <c r="AD20" i="91"/>
  <c r="Y20" i="91"/>
  <c r="S20" i="91"/>
  <c r="R20" i="91"/>
  <c r="B20" i="91"/>
  <c r="O20" i="91"/>
  <c r="N20" i="91"/>
  <c r="C20" i="91"/>
  <c r="J20" i="91"/>
  <c r="I20" i="91"/>
  <c r="AJ19" i="91"/>
  <c r="AD19" i="91"/>
  <c r="Y19" i="91"/>
  <c r="S19" i="91"/>
  <c r="R19" i="91"/>
  <c r="O19" i="91"/>
  <c r="N19" i="91"/>
  <c r="C19" i="91"/>
  <c r="J19" i="91"/>
  <c r="I19" i="91"/>
  <c r="AJ18" i="91"/>
  <c r="AD18" i="91"/>
  <c r="AC18" i="91"/>
  <c r="Y18" i="91"/>
  <c r="S18" i="91"/>
  <c r="R18" i="91"/>
  <c r="B18" i="91"/>
  <c r="O18" i="91"/>
  <c r="N18" i="91"/>
  <c r="C18" i="91"/>
  <c r="J18" i="91"/>
  <c r="I18" i="91"/>
  <c r="AJ17" i="91"/>
  <c r="AD17" i="91"/>
  <c r="AC17" i="91"/>
  <c r="Y17" i="91"/>
  <c r="S17" i="91"/>
  <c r="R17" i="91"/>
  <c r="B17" i="91"/>
  <c r="O17" i="91"/>
  <c r="N17" i="91"/>
  <c r="C17" i="91"/>
  <c r="J17" i="91"/>
  <c r="I17" i="91"/>
  <c r="AJ16" i="91"/>
  <c r="AD16" i="91"/>
  <c r="AC16" i="91"/>
  <c r="Y16" i="91"/>
  <c r="S16" i="91"/>
  <c r="R16" i="91"/>
  <c r="O16" i="91"/>
  <c r="N16" i="91"/>
  <c r="C16" i="91"/>
  <c r="J16" i="91"/>
  <c r="I16" i="91"/>
  <c r="AJ15" i="91"/>
  <c r="AD15" i="91"/>
  <c r="Y15" i="91"/>
  <c r="S15" i="91"/>
  <c r="R15" i="91"/>
  <c r="B15" i="91"/>
  <c r="O15" i="91"/>
  <c r="N15" i="91"/>
  <c r="J15" i="91"/>
  <c r="I15" i="91"/>
  <c r="AJ14" i="91"/>
  <c r="AD14" i="91"/>
  <c r="AC14" i="91"/>
  <c r="Y14" i="91"/>
  <c r="S14" i="91"/>
  <c r="R14" i="91"/>
  <c r="B14" i="91"/>
  <c r="O14" i="91"/>
  <c r="N14" i="91"/>
  <c r="C14" i="91"/>
  <c r="J14" i="91"/>
  <c r="I14" i="91"/>
  <c r="AJ13" i="91"/>
  <c r="AD13" i="91"/>
  <c r="Y13" i="91"/>
  <c r="S13" i="91"/>
  <c r="R13" i="91"/>
  <c r="B13" i="91"/>
  <c r="O13" i="91"/>
  <c r="N13" i="91"/>
  <c r="C13" i="91"/>
  <c r="J13" i="91"/>
  <c r="I13" i="91"/>
  <c r="AJ12" i="91"/>
  <c r="AD12" i="91"/>
  <c r="AC12" i="91"/>
  <c r="Y12" i="91"/>
  <c r="S12" i="91"/>
  <c r="R12" i="91"/>
  <c r="B12" i="91"/>
  <c r="O12" i="91"/>
  <c r="N12" i="91"/>
  <c r="C12" i="91"/>
  <c r="J12" i="91"/>
  <c r="I12" i="91"/>
  <c r="AJ11" i="91"/>
  <c r="AD11" i="91"/>
  <c r="Y11" i="91"/>
  <c r="S11" i="91"/>
  <c r="R11" i="91"/>
  <c r="B11" i="91"/>
  <c r="O11" i="91"/>
  <c r="N11" i="91"/>
  <c r="C11" i="91"/>
  <c r="J11" i="91"/>
  <c r="I11" i="91"/>
  <c r="AJ10" i="91"/>
  <c r="AD10" i="91"/>
  <c r="AC10" i="91"/>
  <c r="Y10" i="91"/>
  <c r="S10" i="91"/>
  <c r="R10" i="91"/>
  <c r="B10" i="91"/>
  <c r="O10" i="91"/>
  <c r="N10" i="91"/>
  <c r="C10" i="91"/>
  <c r="J10" i="91"/>
  <c r="I10" i="91"/>
  <c r="AJ9" i="91"/>
  <c r="AD9" i="91"/>
  <c r="Y9" i="91"/>
  <c r="S9" i="91"/>
  <c r="R9" i="91"/>
  <c r="O9" i="91"/>
  <c r="N9" i="91"/>
  <c r="C9" i="91"/>
  <c r="I9" i="91"/>
  <c r="AJ8" i="91"/>
  <c r="AD8" i="91"/>
  <c r="Y8" i="91"/>
  <c r="S8" i="91"/>
  <c r="R8" i="91"/>
  <c r="O8" i="91"/>
  <c r="N8" i="91"/>
  <c r="C8" i="91"/>
  <c r="J8" i="91"/>
  <c r="I8" i="91"/>
  <c r="AJ7" i="91"/>
  <c r="AD7" i="91"/>
  <c r="AC7" i="91"/>
  <c r="Y7" i="91"/>
  <c r="S7" i="91"/>
  <c r="R7" i="91"/>
  <c r="B7" i="91"/>
  <c r="O7" i="91"/>
  <c r="N7" i="91"/>
  <c r="C7" i="91"/>
  <c r="J7" i="91"/>
  <c r="I7" i="91"/>
  <c r="AJ6" i="91"/>
  <c r="AD6" i="91"/>
  <c r="AC6" i="91"/>
  <c r="Y6" i="91"/>
  <c r="S6" i="91"/>
  <c r="R6" i="91"/>
  <c r="B6" i="91"/>
  <c r="O6" i="91"/>
  <c r="N6" i="91"/>
  <c r="C6" i="91"/>
  <c r="J6" i="91"/>
  <c r="I6" i="91"/>
  <c r="AJ5" i="91"/>
  <c r="AD5" i="91"/>
  <c r="AC5" i="91"/>
  <c r="Y5" i="91"/>
  <c r="S5" i="91"/>
  <c r="R5" i="91"/>
  <c r="B5" i="91"/>
  <c r="O5" i="91"/>
  <c r="N5" i="91"/>
  <c r="C5" i="91"/>
  <c r="J5" i="91"/>
  <c r="I5" i="91"/>
  <c r="AJ4" i="91"/>
  <c r="AD4" i="91"/>
  <c r="AC4" i="91"/>
  <c r="Y4" i="91"/>
  <c r="S4" i="91"/>
  <c r="R4" i="91"/>
  <c r="B4" i="91"/>
  <c r="N4" i="91"/>
  <c r="C4" i="91"/>
  <c r="J4" i="91"/>
  <c r="I4" i="91"/>
  <c r="C34" i="91"/>
  <c r="G38" i="91"/>
  <c r="B34" i="91"/>
  <c r="F38" i="91"/>
  <c r="E5" i="91"/>
  <c r="E6" i="91"/>
  <c r="E7" i="91"/>
  <c r="E8" i="91"/>
  <c r="E9" i="91"/>
  <c r="E10" i="91"/>
  <c r="E11" i="91"/>
  <c r="E12" i="91"/>
  <c r="E13" i="91"/>
  <c r="E14" i="91"/>
  <c r="E15" i="91"/>
  <c r="E16" i="91"/>
  <c r="E17" i="91"/>
  <c r="E18" i="91"/>
  <c r="E19" i="91"/>
  <c r="E20" i="91"/>
  <c r="E21" i="91"/>
  <c r="E22" i="91"/>
  <c r="E23" i="91"/>
  <c r="E24" i="91"/>
  <c r="E25" i="91"/>
  <c r="E26" i="91"/>
  <c r="E27" i="91"/>
  <c r="E28" i="91"/>
  <c r="E29" i="91"/>
  <c r="E30" i="91"/>
  <c r="E31" i="91"/>
  <c r="E32" i="91"/>
  <c r="E33" i="91"/>
  <c r="A5" i="91"/>
  <c r="A6" i="91"/>
  <c r="A7" i="91"/>
  <c r="A8" i="91"/>
  <c r="A9" i="91"/>
  <c r="A10" i="91"/>
  <c r="A11" i="91"/>
  <c r="A12" i="91"/>
  <c r="A13" i="91"/>
  <c r="A14" i="91"/>
  <c r="A15" i="91"/>
  <c r="A16" i="91"/>
  <c r="A17" i="91"/>
  <c r="A18" i="91"/>
  <c r="A19" i="91"/>
  <c r="A20" i="91"/>
  <c r="A21" i="91"/>
  <c r="A22" i="91"/>
  <c r="A23" i="91"/>
  <c r="A24" i="91"/>
  <c r="A25" i="91"/>
  <c r="A26" i="91"/>
  <c r="A27" i="91"/>
  <c r="A28" i="91"/>
  <c r="A29" i="91"/>
  <c r="A30" i="91"/>
  <c r="A31" i="91"/>
  <c r="A32" i="91"/>
  <c r="A33" i="91"/>
  <c r="C34" i="88"/>
  <c r="B34" i="88"/>
  <c r="C33" i="88"/>
  <c r="C32" i="88"/>
  <c r="B32" i="88"/>
  <c r="C31" i="88"/>
  <c r="B31" i="88"/>
  <c r="C30" i="88"/>
  <c r="B30" i="88"/>
  <c r="C29" i="88"/>
  <c r="C28" i="88"/>
  <c r="B28" i="88"/>
  <c r="C27" i="88"/>
  <c r="B27" i="88"/>
  <c r="C26" i="88"/>
  <c r="B26" i="88"/>
  <c r="C25" i="88"/>
  <c r="B25" i="88"/>
  <c r="C24" i="88"/>
  <c r="B24" i="88"/>
  <c r="C23" i="88"/>
  <c r="B23" i="88"/>
  <c r="C22" i="88"/>
  <c r="B22" i="88"/>
  <c r="C21" i="88"/>
  <c r="C20" i="88"/>
  <c r="B20" i="88"/>
  <c r="C19" i="88"/>
  <c r="B19" i="88"/>
  <c r="C18" i="88"/>
  <c r="B18" i="88"/>
  <c r="C17" i="88"/>
  <c r="B17" i="88"/>
  <c r="C16" i="88"/>
  <c r="B16" i="88"/>
  <c r="C15" i="88"/>
  <c r="B15" i="88"/>
  <c r="C14" i="88"/>
  <c r="B14" i="88"/>
  <c r="C13" i="88"/>
  <c r="B13" i="88"/>
  <c r="C12" i="88"/>
  <c r="B12" i="88"/>
  <c r="C11" i="88"/>
  <c r="C10" i="88"/>
  <c r="B10" i="88"/>
  <c r="C9" i="88"/>
  <c r="B9" i="88"/>
  <c r="C8" i="88"/>
  <c r="B8" i="88"/>
  <c r="C7" i="88"/>
  <c r="B7" i="88"/>
  <c r="C6" i="88"/>
  <c r="B6" i="88"/>
  <c r="C5" i="88"/>
  <c r="C4" i="88"/>
  <c r="B4" i="88"/>
  <c r="AJ34" i="88"/>
  <c r="AD34" i="88"/>
  <c r="Z38" i="88"/>
  <c r="AC34" i="88"/>
  <c r="Y34" i="88"/>
  <c r="S34" i="88"/>
  <c r="R34" i="88"/>
  <c r="O34" i="88"/>
  <c r="N34" i="88"/>
  <c r="J34" i="88"/>
  <c r="I34" i="88"/>
  <c r="AJ33" i="88"/>
  <c r="AD33" i="88"/>
  <c r="AC33" i="88"/>
  <c r="Y33" i="88"/>
  <c r="S33" i="88"/>
  <c r="R33" i="88"/>
  <c r="O33" i="88"/>
  <c r="N33" i="88"/>
  <c r="J33" i="88"/>
  <c r="I33" i="88"/>
  <c r="AJ32" i="88"/>
  <c r="AD32" i="88"/>
  <c r="AC32" i="88"/>
  <c r="Y32" i="88"/>
  <c r="S32" i="88"/>
  <c r="R32" i="88"/>
  <c r="O32" i="88"/>
  <c r="N32" i="88"/>
  <c r="J32" i="88"/>
  <c r="I32" i="88"/>
  <c r="AJ31" i="88"/>
  <c r="AD31" i="88"/>
  <c r="AC31" i="88"/>
  <c r="Y31" i="88"/>
  <c r="S31" i="88"/>
  <c r="R31" i="88"/>
  <c r="O31" i="88"/>
  <c r="N31" i="88"/>
  <c r="J31" i="88"/>
  <c r="I31" i="88"/>
  <c r="AJ30" i="88"/>
  <c r="AD30" i="88"/>
  <c r="AC30" i="88"/>
  <c r="Y30" i="88"/>
  <c r="S30" i="88"/>
  <c r="R30" i="88"/>
  <c r="O30" i="88"/>
  <c r="N30" i="88"/>
  <c r="J30" i="88"/>
  <c r="I30" i="88"/>
  <c r="AJ29" i="88"/>
  <c r="AD29" i="88"/>
  <c r="AC29" i="88"/>
  <c r="Y29" i="88"/>
  <c r="S29" i="88"/>
  <c r="R29" i="88"/>
  <c r="O29" i="88"/>
  <c r="N29" i="88"/>
  <c r="J29" i="88"/>
  <c r="I29" i="88"/>
  <c r="AJ28" i="88"/>
  <c r="AD28" i="88"/>
  <c r="AC28" i="88"/>
  <c r="Y28" i="88"/>
  <c r="S28" i="88"/>
  <c r="R28" i="88"/>
  <c r="O28" i="88"/>
  <c r="N28" i="88"/>
  <c r="J28" i="88"/>
  <c r="I28" i="88"/>
  <c r="AJ27" i="88"/>
  <c r="AD27" i="88"/>
  <c r="AC27" i="88"/>
  <c r="Y27" i="88"/>
  <c r="S27" i="88"/>
  <c r="R27" i="88"/>
  <c r="O27" i="88"/>
  <c r="N27" i="88"/>
  <c r="J27" i="88"/>
  <c r="I27" i="88"/>
  <c r="AJ26" i="88"/>
  <c r="AD26" i="88"/>
  <c r="AC26" i="88"/>
  <c r="Y26" i="88"/>
  <c r="S26" i="88"/>
  <c r="R26" i="88"/>
  <c r="O26" i="88"/>
  <c r="N26" i="88"/>
  <c r="J26" i="88"/>
  <c r="I26" i="88"/>
  <c r="AJ25" i="88"/>
  <c r="AD25" i="88"/>
  <c r="AC25" i="88"/>
  <c r="Y25" i="88"/>
  <c r="S25" i="88"/>
  <c r="R25" i="88"/>
  <c r="O25" i="88"/>
  <c r="N25" i="88"/>
  <c r="J25" i="88"/>
  <c r="I25" i="88"/>
  <c r="AJ24" i="88"/>
  <c r="AD24" i="88"/>
  <c r="AC24" i="88"/>
  <c r="Y24" i="88"/>
  <c r="S24" i="88"/>
  <c r="R24" i="88"/>
  <c r="O24" i="88"/>
  <c r="N24" i="88"/>
  <c r="J24" i="88"/>
  <c r="I24" i="88"/>
  <c r="AJ23" i="88"/>
  <c r="AD23" i="88"/>
  <c r="AC23" i="88"/>
  <c r="Y23" i="88"/>
  <c r="S23" i="88"/>
  <c r="R23" i="88"/>
  <c r="O23" i="88"/>
  <c r="N23" i="88"/>
  <c r="J23" i="88"/>
  <c r="I23" i="88"/>
  <c r="AJ22" i="88"/>
  <c r="AD22" i="88"/>
  <c r="AC22" i="88"/>
  <c r="Y22" i="88"/>
  <c r="S22" i="88"/>
  <c r="R22" i="88"/>
  <c r="O22" i="88"/>
  <c r="N22" i="88"/>
  <c r="J22" i="88"/>
  <c r="I22" i="88"/>
  <c r="AJ21" i="88"/>
  <c r="AD21" i="88"/>
  <c r="AC21" i="88"/>
  <c r="Y21" i="88"/>
  <c r="S21" i="88"/>
  <c r="R21" i="88"/>
  <c r="O21" i="88"/>
  <c r="N21" i="88"/>
  <c r="J21" i="88"/>
  <c r="I21" i="88"/>
  <c r="AJ20" i="88"/>
  <c r="AD20" i="88"/>
  <c r="AC20" i="88"/>
  <c r="Y20" i="88"/>
  <c r="S20" i="88"/>
  <c r="R20" i="88"/>
  <c r="O20" i="88"/>
  <c r="N20" i="88"/>
  <c r="J20" i="88"/>
  <c r="I20" i="88"/>
  <c r="AJ19" i="88"/>
  <c r="AD19" i="88"/>
  <c r="AC19" i="88"/>
  <c r="Y19" i="88"/>
  <c r="S19" i="88"/>
  <c r="R19" i="88"/>
  <c r="O19" i="88"/>
  <c r="N19" i="88"/>
  <c r="J19" i="88"/>
  <c r="I19" i="88"/>
  <c r="AJ18" i="88"/>
  <c r="AD18" i="88"/>
  <c r="AC18" i="88"/>
  <c r="Y18" i="88"/>
  <c r="S18" i="88"/>
  <c r="R18" i="88"/>
  <c r="O18" i="88"/>
  <c r="N18" i="88"/>
  <c r="J18" i="88"/>
  <c r="I18" i="88"/>
  <c r="AJ17" i="88"/>
  <c r="AD17" i="88"/>
  <c r="AC17" i="88"/>
  <c r="Y17" i="88"/>
  <c r="S17" i="88"/>
  <c r="R17" i="88"/>
  <c r="O17" i="88"/>
  <c r="N17" i="88"/>
  <c r="J17" i="88"/>
  <c r="I17" i="88"/>
  <c r="AJ16" i="88"/>
  <c r="AD16" i="88"/>
  <c r="AC16" i="88"/>
  <c r="Y16" i="88"/>
  <c r="S16" i="88"/>
  <c r="R16" i="88"/>
  <c r="O16" i="88"/>
  <c r="N16" i="88"/>
  <c r="J16" i="88"/>
  <c r="I16" i="88"/>
  <c r="AJ15" i="88"/>
  <c r="AD15" i="88"/>
  <c r="AC15" i="88"/>
  <c r="Y15" i="88"/>
  <c r="S15" i="88"/>
  <c r="R15" i="88"/>
  <c r="O15" i="88"/>
  <c r="N15" i="88"/>
  <c r="J15" i="88"/>
  <c r="I15" i="88"/>
  <c r="AJ14" i="88"/>
  <c r="AD14" i="88"/>
  <c r="AC14" i="88"/>
  <c r="Y14" i="88"/>
  <c r="S14" i="88"/>
  <c r="R14" i="88"/>
  <c r="O14" i="88"/>
  <c r="N14" i="88"/>
  <c r="J14" i="88"/>
  <c r="I14" i="88"/>
  <c r="AJ13" i="88"/>
  <c r="AD13" i="88"/>
  <c r="AC13" i="88"/>
  <c r="Y13" i="88"/>
  <c r="S13" i="88"/>
  <c r="R13" i="88"/>
  <c r="O13" i="88"/>
  <c r="N13" i="88"/>
  <c r="J13" i="88"/>
  <c r="I13" i="88"/>
  <c r="AJ12" i="88"/>
  <c r="AD12" i="88"/>
  <c r="AC12" i="88"/>
  <c r="Y12" i="88"/>
  <c r="S12" i="88"/>
  <c r="R12" i="88"/>
  <c r="O12" i="88"/>
  <c r="N12" i="88"/>
  <c r="J12" i="88"/>
  <c r="I12" i="88"/>
  <c r="AJ11" i="88"/>
  <c r="AD11" i="88"/>
  <c r="AC11" i="88"/>
  <c r="Y11" i="88"/>
  <c r="S11" i="88"/>
  <c r="R11" i="88"/>
  <c r="O11" i="88"/>
  <c r="N11" i="88"/>
  <c r="J11" i="88"/>
  <c r="I11" i="88"/>
  <c r="AJ10" i="88"/>
  <c r="AD10" i="88"/>
  <c r="AC10" i="88"/>
  <c r="Y10" i="88"/>
  <c r="S10" i="88"/>
  <c r="R10" i="88"/>
  <c r="O10" i="88"/>
  <c r="N10" i="88"/>
  <c r="J10" i="88"/>
  <c r="I10" i="88"/>
  <c r="AJ9" i="88"/>
  <c r="AD9" i="88"/>
  <c r="AC9" i="88"/>
  <c r="Y9" i="88"/>
  <c r="S9" i="88"/>
  <c r="R9" i="88"/>
  <c r="O9" i="88"/>
  <c r="N9" i="88"/>
  <c r="J9" i="88"/>
  <c r="I9" i="88"/>
  <c r="AJ8" i="88"/>
  <c r="AD8" i="88"/>
  <c r="AC8" i="88"/>
  <c r="Y8" i="88"/>
  <c r="S8" i="88"/>
  <c r="R8" i="88"/>
  <c r="O8" i="88"/>
  <c r="N8" i="88"/>
  <c r="J8" i="88"/>
  <c r="I8" i="88"/>
  <c r="AJ7" i="88"/>
  <c r="AD7" i="88"/>
  <c r="AC7" i="88"/>
  <c r="Y7" i="88"/>
  <c r="S7" i="88"/>
  <c r="R7" i="88"/>
  <c r="O7" i="88"/>
  <c r="N7" i="88"/>
  <c r="J7" i="88"/>
  <c r="I7" i="88"/>
  <c r="AJ6" i="88"/>
  <c r="AD6" i="88"/>
  <c r="AC6" i="88"/>
  <c r="Y6" i="88"/>
  <c r="S6" i="88"/>
  <c r="R6" i="88"/>
  <c r="O6" i="88"/>
  <c r="N6" i="88"/>
  <c r="J6" i="88"/>
  <c r="I6" i="88"/>
  <c r="AJ5" i="88"/>
  <c r="AD5" i="88"/>
  <c r="AC5" i="88"/>
  <c r="Y5" i="88"/>
  <c r="S5" i="88"/>
  <c r="R5" i="88"/>
  <c r="O5" i="88"/>
  <c r="N5" i="88"/>
  <c r="J5" i="88"/>
  <c r="I5" i="88"/>
  <c r="AJ4" i="88"/>
  <c r="AD4" i="88"/>
  <c r="AC4" i="88"/>
  <c r="Y4" i="88"/>
  <c r="S4" i="88"/>
  <c r="R4" i="88"/>
  <c r="O4" i="88"/>
  <c r="N4" i="88"/>
  <c r="J4" i="88"/>
  <c r="I4" i="88"/>
  <c r="M53" i="88"/>
  <c r="AP38" i="88"/>
  <c r="AP50" i="88"/>
  <c r="M53" i="91"/>
  <c r="AP38" i="91"/>
  <c r="AP50" i="91"/>
  <c r="AP50" i="92"/>
  <c r="M53" i="93"/>
  <c r="AP38" i="93"/>
  <c r="AP50" i="93"/>
  <c r="M53" i="76"/>
  <c r="AP38" i="76"/>
  <c r="AP50" i="76"/>
  <c r="AP50" i="78"/>
  <c r="AP50" i="80"/>
  <c r="AP38" i="82"/>
  <c r="AP50" i="82"/>
  <c r="C33" i="89"/>
  <c r="J33" i="89"/>
  <c r="B33" i="89"/>
  <c r="C32" i="89"/>
  <c r="J32" i="89"/>
  <c r="B32" i="89"/>
  <c r="C31" i="89"/>
  <c r="J31" i="89"/>
  <c r="B31" i="89"/>
  <c r="C30" i="89"/>
  <c r="J30" i="89"/>
  <c r="C29" i="89"/>
  <c r="B29" i="89"/>
  <c r="O29" i="89"/>
  <c r="C28" i="89"/>
  <c r="B28" i="89"/>
  <c r="O28" i="89"/>
  <c r="C27" i="89"/>
  <c r="B27" i="89"/>
  <c r="O27" i="89"/>
  <c r="B43" i="89"/>
  <c r="C26" i="89"/>
  <c r="B26" i="89"/>
  <c r="C25" i="89"/>
  <c r="B25" i="89"/>
  <c r="C24" i="89"/>
  <c r="B24" i="89"/>
  <c r="C23" i="89"/>
  <c r="B23" i="89"/>
  <c r="C22" i="89"/>
  <c r="B22" i="89"/>
  <c r="C21" i="89"/>
  <c r="B21" i="89"/>
  <c r="C20" i="89"/>
  <c r="B20" i="89"/>
  <c r="C19" i="89"/>
  <c r="C18" i="89"/>
  <c r="B18" i="89"/>
  <c r="C17" i="89"/>
  <c r="B17" i="89"/>
  <c r="C16" i="89"/>
  <c r="B16" i="89"/>
  <c r="C15" i="89"/>
  <c r="B15" i="89"/>
  <c r="C14" i="89"/>
  <c r="B14" i="89"/>
  <c r="C13" i="89"/>
  <c r="B13" i="89"/>
  <c r="C12" i="89"/>
  <c r="B12" i="89"/>
  <c r="C11" i="89"/>
  <c r="B11" i="89"/>
  <c r="C10" i="89"/>
  <c r="B10" i="89"/>
  <c r="C9" i="89"/>
  <c r="B9" i="89"/>
  <c r="C8" i="89"/>
  <c r="B8" i="89"/>
  <c r="C7" i="89"/>
  <c r="B7" i="89"/>
  <c r="C6" i="89"/>
  <c r="B6" i="89"/>
  <c r="C5" i="89"/>
  <c r="C4" i="89"/>
  <c r="B4" i="89"/>
  <c r="AJ33" i="89"/>
  <c r="AD33" i="89"/>
  <c r="AC33" i="89"/>
  <c r="Y33" i="89"/>
  <c r="S33" i="89"/>
  <c r="R33" i="89"/>
  <c r="O33" i="89"/>
  <c r="N33" i="89"/>
  <c r="I33" i="89"/>
  <c r="AJ32" i="89"/>
  <c r="AD32" i="89"/>
  <c r="AC32" i="89"/>
  <c r="Y32" i="89"/>
  <c r="S32" i="89"/>
  <c r="R32" i="89"/>
  <c r="O32" i="89"/>
  <c r="N32" i="89"/>
  <c r="I32" i="89"/>
  <c r="AJ31" i="89"/>
  <c r="AD31" i="89"/>
  <c r="AC31" i="89"/>
  <c r="Y31" i="89"/>
  <c r="S31" i="89"/>
  <c r="R31" i="89"/>
  <c r="O31" i="89"/>
  <c r="N31" i="89"/>
  <c r="I31" i="89"/>
  <c r="AJ30" i="89"/>
  <c r="AD30" i="89"/>
  <c r="AC30" i="89"/>
  <c r="Y30" i="89"/>
  <c r="S30" i="89"/>
  <c r="R30" i="89"/>
  <c r="O30" i="89"/>
  <c r="N30" i="89"/>
  <c r="I30" i="89"/>
  <c r="AJ29" i="89"/>
  <c r="AD29" i="89"/>
  <c r="AC29" i="89"/>
  <c r="Y29" i="89"/>
  <c r="S29" i="89"/>
  <c r="R29" i="89"/>
  <c r="N29" i="89"/>
  <c r="J29" i="89"/>
  <c r="I29" i="89"/>
  <c r="AJ28" i="89"/>
  <c r="AD28" i="89"/>
  <c r="AC28" i="89"/>
  <c r="Y28" i="89"/>
  <c r="S28" i="89"/>
  <c r="R28" i="89"/>
  <c r="N28" i="89"/>
  <c r="J28" i="89"/>
  <c r="I28" i="89"/>
  <c r="AJ27" i="89"/>
  <c r="AD27" i="89"/>
  <c r="AC27" i="89"/>
  <c r="Y27" i="89"/>
  <c r="S27" i="89"/>
  <c r="R27" i="89"/>
  <c r="N27" i="89"/>
  <c r="J27" i="89"/>
  <c r="I27" i="89"/>
  <c r="AJ26" i="89"/>
  <c r="AD26" i="89"/>
  <c r="Z38" i="89"/>
  <c r="AC26" i="89"/>
  <c r="Y26" i="89"/>
  <c r="S26" i="89"/>
  <c r="R26" i="89"/>
  <c r="O26" i="89"/>
  <c r="N26" i="89"/>
  <c r="J26" i="89"/>
  <c r="I26" i="89"/>
  <c r="AJ25" i="89"/>
  <c r="AD25" i="89"/>
  <c r="AC25" i="89"/>
  <c r="Y25" i="89"/>
  <c r="S25" i="89"/>
  <c r="R25" i="89"/>
  <c r="O25" i="89"/>
  <c r="N25" i="89"/>
  <c r="J25" i="89"/>
  <c r="I25" i="89"/>
  <c r="AJ24" i="89"/>
  <c r="AD24" i="89"/>
  <c r="AC24" i="89"/>
  <c r="Y24" i="89"/>
  <c r="S24" i="89"/>
  <c r="R24" i="89"/>
  <c r="O24" i="89"/>
  <c r="N24" i="89"/>
  <c r="J24" i="89"/>
  <c r="I24" i="89"/>
  <c r="AJ23" i="89"/>
  <c r="AD23" i="89"/>
  <c r="AC23" i="89"/>
  <c r="Y23" i="89"/>
  <c r="S23" i="89"/>
  <c r="R23" i="89"/>
  <c r="O23" i="89"/>
  <c r="N23" i="89"/>
  <c r="J23" i="89"/>
  <c r="I23" i="89"/>
  <c r="AJ22" i="89"/>
  <c r="AD22" i="89"/>
  <c r="AC22" i="89"/>
  <c r="Y22" i="89"/>
  <c r="S22" i="89"/>
  <c r="R22" i="89"/>
  <c r="O22" i="89"/>
  <c r="N22" i="89"/>
  <c r="J22" i="89"/>
  <c r="I22" i="89"/>
  <c r="AJ21" i="89"/>
  <c r="AD21" i="89"/>
  <c r="AC21" i="89"/>
  <c r="Y21" i="89"/>
  <c r="S21" i="89"/>
  <c r="R21" i="89"/>
  <c r="O21" i="89"/>
  <c r="N21" i="89"/>
  <c r="J21" i="89"/>
  <c r="I21" i="89"/>
  <c r="AJ20" i="89"/>
  <c r="AD20" i="89"/>
  <c r="AC20" i="89"/>
  <c r="Y20" i="89"/>
  <c r="S20" i="89"/>
  <c r="R20" i="89"/>
  <c r="O20" i="89"/>
  <c r="N20" i="89"/>
  <c r="J20" i="89"/>
  <c r="I20" i="89"/>
  <c r="AJ19" i="89"/>
  <c r="AD19" i="89"/>
  <c r="AC19" i="89"/>
  <c r="Y19" i="89"/>
  <c r="S19" i="89"/>
  <c r="R19" i="89"/>
  <c r="O19" i="89"/>
  <c r="N19" i="89"/>
  <c r="J19" i="89"/>
  <c r="I19" i="89"/>
  <c r="AJ18" i="89"/>
  <c r="AD18" i="89"/>
  <c r="AC18" i="89"/>
  <c r="Y18" i="89"/>
  <c r="S18" i="89"/>
  <c r="R18" i="89"/>
  <c r="O18" i="89"/>
  <c r="N18" i="89"/>
  <c r="J18" i="89"/>
  <c r="I18" i="89"/>
  <c r="AJ17" i="89"/>
  <c r="AD17" i="89"/>
  <c r="AC17" i="89"/>
  <c r="Y17" i="89"/>
  <c r="S17" i="89"/>
  <c r="R17" i="89"/>
  <c r="O17" i="89"/>
  <c r="N17" i="89"/>
  <c r="J17" i="89"/>
  <c r="I17" i="89"/>
  <c r="AJ16" i="89"/>
  <c r="AD16" i="89"/>
  <c r="AC16" i="89"/>
  <c r="Y16" i="89"/>
  <c r="S16" i="89"/>
  <c r="R16" i="89"/>
  <c r="O16" i="89"/>
  <c r="N16" i="89"/>
  <c r="J16" i="89"/>
  <c r="I16" i="89"/>
  <c r="AJ15" i="89"/>
  <c r="AD15" i="89"/>
  <c r="AC15" i="89"/>
  <c r="Y15" i="89"/>
  <c r="S15" i="89"/>
  <c r="R15" i="89"/>
  <c r="O15" i="89"/>
  <c r="N15" i="89"/>
  <c r="J15" i="89"/>
  <c r="I15" i="89"/>
  <c r="AJ14" i="89"/>
  <c r="AD14" i="89"/>
  <c r="AC14" i="89"/>
  <c r="Y14" i="89"/>
  <c r="S14" i="89"/>
  <c r="R14" i="89"/>
  <c r="O14" i="89"/>
  <c r="N14" i="89"/>
  <c r="J14" i="89"/>
  <c r="I14" i="89"/>
  <c r="AJ13" i="89"/>
  <c r="AD13" i="89"/>
  <c r="AC13" i="89"/>
  <c r="Y13" i="89"/>
  <c r="S13" i="89"/>
  <c r="R13" i="89"/>
  <c r="O13" i="89"/>
  <c r="N13" i="89"/>
  <c r="J13" i="89"/>
  <c r="I13" i="89"/>
  <c r="AJ12" i="89"/>
  <c r="AD12" i="89"/>
  <c r="AC12" i="89"/>
  <c r="Y12" i="89"/>
  <c r="S12" i="89"/>
  <c r="R12" i="89"/>
  <c r="O12" i="89"/>
  <c r="N12" i="89"/>
  <c r="J12" i="89"/>
  <c r="I12" i="89"/>
  <c r="AJ11" i="89"/>
  <c r="AD11" i="89"/>
  <c r="AC11" i="89"/>
  <c r="Y11" i="89"/>
  <c r="S11" i="89"/>
  <c r="R11" i="89"/>
  <c r="O11" i="89"/>
  <c r="N11" i="89"/>
  <c r="J11" i="89"/>
  <c r="I11" i="89"/>
  <c r="AJ10" i="89"/>
  <c r="AD10" i="89"/>
  <c r="AC10" i="89"/>
  <c r="Y10" i="89"/>
  <c r="S10" i="89"/>
  <c r="R10" i="89"/>
  <c r="O10" i="89"/>
  <c r="N10" i="89"/>
  <c r="J10" i="89"/>
  <c r="I10" i="89"/>
  <c r="AJ9" i="89"/>
  <c r="AD9" i="89"/>
  <c r="AC9" i="89"/>
  <c r="Y9" i="89"/>
  <c r="S9" i="89"/>
  <c r="R9" i="89"/>
  <c r="O9" i="89"/>
  <c r="N9" i="89"/>
  <c r="J9" i="89"/>
  <c r="I9" i="89"/>
  <c r="AJ8" i="89"/>
  <c r="AD8" i="89"/>
  <c r="AC8" i="89"/>
  <c r="Y8" i="89"/>
  <c r="S8" i="89"/>
  <c r="R8" i="89"/>
  <c r="O8" i="89"/>
  <c r="N8" i="89"/>
  <c r="J8" i="89"/>
  <c r="I8" i="89"/>
  <c r="AJ7" i="89"/>
  <c r="AD7" i="89"/>
  <c r="AC7" i="89"/>
  <c r="Y7" i="89"/>
  <c r="S7" i="89"/>
  <c r="R7" i="89"/>
  <c r="O7" i="89"/>
  <c r="N7" i="89"/>
  <c r="J7" i="89"/>
  <c r="I7" i="89"/>
  <c r="AJ6" i="89"/>
  <c r="AD6" i="89"/>
  <c r="AC6" i="89"/>
  <c r="Y6" i="89"/>
  <c r="S6" i="89"/>
  <c r="R6" i="89"/>
  <c r="O6" i="89"/>
  <c r="N6" i="89"/>
  <c r="J6" i="89"/>
  <c r="I6" i="89"/>
  <c r="AJ5" i="89"/>
  <c r="AD5" i="89"/>
  <c r="AC5" i="89"/>
  <c r="Y5" i="89"/>
  <c r="S5" i="89"/>
  <c r="R5" i="89"/>
  <c r="O5" i="89"/>
  <c r="N5" i="89"/>
  <c r="J5" i="89"/>
  <c r="I5" i="89"/>
  <c r="AJ4" i="89"/>
  <c r="AD4" i="89"/>
  <c r="AC4" i="89"/>
  <c r="Y4" i="89"/>
  <c r="S4" i="89"/>
  <c r="R4" i="89"/>
  <c r="O4" i="89"/>
  <c r="N4" i="89"/>
  <c r="J4" i="89"/>
  <c r="I4" i="89"/>
  <c r="AA86" i="89"/>
  <c r="AE38" i="89"/>
  <c r="AQ38" i="89"/>
  <c r="AD38" i="89"/>
  <c r="AL120" i="89"/>
  <c r="AL119" i="89"/>
  <c r="AL118" i="89"/>
  <c r="AL117" i="89"/>
  <c r="AL116" i="89"/>
  <c r="AL115" i="89"/>
  <c r="AL114" i="89"/>
  <c r="AL113" i="89"/>
  <c r="AL112" i="89"/>
  <c r="AL111" i="89"/>
  <c r="AL110" i="89"/>
  <c r="AL109" i="89"/>
  <c r="AL108" i="89"/>
  <c r="AL107" i="89"/>
  <c r="AL106" i="89"/>
  <c r="AL105" i="89"/>
  <c r="AL104" i="89"/>
  <c r="AL103" i="89"/>
  <c r="AL102" i="89"/>
  <c r="AL101" i="89"/>
  <c r="AL100" i="89"/>
  <c r="AL99" i="89"/>
  <c r="AL98" i="89"/>
  <c r="AL97" i="89"/>
  <c r="AL96" i="89"/>
  <c r="AL95" i="89"/>
  <c r="AL94" i="89"/>
  <c r="AL93" i="89"/>
  <c r="AL92" i="89"/>
  <c r="AL91" i="89"/>
  <c r="AN38" i="89"/>
  <c r="AC38" i="89"/>
  <c r="AB38" i="89"/>
  <c r="C34" i="89"/>
  <c r="C39" i="89"/>
  <c r="G38" i="89"/>
  <c r="C40" i="89"/>
  <c r="B34" i="89"/>
  <c r="B39" i="89"/>
  <c r="F38" i="89"/>
  <c r="B40" i="89"/>
  <c r="E5" i="89"/>
  <c r="E6" i="89"/>
  <c r="E7" i="89"/>
  <c r="E8" i="89"/>
  <c r="E9" i="89"/>
  <c r="E10" i="89"/>
  <c r="E11" i="89"/>
  <c r="E12" i="89"/>
  <c r="E13" i="89"/>
  <c r="E14" i="89"/>
  <c r="E15" i="89"/>
  <c r="E16" i="89"/>
  <c r="E17" i="89"/>
  <c r="E18" i="89"/>
  <c r="E19" i="89"/>
  <c r="E20" i="89"/>
  <c r="E21" i="89"/>
  <c r="E22" i="89"/>
  <c r="E23" i="89"/>
  <c r="E24" i="89"/>
  <c r="E25" i="89"/>
  <c r="E26" i="89"/>
  <c r="E27" i="89"/>
  <c r="E28" i="89"/>
  <c r="E29" i="89"/>
  <c r="E30" i="89"/>
  <c r="E31" i="89"/>
  <c r="E32" i="89"/>
  <c r="E33" i="89"/>
  <c r="A5" i="89"/>
  <c r="A6" i="89"/>
  <c r="A7" i="89"/>
  <c r="A8" i="89"/>
  <c r="A9" i="89"/>
  <c r="A10" i="89"/>
  <c r="A11" i="89"/>
  <c r="A12" i="89"/>
  <c r="A13" i="89"/>
  <c r="A14" i="89"/>
  <c r="A15" i="89"/>
  <c r="A16" i="89"/>
  <c r="A17" i="89"/>
  <c r="A18" i="89"/>
  <c r="A19" i="89"/>
  <c r="A20" i="89"/>
  <c r="A21" i="89"/>
  <c r="A22" i="89"/>
  <c r="A23" i="89"/>
  <c r="A24" i="89"/>
  <c r="A25" i="89"/>
  <c r="A26" i="89"/>
  <c r="A27" i="89"/>
  <c r="A28" i="89"/>
  <c r="A29" i="89"/>
  <c r="A30" i="89"/>
  <c r="A31" i="89"/>
  <c r="A32" i="89"/>
  <c r="A33" i="89"/>
  <c r="BF80" i="87"/>
  <c r="BG80" i="87"/>
  <c r="BH80" i="87"/>
  <c r="BI80" i="87"/>
  <c r="BJ80" i="87"/>
  <c r="AJ34" i="87"/>
  <c r="AD34" i="87"/>
  <c r="Z38" i="87"/>
  <c r="AC34" i="87"/>
  <c r="Y34" i="87"/>
  <c r="S34" i="87"/>
  <c r="R34" i="87"/>
  <c r="B34" i="87"/>
  <c r="O34" i="87"/>
  <c r="N34" i="87"/>
  <c r="C34" i="87"/>
  <c r="J34" i="87"/>
  <c r="I34" i="87"/>
  <c r="AJ33" i="87"/>
  <c r="AD33" i="87"/>
  <c r="Y33" i="87"/>
  <c r="S33" i="87"/>
  <c r="R33" i="87"/>
  <c r="O33" i="87"/>
  <c r="N33" i="87"/>
  <c r="C33" i="87"/>
  <c r="J33" i="87"/>
  <c r="I33" i="87"/>
  <c r="AJ32" i="87"/>
  <c r="AD32" i="87"/>
  <c r="Y32" i="87"/>
  <c r="S32" i="87"/>
  <c r="R32" i="87"/>
  <c r="B32" i="87"/>
  <c r="O32" i="87"/>
  <c r="N32" i="87"/>
  <c r="C32" i="87"/>
  <c r="J32" i="87"/>
  <c r="I32" i="87"/>
  <c r="AJ31" i="87"/>
  <c r="AD31" i="87"/>
  <c r="AC31" i="87"/>
  <c r="Y31" i="87"/>
  <c r="S31" i="87"/>
  <c r="R31" i="87"/>
  <c r="B31" i="87"/>
  <c r="O31" i="87"/>
  <c r="N31" i="87"/>
  <c r="C31" i="87"/>
  <c r="J31" i="87"/>
  <c r="I31" i="87"/>
  <c r="AJ30" i="87"/>
  <c r="AD30" i="87"/>
  <c r="AC30" i="87"/>
  <c r="Y30" i="87"/>
  <c r="S30" i="87"/>
  <c r="R30" i="87"/>
  <c r="B30" i="87"/>
  <c r="O30" i="87"/>
  <c r="N30" i="87"/>
  <c r="C30" i="87"/>
  <c r="J30" i="87"/>
  <c r="I30" i="87"/>
  <c r="AJ29" i="87"/>
  <c r="AD29" i="87"/>
  <c r="AC29" i="87"/>
  <c r="Y29" i="87"/>
  <c r="S29" i="87"/>
  <c r="R29" i="87"/>
  <c r="B29" i="87"/>
  <c r="O29" i="87"/>
  <c r="N29" i="87"/>
  <c r="C29" i="87"/>
  <c r="J29" i="87"/>
  <c r="I29" i="87"/>
  <c r="AJ28" i="87"/>
  <c r="AD28" i="87"/>
  <c r="AC28" i="87"/>
  <c r="Y28" i="87"/>
  <c r="S28" i="87"/>
  <c r="R28" i="87"/>
  <c r="B28" i="87"/>
  <c r="O28" i="87"/>
  <c r="N28" i="87"/>
  <c r="C28" i="87"/>
  <c r="J28" i="87"/>
  <c r="I28" i="87"/>
  <c r="AJ27" i="87"/>
  <c r="AD27" i="87"/>
  <c r="AC27" i="87"/>
  <c r="Y27" i="87"/>
  <c r="S27" i="87"/>
  <c r="R27" i="87"/>
  <c r="B27" i="87"/>
  <c r="O27" i="87"/>
  <c r="N27" i="87"/>
  <c r="C27" i="87"/>
  <c r="J27" i="87"/>
  <c r="I27" i="87"/>
  <c r="AJ26" i="87"/>
  <c r="AD26" i="87"/>
  <c r="AC26" i="87"/>
  <c r="Y26" i="87"/>
  <c r="S26" i="87"/>
  <c r="R26" i="87"/>
  <c r="B26" i="87"/>
  <c r="O26" i="87"/>
  <c r="N26" i="87"/>
  <c r="C26" i="87"/>
  <c r="J26" i="87"/>
  <c r="I26" i="87"/>
  <c r="AJ25" i="87"/>
  <c r="AD25" i="87"/>
  <c r="AC25" i="87"/>
  <c r="Y25" i="87"/>
  <c r="S25" i="87"/>
  <c r="R25" i="87"/>
  <c r="B25" i="87"/>
  <c r="O25" i="87"/>
  <c r="N25" i="87"/>
  <c r="C25" i="87"/>
  <c r="J25" i="87"/>
  <c r="I25" i="87"/>
  <c r="AJ24" i="87"/>
  <c r="AD24" i="87"/>
  <c r="AC24" i="87"/>
  <c r="Y24" i="87"/>
  <c r="S24" i="87"/>
  <c r="R24" i="87"/>
  <c r="B24" i="87"/>
  <c r="O24" i="87"/>
  <c r="N24" i="87"/>
  <c r="C24" i="87"/>
  <c r="J24" i="87"/>
  <c r="I24" i="87"/>
  <c r="AJ23" i="87"/>
  <c r="AD23" i="87"/>
  <c r="AC23" i="87"/>
  <c r="Y23" i="87"/>
  <c r="S23" i="87"/>
  <c r="R23" i="87"/>
  <c r="B23" i="87"/>
  <c r="O23" i="87"/>
  <c r="N23" i="87"/>
  <c r="C23" i="87"/>
  <c r="J23" i="87"/>
  <c r="I23" i="87"/>
  <c r="I38" i="89"/>
  <c r="M53" i="89"/>
  <c r="L49" i="89"/>
  <c r="I38" i="88"/>
  <c r="G38" i="88"/>
  <c r="L49" i="88"/>
  <c r="F38" i="88"/>
  <c r="K49" i="88"/>
  <c r="D2" i="88" s="1"/>
  <c r="I38" i="91"/>
  <c r="L49" i="91"/>
  <c r="M49" i="91" s="1"/>
  <c r="K49" i="91"/>
  <c r="L49" i="92"/>
  <c r="D2" i="92" s="1"/>
  <c r="D1" i="92" s="1"/>
  <c r="K49" i="92"/>
  <c r="I38" i="93"/>
  <c r="I91" i="93"/>
  <c r="G38" i="93"/>
  <c r="C40" i="93"/>
  <c r="F38" i="93"/>
  <c r="K49" i="93"/>
  <c r="I38" i="76"/>
  <c r="I91" i="76"/>
  <c r="L49" i="76"/>
  <c r="M49" i="76" s="1"/>
  <c r="E1" i="76" s="1"/>
  <c r="K49" i="76"/>
  <c r="I91" i="78"/>
  <c r="L49" i="78"/>
  <c r="K49" i="78"/>
  <c r="D2" i="78" s="1"/>
  <c r="D1" i="78" s="1"/>
  <c r="I91" i="80"/>
  <c r="L49" i="80"/>
  <c r="M49" i="80" s="1"/>
  <c r="E1" i="80" s="1"/>
  <c r="K49" i="80"/>
  <c r="I38" i="82"/>
  <c r="L49" i="82"/>
  <c r="K49" i="82"/>
  <c r="I4" i="84"/>
  <c r="I5" i="84"/>
  <c r="I6" i="84"/>
  <c r="I7" i="84"/>
  <c r="I8" i="84"/>
  <c r="I9" i="84"/>
  <c r="I10" i="84"/>
  <c r="I11" i="84"/>
  <c r="I12" i="84"/>
  <c r="I13" i="84"/>
  <c r="I14" i="84"/>
  <c r="I15" i="84"/>
  <c r="I16" i="84"/>
  <c r="I17" i="84"/>
  <c r="I18" i="84"/>
  <c r="I19" i="84"/>
  <c r="I20" i="84"/>
  <c r="I21" i="84"/>
  <c r="I22" i="84"/>
  <c r="I23" i="84"/>
  <c r="I24" i="84"/>
  <c r="I25" i="84"/>
  <c r="I26" i="84"/>
  <c r="I27" i="84"/>
  <c r="I28" i="84"/>
  <c r="I29" i="84"/>
  <c r="I30" i="84"/>
  <c r="I31" i="84"/>
  <c r="I32" i="84"/>
  <c r="I33" i="84"/>
  <c r="I34" i="84"/>
  <c r="I38" i="84"/>
  <c r="N49" i="84"/>
  <c r="M53" i="84"/>
  <c r="I91" i="84"/>
  <c r="I92" i="84"/>
  <c r="I93" i="84"/>
  <c r="I94" i="84"/>
  <c r="I95" i="84"/>
  <c r="I96" i="84"/>
  <c r="I97" i="84"/>
  <c r="I98" i="84"/>
  <c r="I99" i="84"/>
  <c r="I100" i="84"/>
  <c r="I101" i="84"/>
  <c r="I102" i="84"/>
  <c r="I103" i="84"/>
  <c r="I104" i="84"/>
  <c r="I105" i="84"/>
  <c r="I106" i="84"/>
  <c r="I107" i="84"/>
  <c r="I108" i="84"/>
  <c r="I109" i="84"/>
  <c r="I110" i="84"/>
  <c r="I111" i="84"/>
  <c r="I112" i="84"/>
  <c r="I113" i="84"/>
  <c r="I114" i="84"/>
  <c r="I115" i="84"/>
  <c r="I116" i="84"/>
  <c r="I117" i="84"/>
  <c r="I118" i="84"/>
  <c r="I119" i="84"/>
  <c r="I120" i="84"/>
  <c r="I121" i="84"/>
  <c r="G38" i="84"/>
  <c r="L49" i="84"/>
  <c r="F38" i="84"/>
  <c r="K49" i="84"/>
  <c r="AF91" i="86"/>
  <c r="M53" i="86"/>
  <c r="M54" i="86"/>
  <c r="L82" i="86"/>
  <c r="R38" i="86"/>
  <c r="L83" i="86"/>
  <c r="K81" i="86"/>
  <c r="I4" i="86"/>
  <c r="I5" i="86"/>
  <c r="I6" i="86"/>
  <c r="I7" i="86"/>
  <c r="I8" i="86"/>
  <c r="I9" i="86"/>
  <c r="I10" i="86"/>
  <c r="I11" i="86"/>
  <c r="I12" i="86"/>
  <c r="I13" i="86"/>
  <c r="I14" i="86"/>
  <c r="I15" i="86"/>
  <c r="I16" i="86"/>
  <c r="I17" i="86"/>
  <c r="I18" i="86"/>
  <c r="I19" i="86"/>
  <c r="I20" i="86"/>
  <c r="I21" i="86"/>
  <c r="I22" i="86"/>
  <c r="I23" i="86"/>
  <c r="I24" i="86"/>
  <c r="I25" i="86"/>
  <c r="I26" i="86"/>
  <c r="I27" i="86"/>
  <c r="I28" i="86"/>
  <c r="I29" i="86"/>
  <c r="I30" i="86"/>
  <c r="I31" i="86"/>
  <c r="I32" i="86"/>
  <c r="I33" i="86"/>
  <c r="I34" i="86"/>
  <c r="I38" i="86"/>
  <c r="L81" i="86"/>
  <c r="L80" i="86"/>
  <c r="K79" i="86"/>
  <c r="AY80" i="86"/>
  <c r="L79" i="86"/>
  <c r="L78" i="86"/>
  <c r="G38" i="86"/>
  <c r="L77" i="86"/>
  <c r="L76" i="86"/>
  <c r="F38" i="86"/>
  <c r="L75" i="86"/>
  <c r="L74" i="86"/>
  <c r="BI91" i="86"/>
  <c r="BI92" i="86"/>
  <c r="BI93" i="86"/>
  <c r="BI94" i="86"/>
  <c r="BI95" i="86"/>
  <c r="BI96" i="86"/>
  <c r="BI97" i="86"/>
  <c r="BI98" i="86"/>
  <c r="BI99" i="86"/>
  <c r="BI100" i="86"/>
  <c r="BI101" i="86"/>
  <c r="BI102" i="86"/>
  <c r="BI103" i="86"/>
  <c r="BI104" i="86"/>
  <c r="BI105" i="86"/>
  <c r="BI106" i="86"/>
  <c r="BI107" i="86"/>
  <c r="BI108" i="86"/>
  <c r="BI109" i="86"/>
  <c r="BI110" i="86"/>
  <c r="BI111" i="86"/>
  <c r="BI112" i="86"/>
  <c r="BI113" i="86"/>
  <c r="BI114" i="86"/>
  <c r="BI115" i="86"/>
  <c r="BI116" i="86"/>
  <c r="BI117" i="86"/>
  <c r="BI118" i="86"/>
  <c r="BI119" i="86"/>
  <c r="BI120" i="86"/>
  <c r="BI121" i="86"/>
  <c r="AT70" i="86"/>
  <c r="AT67" i="86"/>
  <c r="AN67" i="86" a="1"/>
  <c r="AY91" i="86"/>
  <c r="AY92" i="86"/>
  <c r="AY93" i="86"/>
  <c r="AY94" i="86"/>
  <c r="AY95" i="86"/>
  <c r="AY96" i="86"/>
  <c r="AY97" i="86"/>
  <c r="AY98" i="86"/>
  <c r="AY99" i="86"/>
  <c r="AY100" i="86"/>
  <c r="AY101" i="86"/>
  <c r="AY102" i="86"/>
  <c r="AY103" i="86"/>
  <c r="AY104" i="86"/>
  <c r="AY105" i="86"/>
  <c r="AY106" i="86"/>
  <c r="AY107" i="86"/>
  <c r="AY108" i="86"/>
  <c r="AY109" i="86"/>
  <c r="AY110" i="86"/>
  <c r="AY111" i="86"/>
  <c r="AY112" i="86"/>
  <c r="AY113" i="86"/>
  <c r="AY114" i="86"/>
  <c r="AY115" i="86"/>
  <c r="AY116" i="86"/>
  <c r="AY117" i="86"/>
  <c r="AY118" i="86"/>
  <c r="AY119" i="86"/>
  <c r="AY120" i="86"/>
  <c r="AY121" i="86"/>
  <c r="AH68" i="86"/>
  <c r="AJ68" i="86"/>
  <c r="BH91" i="86"/>
  <c r="BH92" i="86"/>
  <c r="BH93" i="86"/>
  <c r="BH94" i="86"/>
  <c r="BH95" i="86"/>
  <c r="BH96" i="86"/>
  <c r="BH97" i="86"/>
  <c r="BH98" i="86"/>
  <c r="BH99" i="86"/>
  <c r="BH100" i="86"/>
  <c r="BH101" i="86"/>
  <c r="AH65" i="86"/>
  <c r="AJ65" i="86"/>
  <c r="BH102" i="86"/>
  <c r="BH103" i="86"/>
  <c r="BH104" i="86"/>
  <c r="BH105" i="86"/>
  <c r="BH106" i="86"/>
  <c r="BH107" i="86"/>
  <c r="BH108" i="86"/>
  <c r="BH109" i="86"/>
  <c r="BH110" i="86"/>
  <c r="BH111" i="86"/>
  <c r="BH112" i="86"/>
  <c r="BH113" i="86"/>
  <c r="BH114" i="86"/>
  <c r="BH115" i="86"/>
  <c r="BH116" i="86"/>
  <c r="BH117" i="86"/>
  <c r="BH118" i="86"/>
  <c r="BH119" i="86"/>
  <c r="BH120" i="86"/>
  <c r="BH121" i="86"/>
  <c r="AJ91" i="86"/>
  <c r="AJ92" i="86"/>
  <c r="AJ93" i="86"/>
  <c r="AJ94" i="86"/>
  <c r="AJ95" i="86"/>
  <c r="AJ96" i="86"/>
  <c r="AJ97" i="86"/>
  <c r="AJ98" i="86"/>
  <c r="AJ99" i="86"/>
  <c r="AJ100" i="86"/>
  <c r="AJ101" i="86"/>
  <c r="AJ102" i="86"/>
  <c r="AJ103" i="86"/>
  <c r="AJ104" i="86"/>
  <c r="AJ105" i="86"/>
  <c r="AJ106" i="86"/>
  <c r="AJ107" i="86"/>
  <c r="AJ108" i="86"/>
  <c r="AJ109" i="86"/>
  <c r="AJ110" i="86"/>
  <c r="AJ111" i="86"/>
  <c r="AJ112" i="86"/>
  <c r="AJ113" i="86"/>
  <c r="AJ114" i="86"/>
  <c r="AJ115" i="86"/>
  <c r="AJ116" i="86"/>
  <c r="AJ117" i="86"/>
  <c r="AJ118" i="86"/>
  <c r="AJ119" i="86"/>
  <c r="AJ120" i="86"/>
  <c r="AJ121" i="86"/>
  <c r="AN48" i="86"/>
  <c r="AN54" i="86"/>
  <c r="AY49" i="86"/>
  <c r="AX91" i="86"/>
  <c r="AY50" i="86"/>
  <c r="AX92" i="86"/>
  <c r="AY51" i="86"/>
  <c r="AX93" i="86"/>
  <c r="AY52" i="86"/>
  <c r="AX94" i="86"/>
  <c r="AY53" i="86"/>
  <c r="AX95" i="86"/>
  <c r="AY54" i="86"/>
  <c r="AX96" i="86"/>
  <c r="AY55" i="86"/>
  <c r="AX97" i="86"/>
  <c r="AY56" i="86"/>
  <c r="AX98" i="86"/>
  <c r="AY57" i="86"/>
  <c r="AX99" i="86"/>
  <c r="AY58" i="86"/>
  <c r="AX100" i="86"/>
  <c r="AY59" i="86"/>
  <c r="AX101" i="86"/>
  <c r="AY60" i="86"/>
  <c r="AX102" i="86"/>
  <c r="AY61" i="86"/>
  <c r="AX103" i="86"/>
  <c r="AY62" i="86"/>
  <c r="AX104" i="86"/>
  <c r="AY63" i="86"/>
  <c r="AX105" i="86"/>
  <c r="AY64" i="86"/>
  <c r="AX106" i="86"/>
  <c r="AY65" i="86"/>
  <c r="AX107" i="86"/>
  <c r="AY66" i="86"/>
  <c r="AX108" i="86"/>
  <c r="AY67" i="86"/>
  <c r="AX109" i="86"/>
  <c r="AY68" i="86"/>
  <c r="AX110" i="86"/>
  <c r="AY69" i="86"/>
  <c r="AX111" i="86"/>
  <c r="AY70" i="86"/>
  <c r="AX112" i="86"/>
  <c r="AY71" i="86"/>
  <c r="AX113" i="86"/>
  <c r="AY72" i="86"/>
  <c r="AX114" i="86"/>
  <c r="AY73" i="86"/>
  <c r="AX115" i="86"/>
  <c r="AY74" i="86"/>
  <c r="AX116" i="86"/>
  <c r="AY75" i="86"/>
  <c r="AX117" i="86"/>
  <c r="AY76" i="86"/>
  <c r="AX118" i="86"/>
  <c r="AX119" i="86"/>
  <c r="AX120" i="86"/>
  <c r="AX121" i="86"/>
  <c r="AN51" i="86"/>
  <c r="AW91" i="86"/>
  <c r="AW92" i="86"/>
  <c r="AW93" i="86"/>
  <c r="AW94" i="86"/>
  <c r="AW95" i="86"/>
  <c r="AW96" i="86"/>
  <c r="AW97" i="86"/>
  <c r="AW98" i="86"/>
  <c r="AW99" i="86"/>
  <c r="AW100" i="86"/>
  <c r="AW101" i="86"/>
  <c r="AW102" i="86"/>
  <c r="AW103" i="86"/>
  <c r="AH50" i="86"/>
  <c r="AJ50" i="86"/>
  <c r="AW104" i="86"/>
  <c r="AW105" i="86"/>
  <c r="AW106" i="86"/>
  <c r="AW107" i="86"/>
  <c r="AW108" i="86"/>
  <c r="AW109" i="86"/>
  <c r="AW110" i="86"/>
  <c r="AW111" i="86"/>
  <c r="AW112" i="86"/>
  <c r="AW113" i="86"/>
  <c r="AW114" i="86"/>
  <c r="AW115" i="86"/>
  <c r="AW116" i="86"/>
  <c r="AW117" i="86"/>
  <c r="AW118" i="86"/>
  <c r="AW119" i="86"/>
  <c r="AW120" i="86"/>
  <c r="AW121" i="86"/>
  <c r="I91" i="86"/>
  <c r="I92" i="86"/>
  <c r="I93" i="86"/>
  <c r="I94" i="86"/>
  <c r="I95" i="86"/>
  <c r="I96" i="86"/>
  <c r="I97" i="86"/>
  <c r="I98" i="86"/>
  <c r="N49" i="86"/>
  <c r="I99" i="86"/>
  <c r="I100" i="86"/>
  <c r="I101" i="86"/>
  <c r="I102" i="86"/>
  <c r="I103" i="86"/>
  <c r="I104" i="86"/>
  <c r="I105" i="86"/>
  <c r="I106" i="86"/>
  <c r="I107" i="86"/>
  <c r="I108" i="86"/>
  <c r="I109" i="86"/>
  <c r="I110" i="86"/>
  <c r="I111" i="86"/>
  <c r="I112" i="86"/>
  <c r="I113" i="86"/>
  <c r="I114" i="86"/>
  <c r="I115" i="86"/>
  <c r="I116" i="86"/>
  <c r="I117" i="86"/>
  <c r="I118" i="86"/>
  <c r="L49" i="86"/>
  <c r="M49" i="86" s="1"/>
  <c r="E1" i="86" s="1"/>
  <c r="K49" i="86"/>
  <c r="AB47" i="86"/>
  <c r="AN91" i="86" a="1"/>
  <c r="M40" i="86"/>
  <c r="H40" i="86"/>
  <c r="M53" i="87"/>
  <c r="F38" i="87"/>
  <c r="K49" i="87"/>
  <c r="G38" i="87"/>
  <c r="L49" i="87"/>
  <c r="M49" i="87" s="1"/>
  <c r="C22" i="87"/>
  <c r="J22" i="87"/>
  <c r="B22" i="87"/>
  <c r="C20" i="87"/>
  <c r="J20" i="87"/>
  <c r="B20" i="87"/>
  <c r="C18" i="87"/>
  <c r="J18" i="87"/>
  <c r="B18" i="87"/>
  <c r="C17" i="87"/>
  <c r="J17" i="87"/>
  <c r="B17" i="87"/>
  <c r="C16" i="87"/>
  <c r="J16" i="87"/>
  <c r="C15" i="87"/>
  <c r="B15" i="87"/>
  <c r="O15" i="87"/>
  <c r="C14" i="87"/>
  <c r="B14" i="87"/>
  <c r="C13" i="87"/>
  <c r="B13" i="87"/>
  <c r="C12" i="87"/>
  <c r="B12" i="87"/>
  <c r="C11" i="87"/>
  <c r="B11" i="87"/>
  <c r="AJ22" i="87"/>
  <c r="AD22" i="87"/>
  <c r="AC22" i="87"/>
  <c r="Y22" i="87"/>
  <c r="S22" i="87"/>
  <c r="R22" i="87"/>
  <c r="O22" i="87"/>
  <c r="N22" i="87"/>
  <c r="I22" i="87"/>
  <c r="AJ21" i="87"/>
  <c r="AD21" i="87"/>
  <c r="AC21" i="87"/>
  <c r="Y21" i="87"/>
  <c r="S21" i="87"/>
  <c r="R21" i="87"/>
  <c r="O21" i="87"/>
  <c r="N21" i="87"/>
  <c r="J21" i="87"/>
  <c r="I21" i="87"/>
  <c r="AJ20" i="87"/>
  <c r="AD20" i="87"/>
  <c r="AC20" i="87"/>
  <c r="Y20" i="87"/>
  <c r="S20" i="87"/>
  <c r="R20" i="87"/>
  <c r="O20" i="87"/>
  <c r="N20" i="87"/>
  <c r="I20" i="87"/>
  <c r="AJ19" i="87"/>
  <c r="AD19" i="87"/>
  <c r="AC19" i="87"/>
  <c r="Y19" i="87"/>
  <c r="S19" i="87"/>
  <c r="R19" i="87"/>
  <c r="O19" i="87"/>
  <c r="N19" i="87"/>
  <c r="J19" i="87"/>
  <c r="I19" i="87"/>
  <c r="AJ18" i="87"/>
  <c r="AD18" i="87"/>
  <c r="AC18" i="87"/>
  <c r="Y18" i="87"/>
  <c r="S18" i="87"/>
  <c r="R18" i="87"/>
  <c r="O18" i="87"/>
  <c r="N18" i="87"/>
  <c r="I18" i="87"/>
  <c r="AJ17" i="87"/>
  <c r="AD17" i="87"/>
  <c r="AC17" i="87"/>
  <c r="Y17" i="87"/>
  <c r="S17" i="87"/>
  <c r="R17" i="87"/>
  <c r="O17" i="87"/>
  <c r="N17" i="87"/>
  <c r="I17" i="87"/>
  <c r="AJ16" i="87"/>
  <c r="AD16" i="87"/>
  <c r="AC16" i="87"/>
  <c r="Y16" i="87"/>
  <c r="S16" i="87"/>
  <c r="R16" i="87"/>
  <c r="O16" i="87"/>
  <c r="N16" i="87"/>
  <c r="I16" i="87"/>
  <c r="AJ15" i="87"/>
  <c r="AD15" i="87"/>
  <c r="AC15" i="87"/>
  <c r="Y15" i="87"/>
  <c r="S15" i="87"/>
  <c r="R15" i="87"/>
  <c r="N15" i="87"/>
  <c r="J15" i="87"/>
  <c r="I15" i="87"/>
  <c r="AJ14" i="87"/>
  <c r="AD14" i="87"/>
  <c r="AC14" i="87"/>
  <c r="Y14" i="87"/>
  <c r="S14" i="87"/>
  <c r="R14" i="87"/>
  <c r="O14" i="87"/>
  <c r="N14" i="87"/>
  <c r="J14" i="87"/>
  <c r="I14" i="87"/>
  <c r="AJ13" i="87"/>
  <c r="AD13" i="87"/>
  <c r="AC13" i="87"/>
  <c r="Y13" i="87"/>
  <c r="S13" i="87"/>
  <c r="R13" i="87"/>
  <c r="O13" i="87"/>
  <c r="N13" i="87"/>
  <c r="J13" i="87"/>
  <c r="I13" i="87"/>
  <c r="AJ12" i="87"/>
  <c r="AD12" i="87"/>
  <c r="AC12" i="87"/>
  <c r="Y12" i="87"/>
  <c r="S12" i="87"/>
  <c r="R12" i="87"/>
  <c r="O12" i="87"/>
  <c r="N12" i="87"/>
  <c r="J12" i="87"/>
  <c r="I12" i="87"/>
  <c r="AJ11" i="87"/>
  <c r="AD11" i="87"/>
  <c r="AC11" i="87"/>
  <c r="Y11" i="87"/>
  <c r="S11" i="87"/>
  <c r="R11" i="87"/>
  <c r="O11" i="87"/>
  <c r="N11" i="87"/>
  <c r="J11" i="87"/>
  <c r="I11" i="87"/>
  <c r="AQ86" i="89"/>
  <c r="AQ86" i="88"/>
  <c r="G72" i="88"/>
  <c r="AQ86" i="91"/>
  <c r="G72" i="92"/>
  <c r="AQ86" i="93"/>
  <c r="G72" i="93"/>
  <c r="AQ86" i="76"/>
  <c r="G72" i="76"/>
  <c r="Y34" i="76"/>
  <c r="R34" i="76"/>
  <c r="G72" i="78"/>
  <c r="G72" i="80"/>
  <c r="AQ86" i="82"/>
  <c r="G72" i="82"/>
  <c r="Z38" i="84"/>
  <c r="AQ86" i="84"/>
  <c r="AQ86" i="87"/>
  <c r="Z38" i="86"/>
  <c r="AQ86" i="86"/>
  <c r="AJ91" i="89"/>
  <c r="AN48" i="89"/>
  <c r="AJ92" i="89"/>
  <c r="AJ93" i="89"/>
  <c r="AJ94" i="89"/>
  <c r="AJ95" i="89"/>
  <c r="AJ96" i="89"/>
  <c r="AJ97" i="89"/>
  <c r="AJ98" i="89"/>
  <c r="AJ99" i="89"/>
  <c r="AJ100" i="89"/>
  <c r="AJ101" i="89"/>
  <c r="AJ102" i="89"/>
  <c r="AJ103" i="89"/>
  <c r="AJ104" i="89"/>
  <c r="AJ105" i="89"/>
  <c r="AJ106" i="89"/>
  <c r="AJ107" i="89"/>
  <c r="AJ108" i="89"/>
  <c r="AJ109" i="89"/>
  <c r="AJ110" i="89"/>
  <c r="AJ111" i="89"/>
  <c r="AJ112" i="89"/>
  <c r="AJ113" i="89"/>
  <c r="AJ114" i="89"/>
  <c r="AJ115" i="89"/>
  <c r="AJ116" i="89"/>
  <c r="AJ117" i="89"/>
  <c r="AJ118" i="89"/>
  <c r="AJ119" i="89"/>
  <c r="AJ120" i="89"/>
  <c r="AJ121" i="89"/>
  <c r="BI91" i="89"/>
  <c r="BI92" i="89"/>
  <c r="BI93" i="89"/>
  <c r="BI94" i="89"/>
  <c r="BI95" i="89"/>
  <c r="BI96" i="89"/>
  <c r="BI97" i="89"/>
  <c r="BI98" i="89"/>
  <c r="BI99" i="89"/>
  <c r="BI100" i="89"/>
  <c r="BI101" i="89"/>
  <c r="BI102" i="89"/>
  <c r="BI103" i="89"/>
  <c r="BI104" i="89"/>
  <c r="BI105" i="89"/>
  <c r="BI106" i="89"/>
  <c r="BI107" i="89"/>
  <c r="BI108" i="89"/>
  <c r="BI109" i="89"/>
  <c r="BI110" i="89"/>
  <c r="BI111" i="89"/>
  <c r="BI112" i="89"/>
  <c r="BI113" i="89"/>
  <c r="BI114" i="89"/>
  <c r="BI115" i="89"/>
  <c r="BI116" i="89"/>
  <c r="BI117" i="89"/>
  <c r="BI118" i="89"/>
  <c r="BI119" i="89"/>
  <c r="BI120" i="89"/>
  <c r="AJ91" i="88"/>
  <c r="AJ92" i="88"/>
  <c r="AJ93" i="88"/>
  <c r="AJ94" i="88"/>
  <c r="AJ95" i="88"/>
  <c r="AJ96" i="88"/>
  <c r="AJ97" i="88"/>
  <c r="AJ98" i="88"/>
  <c r="AJ99" i="88"/>
  <c r="AJ100" i="88"/>
  <c r="AJ101" i="88"/>
  <c r="AJ102" i="88"/>
  <c r="AJ103" i="88"/>
  <c r="AJ104" i="88"/>
  <c r="AJ105" i="88"/>
  <c r="AJ106" i="88"/>
  <c r="AJ107" i="88"/>
  <c r="AJ108" i="88"/>
  <c r="AJ109" i="88"/>
  <c r="AJ110" i="88"/>
  <c r="AJ111" i="88"/>
  <c r="AJ112" i="88"/>
  <c r="AJ113" i="88"/>
  <c r="AJ114" i="88"/>
  <c r="AJ115" i="88"/>
  <c r="AJ116" i="88"/>
  <c r="AJ117" i="88"/>
  <c r="AJ118" i="88"/>
  <c r="AJ119" i="88"/>
  <c r="AJ120" i="88"/>
  <c r="AJ121" i="88"/>
  <c r="AN48" i="88"/>
  <c r="BI91" i="88"/>
  <c r="BI92" i="88"/>
  <c r="BI93" i="88"/>
  <c r="BI94" i="88"/>
  <c r="BI95" i="88"/>
  <c r="BI96" i="88"/>
  <c r="BI97" i="88"/>
  <c r="BI98" i="88"/>
  <c r="BI99" i="88"/>
  <c r="BI100" i="88"/>
  <c r="BI101" i="88"/>
  <c r="BI102" i="88"/>
  <c r="BI103" i="88"/>
  <c r="BI104" i="88"/>
  <c r="BI105" i="88"/>
  <c r="BI106" i="88"/>
  <c r="BI107" i="88"/>
  <c r="BI108" i="88"/>
  <c r="BI109" i="88"/>
  <c r="BI110" i="88"/>
  <c r="BI111" i="88"/>
  <c r="BI112" i="88"/>
  <c r="BI113" i="88"/>
  <c r="BI114" i="88"/>
  <c r="BI115" i="88"/>
  <c r="BI116" i="88"/>
  <c r="BI117" i="88"/>
  <c r="BI118" i="88"/>
  <c r="BI119" i="88"/>
  <c r="BI120" i="88"/>
  <c r="BI121" i="88"/>
  <c r="AT70" i="88"/>
  <c r="AT67" i="88"/>
  <c r="AT82" i="88"/>
  <c r="AJ91" i="91"/>
  <c r="AJ92" i="91"/>
  <c r="AJ93" i="91"/>
  <c r="AJ94" i="91"/>
  <c r="AJ95" i="91"/>
  <c r="AJ96" i="91"/>
  <c r="AJ97" i="91"/>
  <c r="AJ98" i="91"/>
  <c r="AJ99" i="91"/>
  <c r="AJ100" i="91"/>
  <c r="AJ101" i="91"/>
  <c r="AJ102" i="91"/>
  <c r="AJ103" i="91"/>
  <c r="AJ104" i="91"/>
  <c r="AJ105" i="91"/>
  <c r="AJ106" i="91"/>
  <c r="AJ107" i="91"/>
  <c r="AJ108" i="91"/>
  <c r="AJ109" i="91"/>
  <c r="AJ110" i="91"/>
  <c r="AJ111" i="91"/>
  <c r="AJ112" i="91"/>
  <c r="AJ113" i="91"/>
  <c r="AJ114" i="91"/>
  <c r="AJ115" i="91"/>
  <c r="AJ116" i="91"/>
  <c r="AJ117" i="91"/>
  <c r="AJ118" i="91"/>
  <c r="AJ119" i="91"/>
  <c r="AJ120" i="91"/>
  <c r="AJ121" i="91"/>
  <c r="AN48" i="91"/>
  <c r="BI91" i="91"/>
  <c r="BI92" i="91"/>
  <c r="BI93" i="91"/>
  <c r="BI94" i="91"/>
  <c r="BI95" i="91"/>
  <c r="BI96" i="91"/>
  <c r="BI97" i="91"/>
  <c r="BI98" i="91"/>
  <c r="BI99" i="91"/>
  <c r="BI100" i="91"/>
  <c r="BI101" i="91"/>
  <c r="BI102" i="91"/>
  <c r="BI103" i="91"/>
  <c r="BI104" i="91"/>
  <c r="BI105" i="91"/>
  <c r="BI106" i="91"/>
  <c r="BI107" i="91"/>
  <c r="BI108" i="91"/>
  <c r="BI109" i="91"/>
  <c r="BI110" i="91"/>
  <c r="BI111" i="91"/>
  <c r="BI112" i="91"/>
  <c r="BI113" i="91"/>
  <c r="BI114" i="91"/>
  <c r="BI115" i="91"/>
  <c r="BI116" i="91"/>
  <c r="BI117" i="91"/>
  <c r="BI118" i="91"/>
  <c r="BI119" i="91"/>
  <c r="BI120" i="91"/>
  <c r="AJ91" i="92"/>
  <c r="AN48" i="92"/>
  <c r="AJ92" i="92"/>
  <c r="AJ93" i="92"/>
  <c r="AJ94" i="92"/>
  <c r="AJ95" i="92"/>
  <c r="AJ96" i="92"/>
  <c r="AJ97" i="92"/>
  <c r="AJ98" i="92"/>
  <c r="AJ99" i="92"/>
  <c r="AJ100" i="92"/>
  <c r="AJ101" i="92"/>
  <c r="AJ102" i="92"/>
  <c r="AJ103" i="92"/>
  <c r="AJ104" i="92"/>
  <c r="AJ105" i="92"/>
  <c r="AJ106" i="92"/>
  <c r="AJ107" i="92"/>
  <c r="AJ108" i="92"/>
  <c r="AJ109" i="92"/>
  <c r="AJ110" i="92"/>
  <c r="AJ111" i="92"/>
  <c r="AJ112" i="92"/>
  <c r="AJ113" i="92"/>
  <c r="AJ114" i="92"/>
  <c r="AJ115" i="92"/>
  <c r="AJ116" i="92"/>
  <c r="AJ117" i="92"/>
  <c r="AJ118" i="92"/>
  <c r="AJ119" i="92"/>
  <c r="AJ120" i="92"/>
  <c r="AJ121" i="92"/>
  <c r="BI91" i="92"/>
  <c r="AT70" i="92"/>
  <c r="AT67" i="92"/>
  <c r="BI92" i="92"/>
  <c r="BI93" i="92"/>
  <c r="BI94" i="92"/>
  <c r="BI95" i="92"/>
  <c r="BI96" i="92"/>
  <c r="BI97" i="92"/>
  <c r="BI98" i="92"/>
  <c r="BI99" i="92"/>
  <c r="BI100" i="92"/>
  <c r="BI101" i="92"/>
  <c r="BI102" i="92"/>
  <c r="BI103" i="92"/>
  <c r="BI104" i="92"/>
  <c r="BI105" i="92"/>
  <c r="BI106" i="92"/>
  <c r="BI107" i="92"/>
  <c r="BI108" i="92"/>
  <c r="BI109" i="92"/>
  <c r="BI110" i="92"/>
  <c r="BI111" i="92"/>
  <c r="BI112" i="92"/>
  <c r="BI113" i="92"/>
  <c r="BI114" i="92"/>
  <c r="BI115" i="92"/>
  <c r="BI116" i="92"/>
  <c r="BI117" i="92"/>
  <c r="BI118" i="92"/>
  <c r="BI119" i="92"/>
  <c r="BI120" i="92"/>
  <c r="BI121" i="92"/>
  <c r="AJ91" i="93"/>
  <c r="AJ92" i="93"/>
  <c r="AJ93" i="93"/>
  <c r="AJ94" i="93"/>
  <c r="AJ95" i="93"/>
  <c r="AJ96" i="93"/>
  <c r="AJ97" i="93"/>
  <c r="AJ98" i="93"/>
  <c r="AJ99" i="93"/>
  <c r="AJ100" i="93"/>
  <c r="AJ101" i="93"/>
  <c r="AJ102" i="93"/>
  <c r="AJ103" i="93"/>
  <c r="AJ104" i="93"/>
  <c r="AJ105" i="93"/>
  <c r="AJ106" i="93"/>
  <c r="AJ107" i="93"/>
  <c r="AJ108" i="93"/>
  <c r="AJ109" i="93"/>
  <c r="AJ110" i="93"/>
  <c r="AJ111" i="93"/>
  <c r="AJ112" i="93"/>
  <c r="AJ113" i="93"/>
  <c r="AJ114" i="93"/>
  <c r="AJ115" i="93"/>
  <c r="AJ116" i="93"/>
  <c r="AJ117" i="93"/>
  <c r="AJ118" i="93"/>
  <c r="AJ119" i="93"/>
  <c r="AJ120" i="93"/>
  <c r="AJ121" i="93"/>
  <c r="BI91" i="93"/>
  <c r="BI92" i="93"/>
  <c r="BI93" i="93"/>
  <c r="BI94" i="93"/>
  <c r="BI95" i="93"/>
  <c r="BI96" i="93"/>
  <c r="BI97" i="93"/>
  <c r="BI98" i="93"/>
  <c r="BI99" i="93"/>
  <c r="BI100" i="93"/>
  <c r="BI101" i="93"/>
  <c r="BI102" i="93"/>
  <c r="BI103" i="93"/>
  <c r="BI104" i="93"/>
  <c r="BI105" i="93"/>
  <c r="BI106" i="93"/>
  <c r="BI107" i="93"/>
  <c r="BI108" i="93"/>
  <c r="BI109" i="93"/>
  <c r="BI110" i="93"/>
  <c r="BI111" i="93"/>
  <c r="BI112" i="93"/>
  <c r="BI113" i="93"/>
  <c r="BI114" i="93"/>
  <c r="BI115" i="93"/>
  <c r="BI116" i="93"/>
  <c r="BI117" i="93"/>
  <c r="BI118" i="93"/>
  <c r="BI119" i="93"/>
  <c r="BI120" i="93"/>
  <c r="BI121" i="93"/>
  <c r="AJ121" i="76"/>
  <c r="AN48" i="76"/>
  <c r="AJ91" i="84"/>
  <c r="AJ92" i="84"/>
  <c r="AJ93" i="84"/>
  <c r="AJ94" i="84"/>
  <c r="AJ95" i="84"/>
  <c r="AJ96" i="84"/>
  <c r="AJ97" i="84"/>
  <c r="AJ98" i="84"/>
  <c r="AJ99" i="84"/>
  <c r="AJ100" i="84"/>
  <c r="AJ101" i="84"/>
  <c r="AJ102" i="84"/>
  <c r="AJ103" i="84"/>
  <c r="AJ104" i="84"/>
  <c r="AJ105" i="84"/>
  <c r="AJ106" i="84"/>
  <c r="AJ107" i="84"/>
  <c r="AJ108" i="84"/>
  <c r="AJ109" i="84"/>
  <c r="AJ110" i="84"/>
  <c r="AJ111" i="84"/>
  <c r="AJ112" i="84"/>
  <c r="AJ113" i="84"/>
  <c r="AJ114" i="84"/>
  <c r="AJ115" i="84"/>
  <c r="AJ116" i="84"/>
  <c r="AJ117" i="84"/>
  <c r="AJ118" i="84"/>
  <c r="AJ119" i="84"/>
  <c r="AJ120" i="84"/>
  <c r="AJ121" i="84"/>
  <c r="AN48" i="84"/>
  <c r="BI91" i="84"/>
  <c r="BI92" i="84"/>
  <c r="BI93" i="84"/>
  <c r="BI94" i="84"/>
  <c r="BI95" i="84"/>
  <c r="BI96" i="84"/>
  <c r="BI97" i="84"/>
  <c r="BI98" i="84"/>
  <c r="BI99" i="84"/>
  <c r="BI100" i="84"/>
  <c r="BI101" i="84"/>
  <c r="BI102" i="84"/>
  <c r="BI103" i="84"/>
  <c r="BI104" i="84"/>
  <c r="BI105" i="84"/>
  <c r="BI106" i="84"/>
  <c r="BI107" i="84"/>
  <c r="BI108" i="84"/>
  <c r="BI109" i="84"/>
  <c r="BI110" i="84"/>
  <c r="BI111" i="84"/>
  <c r="BI112" i="84"/>
  <c r="BI113" i="84"/>
  <c r="BI114" i="84"/>
  <c r="BI115" i="84"/>
  <c r="BI116" i="84"/>
  <c r="BI117" i="84"/>
  <c r="BI118" i="84"/>
  <c r="BI119" i="84"/>
  <c r="BI120" i="84"/>
  <c r="BI121" i="84"/>
  <c r="AT70" i="84"/>
  <c r="AT67" i="84"/>
  <c r="AT82" i="84"/>
  <c r="AJ98" i="87"/>
  <c r="AJ99" i="87"/>
  <c r="AJ100" i="87"/>
  <c r="AJ101" i="87"/>
  <c r="AJ102" i="87"/>
  <c r="AJ103" i="87"/>
  <c r="AJ104" i="87"/>
  <c r="AJ105" i="87"/>
  <c r="AJ106" i="87"/>
  <c r="AJ107" i="87"/>
  <c r="AJ108" i="87"/>
  <c r="AJ109" i="87"/>
  <c r="AJ110" i="87"/>
  <c r="AJ111" i="87"/>
  <c r="AJ112" i="87"/>
  <c r="AJ113" i="87"/>
  <c r="AJ114" i="87"/>
  <c r="AJ115" i="87"/>
  <c r="AJ116" i="87"/>
  <c r="AJ117" i="87"/>
  <c r="AJ118" i="87"/>
  <c r="AJ119" i="87"/>
  <c r="AJ120" i="87"/>
  <c r="AJ121" i="87"/>
  <c r="BI98" i="87"/>
  <c r="BI99" i="87"/>
  <c r="BI100" i="87"/>
  <c r="BI101" i="87"/>
  <c r="BI102" i="87"/>
  <c r="BI103" i="87"/>
  <c r="BI104" i="87"/>
  <c r="BI105" i="87"/>
  <c r="BI106" i="87"/>
  <c r="BI107" i="87"/>
  <c r="BI108" i="87"/>
  <c r="BI109" i="87"/>
  <c r="BI110" i="87"/>
  <c r="BI111" i="87"/>
  <c r="BI112" i="87"/>
  <c r="BI113" i="87"/>
  <c r="BI114" i="87"/>
  <c r="BI115" i="87"/>
  <c r="BI116" i="87"/>
  <c r="BI117" i="87"/>
  <c r="BI118" i="87"/>
  <c r="BI119" i="87"/>
  <c r="BI120" i="87"/>
  <c r="BI121" i="87"/>
  <c r="AA46" i="88"/>
  <c r="AA46" i="91"/>
  <c r="AA46" i="84"/>
  <c r="AA46" i="86"/>
  <c r="AB48" i="84"/>
  <c r="AB47" i="84"/>
  <c r="Z40" i="84"/>
  <c r="AY49" i="84"/>
  <c r="AW91" i="84"/>
  <c r="AY50" i="84"/>
  <c r="AW92" i="84"/>
  <c r="AY51" i="84"/>
  <c r="AW93" i="84"/>
  <c r="AY52" i="84"/>
  <c r="AW94" i="84"/>
  <c r="AY53" i="84"/>
  <c r="AW95" i="84"/>
  <c r="AY54" i="84"/>
  <c r="AW96" i="84"/>
  <c r="AY55" i="84"/>
  <c r="AW97" i="84"/>
  <c r="AY56" i="84"/>
  <c r="AW98" i="84"/>
  <c r="AY57" i="84"/>
  <c r="AW99" i="84"/>
  <c r="AY58" i="84"/>
  <c r="AW100" i="84"/>
  <c r="AY59" i="84"/>
  <c r="AW101" i="84"/>
  <c r="AY60" i="84"/>
  <c r="AW102" i="84"/>
  <c r="AY61" i="84"/>
  <c r="AW103" i="84"/>
  <c r="AY62" i="84"/>
  <c r="AW104" i="84"/>
  <c r="AY63" i="84"/>
  <c r="AW105" i="84"/>
  <c r="AY64" i="84"/>
  <c r="AW106" i="84"/>
  <c r="AY65" i="84"/>
  <c r="AW107" i="84"/>
  <c r="AY66" i="84"/>
  <c r="AW108" i="84"/>
  <c r="AY67" i="84"/>
  <c r="AW109" i="84"/>
  <c r="AY68" i="84"/>
  <c r="AW110" i="84"/>
  <c r="AY69" i="84"/>
  <c r="AW111" i="84"/>
  <c r="AY70" i="84"/>
  <c r="AW112" i="84"/>
  <c r="AY71" i="84"/>
  <c r="AW113" i="84"/>
  <c r="AY72" i="84"/>
  <c r="AW114" i="84"/>
  <c r="AY73" i="84"/>
  <c r="AW115" i="84"/>
  <c r="AY74" i="84"/>
  <c r="AW116" i="84"/>
  <c r="AY75" i="84"/>
  <c r="AW117" i="84"/>
  <c r="AY76" i="84"/>
  <c r="AW118" i="84"/>
  <c r="AY77" i="84"/>
  <c r="AW119" i="84"/>
  <c r="AY78" i="84"/>
  <c r="AW120" i="84"/>
  <c r="AY79" i="84"/>
  <c r="AW121" i="84"/>
  <c r="AX91" i="84"/>
  <c r="AX92" i="84"/>
  <c r="AX93" i="84"/>
  <c r="AX94" i="84"/>
  <c r="AX95" i="84"/>
  <c r="AX96" i="84"/>
  <c r="AX97" i="84"/>
  <c r="AX98" i="84"/>
  <c r="AX99" i="84"/>
  <c r="AX100" i="84"/>
  <c r="AX101" i="84"/>
  <c r="AX102" i="84"/>
  <c r="AX103" i="84"/>
  <c r="AX104" i="84"/>
  <c r="AX105" i="84"/>
  <c r="AX106" i="84"/>
  <c r="AX107" i="84"/>
  <c r="AX108" i="84"/>
  <c r="AX109" i="84"/>
  <c r="AX110" i="84"/>
  <c r="AX111" i="84"/>
  <c r="AX112" i="84"/>
  <c r="AX113" i="84"/>
  <c r="AX114" i="84"/>
  <c r="AX115" i="84"/>
  <c r="AX116" i="84"/>
  <c r="AX117" i="84"/>
  <c r="AX118" i="84"/>
  <c r="AX119" i="84"/>
  <c r="AX120" i="84"/>
  <c r="AX121" i="84"/>
  <c r="AH53" i="84"/>
  <c r="AN60" i="84" a="1"/>
  <c r="AH60" i="84" a="1"/>
  <c r="AB48" i="86"/>
  <c r="Z40" i="86"/>
  <c r="BD38" i="86" a="1"/>
  <c r="AN60" i="86" a="1"/>
  <c r="AN95" i="86" a="1"/>
  <c r="AN92" i="86" a="1"/>
  <c r="AH57" i="86" a="1"/>
  <c r="AH72" i="86" a="1"/>
  <c r="AH75" i="86" a="1"/>
  <c r="BA4" i="84"/>
  <c r="BA5" i="84"/>
  <c r="BA6" i="84"/>
  <c r="BA7" i="84"/>
  <c r="BA8" i="84"/>
  <c r="BA9" i="84"/>
  <c r="BA10" i="84"/>
  <c r="BA11" i="84"/>
  <c r="BA12" i="84"/>
  <c r="BA13" i="84"/>
  <c r="BA14" i="84"/>
  <c r="BA15" i="84"/>
  <c r="BA16" i="84"/>
  <c r="BA17" i="84"/>
  <c r="BA18" i="84"/>
  <c r="BA19" i="84"/>
  <c r="BA20" i="84"/>
  <c r="BA21" i="84"/>
  <c r="BA22" i="84"/>
  <c r="BA23" i="84"/>
  <c r="BA24" i="84"/>
  <c r="BA25" i="84"/>
  <c r="BA26" i="84"/>
  <c r="BA27" i="84"/>
  <c r="BA28" i="84"/>
  <c r="BA29" i="84"/>
  <c r="BA30" i="84"/>
  <c r="BA31" i="84"/>
  <c r="BA32" i="84"/>
  <c r="BA33" i="84"/>
  <c r="BA34" i="84"/>
  <c r="BA85" i="84"/>
  <c r="C4" i="84"/>
  <c r="C5" i="84"/>
  <c r="C6" i="84"/>
  <c r="C10" i="84"/>
  <c r="C11" i="84"/>
  <c r="C12" i="84"/>
  <c r="C13" i="84"/>
  <c r="C14" i="84"/>
  <c r="C15" i="84"/>
  <c r="C16" i="84"/>
  <c r="C17" i="84"/>
  <c r="C18" i="84"/>
  <c r="C19" i="84"/>
  <c r="C21" i="84"/>
  <c r="C22" i="84"/>
  <c r="C23" i="84"/>
  <c r="C25" i="84"/>
  <c r="C26" i="84"/>
  <c r="C27" i="84"/>
  <c r="C28" i="84"/>
  <c r="C30" i="84"/>
  <c r="C31" i="84"/>
  <c r="C32" i="84"/>
  <c r="C33" i="84"/>
  <c r="C34" i="84"/>
  <c r="C85" i="84"/>
  <c r="AN107" i="84"/>
  <c r="BB4" i="84"/>
  <c r="BB5" i="84"/>
  <c r="BB6" i="84"/>
  <c r="BB7" i="84"/>
  <c r="BB8" i="84"/>
  <c r="BB9" i="84"/>
  <c r="BB10" i="84"/>
  <c r="BB11" i="84"/>
  <c r="BB12" i="84"/>
  <c r="BB13" i="84"/>
  <c r="BB14" i="84"/>
  <c r="BB15" i="84"/>
  <c r="BB16" i="84"/>
  <c r="BB17" i="84"/>
  <c r="BB18" i="84"/>
  <c r="BB19" i="84"/>
  <c r="BB20" i="84"/>
  <c r="BB21" i="84"/>
  <c r="BB22" i="84"/>
  <c r="BB23" i="84"/>
  <c r="BB24" i="84"/>
  <c r="BB25" i="84"/>
  <c r="BB26" i="84"/>
  <c r="BB27" i="84"/>
  <c r="BB28" i="84"/>
  <c r="BB29" i="84"/>
  <c r="BB30" i="84"/>
  <c r="BB31" i="84"/>
  <c r="BB32" i="84"/>
  <c r="BB33" i="84"/>
  <c r="BB34" i="84"/>
  <c r="BB86" i="84"/>
  <c r="AP54" i="84"/>
  <c r="AP47" i="84"/>
  <c r="AP40" i="84"/>
  <c r="AQ47" i="84"/>
  <c r="AQ40" i="84"/>
  <c r="AN94" i="84" a="1"/>
  <c r="BA4" i="86"/>
  <c r="BA85" i="86"/>
  <c r="BA5" i="86"/>
  <c r="BA6" i="86"/>
  <c r="BA7" i="86"/>
  <c r="BA8" i="86"/>
  <c r="BA9" i="86"/>
  <c r="BA10" i="86"/>
  <c r="BA11" i="86"/>
  <c r="BA12" i="86"/>
  <c r="BA13" i="86"/>
  <c r="BA14" i="86"/>
  <c r="BA15" i="86"/>
  <c r="BA16" i="86"/>
  <c r="BA17" i="86"/>
  <c r="BA18" i="86"/>
  <c r="BA19" i="86"/>
  <c r="BA20" i="86"/>
  <c r="BA21" i="86"/>
  <c r="BA22" i="86"/>
  <c r="BA23" i="86"/>
  <c r="BA24" i="86"/>
  <c r="BA25" i="86"/>
  <c r="BA26" i="86"/>
  <c r="BA27" i="86"/>
  <c r="BA28" i="86"/>
  <c r="BA29" i="86"/>
  <c r="BA30" i="86"/>
  <c r="BA31" i="86"/>
  <c r="BA32" i="86"/>
  <c r="BA33" i="86"/>
  <c r="BA34" i="86"/>
  <c r="C4" i="86"/>
  <c r="C5" i="86"/>
  <c r="C6" i="86"/>
  <c r="C7" i="86"/>
  <c r="C8" i="86"/>
  <c r="C9" i="86"/>
  <c r="C10" i="86"/>
  <c r="C11" i="86"/>
  <c r="C12" i="86"/>
  <c r="C13" i="86"/>
  <c r="C14" i="86"/>
  <c r="C15" i="86"/>
  <c r="C16" i="86"/>
  <c r="C17" i="86"/>
  <c r="C18" i="86"/>
  <c r="C19" i="86"/>
  <c r="C20" i="86"/>
  <c r="C21" i="86"/>
  <c r="C22" i="86"/>
  <c r="C24" i="86"/>
  <c r="C25" i="86"/>
  <c r="C26" i="86"/>
  <c r="C27" i="86"/>
  <c r="C28" i="86"/>
  <c r="C30" i="86"/>
  <c r="C32" i="86"/>
  <c r="C33" i="86"/>
  <c r="C34" i="86"/>
  <c r="C85" i="86"/>
  <c r="AN107" i="86"/>
  <c r="BB4" i="86"/>
  <c r="BB86" i="86"/>
  <c r="BB5" i="86"/>
  <c r="BB6" i="86"/>
  <c r="BB7" i="86"/>
  <c r="BB8" i="86"/>
  <c r="BB9" i="86"/>
  <c r="BB10" i="86"/>
  <c r="BB11" i="86"/>
  <c r="BB12" i="86"/>
  <c r="BB13" i="86"/>
  <c r="BB14" i="86"/>
  <c r="BB15" i="86"/>
  <c r="BB16" i="86"/>
  <c r="BB17" i="86"/>
  <c r="BB18" i="86"/>
  <c r="BB19" i="86"/>
  <c r="BB20" i="86"/>
  <c r="BB21" i="86"/>
  <c r="BB22" i="86"/>
  <c r="BB23" i="86"/>
  <c r="BB24" i="86"/>
  <c r="BB25" i="86"/>
  <c r="BB26" i="86"/>
  <c r="BB27" i="86"/>
  <c r="BB28" i="86"/>
  <c r="BB29" i="86"/>
  <c r="BB30" i="86"/>
  <c r="BB31" i="86"/>
  <c r="BB32" i="86"/>
  <c r="BB33" i="86"/>
  <c r="BB34" i="86"/>
  <c r="AP54" i="86"/>
  <c r="AP47" i="86"/>
  <c r="AP40" i="86"/>
  <c r="AQ47" i="86"/>
  <c r="AQ40" i="86"/>
  <c r="AN94" i="86" a="1"/>
  <c r="E5" i="84"/>
  <c r="E6" i="84"/>
  <c r="AB95" i="84"/>
  <c r="AB96" i="84"/>
  <c r="AB97" i="84"/>
  <c r="AB98" i="84"/>
  <c r="AB99" i="84"/>
  <c r="AB100" i="84"/>
  <c r="AB101" i="84"/>
  <c r="AB102" i="84"/>
  <c r="AB103" i="84"/>
  <c r="AB104" i="84"/>
  <c r="AB105" i="84"/>
  <c r="AB106" i="84"/>
  <c r="AB107" i="84"/>
  <c r="AB108" i="84"/>
  <c r="AB109" i="84"/>
  <c r="AB110" i="84"/>
  <c r="AB111" i="84"/>
  <c r="AB112" i="84"/>
  <c r="AB113" i="84"/>
  <c r="AB114" i="84"/>
  <c r="AB115" i="84"/>
  <c r="AB116" i="84"/>
  <c r="AB117" i="84"/>
  <c r="AB118" i="84"/>
  <c r="AB119" i="84"/>
  <c r="AB120" i="84"/>
  <c r="AA121" i="84"/>
  <c r="AB121" i="84"/>
  <c r="BI34" i="84"/>
  <c r="AT123" i="84"/>
  <c r="AS91" i="84"/>
  <c r="AS92" i="84"/>
  <c r="AS94" i="84"/>
  <c r="AG95" i="84"/>
  <c r="AG96" i="84"/>
  <c r="AG97" i="84"/>
  <c r="AG98" i="84"/>
  <c r="AG99" i="84"/>
  <c r="AG100" i="84"/>
  <c r="AG101" i="84"/>
  <c r="AS102" i="84"/>
  <c r="AG102" i="84"/>
  <c r="AS103" i="84"/>
  <c r="AG103" i="84"/>
  <c r="AS104" i="84"/>
  <c r="AG104" i="84"/>
  <c r="AS105" i="84"/>
  <c r="AG105" i="84"/>
  <c r="AS106" i="84"/>
  <c r="AG106" i="84"/>
  <c r="AS107" i="84"/>
  <c r="AG107" i="84"/>
  <c r="AS108" i="84"/>
  <c r="AG108" i="84"/>
  <c r="AS109" i="84"/>
  <c r="AG109" i="84"/>
  <c r="AS110" i="84"/>
  <c r="AG110" i="84"/>
  <c r="AS111" i="84"/>
  <c r="AG111" i="84"/>
  <c r="AS112" i="84"/>
  <c r="AG112" i="84"/>
  <c r="AS113" i="84"/>
  <c r="AG113" i="84"/>
  <c r="AS114" i="84"/>
  <c r="AG114" i="84"/>
  <c r="AS115" i="84"/>
  <c r="AG115" i="84"/>
  <c r="AS116" i="84"/>
  <c r="AG116" i="84"/>
  <c r="AS117" i="84"/>
  <c r="AG117" i="84"/>
  <c r="AS118" i="84"/>
  <c r="AG118" i="84"/>
  <c r="AS119" i="84"/>
  <c r="AG119" i="84"/>
  <c r="AS120" i="84"/>
  <c r="AG120" i="84"/>
  <c r="AS121" i="84"/>
  <c r="AG121" i="84"/>
  <c r="E5" i="86"/>
  <c r="E6" i="86"/>
  <c r="E7" i="86"/>
  <c r="AB95" i="86"/>
  <c r="AB96" i="86"/>
  <c r="AB97" i="86"/>
  <c r="AB98" i="86"/>
  <c r="AB99" i="86"/>
  <c r="AB100" i="86"/>
  <c r="AB101" i="86"/>
  <c r="AB102" i="86"/>
  <c r="AB103" i="86"/>
  <c r="AB104" i="86"/>
  <c r="AB105" i="86"/>
  <c r="AB106" i="86"/>
  <c r="AB107" i="86"/>
  <c r="AB108" i="86"/>
  <c r="AB109" i="86"/>
  <c r="AB110" i="86"/>
  <c r="AB111" i="86"/>
  <c r="AB112" i="86"/>
  <c r="AB113" i="86"/>
  <c r="AB114" i="86"/>
  <c r="AB115" i="86"/>
  <c r="AB116" i="86"/>
  <c r="AB117" i="86"/>
  <c r="AB118" i="86"/>
  <c r="BI32" i="86"/>
  <c r="BI33" i="86"/>
  <c r="AT123" i="86"/>
  <c r="AS91" i="86"/>
  <c r="AH95" i="86"/>
  <c r="AS92" i="86"/>
  <c r="AS93" i="86"/>
  <c r="AH111" i="86"/>
  <c r="AS94" i="86"/>
  <c r="AS95" i="86"/>
  <c r="AG95" i="86"/>
  <c r="BJ8" i="86"/>
  <c r="AS96" i="86"/>
  <c r="AH112" i="86"/>
  <c r="AG96" i="86"/>
  <c r="AS97" i="86"/>
  <c r="AH113" i="86"/>
  <c r="AG97" i="86"/>
  <c r="AS98" i="86"/>
  <c r="AH114" i="86"/>
  <c r="AG98" i="86"/>
  <c r="AS99" i="86"/>
  <c r="AH116" i="86"/>
  <c r="AG99" i="86"/>
  <c r="AS100" i="86"/>
  <c r="AH117" i="86"/>
  <c r="AG100" i="86"/>
  <c r="AS101" i="86"/>
  <c r="AH118" i="86"/>
  <c r="AG101" i="86"/>
  <c r="AS102" i="86"/>
  <c r="AG102" i="86"/>
  <c r="AS103" i="86"/>
  <c r="AG103" i="86"/>
  <c r="AS104" i="86"/>
  <c r="AG104" i="86"/>
  <c r="AS105" i="86"/>
  <c r="AG105" i="86"/>
  <c r="AS106" i="86"/>
  <c r="AG106" i="86"/>
  <c r="AS107" i="86"/>
  <c r="AG107" i="86"/>
  <c r="AS108" i="86"/>
  <c r="AG108" i="86"/>
  <c r="AS109" i="86"/>
  <c r="AG109" i="86"/>
  <c r="AS110" i="86"/>
  <c r="AG110" i="86"/>
  <c r="AS111" i="86"/>
  <c r="AG111" i="86"/>
  <c r="BJ24" i="86"/>
  <c r="AS112" i="86"/>
  <c r="AG112" i="86"/>
  <c r="BJ25" i="86"/>
  <c r="AS113" i="86"/>
  <c r="AG113" i="86"/>
  <c r="BJ26" i="86"/>
  <c r="AS114" i="86"/>
  <c r="AG114" i="86"/>
  <c r="BJ27" i="86"/>
  <c r="AS115" i="86"/>
  <c r="AG115" i="86"/>
  <c r="AS116" i="86"/>
  <c r="AG116" i="86"/>
  <c r="BJ29" i="86"/>
  <c r="AS117" i="86"/>
  <c r="AG117" i="86"/>
  <c r="BJ30" i="86"/>
  <c r="AS118" i="86"/>
  <c r="AG118" i="86"/>
  <c r="BJ31" i="86"/>
  <c r="BJ32" i="86"/>
  <c r="BJ33" i="86"/>
  <c r="AY43" i="84"/>
  <c r="AA91" i="84"/>
  <c r="AB91" i="84"/>
  <c r="BI4" i="84"/>
  <c r="AA92" i="84"/>
  <c r="AB92" i="84"/>
  <c r="BI5" i="84"/>
  <c r="AB93" i="84"/>
  <c r="AB94" i="84"/>
  <c r="AG91" i="84"/>
  <c r="AG92" i="84"/>
  <c r="AG93" i="84"/>
  <c r="AG94" i="84"/>
  <c r="AY43" i="86"/>
  <c r="AA91" i="86"/>
  <c r="AB91" i="86"/>
  <c r="BI4" i="86"/>
  <c r="AA92" i="86"/>
  <c r="AB92" i="86"/>
  <c r="BI5" i="86"/>
  <c r="AA93" i="86"/>
  <c r="AB93" i="86"/>
  <c r="BI6" i="86"/>
  <c r="AB94" i="86"/>
  <c r="AH91" i="86"/>
  <c r="AG91" i="86"/>
  <c r="BJ4" i="86"/>
  <c r="AH92" i="86"/>
  <c r="AG92" i="86"/>
  <c r="BJ5" i="86"/>
  <c r="AH93" i="86"/>
  <c r="AG93" i="86"/>
  <c r="BJ6" i="86"/>
  <c r="AH94" i="86"/>
  <c r="AG94" i="86"/>
  <c r="BJ7" i="86"/>
  <c r="N10" i="87"/>
  <c r="K38" i="87"/>
  <c r="K46" i="87"/>
  <c r="M40" i="87"/>
  <c r="K86" i="87"/>
  <c r="K85" i="87"/>
  <c r="K42" i="87"/>
  <c r="K43" i="87"/>
  <c r="E52" i="87"/>
  <c r="F52" i="87"/>
  <c r="R10" i="87"/>
  <c r="E61" i="87"/>
  <c r="F61" i="87"/>
  <c r="E80" i="87"/>
  <c r="F80" i="87"/>
  <c r="AP86" i="87"/>
  <c r="AP85" i="87"/>
  <c r="AP42" i="87"/>
  <c r="AU52" i="87"/>
  <c r="AV52" i="87"/>
  <c r="E49" i="87"/>
  <c r="F49" i="87"/>
  <c r="E73" i="87"/>
  <c r="F73" i="87"/>
  <c r="E76" i="87"/>
  <c r="F76" i="87"/>
  <c r="AQ38" i="87"/>
  <c r="AU55" i="87"/>
  <c r="AV55" i="87"/>
  <c r="E53" i="87"/>
  <c r="F53" i="87"/>
  <c r="S10" i="87"/>
  <c r="U86" i="87"/>
  <c r="U85" i="87"/>
  <c r="U42" i="87"/>
  <c r="E51" i="87"/>
  <c r="F51" i="87"/>
  <c r="E79" i="87"/>
  <c r="F79" i="87"/>
  <c r="E74" i="87"/>
  <c r="F74" i="87"/>
  <c r="AU50" i="87"/>
  <c r="E77" i="87"/>
  <c r="F77" i="87"/>
  <c r="AU53" i="87"/>
  <c r="AV53" i="87"/>
  <c r="AU56" i="87"/>
  <c r="AV56" i="87"/>
  <c r="AY56" i="87"/>
  <c r="AW98" i="87"/>
  <c r="AY57" i="87"/>
  <c r="AW99" i="87"/>
  <c r="AY58" i="87"/>
  <c r="AW100" i="87"/>
  <c r="AY59" i="87"/>
  <c r="AW101" i="87"/>
  <c r="AY60" i="87"/>
  <c r="AW102" i="87"/>
  <c r="AY61" i="87"/>
  <c r="AW103" i="87"/>
  <c r="AY62" i="87"/>
  <c r="AW104" i="87"/>
  <c r="AY63" i="87"/>
  <c r="AW105" i="87"/>
  <c r="AY64" i="87"/>
  <c r="AW106" i="87"/>
  <c r="AY65" i="87"/>
  <c r="AW107" i="87"/>
  <c r="AY66" i="87"/>
  <c r="AW108" i="87"/>
  <c r="AY67" i="87"/>
  <c r="AW109" i="87"/>
  <c r="AY68" i="87"/>
  <c r="AW110" i="87"/>
  <c r="AY69" i="87"/>
  <c r="AW111" i="87"/>
  <c r="AY70" i="87"/>
  <c r="AW112" i="87"/>
  <c r="AY71" i="87"/>
  <c r="AW113" i="87"/>
  <c r="AY72" i="87"/>
  <c r="AW114" i="87"/>
  <c r="AY73" i="87"/>
  <c r="AW115" i="87"/>
  <c r="AY74" i="87"/>
  <c r="AW116" i="87"/>
  <c r="AY75" i="87"/>
  <c r="AW117" i="87"/>
  <c r="AY76" i="87"/>
  <c r="AW118" i="87"/>
  <c r="AY77" i="87"/>
  <c r="AW119" i="87"/>
  <c r="AY78" i="87"/>
  <c r="AW120" i="87"/>
  <c r="AY79" i="87"/>
  <c r="AW121" i="87"/>
  <c r="AX98" i="87"/>
  <c r="AX99" i="87"/>
  <c r="AX100" i="87"/>
  <c r="AX101" i="87"/>
  <c r="AX102" i="87"/>
  <c r="AX103" i="87"/>
  <c r="AX104" i="87"/>
  <c r="AX105" i="87"/>
  <c r="AX106" i="87"/>
  <c r="AX107" i="87"/>
  <c r="AX108" i="87"/>
  <c r="AX109" i="87"/>
  <c r="AX110" i="87"/>
  <c r="AX111" i="87"/>
  <c r="AX112" i="87"/>
  <c r="AX113" i="87"/>
  <c r="AX114" i="87"/>
  <c r="AX115" i="87"/>
  <c r="AX116" i="87"/>
  <c r="AX117" i="87"/>
  <c r="AX118" i="87"/>
  <c r="AX119" i="87"/>
  <c r="AX120" i="87"/>
  <c r="AX121" i="87"/>
  <c r="X46" i="87"/>
  <c r="X47" i="87"/>
  <c r="X48" i="87"/>
  <c r="X49" i="87"/>
  <c r="X50" i="87"/>
  <c r="X51" i="87"/>
  <c r="X52" i="87"/>
  <c r="X53" i="87"/>
  <c r="X55" i="87"/>
  <c r="AU10" i="87"/>
  <c r="AU11" i="87"/>
  <c r="AU12" i="87"/>
  <c r="AU13" i="87"/>
  <c r="AU14" i="87"/>
  <c r="AU15" i="87"/>
  <c r="AU16" i="87"/>
  <c r="AU17" i="87"/>
  <c r="AU18" i="87"/>
  <c r="AU19" i="87"/>
  <c r="AU20" i="87"/>
  <c r="AU21" i="87"/>
  <c r="AU22" i="87"/>
  <c r="AU23" i="87"/>
  <c r="AU24" i="87"/>
  <c r="AU25" i="87"/>
  <c r="AU26" i="87"/>
  <c r="AU27" i="87"/>
  <c r="AU28" i="87"/>
  <c r="AU29" i="87"/>
  <c r="AU30" i="87"/>
  <c r="AU31" i="87"/>
  <c r="AU32" i="87"/>
  <c r="AU33" i="87"/>
  <c r="AU34" i="87"/>
  <c r="H38" i="87"/>
  <c r="H47" i="87"/>
  <c r="H40" i="87"/>
  <c r="AB47" i="87"/>
  <c r="AB48" i="87"/>
  <c r="Z40" i="87"/>
  <c r="H86" i="87"/>
  <c r="H85" i="87"/>
  <c r="H42" i="87"/>
  <c r="BB42" i="87"/>
  <c r="H43" i="87"/>
  <c r="M54" i="87"/>
  <c r="AC48" i="87"/>
  <c r="AC47" i="87"/>
  <c r="U38" i="87"/>
  <c r="AP38" i="87"/>
  <c r="AP53" i="87"/>
  <c r="AA54" i="87"/>
  <c r="AV38" i="87"/>
  <c r="AQ54" i="87"/>
  <c r="M59" i="87"/>
  <c r="M62" i="87"/>
  <c r="BH97" i="87"/>
  <c r="BH98" i="87"/>
  <c r="BH99" i="87"/>
  <c r="BH100" i="87"/>
  <c r="BH101" i="87"/>
  <c r="BH102" i="87"/>
  <c r="BH103" i="87"/>
  <c r="BH104" i="87"/>
  <c r="BH105" i="87"/>
  <c r="BH106" i="87"/>
  <c r="BH107" i="87"/>
  <c r="BH108" i="87"/>
  <c r="BH109" i="87"/>
  <c r="BH110" i="87"/>
  <c r="BH111" i="87"/>
  <c r="BH112" i="87"/>
  <c r="BH113" i="87"/>
  <c r="BH114" i="87"/>
  <c r="BH115" i="87"/>
  <c r="BH116" i="87"/>
  <c r="BH117" i="87"/>
  <c r="BH118" i="87"/>
  <c r="BH119" i="87"/>
  <c r="BH120" i="87"/>
  <c r="BH121" i="87"/>
  <c r="M67" i="87"/>
  <c r="AY97" i="87"/>
  <c r="AY98" i="87"/>
  <c r="AY99" i="87"/>
  <c r="AY100" i="87"/>
  <c r="AY101" i="87"/>
  <c r="AY102" i="87"/>
  <c r="AY103" i="87"/>
  <c r="AY104" i="87"/>
  <c r="AY105" i="87"/>
  <c r="AY106" i="87"/>
  <c r="AY107" i="87"/>
  <c r="AY108" i="87"/>
  <c r="AY109" i="87"/>
  <c r="AY110" i="87"/>
  <c r="AY111" i="87"/>
  <c r="AY112" i="87"/>
  <c r="AY113" i="87"/>
  <c r="AY114" i="87"/>
  <c r="AY115" i="87"/>
  <c r="AY116" i="87"/>
  <c r="AY117" i="87"/>
  <c r="AY118" i="87"/>
  <c r="AY119" i="87"/>
  <c r="AY120" i="87"/>
  <c r="AY121" i="87"/>
  <c r="AN67" i="87" a="1"/>
  <c r="AW10" i="87"/>
  <c r="AW11" i="87"/>
  <c r="AW12" i="87"/>
  <c r="AW13" i="87"/>
  <c r="AW14" i="87"/>
  <c r="AW15" i="87"/>
  <c r="AW16" i="87"/>
  <c r="AW17" i="87"/>
  <c r="AW18" i="87"/>
  <c r="AW19" i="87"/>
  <c r="AW20" i="87"/>
  <c r="AW21" i="87"/>
  <c r="AW22" i="87"/>
  <c r="AW23" i="87"/>
  <c r="AW24" i="87"/>
  <c r="AW25" i="87"/>
  <c r="AW26" i="87"/>
  <c r="AW27" i="87"/>
  <c r="AW28" i="87"/>
  <c r="AW29" i="87"/>
  <c r="AW30" i="87"/>
  <c r="AW31" i="87"/>
  <c r="AW32" i="87"/>
  <c r="AW33" i="87"/>
  <c r="AW34" i="87"/>
  <c r="M38" i="87"/>
  <c r="M46" i="87"/>
  <c r="M86" i="87"/>
  <c r="M85" i="87"/>
  <c r="M42" i="87"/>
  <c r="M43" i="87"/>
  <c r="U59" i="87"/>
  <c r="U62" i="87"/>
  <c r="U67" i="87"/>
  <c r="P38" i="87"/>
  <c r="R38" i="87"/>
  <c r="R40" i="87"/>
  <c r="P86" i="87"/>
  <c r="P85" i="87"/>
  <c r="P42" i="87"/>
  <c r="P43" i="87"/>
  <c r="R46" i="87"/>
  <c r="R47" i="87"/>
  <c r="Q38" i="87"/>
  <c r="Q86" i="87"/>
  <c r="Q85" i="87"/>
  <c r="Q42" i="87"/>
  <c r="Q43" i="87"/>
  <c r="AY10" i="87"/>
  <c r="AY11" i="87"/>
  <c r="AY12" i="87"/>
  <c r="AY13" i="87"/>
  <c r="AY14" i="87"/>
  <c r="AY15" i="87"/>
  <c r="AY16" i="87"/>
  <c r="AY17" i="87"/>
  <c r="AY18" i="87"/>
  <c r="AY19" i="87"/>
  <c r="AY20" i="87"/>
  <c r="AY21" i="87"/>
  <c r="AY22" i="87"/>
  <c r="AY23" i="87"/>
  <c r="AY24" i="87"/>
  <c r="AY25" i="87"/>
  <c r="AY26" i="87"/>
  <c r="AY27" i="87"/>
  <c r="AY28" i="87"/>
  <c r="AY29" i="87"/>
  <c r="AY30" i="87"/>
  <c r="AY31" i="87"/>
  <c r="AY32" i="87"/>
  <c r="AY33" i="87"/>
  <c r="AY34" i="87"/>
  <c r="U40" i="87"/>
  <c r="U43" i="87"/>
  <c r="U46" i="87"/>
  <c r="W59" i="87"/>
  <c r="W62" i="87"/>
  <c r="W67" i="87"/>
  <c r="AI38" i="87"/>
  <c r="AI86" i="87"/>
  <c r="AI85" i="87"/>
  <c r="AI42" i="87"/>
  <c r="AI43" i="87"/>
  <c r="AI46" i="87"/>
  <c r="X59" i="87"/>
  <c r="X62" i="87"/>
  <c r="X67" i="87"/>
  <c r="AJ10" i="87"/>
  <c r="AG38" i="87"/>
  <c r="AG86" i="87"/>
  <c r="AG85" i="87"/>
  <c r="AG42" i="87"/>
  <c r="AG43" i="87"/>
  <c r="AG46" i="87"/>
  <c r="AH38" i="87"/>
  <c r="AH86" i="87"/>
  <c r="AH85" i="87"/>
  <c r="AH42" i="87"/>
  <c r="AH43" i="87"/>
  <c r="AH46" i="87"/>
  <c r="AS11" i="87"/>
  <c r="BA11" i="87"/>
  <c r="BB11" i="87"/>
  <c r="BC11" i="87"/>
  <c r="BA56" i="87"/>
  <c r="BD11" i="87"/>
  <c r="BF11" i="87"/>
  <c r="AT11" i="87"/>
  <c r="BG11" i="87"/>
  <c r="AS12" i="87"/>
  <c r="BF12" i="87"/>
  <c r="AT12" i="87"/>
  <c r="BG12" i="87"/>
  <c r="AS13" i="87"/>
  <c r="BF13" i="87"/>
  <c r="AT13" i="87"/>
  <c r="BG13" i="87"/>
  <c r="AS14" i="87"/>
  <c r="BF14" i="87"/>
  <c r="AT14" i="87"/>
  <c r="BG14" i="87"/>
  <c r="AS15" i="87"/>
  <c r="BF15" i="87"/>
  <c r="AT15" i="87"/>
  <c r="BG15" i="87"/>
  <c r="AS16" i="87"/>
  <c r="BF16" i="87"/>
  <c r="AT16" i="87"/>
  <c r="BG16" i="87"/>
  <c r="AS17" i="87"/>
  <c r="BF17" i="87"/>
  <c r="AT17" i="87"/>
  <c r="BG17" i="87"/>
  <c r="AS18" i="87"/>
  <c r="BF18" i="87"/>
  <c r="AT18" i="87"/>
  <c r="BG18" i="87"/>
  <c r="AS19" i="87"/>
  <c r="BF19" i="87"/>
  <c r="AT19" i="87"/>
  <c r="BG19" i="87"/>
  <c r="AS20" i="87"/>
  <c r="BF20" i="87"/>
  <c r="AT20" i="87"/>
  <c r="BG20" i="87"/>
  <c r="AS21" i="87"/>
  <c r="BF21" i="87"/>
  <c r="AT21" i="87"/>
  <c r="BG21" i="87"/>
  <c r="AS22" i="87"/>
  <c r="BF22" i="87"/>
  <c r="AT22" i="87"/>
  <c r="BG22" i="87"/>
  <c r="AS23" i="87"/>
  <c r="BF23" i="87"/>
  <c r="AT23" i="87"/>
  <c r="BG23" i="87"/>
  <c r="AS24" i="87"/>
  <c r="BF24" i="87"/>
  <c r="AT24" i="87"/>
  <c r="BG24" i="87"/>
  <c r="AS25" i="87"/>
  <c r="BF25" i="87"/>
  <c r="AT25" i="87"/>
  <c r="BG25" i="87"/>
  <c r="AS26" i="87"/>
  <c r="BF26" i="87"/>
  <c r="AT26" i="87"/>
  <c r="BG26" i="87"/>
  <c r="AS27" i="87"/>
  <c r="BF27" i="87"/>
  <c r="AT27" i="87"/>
  <c r="BG27" i="87"/>
  <c r="AS28" i="87"/>
  <c r="BF28" i="87"/>
  <c r="AT28" i="87"/>
  <c r="BG28" i="87"/>
  <c r="AS29" i="87"/>
  <c r="BF29" i="87"/>
  <c r="AT29" i="87"/>
  <c r="BG29" i="87"/>
  <c r="AS30" i="87"/>
  <c r="BF30" i="87"/>
  <c r="AT30" i="87"/>
  <c r="BG30" i="87"/>
  <c r="AS31" i="87"/>
  <c r="BF31" i="87"/>
  <c r="AT31" i="87"/>
  <c r="BG31" i="87"/>
  <c r="AS32" i="87"/>
  <c r="BF32" i="87"/>
  <c r="AT32" i="87"/>
  <c r="BG32" i="87"/>
  <c r="AS33" i="87"/>
  <c r="BF33" i="87"/>
  <c r="AT33" i="87"/>
  <c r="BG33" i="87"/>
  <c r="AS34" i="87"/>
  <c r="BF34" i="87"/>
  <c r="AT34" i="87"/>
  <c r="BG34" i="87"/>
  <c r="F40" i="87"/>
  <c r="F46" i="87"/>
  <c r="F86" i="87"/>
  <c r="F85" i="87"/>
  <c r="F42" i="87"/>
  <c r="F43" i="87"/>
  <c r="BA12" i="87"/>
  <c r="BA13" i="87"/>
  <c r="BA14" i="87"/>
  <c r="BA15" i="87"/>
  <c r="BA16" i="87"/>
  <c r="BA17" i="87"/>
  <c r="BA18" i="87"/>
  <c r="BA19" i="87"/>
  <c r="BA20" i="87"/>
  <c r="BA21" i="87"/>
  <c r="BA22" i="87"/>
  <c r="BA23" i="87"/>
  <c r="BA24" i="87"/>
  <c r="BA25" i="87"/>
  <c r="BA26" i="87"/>
  <c r="BA27" i="87"/>
  <c r="BA28" i="87"/>
  <c r="BA29" i="87"/>
  <c r="BA30" i="87"/>
  <c r="BA31" i="87"/>
  <c r="BA32" i="87"/>
  <c r="BA33" i="87"/>
  <c r="BA34" i="87"/>
  <c r="BB12" i="87"/>
  <c r="BD12" i="87"/>
  <c r="BB13" i="87"/>
  <c r="BD13" i="87"/>
  <c r="BB14" i="87"/>
  <c r="BD14" i="87"/>
  <c r="BB15" i="87"/>
  <c r="BD15" i="87"/>
  <c r="BB16" i="87"/>
  <c r="BD16" i="87"/>
  <c r="BB17" i="87"/>
  <c r="BD17" i="87"/>
  <c r="BB18" i="87"/>
  <c r="BD18" i="87"/>
  <c r="BB19" i="87"/>
  <c r="BD19" i="87"/>
  <c r="BB20" i="87"/>
  <c r="BD20" i="87"/>
  <c r="BB21" i="87"/>
  <c r="BD21" i="87"/>
  <c r="BB22" i="87"/>
  <c r="BD22" i="87"/>
  <c r="BB23" i="87"/>
  <c r="BD23" i="87"/>
  <c r="BB24" i="87"/>
  <c r="BD24" i="87"/>
  <c r="BB25" i="87"/>
  <c r="BD25" i="87"/>
  <c r="BB26" i="87"/>
  <c r="BD26" i="87"/>
  <c r="BB27" i="87"/>
  <c r="BD27" i="87"/>
  <c r="BB28" i="87"/>
  <c r="BD28" i="87"/>
  <c r="BB29" i="87"/>
  <c r="BD29" i="87"/>
  <c r="BB30" i="87"/>
  <c r="BD30" i="87"/>
  <c r="BB31" i="87"/>
  <c r="BD31" i="87"/>
  <c r="BB32" i="87"/>
  <c r="BD32" i="87"/>
  <c r="BB33" i="87"/>
  <c r="BD33" i="87"/>
  <c r="BB34" i="87"/>
  <c r="BD34" i="87"/>
  <c r="AY80" i="87"/>
  <c r="F47" i="87"/>
  <c r="BB56" i="87"/>
  <c r="AL109" i="87"/>
  <c r="AL108" i="87"/>
  <c r="AL107" i="87"/>
  <c r="AL106" i="87"/>
  <c r="AL105" i="87"/>
  <c r="AL104" i="87"/>
  <c r="AL103" i="87"/>
  <c r="AL102" i="87"/>
  <c r="AL101" i="87"/>
  <c r="AL100" i="87"/>
  <c r="AL99" i="87"/>
  <c r="AL98" i="87"/>
  <c r="AL121" i="87"/>
  <c r="AL120" i="87"/>
  <c r="AL119" i="87"/>
  <c r="AL118" i="87"/>
  <c r="AL117" i="87"/>
  <c r="AL116" i="87"/>
  <c r="AL115" i="87"/>
  <c r="AL114" i="87"/>
  <c r="AL113" i="87"/>
  <c r="AL112" i="87"/>
  <c r="AL111" i="87"/>
  <c r="AL110" i="87"/>
  <c r="K59" i="87"/>
  <c r="P59" i="87"/>
  <c r="K62" i="87"/>
  <c r="P62" i="87"/>
  <c r="K67" i="87"/>
  <c r="P67" i="87"/>
  <c r="AS38" i="87"/>
  <c r="G40" i="87"/>
  <c r="G86" i="87"/>
  <c r="G85" i="87"/>
  <c r="G42" i="87"/>
  <c r="BA42" i="87"/>
  <c r="G43" i="87"/>
  <c r="G46" i="87"/>
  <c r="G47" i="87"/>
  <c r="L59" i="87"/>
  <c r="Q59" i="87"/>
  <c r="L62" i="87"/>
  <c r="Q62" i="87"/>
  <c r="L67" i="87"/>
  <c r="Q67" i="87"/>
  <c r="V38" i="87"/>
  <c r="V86" i="87"/>
  <c r="V85" i="87"/>
  <c r="V42" i="87"/>
  <c r="V43" i="87"/>
  <c r="W38" i="87"/>
  <c r="AW38" i="87"/>
  <c r="W86" i="87"/>
  <c r="W85" i="87"/>
  <c r="W42" i="87"/>
  <c r="W43" i="87"/>
  <c r="AC4" i="87"/>
  <c r="AC5" i="87"/>
  <c r="AC6" i="87"/>
  <c r="AC7" i="87"/>
  <c r="AC8" i="87"/>
  <c r="AC9" i="87"/>
  <c r="AC10" i="87"/>
  <c r="AB98" i="87"/>
  <c r="AG98" i="87"/>
  <c r="BC12" i="87"/>
  <c r="AB99" i="87"/>
  <c r="AG99" i="87"/>
  <c r="BC13" i="87"/>
  <c r="AB100" i="87"/>
  <c r="AG100" i="87"/>
  <c r="BC14" i="87"/>
  <c r="AB101" i="87"/>
  <c r="AG101" i="87"/>
  <c r="BC15" i="87"/>
  <c r="AB102" i="87"/>
  <c r="AG102" i="87"/>
  <c r="BC16" i="87"/>
  <c r="AB103" i="87"/>
  <c r="AG103" i="87"/>
  <c r="BC17" i="87"/>
  <c r="AB104" i="87"/>
  <c r="AG104" i="87"/>
  <c r="BC18" i="87"/>
  <c r="AB105" i="87"/>
  <c r="AG105" i="87"/>
  <c r="BC19" i="87"/>
  <c r="AB106" i="87"/>
  <c r="AG106" i="87"/>
  <c r="BC20" i="87"/>
  <c r="AB107" i="87"/>
  <c r="AG107" i="87"/>
  <c r="BC21" i="87"/>
  <c r="AB108" i="87"/>
  <c r="AG108" i="87"/>
  <c r="BC22" i="87"/>
  <c r="AB109" i="87"/>
  <c r="AG109" i="87"/>
  <c r="AB110" i="87"/>
  <c r="AG110" i="87"/>
  <c r="AB111" i="87"/>
  <c r="AG111" i="87"/>
  <c r="AB112" i="87"/>
  <c r="AG112" i="87"/>
  <c r="AB113" i="87"/>
  <c r="AG113" i="87"/>
  <c r="AB114" i="87"/>
  <c r="AG114" i="87"/>
  <c r="AB115" i="87"/>
  <c r="AG115" i="87"/>
  <c r="AB116" i="87"/>
  <c r="AG116" i="87"/>
  <c r="AB117" i="87"/>
  <c r="AG117" i="87"/>
  <c r="AB118" i="87"/>
  <c r="AG118" i="87"/>
  <c r="AB119" i="87"/>
  <c r="AG119" i="87"/>
  <c r="AB120" i="87"/>
  <c r="AG120" i="87"/>
  <c r="AB121" i="87"/>
  <c r="AA121" i="87"/>
  <c r="BI34" i="87"/>
  <c r="AG121" i="87"/>
  <c r="L38" i="87"/>
  <c r="AD38" i="87"/>
  <c r="AU38" i="87"/>
  <c r="AX38" i="87"/>
  <c r="AY38" i="87"/>
  <c r="BA38" i="87"/>
  <c r="BC38" i="87"/>
  <c r="BD38" i="87" a="1"/>
  <c r="AA40" i="87"/>
  <c r="AD40" i="87"/>
  <c r="AP47" i="87"/>
  <c r="AP54" i="87"/>
  <c r="AP40" i="87"/>
  <c r="AQ47" i="87"/>
  <c r="AQ40" i="87"/>
  <c r="AU40" i="87"/>
  <c r="AV40" i="87"/>
  <c r="BA40" i="87"/>
  <c r="L86" i="87"/>
  <c r="L85" i="87"/>
  <c r="L42" i="87"/>
  <c r="Z86" i="87"/>
  <c r="Z85" i="87"/>
  <c r="Z42" i="87"/>
  <c r="AA86" i="87"/>
  <c r="AA43" i="87"/>
  <c r="AA85" i="87"/>
  <c r="AA42" i="87"/>
  <c r="AB86" i="87"/>
  <c r="AB85" i="87"/>
  <c r="AB42" i="87"/>
  <c r="AD86" i="87"/>
  <c r="AE43" i="87"/>
  <c r="AD85" i="87"/>
  <c r="AE42" i="87"/>
  <c r="AQ85" i="87"/>
  <c r="AQ42" i="87"/>
  <c r="L43" i="87"/>
  <c r="Z43" i="87"/>
  <c r="AB43" i="87"/>
  <c r="AP43" i="87"/>
  <c r="AQ43" i="87"/>
  <c r="AA91" i="87"/>
  <c r="L46" i="87"/>
  <c r="AP46" i="87"/>
  <c r="AQ46" i="87"/>
  <c r="AD48" i="87"/>
  <c r="AA52" i="87"/>
  <c r="AD53" i="87"/>
  <c r="BA57" i="87"/>
  <c r="BB57" i="87"/>
  <c r="BA58" i="87"/>
  <c r="BB58" i="87"/>
  <c r="Z59" i="87"/>
  <c r="AA59" i="87"/>
  <c r="AB59" i="87"/>
  <c r="AC59" i="87"/>
  <c r="AE59" i="87"/>
  <c r="BA59" i="87"/>
  <c r="BB59" i="87"/>
  <c r="K60" i="87"/>
  <c r="L60" i="87"/>
  <c r="M60" i="87"/>
  <c r="N60" i="87"/>
  <c r="P60" i="87"/>
  <c r="Q60" i="87"/>
  <c r="U60" i="87"/>
  <c r="V60" i="87"/>
  <c r="W60" i="87"/>
  <c r="X60" i="87"/>
  <c r="Z60" i="87"/>
  <c r="AA60" i="87"/>
  <c r="AB60" i="87"/>
  <c r="AC60" i="87"/>
  <c r="AE60" i="87"/>
  <c r="BA60" i="87"/>
  <c r="BB60" i="87"/>
  <c r="BA61" i="87"/>
  <c r="BB61" i="87"/>
  <c r="Z62" i="87"/>
  <c r="AA62" i="87"/>
  <c r="AB62" i="87"/>
  <c r="AC62" i="87"/>
  <c r="AE62" i="87"/>
  <c r="BA62" i="87"/>
  <c r="BB62" i="87"/>
  <c r="K63" i="87"/>
  <c r="L63" i="87"/>
  <c r="M63" i="87"/>
  <c r="N63" i="87"/>
  <c r="P63" i="87"/>
  <c r="Q63" i="87"/>
  <c r="U63" i="87"/>
  <c r="V63" i="87"/>
  <c r="W63" i="87"/>
  <c r="X63" i="87"/>
  <c r="Z63" i="87"/>
  <c r="AA63" i="87"/>
  <c r="AB63" i="87"/>
  <c r="AC63" i="87"/>
  <c r="AE63" i="87"/>
  <c r="BA63" i="87"/>
  <c r="BB63" i="87"/>
  <c r="Z64" i="87"/>
  <c r="AB64" i="87"/>
  <c r="AC64" i="87"/>
  <c r="AE64" i="87"/>
  <c r="BA64" i="87"/>
  <c r="BB64" i="87"/>
  <c r="BA65" i="87"/>
  <c r="BB65" i="87"/>
  <c r="BA66" i="87"/>
  <c r="BB66" i="87"/>
  <c r="Z67" i="87"/>
  <c r="AA67" i="87"/>
  <c r="AB67" i="87"/>
  <c r="AC67" i="87"/>
  <c r="AE67" i="87"/>
  <c r="BA67" i="87"/>
  <c r="BB67" i="87"/>
  <c r="K68" i="87"/>
  <c r="L68" i="87"/>
  <c r="M68" i="87"/>
  <c r="N68" i="87"/>
  <c r="P68" i="87"/>
  <c r="Q68" i="87"/>
  <c r="U68" i="87"/>
  <c r="V68" i="87"/>
  <c r="W68" i="87"/>
  <c r="X68" i="87"/>
  <c r="Z68" i="87"/>
  <c r="AA68" i="87"/>
  <c r="AB68" i="87"/>
  <c r="AC68" i="87"/>
  <c r="AE68" i="87"/>
  <c r="K69" i="87"/>
  <c r="L69" i="87"/>
  <c r="M69" i="87"/>
  <c r="N69" i="87"/>
  <c r="P69" i="87"/>
  <c r="Q69" i="87"/>
  <c r="U69" i="87"/>
  <c r="V69" i="87"/>
  <c r="W69" i="87"/>
  <c r="X69" i="87"/>
  <c r="Z69" i="87"/>
  <c r="AA69" i="87"/>
  <c r="AB69" i="87"/>
  <c r="AC69" i="87"/>
  <c r="AE69" i="87"/>
  <c r="Z70" i="87"/>
  <c r="AB70" i="87"/>
  <c r="AC70" i="87"/>
  <c r="AE70" i="87"/>
  <c r="Z71" i="87"/>
  <c r="AB71" i="87"/>
  <c r="AC71" i="87"/>
  <c r="AE71" i="87"/>
  <c r="L74" i="87"/>
  <c r="M74" i="87"/>
  <c r="L75" i="87"/>
  <c r="M75" i="87"/>
  <c r="L76" i="87"/>
  <c r="M76" i="87"/>
  <c r="AN76" i="87"/>
  <c r="L77" i="87"/>
  <c r="M77" i="87"/>
  <c r="L78" i="87"/>
  <c r="M78" i="87"/>
  <c r="AV98" i="87"/>
  <c r="AV99" i="87"/>
  <c r="AV100" i="87"/>
  <c r="AV101" i="87"/>
  <c r="AV102" i="87"/>
  <c r="AV103" i="87"/>
  <c r="AV104" i="87"/>
  <c r="AV105" i="87"/>
  <c r="AV106" i="87"/>
  <c r="AV107" i="87"/>
  <c r="AV108" i="87"/>
  <c r="AV109" i="87"/>
  <c r="AV110" i="87"/>
  <c r="AV111" i="87"/>
  <c r="AV112" i="87"/>
  <c r="AV113" i="87"/>
  <c r="AV114" i="87"/>
  <c r="AV115" i="87"/>
  <c r="AV116" i="87"/>
  <c r="AV117" i="87"/>
  <c r="AV118" i="87"/>
  <c r="AV119" i="87"/>
  <c r="AV120" i="87"/>
  <c r="AV121" i="87"/>
  <c r="L80" i="87"/>
  <c r="M80" i="87"/>
  <c r="BB68" i="87"/>
  <c r="BB69" i="87"/>
  <c r="BB70" i="87"/>
  <c r="BB71" i="87"/>
  <c r="BB72" i="87"/>
  <c r="BB73" i="87"/>
  <c r="BB74" i="87"/>
  <c r="BB75" i="87"/>
  <c r="BB76" i="87"/>
  <c r="BB77" i="87"/>
  <c r="BB78" i="87"/>
  <c r="BB79" i="87"/>
  <c r="L82" i="87"/>
  <c r="M82" i="87"/>
  <c r="L83" i="87"/>
  <c r="M83" i="87"/>
  <c r="X85" i="87"/>
  <c r="BC23" i="87"/>
  <c r="BC24" i="87"/>
  <c r="BC25" i="87"/>
  <c r="BC26" i="87"/>
  <c r="BC27" i="87"/>
  <c r="BC28" i="87"/>
  <c r="BC29" i="87"/>
  <c r="BC30" i="87"/>
  <c r="BC31" i="87"/>
  <c r="BC32" i="87"/>
  <c r="BC33" i="87"/>
  <c r="BC34" i="87"/>
  <c r="T86" i="87"/>
  <c r="X86" i="87"/>
  <c r="BF82" i="87"/>
  <c r="BG82" i="87"/>
  <c r="BH82" i="87"/>
  <c r="BI82" i="87"/>
  <c r="BJ82" i="87"/>
  <c r="BF83" i="87"/>
  <c r="BG83" i="87"/>
  <c r="BH83" i="87"/>
  <c r="BI83" i="87"/>
  <c r="BJ83" i="87"/>
  <c r="K64" i="87"/>
  <c r="L64" i="87"/>
  <c r="M64" i="87"/>
  <c r="N64" i="87"/>
  <c r="P64" i="87"/>
  <c r="Q64" i="87"/>
  <c r="U64" i="87"/>
  <c r="V64" i="87"/>
  <c r="W64" i="87"/>
  <c r="X64" i="87"/>
  <c r="AA64" i="87"/>
  <c r="BA68" i="87"/>
  <c r="BA69" i="87"/>
  <c r="K70" i="87"/>
  <c r="L70" i="87"/>
  <c r="M70" i="87"/>
  <c r="N70" i="87"/>
  <c r="P70" i="87"/>
  <c r="Q70" i="87"/>
  <c r="U70" i="87"/>
  <c r="V70" i="87"/>
  <c r="W70" i="87"/>
  <c r="X70" i="87"/>
  <c r="AA70" i="87"/>
  <c r="BA70" i="87"/>
  <c r="K71" i="87"/>
  <c r="L71" i="87"/>
  <c r="M71" i="87"/>
  <c r="N71" i="87"/>
  <c r="P71" i="87"/>
  <c r="Q71" i="87"/>
  <c r="U71" i="87"/>
  <c r="V71" i="87"/>
  <c r="W71" i="87"/>
  <c r="X71" i="87"/>
  <c r="AA71" i="87"/>
  <c r="BA71" i="87"/>
  <c r="BA72" i="87"/>
  <c r="BA73" i="87"/>
  <c r="BA74" i="87"/>
  <c r="BA75" i="87"/>
  <c r="BA76" i="87"/>
  <c r="BA77" i="87"/>
  <c r="BA78" i="87"/>
  <c r="BA79" i="87"/>
  <c r="K59" i="84"/>
  <c r="P59" i="84"/>
  <c r="L59" i="84"/>
  <c r="Q59" i="84"/>
  <c r="H91" i="84"/>
  <c r="H92" i="84"/>
  <c r="H93" i="84"/>
  <c r="H94" i="84"/>
  <c r="H95" i="84"/>
  <c r="H96" i="84"/>
  <c r="H97" i="84"/>
  <c r="H98" i="84"/>
  <c r="H99" i="84"/>
  <c r="H100" i="84"/>
  <c r="H101" i="84"/>
  <c r="H102" i="84"/>
  <c r="H103" i="84"/>
  <c r="H104" i="84"/>
  <c r="H105" i="84"/>
  <c r="M59" i="84"/>
  <c r="R59" i="84"/>
  <c r="N59" i="84"/>
  <c r="S59" i="84"/>
  <c r="Z59" i="84"/>
  <c r="AA59" i="84"/>
  <c r="AC59" i="84"/>
  <c r="K60" i="84"/>
  <c r="P60" i="84"/>
  <c r="L60" i="84"/>
  <c r="Q60" i="84"/>
  <c r="H106" i="84"/>
  <c r="H107" i="84"/>
  <c r="H108" i="84"/>
  <c r="H109" i="84"/>
  <c r="H110" i="84"/>
  <c r="H111" i="84"/>
  <c r="H112" i="84"/>
  <c r="H113" i="84"/>
  <c r="H114" i="84"/>
  <c r="H115" i="84"/>
  <c r="H116" i="84"/>
  <c r="H117" i="84"/>
  <c r="H118" i="84"/>
  <c r="H119" i="84"/>
  <c r="H120" i="84"/>
  <c r="H121" i="84"/>
  <c r="M60" i="84"/>
  <c r="R60" i="84"/>
  <c r="N60" i="84"/>
  <c r="S60" i="84"/>
  <c r="Z60" i="84"/>
  <c r="AA60" i="84"/>
  <c r="AC60" i="84"/>
  <c r="AD60" i="84"/>
  <c r="K62" i="84"/>
  <c r="P62" i="84"/>
  <c r="L62" i="84"/>
  <c r="Q62" i="84"/>
  <c r="M62" i="84"/>
  <c r="R62" i="84"/>
  <c r="N62" i="84"/>
  <c r="S62" i="84"/>
  <c r="Z62" i="84"/>
  <c r="AA62" i="84"/>
  <c r="AC62" i="84"/>
  <c r="K63" i="84"/>
  <c r="P63" i="84"/>
  <c r="L63" i="84"/>
  <c r="Q63" i="84"/>
  <c r="M63" i="84"/>
  <c r="R63" i="84"/>
  <c r="N63" i="84"/>
  <c r="S63" i="84"/>
  <c r="Z63" i="84"/>
  <c r="AA63" i="84"/>
  <c r="AC63" i="84"/>
  <c r="K64" i="84"/>
  <c r="P64" i="84"/>
  <c r="L64" i="84"/>
  <c r="Q64" i="84"/>
  <c r="M64" i="84"/>
  <c r="R64" i="84"/>
  <c r="N64" i="84"/>
  <c r="S64" i="84"/>
  <c r="Z64" i="84"/>
  <c r="AA64" i="84"/>
  <c r="AC64" i="84"/>
  <c r="AD64" i="84"/>
  <c r="K66" i="84"/>
  <c r="P66" i="84"/>
  <c r="L66" i="84"/>
  <c r="Q66" i="84"/>
  <c r="M66" i="84"/>
  <c r="R66" i="84"/>
  <c r="N66" i="84"/>
  <c r="S66" i="84"/>
  <c r="Z66" i="84"/>
  <c r="AA66" i="84"/>
  <c r="AC66" i="84"/>
  <c r="K67" i="84"/>
  <c r="P67" i="84"/>
  <c r="L67" i="84"/>
  <c r="Q67" i="84"/>
  <c r="M67" i="84"/>
  <c r="R67" i="84"/>
  <c r="N67" i="84"/>
  <c r="S67" i="84"/>
  <c r="Z67" i="84"/>
  <c r="AA67" i="84"/>
  <c r="AC67" i="84"/>
  <c r="K68" i="84"/>
  <c r="P68" i="84"/>
  <c r="L68" i="84"/>
  <c r="Q68" i="84"/>
  <c r="M68" i="84"/>
  <c r="R68" i="84"/>
  <c r="N68" i="84"/>
  <c r="S68" i="84"/>
  <c r="Z68" i="84"/>
  <c r="AA68" i="84"/>
  <c r="AC68" i="84"/>
  <c r="K69" i="84"/>
  <c r="P69" i="84"/>
  <c r="L69" i="84"/>
  <c r="Q69" i="84"/>
  <c r="M69" i="84"/>
  <c r="R69" i="84"/>
  <c r="N69" i="84"/>
  <c r="S69" i="84"/>
  <c r="Z69" i="84"/>
  <c r="AA69" i="84"/>
  <c r="AC69" i="84"/>
  <c r="AD69" i="84"/>
  <c r="K70" i="84"/>
  <c r="P70" i="84"/>
  <c r="L70" i="84"/>
  <c r="Q70" i="84"/>
  <c r="M70" i="84"/>
  <c r="R70" i="84"/>
  <c r="N70" i="84"/>
  <c r="S70" i="84"/>
  <c r="Z70" i="84"/>
  <c r="AA70" i="84"/>
  <c r="AC70" i="84"/>
  <c r="AD70" i="84"/>
  <c r="K71" i="84"/>
  <c r="P71" i="84"/>
  <c r="L71" i="84"/>
  <c r="Q71" i="84"/>
  <c r="M71" i="84"/>
  <c r="R71" i="84"/>
  <c r="N71" i="84"/>
  <c r="S71" i="84"/>
  <c r="Z71" i="84"/>
  <c r="AA71" i="84"/>
  <c r="AC71" i="84"/>
  <c r="AD71" i="84"/>
  <c r="K59" i="86"/>
  <c r="P59" i="86"/>
  <c r="L59" i="86"/>
  <c r="Q59" i="86"/>
  <c r="H91" i="86"/>
  <c r="H92" i="86"/>
  <c r="H93" i="86"/>
  <c r="H94" i="86"/>
  <c r="H95" i="86"/>
  <c r="H96" i="86"/>
  <c r="H97" i="86"/>
  <c r="H98" i="86"/>
  <c r="H99" i="86"/>
  <c r="H100" i="86"/>
  <c r="H101" i="86"/>
  <c r="H102" i="86"/>
  <c r="H103" i="86"/>
  <c r="H104" i="86"/>
  <c r="H105" i="86"/>
  <c r="M59" i="86"/>
  <c r="R59" i="86"/>
  <c r="N59" i="86"/>
  <c r="S59" i="86"/>
  <c r="Z59" i="86"/>
  <c r="AA59" i="86"/>
  <c r="AC59" i="86"/>
  <c r="AD59" i="86"/>
  <c r="K60" i="86"/>
  <c r="P60" i="86"/>
  <c r="L60" i="86"/>
  <c r="Q60" i="86"/>
  <c r="H106" i="86"/>
  <c r="H107" i="86"/>
  <c r="H108" i="86"/>
  <c r="H109" i="86"/>
  <c r="H110" i="86"/>
  <c r="H111" i="86"/>
  <c r="H112" i="86"/>
  <c r="H113" i="86"/>
  <c r="H114" i="86"/>
  <c r="H115" i="86"/>
  <c r="H116" i="86"/>
  <c r="H117" i="86"/>
  <c r="H118" i="86"/>
  <c r="M60" i="86"/>
  <c r="R60" i="86"/>
  <c r="N60" i="86"/>
  <c r="S60" i="86"/>
  <c r="Z60" i="86"/>
  <c r="AA60" i="86"/>
  <c r="AS119" i="86"/>
  <c r="AS120" i="86"/>
  <c r="AS121" i="86"/>
  <c r="AC60" i="86"/>
  <c r="AD60" i="86"/>
  <c r="K62" i="86"/>
  <c r="P62" i="86"/>
  <c r="L62" i="86"/>
  <c r="Q62" i="86"/>
  <c r="M62" i="86"/>
  <c r="R62" i="86"/>
  <c r="N62" i="86"/>
  <c r="S62" i="86"/>
  <c r="Z62" i="86"/>
  <c r="AA62" i="86"/>
  <c r="AC62" i="86"/>
  <c r="AD62" i="86"/>
  <c r="K63" i="86"/>
  <c r="P63" i="86"/>
  <c r="L63" i="86"/>
  <c r="Q63" i="86"/>
  <c r="M63" i="86"/>
  <c r="R63" i="86"/>
  <c r="N63" i="86"/>
  <c r="S63" i="86"/>
  <c r="Z63" i="86"/>
  <c r="AA63" i="86"/>
  <c r="AC63" i="86"/>
  <c r="AD63" i="86"/>
  <c r="K64" i="86"/>
  <c r="P64" i="86"/>
  <c r="L64" i="86"/>
  <c r="Q64" i="86"/>
  <c r="M64" i="86"/>
  <c r="R64" i="86"/>
  <c r="N64" i="86"/>
  <c r="S64" i="86"/>
  <c r="Z64" i="86"/>
  <c r="AA64" i="86"/>
  <c r="AC64" i="86"/>
  <c r="AD64" i="86"/>
  <c r="K66" i="86"/>
  <c r="P66" i="86"/>
  <c r="L66" i="86"/>
  <c r="Q66" i="86"/>
  <c r="M66" i="86"/>
  <c r="R66" i="86"/>
  <c r="N66" i="86"/>
  <c r="S66" i="86"/>
  <c r="Z66" i="86"/>
  <c r="AA66" i="86"/>
  <c r="AC66" i="86"/>
  <c r="AD66" i="86"/>
  <c r="K67" i="86"/>
  <c r="P67" i="86"/>
  <c r="L67" i="86"/>
  <c r="Q67" i="86"/>
  <c r="M67" i="86"/>
  <c r="R67" i="86"/>
  <c r="N67" i="86"/>
  <c r="S67" i="86"/>
  <c r="Z67" i="86"/>
  <c r="AA67" i="86"/>
  <c r="AC67" i="86"/>
  <c r="AD67" i="86"/>
  <c r="K68" i="86"/>
  <c r="P68" i="86"/>
  <c r="L68" i="86"/>
  <c r="Q68" i="86"/>
  <c r="M68" i="86"/>
  <c r="R68" i="86"/>
  <c r="N68" i="86"/>
  <c r="S68" i="86"/>
  <c r="Z68" i="86"/>
  <c r="AA68" i="86"/>
  <c r="AC68" i="86"/>
  <c r="AD68" i="86"/>
  <c r="K69" i="86"/>
  <c r="P69" i="86"/>
  <c r="L69" i="86"/>
  <c r="Q69" i="86"/>
  <c r="M69" i="86"/>
  <c r="R69" i="86"/>
  <c r="N69" i="86"/>
  <c r="S69" i="86"/>
  <c r="Z69" i="86"/>
  <c r="AA69" i="86"/>
  <c r="AC69" i="86"/>
  <c r="AD69" i="86"/>
  <c r="K70" i="86"/>
  <c r="P70" i="86"/>
  <c r="L70" i="86"/>
  <c r="Q70" i="86"/>
  <c r="M70" i="86"/>
  <c r="R70" i="86"/>
  <c r="N70" i="86"/>
  <c r="S70" i="86"/>
  <c r="Z70" i="86"/>
  <c r="AA70" i="86"/>
  <c r="AC70" i="86"/>
  <c r="AD70" i="86"/>
  <c r="K71" i="86"/>
  <c r="P71" i="86"/>
  <c r="L71" i="86"/>
  <c r="Q71" i="86"/>
  <c r="M71" i="86"/>
  <c r="R71" i="86"/>
  <c r="N71" i="86"/>
  <c r="S71" i="86"/>
  <c r="Z71" i="86"/>
  <c r="AA71" i="86"/>
  <c r="AC71" i="86"/>
  <c r="AD71" i="86"/>
  <c r="H91" i="87"/>
  <c r="H92" i="87"/>
  <c r="H93" i="87"/>
  <c r="H94" i="87"/>
  <c r="H95" i="87"/>
  <c r="H96" i="87"/>
  <c r="R67" i="87"/>
  <c r="H97" i="87"/>
  <c r="H98" i="87"/>
  <c r="H99" i="87"/>
  <c r="H100" i="87"/>
  <c r="H101" i="87"/>
  <c r="H102" i="87"/>
  <c r="H103" i="87"/>
  <c r="H104" i="87"/>
  <c r="H105" i="87"/>
  <c r="I91" i="87"/>
  <c r="I92" i="87"/>
  <c r="I93" i="87"/>
  <c r="I94" i="87"/>
  <c r="I95" i="87"/>
  <c r="I96" i="87"/>
  <c r="I97" i="87"/>
  <c r="I98" i="87"/>
  <c r="I99" i="87"/>
  <c r="I100" i="87"/>
  <c r="I101" i="87"/>
  <c r="I102" i="87"/>
  <c r="I103" i="87"/>
  <c r="I104" i="87"/>
  <c r="I105" i="87"/>
  <c r="AT123" i="87"/>
  <c r="AS91" i="87"/>
  <c r="AS92" i="87"/>
  <c r="AS94" i="87"/>
  <c r="AS96" i="87"/>
  <c r="AS98" i="87"/>
  <c r="AS100" i="87"/>
  <c r="AS102" i="87"/>
  <c r="AS104" i="87"/>
  <c r="K59" i="89"/>
  <c r="P59" i="89"/>
  <c r="L59" i="89"/>
  <c r="Q59" i="89"/>
  <c r="M59" i="89"/>
  <c r="N59" i="89"/>
  <c r="Z59" i="89"/>
  <c r="AA59" i="89"/>
  <c r="AC59" i="89"/>
  <c r="K60" i="89"/>
  <c r="P60" i="89"/>
  <c r="L60" i="89"/>
  <c r="Q60" i="89"/>
  <c r="M60" i="89"/>
  <c r="N60" i="89"/>
  <c r="Z60" i="89"/>
  <c r="AA60" i="89"/>
  <c r="AC60" i="89"/>
  <c r="K62" i="89"/>
  <c r="P62" i="89"/>
  <c r="L62" i="89"/>
  <c r="Q62" i="89"/>
  <c r="M62" i="89"/>
  <c r="N62" i="89"/>
  <c r="Z62" i="89"/>
  <c r="AA62" i="89"/>
  <c r="AC62" i="89"/>
  <c r="K63" i="89"/>
  <c r="P63" i="89"/>
  <c r="L63" i="89"/>
  <c r="Q63" i="89"/>
  <c r="M63" i="89"/>
  <c r="N63" i="89"/>
  <c r="Z63" i="89"/>
  <c r="AA63" i="89"/>
  <c r="AC63" i="89"/>
  <c r="K64" i="89"/>
  <c r="P64" i="89"/>
  <c r="L64" i="89"/>
  <c r="Q64" i="89"/>
  <c r="M64" i="89"/>
  <c r="N64" i="89"/>
  <c r="Z64" i="89"/>
  <c r="AA64" i="89"/>
  <c r="AC64" i="89"/>
  <c r="K66" i="89"/>
  <c r="P66" i="89"/>
  <c r="L66" i="89"/>
  <c r="Q66" i="89"/>
  <c r="M66" i="89"/>
  <c r="N66" i="89"/>
  <c r="Z66" i="89"/>
  <c r="AA66" i="89"/>
  <c r="AC66" i="89"/>
  <c r="K67" i="89"/>
  <c r="P67" i="89"/>
  <c r="L67" i="89"/>
  <c r="Q67" i="89"/>
  <c r="M67" i="89"/>
  <c r="N67" i="89"/>
  <c r="Z67" i="89"/>
  <c r="AA67" i="89"/>
  <c r="AC67" i="89"/>
  <c r="K68" i="89"/>
  <c r="P68" i="89"/>
  <c r="L68" i="89"/>
  <c r="Q68" i="89"/>
  <c r="M68" i="89"/>
  <c r="N68" i="89"/>
  <c r="Z68" i="89"/>
  <c r="AA68" i="89"/>
  <c r="AC68" i="89"/>
  <c r="K69" i="89"/>
  <c r="P69" i="89"/>
  <c r="L69" i="89"/>
  <c r="Q69" i="89"/>
  <c r="M69" i="89"/>
  <c r="N69" i="89"/>
  <c r="Z69" i="89"/>
  <c r="AA69" i="89"/>
  <c r="AC69" i="89"/>
  <c r="K70" i="89"/>
  <c r="P70" i="89"/>
  <c r="L70" i="89"/>
  <c r="Q70" i="89"/>
  <c r="M70" i="89"/>
  <c r="N70" i="89"/>
  <c r="Z70" i="89"/>
  <c r="AA70" i="89"/>
  <c r="AC70" i="89"/>
  <c r="K71" i="89"/>
  <c r="P71" i="89"/>
  <c r="L71" i="89"/>
  <c r="Q71" i="89"/>
  <c r="M71" i="89"/>
  <c r="N71" i="89"/>
  <c r="Z71" i="89"/>
  <c r="AA71" i="89"/>
  <c r="AC71" i="89"/>
  <c r="K59" i="88"/>
  <c r="P59" i="88"/>
  <c r="L59" i="88"/>
  <c r="Q59" i="88"/>
  <c r="M59" i="88"/>
  <c r="N59" i="88"/>
  <c r="Z59" i="88"/>
  <c r="AA59" i="88"/>
  <c r="AC59" i="88"/>
  <c r="K60" i="88"/>
  <c r="P60" i="88"/>
  <c r="L60" i="88"/>
  <c r="Q60" i="88"/>
  <c r="M60" i="88"/>
  <c r="N60" i="88"/>
  <c r="Z60" i="88"/>
  <c r="AA60" i="88"/>
  <c r="AC60" i="88"/>
  <c r="K62" i="88"/>
  <c r="P62" i="88"/>
  <c r="L62" i="88"/>
  <c r="Q62" i="88"/>
  <c r="M62" i="88"/>
  <c r="N62" i="88"/>
  <c r="Z62" i="88"/>
  <c r="AA62" i="88"/>
  <c r="AC62" i="88"/>
  <c r="K63" i="88"/>
  <c r="P63" i="88"/>
  <c r="L63" i="88"/>
  <c r="Q63" i="88"/>
  <c r="M63" i="88"/>
  <c r="N63" i="88"/>
  <c r="Z63" i="88"/>
  <c r="AA63" i="88"/>
  <c r="AC63" i="88"/>
  <c r="K64" i="88"/>
  <c r="P64" i="88"/>
  <c r="L64" i="88"/>
  <c r="Q64" i="88"/>
  <c r="M64" i="88"/>
  <c r="N64" i="88"/>
  <c r="Z64" i="88"/>
  <c r="AA64" i="88"/>
  <c r="AC64" i="88"/>
  <c r="K66" i="88"/>
  <c r="P66" i="88"/>
  <c r="L66" i="88"/>
  <c r="Q66" i="88"/>
  <c r="M66" i="88"/>
  <c r="N66" i="88"/>
  <c r="Z66" i="88"/>
  <c r="AA66" i="88"/>
  <c r="AC66" i="88"/>
  <c r="K67" i="88"/>
  <c r="P67" i="88"/>
  <c r="L67" i="88"/>
  <c r="Q67" i="88"/>
  <c r="M67" i="88"/>
  <c r="N67" i="88"/>
  <c r="Z67" i="88"/>
  <c r="AA67" i="88"/>
  <c r="AC67" i="88"/>
  <c r="K68" i="88"/>
  <c r="P68" i="88"/>
  <c r="L68" i="88"/>
  <c r="Q68" i="88"/>
  <c r="M68" i="88"/>
  <c r="N68" i="88"/>
  <c r="Z68" i="88"/>
  <c r="AA68" i="88"/>
  <c r="AC68" i="88"/>
  <c r="K69" i="88"/>
  <c r="P69" i="88"/>
  <c r="L69" i="88"/>
  <c r="Q69" i="88"/>
  <c r="M69" i="88"/>
  <c r="N69" i="88"/>
  <c r="Z69" i="88"/>
  <c r="AA69" i="88"/>
  <c r="AC69" i="88"/>
  <c r="K70" i="88"/>
  <c r="P70" i="88"/>
  <c r="L70" i="88"/>
  <c r="Q70" i="88"/>
  <c r="M70" i="88"/>
  <c r="N70" i="88"/>
  <c r="Z70" i="88"/>
  <c r="AA70" i="88"/>
  <c r="AC70" i="88"/>
  <c r="K71" i="88"/>
  <c r="P71" i="88"/>
  <c r="L71" i="88"/>
  <c r="Q71" i="88"/>
  <c r="M71" i="88"/>
  <c r="N71" i="88"/>
  <c r="Z71" i="88"/>
  <c r="AA71" i="88"/>
  <c r="AC71" i="88"/>
  <c r="K59" i="91"/>
  <c r="P59" i="91"/>
  <c r="L59" i="91"/>
  <c r="Q59" i="91"/>
  <c r="M59" i="91"/>
  <c r="N59" i="91"/>
  <c r="Z59" i="91"/>
  <c r="AA59" i="91"/>
  <c r="AC59" i="91"/>
  <c r="K60" i="91"/>
  <c r="P60" i="91"/>
  <c r="L60" i="91"/>
  <c r="Q60" i="91"/>
  <c r="M60" i="91"/>
  <c r="N60" i="91"/>
  <c r="Z60" i="91"/>
  <c r="AA60" i="91"/>
  <c r="AC60" i="91"/>
  <c r="K62" i="91"/>
  <c r="P62" i="91"/>
  <c r="L62" i="91"/>
  <c r="Q62" i="91"/>
  <c r="M62" i="91"/>
  <c r="N62" i="91"/>
  <c r="Z62" i="91"/>
  <c r="AA62" i="91"/>
  <c r="AC62" i="91"/>
  <c r="K63" i="91"/>
  <c r="P63" i="91"/>
  <c r="L63" i="91"/>
  <c r="Q63" i="91"/>
  <c r="M63" i="91"/>
  <c r="N63" i="91"/>
  <c r="Z63" i="91"/>
  <c r="AA63" i="91"/>
  <c r="AC63" i="91"/>
  <c r="K64" i="91"/>
  <c r="P64" i="91"/>
  <c r="L64" i="91"/>
  <c r="Q64" i="91"/>
  <c r="M64" i="91"/>
  <c r="N64" i="91"/>
  <c r="Z64" i="91"/>
  <c r="AA64" i="91"/>
  <c r="AC64" i="91"/>
  <c r="K66" i="91"/>
  <c r="P66" i="91"/>
  <c r="L66" i="91"/>
  <c r="Q66" i="91"/>
  <c r="M66" i="91"/>
  <c r="N66" i="91"/>
  <c r="Z66" i="91"/>
  <c r="AA66" i="91"/>
  <c r="AC66" i="91"/>
  <c r="K67" i="91"/>
  <c r="P67" i="91"/>
  <c r="L67" i="91"/>
  <c r="Q67" i="91"/>
  <c r="M67" i="91"/>
  <c r="N67" i="91"/>
  <c r="Z67" i="91"/>
  <c r="AA67" i="91"/>
  <c r="AC67" i="91"/>
  <c r="K68" i="91"/>
  <c r="P68" i="91"/>
  <c r="L68" i="91"/>
  <c r="Q68" i="91"/>
  <c r="M68" i="91"/>
  <c r="N68" i="91"/>
  <c r="Z68" i="91"/>
  <c r="AA68" i="91"/>
  <c r="AC68" i="91"/>
  <c r="K69" i="91"/>
  <c r="P69" i="91"/>
  <c r="L69" i="91"/>
  <c r="Q69" i="91"/>
  <c r="M69" i="91"/>
  <c r="N69" i="91"/>
  <c r="Z69" i="91"/>
  <c r="AA69" i="91"/>
  <c r="AC69" i="91"/>
  <c r="K70" i="91"/>
  <c r="P70" i="91"/>
  <c r="L70" i="91"/>
  <c r="Q70" i="91"/>
  <c r="M70" i="91"/>
  <c r="N70" i="91"/>
  <c r="Z70" i="91"/>
  <c r="AA70" i="91"/>
  <c r="AC70" i="91"/>
  <c r="K71" i="91"/>
  <c r="P71" i="91"/>
  <c r="L71" i="91"/>
  <c r="Q71" i="91"/>
  <c r="M71" i="91"/>
  <c r="N71" i="91"/>
  <c r="Z71" i="91"/>
  <c r="AA71" i="91"/>
  <c r="AC71" i="91"/>
  <c r="K59" i="92"/>
  <c r="P59" i="92"/>
  <c r="L59" i="92"/>
  <c r="Q59" i="92"/>
  <c r="M59" i="92"/>
  <c r="N59" i="92"/>
  <c r="Z59" i="92"/>
  <c r="AA59" i="92"/>
  <c r="AC59" i="92"/>
  <c r="K60" i="92"/>
  <c r="P60" i="92"/>
  <c r="L60" i="92"/>
  <c r="Q60" i="92"/>
  <c r="M60" i="92"/>
  <c r="N60" i="92"/>
  <c r="Z60" i="92"/>
  <c r="AA60" i="92"/>
  <c r="AC60" i="92"/>
  <c r="K62" i="92"/>
  <c r="P62" i="92"/>
  <c r="L62" i="92"/>
  <c r="Q62" i="92"/>
  <c r="M62" i="92"/>
  <c r="N62" i="92"/>
  <c r="Z62" i="92"/>
  <c r="AA62" i="92"/>
  <c r="AC62" i="92"/>
  <c r="K63" i="92"/>
  <c r="P63" i="92"/>
  <c r="L63" i="92"/>
  <c r="Q63" i="92"/>
  <c r="M63" i="92"/>
  <c r="N63" i="92"/>
  <c r="Z63" i="92"/>
  <c r="AA63" i="92"/>
  <c r="AC63" i="92"/>
  <c r="K64" i="92"/>
  <c r="P64" i="92"/>
  <c r="L64" i="92"/>
  <c r="Q64" i="92"/>
  <c r="M64" i="92"/>
  <c r="N64" i="92"/>
  <c r="Z64" i="92"/>
  <c r="AA64" i="92"/>
  <c r="AC64" i="92"/>
  <c r="K66" i="92"/>
  <c r="P66" i="92"/>
  <c r="L66" i="92"/>
  <c r="Q66" i="92"/>
  <c r="M66" i="92"/>
  <c r="N66" i="92"/>
  <c r="Z66" i="92"/>
  <c r="AA66" i="92"/>
  <c r="AC66" i="92"/>
  <c r="K67" i="92"/>
  <c r="P67" i="92"/>
  <c r="L67" i="92"/>
  <c r="Q67" i="92"/>
  <c r="M67" i="92"/>
  <c r="N67" i="92"/>
  <c r="Z67" i="92"/>
  <c r="AA67" i="92"/>
  <c r="AC67" i="92"/>
  <c r="K68" i="92"/>
  <c r="P68" i="92"/>
  <c r="L68" i="92"/>
  <c r="Q68" i="92"/>
  <c r="M68" i="92"/>
  <c r="N68" i="92"/>
  <c r="Z68" i="92"/>
  <c r="AA68" i="92"/>
  <c r="AC68" i="92"/>
  <c r="K69" i="92"/>
  <c r="P69" i="92"/>
  <c r="L69" i="92"/>
  <c r="Q69" i="92"/>
  <c r="M69" i="92"/>
  <c r="N69" i="92"/>
  <c r="Z69" i="92"/>
  <c r="AA69" i="92"/>
  <c r="AC69" i="92"/>
  <c r="K70" i="92"/>
  <c r="P70" i="92"/>
  <c r="L70" i="92"/>
  <c r="Q70" i="92"/>
  <c r="M70" i="92"/>
  <c r="N70" i="92"/>
  <c r="Z70" i="92"/>
  <c r="AA70" i="92"/>
  <c r="AC70" i="92"/>
  <c r="K71" i="92"/>
  <c r="P71" i="92"/>
  <c r="L71" i="92"/>
  <c r="Q71" i="92"/>
  <c r="M71" i="92"/>
  <c r="N71" i="92"/>
  <c r="Z71" i="92"/>
  <c r="AA71" i="92"/>
  <c r="AC71" i="92"/>
  <c r="K59" i="93"/>
  <c r="P59" i="93"/>
  <c r="L59" i="93"/>
  <c r="Q59" i="93"/>
  <c r="M59" i="93"/>
  <c r="H91" i="93"/>
  <c r="N59" i="93"/>
  <c r="Z59" i="93"/>
  <c r="AA59" i="93"/>
  <c r="AC59" i="93"/>
  <c r="K60" i="93"/>
  <c r="P60" i="93"/>
  <c r="L60" i="93"/>
  <c r="Q60" i="93"/>
  <c r="M60" i="93"/>
  <c r="N60" i="93"/>
  <c r="Z60" i="93"/>
  <c r="AA60" i="93"/>
  <c r="AC60" i="93"/>
  <c r="K62" i="93"/>
  <c r="P62" i="93"/>
  <c r="L62" i="93"/>
  <c r="Q62" i="93"/>
  <c r="M62" i="93"/>
  <c r="N62" i="93"/>
  <c r="Z62" i="93"/>
  <c r="AA62" i="93"/>
  <c r="AC62" i="93"/>
  <c r="K63" i="93"/>
  <c r="P63" i="93"/>
  <c r="L63" i="93"/>
  <c r="Q63" i="93"/>
  <c r="M63" i="93"/>
  <c r="N63" i="93"/>
  <c r="Z63" i="93"/>
  <c r="AA63" i="93"/>
  <c r="AC63" i="93"/>
  <c r="K64" i="93"/>
  <c r="P64" i="93"/>
  <c r="L64" i="93"/>
  <c r="Q64" i="93"/>
  <c r="M64" i="93"/>
  <c r="N64" i="93"/>
  <c r="Z64" i="93"/>
  <c r="AA64" i="93"/>
  <c r="AC64" i="93"/>
  <c r="K66" i="93"/>
  <c r="P66" i="93"/>
  <c r="L66" i="93"/>
  <c r="Q66" i="93"/>
  <c r="M66" i="93"/>
  <c r="N66" i="93"/>
  <c r="Z66" i="93"/>
  <c r="AA66" i="93"/>
  <c r="AC66" i="93"/>
  <c r="K67" i="93"/>
  <c r="P67" i="93"/>
  <c r="L67" i="93"/>
  <c r="Q67" i="93"/>
  <c r="M67" i="93"/>
  <c r="N67" i="93"/>
  <c r="Z67" i="93"/>
  <c r="AA67" i="93"/>
  <c r="AC67" i="93"/>
  <c r="K68" i="93"/>
  <c r="P68" i="93"/>
  <c r="L68" i="93"/>
  <c r="Q68" i="93"/>
  <c r="M68" i="93"/>
  <c r="N68" i="93"/>
  <c r="Z68" i="93"/>
  <c r="AA68" i="93"/>
  <c r="AC68" i="93"/>
  <c r="K69" i="93"/>
  <c r="P69" i="93"/>
  <c r="L69" i="93"/>
  <c r="Q69" i="93"/>
  <c r="M69" i="93"/>
  <c r="N69" i="93"/>
  <c r="Z69" i="93"/>
  <c r="AA69" i="93"/>
  <c r="AC69" i="93"/>
  <c r="K70" i="93"/>
  <c r="P70" i="93"/>
  <c r="L70" i="93"/>
  <c r="Q70" i="93"/>
  <c r="M70" i="93"/>
  <c r="N70" i="93"/>
  <c r="Z70" i="93"/>
  <c r="AA70" i="93"/>
  <c r="AC70" i="93"/>
  <c r="K71" i="93"/>
  <c r="P71" i="93"/>
  <c r="L71" i="93"/>
  <c r="Q71" i="93"/>
  <c r="M71" i="93"/>
  <c r="N71" i="93"/>
  <c r="Z71" i="93"/>
  <c r="AA71" i="93"/>
  <c r="AC71" i="93"/>
  <c r="K59" i="76"/>
  <c r="P59" i="76"/>
  <c r="L59" i="76"/>
  <c r="Q59" i="76"/>
  <c r="M59" i="76"/>
  <c r="H91" i="76"/>
  <c r="N59" i="76"/>
  <c r="Z59" i="76"/>
  <c r="AA59" i="76"/>
  <c r="AC59" i="76"/>
  <c r="P60" i="76"/>
  <c r="L60" i="76"/>
  <c r="Q60" i="76"/>
  <c r="M60" i="76"/>
  <c r="N60" i="76"/>
  <c r="Z60" i="76"/>
  <c r="AA60" i="76"/>
  <c r="AC60" i="76"/>
  <c r="K62" i="76"/>
  <c r="P62" i="76"/>
  <c r="L62" i="76"/>
  <c r="Q62" i="76"/>
  <c r="M62" i="76"/>
  <c r="N62" i="76"/>
  <c r="Z62" i="76"/>
  <c r="AA62" i="76"/>
  <c r="AC62" i="76"/>
  <c r="K63" i="76"/>
  <c r="P63" i="76"/>
  <c r="L63" i="76"/>
  <c r="Q63" i="76"/>
  <c r="M63" i="76"/>
  <c r="N63" i="76"/>
  <c r="Z63" i="76"/>
  <c r="AA63" i="76"/>
  <c r="AC63" i="76"/>
  <c r="K64" i="76"/>
  <c r="P64" i="76"/>
  <c r="L64" i="76"/>
  <c r="Q64" i="76"/>
  <c r="M64" i="76"/>
  <c r="N64" i="76"/>
  <c r="Z64" i="76"/>
  <c r="AA64" i="76"/>
  <c r="AC64" i="76"/>
  <c r="K66" i="76"/>
  <c r="P66" i="76"/>
  <c r="L66" i="76"/>
  <c r="Q66" i="76"/>
  <c r="M66" i="76"/>
  <c r="N66" i="76"/>
  <c r="Z66" i="76"/>
  <c r="AA66" i="76"/>
  <c r="AC66" i="76"/>
  <c r="K67" i="76"/>
  <c r="P67" i="76"/>
  <c r="L67" i="76"/>
  <c r="Q67" i="76"/>
  <c r="M67" i="76"/>
  <c r="N67" i="76"/>
  <c r="Z67" i="76"/>
  <c r="AA67" i="76"/>
  <c r="AC67" i="76"/>
  <c r="K68" i="76"/>
  <c r="P68" i="76"/>
  <c r="L68" i="76"/>
  <c r="Q68" i="76"/>
  <c r="M68" i="76"/>
  <c r="N68" i="76"/>
  <c r="Z68" i="76"/>
  <c r="AA68" i="76"/>
  <c r="AC68" i="76"/>
  <c r="K69" i="76"/>
  <c r="P69" i="76"/>
  <c r="L69" i="76"/>
  <c r="Q69" i="76"/>
  <c r="M69" i="76"/>
  <c r="N69" i="76"/>
  <c r="Z69" i="76"/>
  <c r="AA69" i="76"/>
  <c r="AC69" i="76"/>
  <c r="K70" i="76"/>
  <c r="P70" i="76"/>
  <c r="L70" i="76"/>
  <c r="Q70" i="76"/>
  <c r="M70" i="76"/>
  <c r="N70" i="76"/>
  <c r="Z70" i="76"/>
  <c r="AA70" i="76"/>
  <c r="AC70" i="76"/>
  <c r="K71" i="76"/>
  <c r="P71" i="76"/>
  <c r="L71" i="76"/>
  <c r="Q71" i="76"/>
  <c r="M71" i="76"/>
  <c r="N71" i="76"/>
  <c r="Z71" i="76"/>
  <c r="AA71" i="76"/>
  <c r="AC71" i="76"/>
  <c r="H91" i="78"/>
  <c r="AC59" i="78"/>
  <c r="AC60" i="78"/>
  <c r="AC62" i="78"/>
  <c r="AC63" i="78"/>
  <c r="AC64" i="78"/>
  <c r="AC66" i="78"/>
  <c r="AC67" i="78"/>
  <c r="AC68" i="78"/>
  <c r="AC69" i="78"/>
  <c r="AC70" i="78"/>
  <c r="AC71" i="78"/>
  <c r="H91" i="80"/>
  <c r="AC59" i="80"/>
  <c r="AC60" i="80"/>
  <c r="AC62" i="80"/>
  <c r="AC63" i="80"/>
  <c r="AC64" i="80"/>
  <c r="AC66" i="80"/>
  <c r="AC67" i="80"/>
  <c r="AC68" i="80"/>
  <c r="AC69" i="80"/>
  <c r="AC70" i="80"/>
  <c r="AC71" i="80"/>
  <c r="AC59" i="82"/>
  <c r="AC60" i="82"/>
  <c r="AC62" i="82"/>
  <c r="AC63" i="82"/>
  <c r="AC64" i="82"/>
  <c r="AC66" i="82"/>
  <c r="AC67" i="82"/>
  <c r="AC68" i="82"/>
  <c r="AC69" i="82"/>
  <c r="AC70" i="82"/>
  <c r="AC71" i="82"/>
  <c r="BB85" i="84"/>
  <c r="BB85" i="86"/>
  <c r="BD4" i="84"/>
  <c r="BD5" i="84"/>
  <c r="BD6" i="84"/>
  <c r="BD7" i="84"/>
  <c r="BD8" i="84"/>
  <c r="BD9" i="84"/>
  <c r="BD10" i="84"/>
  <c r="BD11" i="84"/>
  <c r="BD12" i="84"/>
  <c r="BD13" i="84"/>
  <c r="BD14" i="84"/>
  <c r="BD15" i="84"/>
  <c r="BD16" i="84"/>
  <c r="BD17" i="84"/>
  <c r="BD18" i="84"/>
  <c r="BD19" i="84"/>
  <c r="BD20" i="84"/>
  <c r="BD21" i="84"/>
  <c r="BD22" i="84"/>
  <c r="BD23" i="84"/>
  <c r="BD24" i="84"/>
  <c r="BD25" i="84"/>
  <c r="BD26" i="84"/>
  <c r="BD27" i="84"/>
  <c r="BD28" i="84"/>
  <c r="BD29" i="84"/>
  <c r="BD30" i="84"/>
  <c r="BD31" i="84"/>
  <c r="BD32" i="84"/>
  <c r="BD33" i="84"/>
  <c r="BD34" i="84"/>
  <c r="BD4" i="86"/>
  <c r="BD5" i="86"/>
  <c r="BD6" i="86"/>
  <c r="BD7" i="86"/>
  <c r="BD8" i="86"/>
  <c r="BD9" i="86"/>
  <c r="BD10" i="86"/>
  <c r="BD11" i="86"/>
  <c r="BD12" i="86"/>
  <c r="BD13" i="86"/>
  <c r="BD14" i="86"/>
  <c r="BD15" i="86"/>
  <c r="BD16" i="86"/>
  <c r="BD17" i="86"/>
  <c r="BD18" i="86"/>
  <c r="BD19" i="86"/>
  <c r="BD20" i="86"/>
  <c r="BD21" i="86"/>
  <c r="BD22" i="86"/>
  <c r="BD23" i="86"/>
  <c r="BD24" i="86"/>
  <c r="BD25" i="86"/>
  <c r="BD26" i="86"/>
  <c r="BD27" i="86"/>
  <c r="BD28" i="86"/>
  <c r="BD29" i="86"/>
  <c r="BD30" i="86"/>
  <c r="BD31" i="86"/>
  <c r="BA4" i="87"/>
  <c r="AY43" i="87"/>
  <c r="BB4" i="87"/>
  <c r="BA43" i="87"/>
  <c r="BA5" i="87"/>
  <c r="BB5" i="87"/>
  <c r="BD5" i="87"/>
  <c r="BA6" i="87"/>
  <c r="BB6" i="87"/>
  <c r="BD6" i="87"/>
  <c r="BA7" i="87"/>
  <c r="BB7" i="87"/>
  <c r="BD7" i="87"/>
  <c r="BA8" i="87"/>
  <c r="BB8" i="87"/>
  <c r="BD8" i="87"/>
  <c r="BA9" i="87"/>
  <c r="BB9" i="87"/>
  <c r="BD9" i="87"/>
  <c r="BA10" i="87"/>
  <c r="BB10" i="87"/>
  <c r="BD10" i="87"/>
  <c r="BD38" i="84" a="1"/>
  <c r="AN67" i="84" a="1"/>
  <c r="AN95" i="84" a="1"/>
  <c r="AN92" i="84" a="1"/>
  <c r="BC4" i="84"/>
  <c r="AS4" i="84"/>
  <c r="BF4" i="84"/>
  <c r="AT4" i="84"/>
  <c r="BG4" i="84"/>
  <c r="BC5" i="84"/>
  <c r="AS5" i="84"/>
  <c r="BF5" i="84"/>
  <c r="AT5" i="84"/>
  <c r="BG5" i="84"/>
  <c r="BH5" i="84"/>
  <c r="BC6" i="84"/>
  <c r="AS6" i="84"/>
  <c r="BF6" i="84"/>
  <c r="BD51" i="84"/>
  <c r="AT6" i="84"/>
  <c r="BG6" i="84"/>
  <c r="BC7" i="84"/>
  <c r="AS7" i="84"/>
  <c r="BF7" i="84"/>
  <c r="AT7" i="84"/>
  <c r="BG7" i="84"/>
  <c r="BH7" i="84"/>
  <c r="BC8" i="84"/>
  <c r="AS8" i="84"/>
  <c r="BF8" i="84"/>
  <c r="BD53" i="84"/>
  <c r="AT8" i="84"/>
  <c r="BG8" i="84"/>
  <c r="BC9" i="84"/>
  <c r="AS9" i="84"/>
  <c r="BF9" i="84"/>
  <c r="AT9" i="84"/>
  <c r="BG9" i="84"/>
  <c r="BH9" i="84"/>
  <c r="BC10" i="84"/>
  <c r="AS10" i="84"/>
  <c r="BF10" i="84"/>
  <c r="BD55" i="84"/>
  <c r="AT10" i="84"/>
  <c r="BG10" i="84"/>
  <c r="BC11" i="84"/>
  <c r="AS11" i="84"/>
  <c r="BF11" i="84"/>
  <c r="AT11" i="84"/>
  <c r="BG11" i="84"/>
  <c r="BH11" i="84"/>
  <c r="BC12" i="84"/>
  <c r="AS12" i="84"/>
  <c r="BF12" i="84"/>
  <c r="BD57" i="84"/>
  <c r="AT12" i="84"/>
  <c r="BG12" i="84"/>
  <c r="BC13" i="84"/>
  <c r="AS13" i="84"/>
  <c r="BF13" i="84"/>
  <c r="AT13" i="84"/>
  <c r="BG13" i="84"/>
  <c r="BH13" i="84"/>
  <c r="BC14" i="84"/>
  <c r="AS14" i="84"/>
  <c r="BF14" i="84"/>
  <c r="BD59" i="84"/>
  <c r="AT14" i="84"/>
  <c r="BG14" i="84"/>
  <c r="BC15" i="84"/>
  <c r="AS15" i="84"/>
  <c r="BF15" i="84"/>
  <c r="AT15" i="84"/>
  <c r="BG15" i="84"/>
  <c r="BH15" i="84"/>
  <c r="BC16" i="84"/>
  <c r="AS16" i="84"/>
  <c r="BF16" i="84"/>
  <c r="BD61" i="84"/>
  <c r="AT16" i="84"/>
  <c r="BG16" i="84"/>
  <c r="BC17" i="84"/>
  <c r="AS17" i="84"/>
  <c r="BF17" i="84"/>
  <c r="AT17" i="84"/>
  <c r="BG17" i="84"/>
  <c r="BH17" i="84"/>
  <c r="BC18" i="84"/>
  <c r="AS18" i="84"/>
  <c r="BF18" i="84"/>
  <c r="BD63" i="84"/>
  <c r="AT18" i="84"/>
  <c r="BG18" i="84"/>
  <c r="BC19" i="84"/>
  <c r="AS19" i="84"/>
  <c r="BF19" i="84"/>
  <c r="AT19" i="84"/>
  <c r="BG19" i="84"/>
  <c r="BH19" i="84"/>
  <c r="BC20" i="84"/>
  <c r="AS20" i="84"/>
  <c r="BF20" i="84"/>
  <c r="BD65" i="84"/>
  <c r="AT20" i="84"/>
  <c r="BG20" i="84"/>
  <c r="BC21" i="84"/>
  <c r="AS21" i="84"/>
  <c r="BF21" i="84"/>
  <c r="AT21" i="84"/>
  <c r="BG21" i="84"/>
  <c r="BH21" i="84"/>
  <c r="BC22" i="84"/>
  <c r="AS22" i="84"/>
  <c r="BF22" i="84"/>
  <c r="BD67" i="84"/>
  <c r="AT22" i="84"/>
  <c r="BG22" i="84"/>
  <c r="BC23" i="84"/>
  <c r="AS23" i="84"/>
  <c r="BF23" i="84"/>
  <c r="AT23" i="84"/>
  <c r="BG23" i="84"/>
  <c r="BH23" i="84"/>
  <c r="BC24" i="84"/>
  <c r="AS24" i="84"/>
  <c r="BF24" i="84"/>
  <c r="BD69" i="84"/>
  <c r="AT24" i="84"/>
  <c r="BG24" i="84"/>
  <c r="BC25" i="84"/>
  <c r="AS25" i="84"/>
  <c r="BF25" i="84"/>
  <c r="AT25" i="84"/>
  <c r="BG25" i="84"/>
  <c r="BH25" i="84"/>
  <c r="BC26" i="84"/>
  <c r="AS26" i="84"/>
  <c r="BF26" i="84"/>
  <c r="BD71" i="84"/>
  <c r="AT26" i="84"/>
  <c r="BG26" i="84"/>
  <c r="BC27" i="84"/>
  <c r="AS27" i="84"/>
  <c r="BF27" i="84"/>
  <c r="AT27" i="84"/>
  <c r="BG27" i="84"/>
  <c r="BH27" i="84"/>
  <c r="BC28" i="84"/>
  <c r="AS28" i="84"/>
  <c r="BF28" i="84"/>
  <c r="BD73" i="84"/>
  <c r="AT28" i="84"/>
  <c r="BG28" i="84"/>
  <c r="BC29" i="84"/>
  <c r="AS29" i="84"/>
  <c r="BF29" i="84"/>
  <c r="AT29" i="84"/>
  <c r="BG29" i="84"/>
  <c r="BH29" i="84"/>
  <c r="BC30" i="84"/>
  <c r="AS30" i="84"/>
  <c r="BF30" i="84"/>
  <c r="BD75" i="84"/>
  <c r="AT30" i="84"/>
  <c r="BG30" i="84"/>
  <c r="BC31" i="84"/>
  <c r="AS31" i="84"/>
  <c r="BF31" i="84"/>
  <c r="AT31" i="84"/>
  <c r="BG31" i="84"/>
  <c r="BH31" i="84"/>
  <c r="BC32" i="84"/>
  <c r="AS32" i="84"/>
  <c r="BF32" i="84"/>
  <c r="BD77" i="84"/>
  <c r="AT32" i="84"/>
  <c r="BG32" i="84"/>
  <c r="BC33" i="84"/>
  <c r="AS33" i="84"/>
  <c r="BF33" i="84"/>
  <c r="AT33" i="84"/>
  <c r="BG33" i="84"/>
  <c r="BH33" i="84"/>
  <c r="BC34" i="84"/>
  <c r="AS34" i="84"/>
  <c r="BF34" i="84"/>
  <c r="AT34" i="84"/>
  <c r="BG34" i="84"/>
  <c r="I39" i="84"/>
  <c r="AD39" i="84"/>
  <c r="F40" i="84"/>
  <c r="G40" i="84"/>
  <c r="I40" i="84"/>
  <c r="U38" i="84"/>
  <c r="U40" i="84"/>
  <c r="AA40" i="84"/>
  <c r="AQ38" i="84"/>
  <c r="AD38" i="84"/>
  <c r="AD40" i="84"/>
  <c r="AL121" i="84"/>
  <c r="AL120" i="84"/>
  <c r="AL119" i="84"/>
  <c r="AL118" i="84"/>
  <c r="AL117" i="84"/>
  <c r="AL116" i="84"/>
  <c r="AL115" i="84"/>
  <c r="AL114" i="84"/>
  <c r="AL113" i="84"/>
  <c r="AL112" i="84"/>
  <c r="AL111" i="84"/>
  <c r="AL110" i="84"/>
  <c r="AL109" i="84"/>
  <c r="AL108" i="84"/>
  <c r="AL107" i="84"/>
  <c r="AL106" i="84"/>
  <c r="AL105" i="84"/>
  <c r="AL104" i="84"/>
  <c r="AL103" i="84"/>
  <c r="AL102" i="84"/>
  <c r="AL101" i="84"/>
  <c r="AL100" i="84"/>
  <c r="AL99" i="84"/>
  <c r="AL98" i="84"/>
  <c r="AL97" i="84"/>
  <c r="AL96" i="84"/>
  <c r="AL95" i="84"/>
  <c r="AL94" i="84"/>
  <c r="AL93" i="84"/>
  <c r="AL92" i="84"/>
  <c r="AL91" i="84"/>
  <c r="AN38" i="84"/>
  <c r="AN40" i="84"/>
  <c r="B33" i="84"/>
  <c r="B30" i="84"/>
  <c r="B28" i="84"/>
  <c r="B26" i="84"/>
  <c r="B25" i="84"/>
  <c r="B24" i="84"/>
  <c r="B23" i="84"/>
  <c r="B22" i="84"/>
  <c r="B18" i="84"/>
  <c r="B16" i="84"/>
  <c r="B15" i="84"/>
  <c r="B13" i="84"/>
  <c r="B12" i="84"/>
  <c r="B10" i="84"/>
  <c r="B8" i="84"/>
  <c r="B7" i="84"/>
  <c r="B6" i="84"/>
  <c r="B5" i="84"/>
  <c r="AT38" i="84"/>
  <c r="AT40" i="84"/>
  <c r="AU38" i="84"/>
  <c r="AU40" i="84"/>
  <c r="AV38" i="84"/>
  <c r="AV40" i="84"/>
  <c r="BA38" i="84"/>
  <c r="BA40" i="84"/>
  <c r="BA43" i="84"/>
  <c r="BB43" i="84"/>
  <c r="BC43" i="84"/>
  <c r="F46" i="84"/>
  <c r="G46" i="84"/>
  <c r="AY81" i="84"/>
  <c r="AY80" i="84"/>
  <c r="AY82" i="84"/>
  <c r="H46" i="84"/>
  <c r="I46" i="84"/>
  <c r="AP38" i="84"/>
  <c r="AP46" i="84"/>
  <c r="AQ46" i="84"/>
  <c r="M54" i="84"/>
  <c r="AC47" i="84"/>
  <c r="AC48" i="84"/>
  <c r="AD48" i="84"/>
  <c r="M49" i="84"/>
  <c r="BA49" i="84"/>
  <c r="BA50" i="84"/>
  <c r="BA51" i="84"/>
  <c r="AA52" i="84"/>
  <c r="BA52" i="84"/>
  <c r="AJ53" i="84"/>
  <c r="AP53" i="84"/>
  <c r="BA53" i="84"/>
  <c r="AA54" i="84"/>
  <c r="AQ54" i="84"/>
  <c r="BA54" i="84"/>
  <c r="AP55" i="84"/>
  <c r="AP56" i="84"/>
  <c r="BA55" i="84"/>
  <c r="BA56" i="84"/>
  <c r="BA57" i="84"/>
  <c r="BA58" i="84"/>
  <c r="BA59" i="84"/>
  <c r="BA60" i="84"/>
  <c r="BA61" i="84"/>
  <c r="BA62" i="84"/>
  <c r="BA63" i="84"/>
  <c r="BA64" i="84"/>
  <c r="BA65" i="84"/>
  <c r="BA66" i="84"/>
  <c r="BA67" i="84"/>
  <c r="BA68" i="84"/>
  <c r="BA69" i="84"/>
  <c r="BA70" i="84"/>
  <c r="BA71" i="84"/>
  <c r="BA72" i="84"/>
  <c r="BA73" i="84"/>
  <c r="K74" i="84"/>
  <c r="L74" i="84"/>
  <c r="M74" i="84"/>
  <c r="BA74" i="84"/>
  <c r="L75" i="84"/>
  <c r="M75" i="84"/>
  <c r="BA75" i="84"/>
  <c r="K76" i="84"/>
  <c r="L76" i="84"/>
  <c r="M76" i="84"/>
  <c r="BA76" i="84"/>
  <c r="L77" i="84"/>
  <c r="M77" i="84"/>
  <c r="BA77" i="84"/>
  <c r="K78" i="84"/>
  <c r="L78" i="84"/>
  <c r="M78" i="84"/>
  <c r="BA78" i="84"/>
  <c r="K79" i="84"/>
  <c r="L79" i="84"/>
  <c r="M79" i="84"/>
  <c r="BC4" i="86"/>
  <c r="AS4" i="86"/>
  <c r="BF4" i="86"/>
  <c r="AT4" i="86"/>
  <c r="BG4" i="86"/>
  <c r="BC5" i="86"/>
  <c r="AS5" i="86"/>
  <c r="BF5" i="86"/>
  <c r="AT5" i="86"/>
  <c r="BG5" i="86"/>
  <c r="BH5" i="86"/>
  <c r="BC6" i="86"/>
  <c r="AS6" i="86"/>
  <c r="BF6" i="86"/>
  <c r="BD51" i="86"/>
  <c r="AT6" i="86"/>
  <c r="BG6" i="86"/>
  <c r="BC7" i="86"/>
  <c r="AS7" i="86"/>
  <c r="BF7" i="86"/>
  <c r="AT7" i="86"/>
  <c r="BG7" i="86"/>
  <c r="BH7" i="86"/>
  <c r="BC8" i="86"/>
  <c r="AS8" i="86"/>
  <c r="BF8" i="86"/>
  <c r="BD53" i="86"/>
  <c r="AT8" i="86"/>
  <c r="BG8" i="86"/>
  <c r="BC9" i="86"/>
  <c r="AS9" i="86"/>
  <c r="BF9" i="86"/>
  <c r="AT9" i="86"/>
  <c r="BG9" i="86"/>
  <c r="BH9" i="86"/>
  <c r="BC10" i="86"/>
  <c r="AS10" i="86"/>
  <c r="BF10" i="86"/>
  <c r="BD55" i="86"/>
  <c r="AT10" i="86"/>
  <c r="BG10" i="86"/>
  <c r="BC11" i="86"/>
  <c r="AS11" i="86"/>
  <c r="BF11" i="86"/>
  <c r="AT11" i="86"/>
  <c r="BG11" i="86"/>
  <c r="BH11" i="86"/>
  <c r="BC12" i="86"/>
  <c r="AS12" i="86"/>
  <c r="BF12" i="86"/>
  <c r="BD57" i="86"/>
  <c r="AT12" i="86"/>
  <c r="BG12" i="86"/>
  <c r="BC13" i="86"/>
  <c r="AS13" i="86"/>
  <c r="BF13" i="86"/>
  <c r="AT13" i="86"/>
  <c r="BG13" i="86"/>
  <c r="BH13" i="86"/>
  <c r="BC14" i="86"/>
  <c r="AS14" i="86"/>
  <c r="BF14" i="86"/>
  <c r="BD59" i="86"/>
  <c r="AT14" i="86"/>
  <c r="BG14" i="86"/>
  <c r="BC15" i="86"/>
  <c r="AS15" i="86"/>
  <c r="BF15" i="86"/>
  <c r="AT15" i="86"/>
  <c r="BG15" i="86"/>
  <c r="BH15" i="86"/>
  <c r="BC16" i="86"/>
  <c r="AS16" i="86"/>
  <c r="BF16" i="86"/>
  <c r="BD61" i="86"/>
  <c r="AT16" i="86"/>
  <c r="BG16" i="86"/>
  <c r="BC17" i="86"/>
  <c r="AS17" i="86"/>
  <c r="BF17" i="86"/>
  <c r="AT17" i="86"/>
  <c r="BG17" i="86"/>
  <c r="BH17" i="86"/>
  <c r="BC18" i="86"/>
  <c r="AS18" i="86"/>
  <c r="BF18" i="86"/>
  <c r="BD63" i="86"/>
  <c r="AT18" i="86"/>
  <c r="BG18" i="86"/>
  <c r="BC19" i="86"/>
  <c r="AS19" i="86"/>
  <c r="BF19" i="86"/>
  <c r="AT19" i="86"/>
  <c r="BG19" i="86"/>
  <c r="BH19" i="86"/>
  <c r="BC20" i="86"/>
  <c r="AS20" i="86"/>
  <c r="BF20" i="86"/>
  <c r="BD65" i="86"/>
  <c r="AT20" i="86"/>
  <c r="BG20" i="86"/>
  <c r="BC21" i="86"/>
  <c r="AS21" i="86"/>
  <c r="BF21" i="86"/>
  <c r="AT21" i="86"/>
  <c r="BG21" i="86"/>
  <c r="BH21" i="86"/>
  <c r="BC22" i="86"/>
  <c r="AS22" i="86"/>
  <c r="BF22" i="86"/>
  <c r="BD67" i="86"/>
  <c r="AT22" i="86"/>
  <c r="BG22" i="86"/>
  <c r="BC23" i="86"/>
  <c r="AS23" i="86"/>
  <c r="BF23" i="86"/>
  <c r="AT23" i="86"/>
  <c r="BG23" i="86"/>
  <c r="BH23" i="86"/>
  <c r="BC24" i="86"/>
  <c r="AS24" i="86"/>
  <c r="BF24" i="86"/>
  <c r="BD69" i="86"/>
  <c r="AT24" i="86"/>
  <c r="BG24" i="86"/>
  <c r="BC25" i="86"/>
  <c r="AS25" i="86"/>
  <c r="BF25" i="86"/>
  <c r="AT25" i="86"/>
  <c r="BG25" i="86"/>
  <c r="BH25" i="86"/>
  <c r="BC26" i="86"/>
  <c r="AS26" i="86"/>
  <c r="BF26" i="86"/>
  <c r="BD71" i="86"/>
  <c r="AT26" i="86"/>
  <c r="BG26" i="86"/>
  <c r="BC27" i="86"/>
  <c r="AS27" i="86"/>
  <c r="BF27" i="86"/>
  <c r="AT27" i="86"/>
  <c r="BG27" i="86"/>
  <c r="BH27" i="86"/>
  <c r="BC28" i="86"/>
  <c r="AS28" i="86"/>
  <c r="BF28" i="86"/>
  <c r="BD73" i="86"/>
  <c r="AT28" i="86"/>
  <c r="BG28" i="86"/>
  <c r="BC29" i="86"/>
  <c r="AS29" i="86"/>
  <c r="BF29" i="86"/>
  <c r="AT29" i="86"/>
  <c r="BG29" i="86"/>
  <c r="BH29" i="86"/>
  <c r="BC30" i="86"/>
  <c r="AS30" i="86"/>
  <c r="BF30" i="86"/>
  <c r="AT30" i="86"/>
  <c r="BG30" i="86"/>
  <c r="BC31" i="86"/>
  <c r="AS31" i="86"/>
  <c r="BF31" i="86"/>
  <c r="AT31" i="86"/>
  <c r="BG31" i="86"/>
  <c r="BH31" i="86"/>
  <c r="BC32" i="86"/>
  <c r="BD32" i="86"/>
  <c r="BC43" i="86"/>
  <c r="BF32" i="86"/>
  <c r="BG32" i="86"/>
  <c r="BH32" i="86"/>
  <c r="BC33" i="86"/>
  <c r="BD33" i="86"/>
  <c r="BF33" i="86"/>
  <c r="BG33" i="86"/>
  <c r="BH33" i="86"/>
  <c r="BC34" i="86"/>
  <c r="BD34" i="86"/>
  <c r="BF34" i="86"/>
  <c r="BG34" i="86"/>
  <c r="BH34" i="86"/>
  <c r="BJ34" i="86"/>
  <c r="I39" i="86"/>
  <c r="AD39" i="86"/>
  <c r="F40" i="86"/>
  <c r="G40" i="86"/>
  <c r="I40" i="86"/>
  <c r="U38" i="86"/>
  <c r="U40" i="86"/>
  <c r="AA40" i="86"/>
  <c r="AQ38" i="86"/>
  <c r="AD38" i="86"/>
  <c r="AD40" i="86"/>
  <c r="AL121" i="86"/>
  <c r="AL120" i="86"/>
  <c r="AL119" i="86"/>
  <c r="AL118" i="86"/>
  <c r="AL117" i="86"/>
  <c r="AL116" i="86"/>
  <c r="AL115" i="86"/>
  <c r="AL114" i="86"/>
  <c r="AL113" i="86"/>
  <c r="AL112" i="86"/>
  <c r="AL111" i="86"/>
  <c r="AL110" i="86"/>
  <c r="AL109" i="86"/>
  <c r="AL108" i="86"/>
  <c r="AL107" i="86"/>
  <c r="AL106" i="86"/>
  <c r="AL105" i="86"/>
  <c r="AL104" i="86"/>
  <c r="AL103" i="86"/>
  <c r="AL102" i="86"/>
  <c r="AL101" i="86"/>
  <c r="AL100" i="86"/>
  <c r="AL99" i="86"/>
  <c r="AL98" i="86"/>
  <c r="AL97" i="86"/>
  <c r="AL96" i="86"/>
  <c r="AL95" i="86"/>
  <c r="AL94" i="86"/>
  <c r="AL93" i="86"/>
  <c r="AL92" i="86"/>
  <c r="AL91" i="86"/>
  <c r="AN38" i="86"/>
  <c r="AN40" i="86"/>
  <c r="B34" i="86"/>
  <c r="B33" i="86"/>
  <c r="B32" i="86"/>
  <c r="B30" i="86"/>
  <c r="B28" i="86"/>
  <c r="B27" i="86"/>
  <c r="B26" i="86"/>
  <c r="B25" i="86"/>
  <c r="B24" i="86"/>
  <c r="B20" i="86"/>
  <c r="B19" i="86"/>
  <c r="B18" i="86"/>
  <c r="B17" i="86"/>
  <c r="B16" i="86"/>
  <c r="B14" i="86"/>
  <c r="B12" i="86"/>
  <c r="B11" i="86"/>
  <c r="B8" i="86"/>
  <c r="B6" i="86"/>
  <c r="B5" i="86"/>
  <c r="B4" i="86"/>
  <c r="AT38" i="86"/>
  <c r="AT40" i="86"/>
  <c r="AU38" i="86"/>
  <c r="AU40" i="86"/>
  <c r="AV38" i="86"/>
  <c r="AV40" i="86"/>
  <c r="BA38" i="86"/>
  <c r="BA40" i="86"/>
  <c r="BA43" i="86"/>
  <c r="BB43" i="86"/>
  <c r="F46" i="86"/>
  <c r="G46" i="86"/>
  <c r="AY81" i="86"/>
  <c r="AY82" i="86"/>
  <c r="H46" i="86"/>
  <c r="I46" i="86"/>
  <c r="AP38" i="86"/>
  <c r="AP46" i="86"/>
  <c r="AQ46" i="86"/>
  <c r="AC47" i="86"/>
  <c r="AC48" i="86"/>
  <c r="AD48" i="86"/>
  <c r="BA49" i="86"/>
  <c r="BA50" i="86"/>
  <c r="BA51" i="86"/>
  <c r="AA52" i="86"/>
  <c r="BA52" i="86"/>
  <c r="BD52" i="86"/>
  <c r="AP53" i="86"/>
  <c r="BA53" i="86"/>
  <c r="AA54" i="86"/>
  <c r="AQ54" i="86"/>
  <c r="BA54" i="86"/>
  <c r="BA55" i="86"/>
  <c r="BA56" i="86"/>
  <c r="BA57" i="86"/>
  <c r="BA58" i="86"/>
  <c r="BA59" i="86"/>
  <c r="BA60" i="86"/>
  <c r="BA61" i="86"/>
  <c r="BA62" i="86"/>
  <c r="BA63" i="86"/>
  <c r="BA64" i="86"/>
  <c r="BA65" i="86"/>
  <c r="BA66" i="86"/>
  <c r="BA67" i="86"/>
  <c r="BA68" i="86"/>
  <c r="BA69" i="86"/>
  <c r="BA70" i="86"/>
  <c r="BA71" i="86"/>
  <c r="BA72" i="86"/>
  <c r="BA73" i="86"/>
  <c r="K74" i="86"/>
  <c r="M74" i="86"/>
  <c r="BA74" i="86"/>
  <c r="M75" i="86"/>
  <c r="BA75" i="86"/>
  <c r="BD75" i="86"/>
  <c r="K76" i="86"/>
  <c r="M76" i="86"/>
  <c r="BA76" i="86"/>
  <c r="BD76" i="86"/>
  <c r="M77" i="86"/>
  <c r="K78" i="86"/>
  <c r="M78" i="86"/>
  <c r="M79" i="86"/>
  <c r="BC34" i="89"/>
  <c r="BA79" i="89"/>
  <c r="BA33" i="89"/>
  <c r="BB33" i="89"/>
  <c r="BC33" i="89"/>
  <c r="BA78" i="89"/>
  <c r="BA32" i="89"/>
  <c r="BB32" i="89"/>
  <c r="BC32" i="89"/>
  <c r="BA77" i="89"/>
  <c r="BA34" i="88"/>
  <c r="BB34" i="88"/>
  <c r="BC34" i="88"/>
  <c r="BA79" i="88"/>
  <c r="BA33" i="88"/>
  <c r="BB33" i="88"/>
  <c r="BC33" i="88"/>
  <c r="BA78" i="88"/>
  <c r="BA32" i="88"/>
  <c r="BB32" i="88"/>
  <c r="BC32" i="88"/>
  <c r="BA77" i="88"/>
  <c r="BC34" i="91"/>
  <c r="BA79" i="91"/>
  <c r="BA33" i="91"/>
  <c r="BB33" i="91"/>
  <c r="BC33" i="91"/>
  <c r="BA78" i="91"/>
  <c r="BA32" i="91"/>
  <c r="BB32" i="91"/>
  <c r="BC32" i="91"/>
  <c r="BA77" i="91"/>
  <c r="BA34" i="92"/>
  <c r="BB34" i="92"/>
  <c r="BC34" i="92"/>
  <c r="BA79" i="92"/>
  <c r="BA33" i="92"/>
  <c r="BB33" i="92"/>
  <c r="BC33" i="92"/>
  <c r="BA78" i="92"/>
  <c r="BA32" i="92"/>
  <c r="BB32" i="92"/>
  <c r="BC32" i="92"/>
  <c r="BA77" i="92"/>
  <c r="BA34" i="93"/>
  <c r="BB34" i="93"/>
  <c r="BC34" i="93"/>
  <c r="BA79" i="93"/>
  <c r="BA33" i="93"/>
  <c r="BB33" i="93"/>
  <c r="BC33" i="93"/>
  <c r="BA78" i="93"/>
  <c r="BA32" i="93"/>
  <c r="BB32" i="93"/>
  <c r="BC32" i="93"/>
  <c r="BA77" i="93"/>
  <c r="BC34" i="76"/>
  <c r="BA79" i="76"/>
  <c r="BA33" i="76"/>
  <c r="BB33" i="76"/>
  <c r="BC33" i="76"/>
  <c r="BA78" i="76"/>
  <c r="BA32" i="76"/>
  <c r="BB32" i="76"/>
  <c r="BC32" i="76"/>
  <c r="BA77" i="76"/>
  <c r="BC34" i="78"/>
  <c r="BA79" i="78"/>
  <c r="BC33" i="78"/>
  <c r="BA78" i="78"/>
  <c r="BC32" i="78"/>
  <c r="BA77" i="78"/>
  <c r="BC34" i="80"/>
  <c r="BA79" i="80"/>
  <c r="BC33" i="80"/>
  <c r="BA78" i="80"/>
  <c r="BC32" i="80"/>
  <c r="BA77" i="80"/>
  <c r="BC34" i="82"/>
  <c r="BA79" i="82"/>
  <c r="BC33" i="82"/>
  <c r="BA78" i="82"/>
  <c r="BC32" i="82"/>
  <c r="BA77" i="82"/>
  <c r="BA79" i="84"/>
  <c r="AY50" i="89"/>
  <c r="AW92" i="89"/>
  <c r="AY51" i="89"/>
  <c r="AW93" i="89"/>
  <c r="AY52" i="89"/>
  <c r="AW94" i="89"/>
  <c r="AY53" i="89"/>
  <c r="AW95" i="89"/>
  <c r="AY54" i="89"/>
  <c r="AW96" i="89"/>
  <c r="AY55" i="89"/>
  <c r="AW97" i="89"/>
  <c r="AY56" i="89"/>
  <c r="AW98" i="89"/>
  <c r="AY57" i="89"/>
  <c r="AW99" i="89"/>
  <c r="AY58" i="89"/>
  <c r="AW100" i="89"/>
  <c r="AY59" i="89"/>
  <c r="AW101" i="89"/>
  <c r="AY60" i="89"/>
  <c r="AW102" i="89"/>
  <c r="AY61" i="89"/>
  <c r="AW103" i="89"/>
  <c r="AY62" i="89"/>
  <c r="AW104" i="89"/>
  <c r="AY63" i="89"/>
  <c r="AW105" i="89"/>
  <c r="AY64" i="89"/>
  <c r="AW106" i="89"/>
  <c r="AY65" i="89"/>
  <c r="AW107" i="89"/>
  <c r="AY66" i="89"/>
  <c r="AW108" i="89"/>
  <c r="AY67" i="89"/>
  <c r="AW109" i="89"/>
  <c r="AY68" i="89"/>
  <c r="AW110" i="89"/>
  <c r="AY69" i="89"/>
  <c r="AW111" i="89"/>
  <c r="AY70" i="89"/>
  <c r="AW112" i="89"/>
  <c r="AY71" i="89"/>
  <c r="AW113" i="89"/>
  <c r="AY72" i="89"/>
  <c r="AW114" i="89"/>
  <c r="AY73" i="89"/>
  <c r="AW115" i="89"/>
  <c r="AY74" i="89"/>
  <c r="AW116" i="89"/>
  <c r="AY75" i="89"/>
  <c r="AW117" i="89"/>
  <c r="AY76" i="89"/>
  <c r="AW118" i="89"/>
  <c r="AY77" i="89"/>
  <c r="AW119" i="89"/>
  <c r="AY78" i="89"/>
  <c r="AW120" i="89"/>
  <c r="AW121" i="89"/>
  <c r="AY50" i="88"/>
  <c r="AW92" i="88"/>
  <c r="AY51" i="88"/>
  <c r="AW93" i="88"/>
  <c r="AY52" i="88"/>
  <c r="AW94" i="88"/>
  <c r="AY53" i="88"/>
  <c r="AW95" i="88"/>
  <c r="AY54" i="88"/>
  <c r="AW96" i="88"/>
  <c r="AY55" i="88"/>
  <c r="AW97" i="88"/>
  <c r="AY56" i="88"/>
  <c r="AW98" i="88"/>
  <c r="AY57" i="88"/>
  <c r="AW99" i="88"/>
  <c r="AY58" i="88"/>
  <c r="AW100" i="88"/>
  <c r="AY59" i="88"/>
  <c r="AW101" i="88"/>
  <c r="AY60" i="88"/>
  <c r="AW102" i="88"/>
  <c r="AY61" i="88"/>
  <c r="AW103" i="88"/>
  <c r="AY62" i="88"/>
  <c r="AW104" i="88"/>
  <c r="AY63" i="88"/>
  <c r="AW105" i="88"/>
  <c r="AY64" i="88"/>
  <c r="AW106" i="88"/>
  <c r="AY65" i="88"/>
  <c r="AW107" i="88"/>
  <c r="AY66" i="88"/>
  <c r="AW108" i="88"/>
  <c r="AY67" i="88"/>
  <c r="AW109" i="88"/>
  <c r="AY68" i="88"/>
  <c r="AW110" i="88"/>
  <c r="AY69" i="88"/>
  <c r="AW111" i="88"/>
  <c r="AY70" i="88"/>
  <c r="AW112" i="88"/>
  <c r="AY71" i="88"/>
  <c r="AW113" i="88"/>
  <c r="AY72" i="88"/>
  <c r="AW114" i="88"/>
  <c r="AY73" i="88"/>
  <c r="AW115" i="88"/>
  <c r="AY74" i="88"/>
  <c r="AW116" i="88"/>
  <c r="AY75" i="88"/>
  <c r="AW117" i="88"/>
  <c r="AY76" i="88"/>
  <c r="AW118" i="88"/>
  <c r="AY77" i="88"/>
  <c r="AW119" i="88"/>
  <c r="AY78" i="88"/>
  <c r="AW120" i="88"/>
  <c r="AY79" i="88"/>
  <c r="AW121" i="88"/>
  <c r="AY50" i="91"/>
  <c r="AW92" i="91"/>
  <c r="AY51" i="91"/>
  <c r="AW93" i="91"/>
  <c r="AY52" i="91"/>
  <c r="AW94" i="91"/>
  <c r="AY53" i="91"/>
  <c r="AW95" i="91"/>
  <c r="AY54" i="91"/>
  <c r="AW96" i="91"/>
  <c r="AY55" i="91"/>
  <c r="AW97" i="91"/>
  <c r="AY56" i="91"/>
  <c r="AW98" i="91"/>
  <c r="AY57" i="91"/>
  <c r="AW99" i="91"/>
  <c r="AY58" i="91"/>
  <c r="AW100" i="91"/>
  <c r="AY59" i="91"/>
  <c r="AW101" i="91"/>
  <c r="AY60" i="91"/>
  <c r="AW102" i="91"/>
  <c r="AY61" i="91"/>
  <c r="AW103" i="91"/>
  <c r="AY62" i="91"/>
  <c r="AW104" i="91"/>
  <c r="AY63" i="91"/>
  <c r="AW105" i="91"/>
  <c r="AY64" i="91"/>
  <c r="AW106" i="91"/>
  <c r="AY65" i="91"/>
  <c r="AW107" i="91"/>
  <c r="AY66" i="91"/>
  <c r="AW108" i="91"/>
  <c r="AY67" i="91"/>
  <c r="AW109" i="91"/>
  <c r="AY68" i="91"/>
  <c r="AW110" i="91"/>
  <c r="AY69" i="91"/>
  <c r="AW111" i="91"/>
  <c r="AY70" i="91"/>
  <c r="AW112" i="91"/>
  <c r="AY71" i="91"/>
  <c r="AW113" i="91"/>
  <c r="AY72" i="91"/>
  <c r="AW114" i="91"/>
  <c r="AY73" i="91"/>
  <c r="AW115" i="91"/>
  <c r="AY74" i="91"/>
  <c r="AW116" i="91"/>
  <c r="AY75" i="91"/>
  <c r="AW117" i="91"/>
  <c r="AY76" i="91"/>
  <c r="AW118" i="91"/>
  <c r="AY77" i="91"/>
  <c r="AW119" i="91"/>
  <c r="AY78" i="91"/>
  <c r="AW120" i="91"/>
  <c r="AW121" i="91"/>
  <c r="AY50" i="92"/>
  <c r="AW92" i="92"/>
  <c r="AY51" i="92"/>
  <c r="AW93" i="92"/>
  <c r="AY52" i="92"/>
  <c r="AW94" i="92"/>
  <c r="AY53" i="92"/>
  <c r="AW95" i="92"/>
  <c r="AY54" i="92"/>
  <c r="AW96" i="92"/>
  <c r="AY55" i="92"/>
  <c r="AW97" i="92"/>
  <c r="AY56" i="92"/>
  <c r="AW98" i="92"/>
  <c r="AY57" i="92"/>
  <c r="AW99" i="92"/>
  <c r="AY58" i="92"/>
  <c r="AW100" i="92"/>
  <c r="AY59" i="92"/>
  <c r="AW101" i="92"/>
  <c r="AY60" i="92"/>
  <c r="AW102" i="92"/>
  <c r="AY61" i="92"/>
  <c r="AW103" i="92"/>
  <c r="AY62" i="92"/>
  <c r="AW104" i="92"/>
  <c r="AY63" i="92"/>
  <c r="AW105" i="92"/>
  <c r="AY64" i="92"/>
  <c r="AW106" i="92"/>
  <c r="AY65" i="92"/>
  <c r="AW107" i="92"/>
  <c r="AY66" i="92"/>
  <c r="AW108" i="92"/>
  <c r="AY67" i="92"/>
  <c r="AW109" i="92"/>
  <c r="AY68" i="92"/>
  <c r="AW110" i="92"/>
  <c r="AY69" i="92"/>
  <c r="AW111" i="92"/>
  <c r="AY70" i="92"/>
  <c r="AW112" i="92"/>
  <c r="AY71" i="92"/>
  <c r="AW113" i="92"/>
  <c r="AY72" i="92"/>
  <c r="AW114" i="92"/>
  <c r="AY73" i="92"/>
  <c r="AW115" i="92"/>
  <c r="AY74" i="92"/>
  <c r="AW116" i="92"/>
  <c r="AY75" i="92"/>
  <c r="AW117" i="92"/>
  <c r="AY76" i="92"/>
  <c r="AW118" i="92"/>
  <c r="AY77" i="92"/>
  <c r="AW119" i="92"/>
  <c r="AY78" i="92"/>
  <c r="AW120" i="92"/>
  <c r="AY79" i="92"/>
  <c r="AW121" i="92"/>
  <c r="AY50" i="93"/>
  <c r="AW92" i="93"/>
  <c r="AY51" i="93"/>
  <c r="AW93" i="93"/>
  <c r="AY52" i="93"/>
  <c r="AW94" i="93"/>
  <c r="AY53" i="93"/>
  <c r="AW95" i="93"/>
  <c r="AY54" i="93"/>
  <c r="AW96" i="93"/>
  <c r="AY55" i="93"/>
  <c r="AW97" i="93"/>
  <c r="AY56" i="93"/>
  <c r="AW98" i="93"/>
  <c r="AY57" i="93"/>
  <c r="AW99" i="93"/>
  <c r="AY58" i="93"/>
  <c r="AW100" i="93"/>
  <c r="AY59" i="93"/>
  <c r="AW101" i="93"/>
  <c r="AY60" i="93"/>
  <c r="AW102" i="93"/>
  <c r="AY61" i="93"/>
  <c r="AW103" i="93"/>
  <c r="AY62" i="93"/>
  <c r="AW104" i="93"/>
  <c r="AY63" i="93"/>
  <c r="AW105" i="93"/>
  <c r="AY64" i="93"/>
  <c r="AW106" i="93"/>
  <c r="AY65" i="93"/>
  <c r="AW107" i="93"/>
  <c r="AY66" i="93"/>
  <c r="AW108" i="93"/>
  <c r="AY67" i="93"/>
  <c r="AW109" i="93"/>
  <c r="AY68" i="93"/>
  <c r="AW110" i="93"/>
  <c r="AY69" i="93"/>
  <c r="AW111" i="93"/>
  <c r="AY70" i="93"/>
  <c r="AW112" i="93"/>
  <c r="AY71" i="93"/>
  <c r="AW113" i="93"/>
  <c r="AY72" i="93"/>
  <c r="AW114" i="93"/>
  <c r="AY73" i="93"/>
  <c r="AW115" i="93"/>
  <c r="AY74" i="93"/>
  <c r="AW116" i="93"/>
  <c r="AY75" i="93"/>
  <c r="AW117" i="93"/>
  <c r="AY76" i="93"/>
  <c r="AW118" i="93"/>
  <c r="AY77" i="93"/>
  <c r="AW119" i="93"/>
  <c r="AY78" i="93"/>
  <c r="AW120" i="93"/>
  <c r="AY79" i="93"/>
  <c r="AW121" i="93"/>
  <c r="AW121" i="76"/>
  <c r="AH57" i="76" a="1"/>
  <c r="AY55" i="87"/>
  <c r="BB55" i="87"/>
  <c r="AW97" i="87"/>
  <c r="AY49" i="89"/>
  <c r="AW91" i="89"/>
  <c r="AY49" i="88"/>
  <c r="AW91" i="88"/>
  <c r="AY49" i="91"/>
  <c r="AW91" i="91"/>
  <c r="AY49" i="92"/>
  <c r="AW91" i="92"/>
  <c r="AY49" i="93"/>
  <c r="AW91" i="93"/>
  <c r="AH57" i="93" a="1"/>
  <c r="C91" i="84"/>
  <c r="B91" i="84"/>
  <c r="E91" i="84"/>
  <c r="BA83" i="84"/>
  <c r="BB83" i="84"/>
  <c r="C91" i="86"/>
  <c r="B91" i="86"/>
  <c r="E91" i="86"/>
  <c r="BA83" i="86"/>
  <c r="BB83" i="86"/>
  <c r="I4" i="87"/>
  <c r="I5" i="87"/>
  <c r="N66" i="87"/>
  <c r="S66" i="87"/>
  <c r="I6" i="87"/>
  <c r="I7" i="87"/>
  <c r="I8" i="87"/>
  <c r="I9" i="87"/>
  <c r="N67" i="87"/>
  <c r="S67" i="87"/>
  <c r="I10" i="87"/>
  <c r="K66" i="87"/>
  <c r="P66" i="87"/>
  <c r="L66" i="87"/>
  <c r="Q66" i="87"/>
  <c r="M66" i="87"/>
  <c r="R66" i="87"/>
  <c r="Z66" i="87"/>
  <c r="AC66" i="87"/>
  <c r="R27" i="86"/>
  <c r="R28" i="86"/>
  <c r="R29" i="86"/>
  <c r="R30" i="86"/>
  <c r="R31" i="86"/>
  <c r="R4" i="86"/>
  <c r="R5" i="86"/>
  <c r="E48" i="86"/>
  <c r="R6" i="86"/>
  <c r="R7" i="86"/>
  <c r="R8" i="86"/>
  <c r="R9" i="86"/>
  <c r="R10" i="86"/>
  <c r="R11" i="86"/>
  <c r="R12" i="86"/>
  <c r="R13" i="86"/>
  <c r="R14" i="86"/>
  <c r="R15" i="86"/>
  <c r="R16" i="86"/>
  <c r="R17" i="86"/>
  <c r="R18" i="86"/>
  <c r="R19" i="86"/>
  <c r="R20" i="86"/>
  <c r="R21" i="86"/>
  <c r="R22" i="86"/>
  <c r="R23" i="86"/>
  <c r="R24" i="86"/>
  <c r="R25" i="86"/>
  <c r="R26" i="86"/>
  <c r="R32" i="86"/>
  <c r="R33" i="86"/>
  <c r="R34" i="86"/>
  <c r="E49" i="86"/>
  <c r="F49" i="86"/>
  <c r="E73" i="86"/>
  <c r="F73" i="86"/>
  <c r="E76" i="86"/>
  <c r="F76" i="86"/>
  <c r="AU55" i="86"/>
  <c r="AV55" i="86"/>
  <c r="U86" i="86"/>
  <c r="U85" i="86"/>
  <c r="U42" i="86"/>
  <c r="S27" i="86"/>
  <c r="S28" i="86"/>
  <c r="S29" i="86"/>
  <c r="S30" i="86"/>
  <c r="S31" i="86"/>
  <c r="S4" i="86"/>
  <c r="S5" i="86"/>
  <c r="S6" i="86"/>
  <c r="S7" i="86"/>
  <c r="S8" i="86"/>
  <c r="S9" i="86"/>
  <c r="S10" i="86"/>
  <c r="S11" i="86"/>
  <c r="S12" i="86"/>
  <c r="S13" i="86"/>
  <c r="S14" i="86"/>
  <c r="S15" i="86"/>
  <c r="S16" i="86"/>
  <c r="S17" i="86"/>
  <c r="S18" i="86"/>
  <c r="S19" i="86"/>
  <c r="S20" i="86"/>
  <c r="S21" i="86"/>
  <c r="S22" i="86"/>
  <c r="S23" i="86"/>
  <c r="S24" i="86"/>
  <c r="S25" i="86"/>
  <c r="S26" i="86"/>
  <c r="S32" i="86"/>
  <c r="S33" i="86"/>
  <c r="S34" i="86"/>
  <c r="E53" i="86"/>
  <c r="F53" i="86"/>
  <c r="E54" i="86"/>
  <c r="F54" i="86"/>
  <c r="E55" i="86"/>
  <c r="F55" i="86"/>
  <c r="E56" i="86"/>
  <c r="F56" i="86"/>
  <c r="N27" i="86"/>
  <c r="N28" i="86"/>
  <c r="N29" i="86"/>
  <c r="N30" i="86"/>
  <c r="N31" i="86"/>
  <c r="N4" i="86"/>
  <c r="N5" i="86"/>
  <c r="E57" i="86"/>
  <c r="F57" i="86"/>
  <c r="N6" i="86"/>
  <c r="N7" i="86"/>
  <c r="N8" i="86"/>
  <c r="N9" i="86"/>
  <c r="N10" i="86"/>
  <c r="N11" i="86"/>
  <c r="N12" i="86"/>
  <c r="N13" i="86"/>
  <c r="N14" i="86"/>
  <c r="N15" i="86"/>
  <c r="N16" i="86"/>
  <c r="N17" i="86"/>
  <c r="N18" i="86"/>
  <c r="N19" i="86"/>
  <c r="N20" i="86"/>
  <c r="N21" i="86"/>
  <c r="N22" i="86"/>
  <c r="N23" i="86"/>
  <c r="N24" i="86"/>
  <c r="N25" i="86"/>
  <c r="N26" i="86"/>
  <c r="N32" i="86"/>
  <c r="N33" i="86"/>
  <c r="N34" i="86"/>
  <c r="E59" i="86"/>
  <c r="F59" i="86"/>
  <c r="E63" i="86"/>
  <c r="F63" i="86"/>
  <c r="E72" i="86"/>
  <c r="F72" i="86"/>
  <c r="AP86" i="86"/>
  <c r="AP85" i="86"/>
  <c r="AP42" i="86"/>
  <c r="AU57" i="86"/>
  <c r="AU59" i="86"/>
  <c r="AV59" i="86"/>
  <c r="E74" i="86"/>
  <c r="F74" i="86"/>
  <c r="E75" i="86"/>
  <c r="F75" i="86"/>
  <c r="E77" i="86"/>
  <c r="F77" i="86"/>
  <c r="E78" i="86"/>
  <c r="F78" i="86"/>
  <c r="E79" i="86"/>
  <c r="F79" i="86"/>
  <c r="E80" i="86"/>
  <c r="F80" i="86"/>
  <c r="AU56" i="86"/>
  <c r="AV56" i="86"/>
  <c r="AU53" i="86"/>
  <c r="AV53" i="86"/>
  <c r="AU54" i="86"/>
  <c r="AV54" i="86"/>
  <c r="AU50" i="86"/>
  <c r="AV50" i="86"/>
  <c r="AU51" i="86"/>
  <c r="AV51" i="86"/>
  <c r="AU52" i="86"/>
  <c r="AV52" i="86"/>
  <c r="E51" i="86"/>
  <c r="F51" i="86"/>
  <c r="E58" i="86"/>
  <c r="F58" i="86"/>
  <c r="E62" i="86"/>
  <c r="F62" i="86"/>
  <c r="E65" i="86"/>
  <c r="F65" i="86"/>
  <c r="E66" i="86"/>
  <c r="F66" i="86"/>
  <c r="E60" i="86"/>
  <c r="F60" i="86"/>
  <c r="E61" i="86"/>
  <c r="F61" i="86"/>
  <c r="E52" i="86"/>
  <c r="F52" i="86"/>
  <c r="E64" i="86"/>
  <c r="F64" i="86"/>
  <c r="AY50" i="87"/>
  <c r="AW92" i="87"/>
  <c r="AY51" i="87"/>
  <c r="AW93" i="87"/>
  <c r="AY52" i="87"/>
  <c r="AW94" i="87"/>
  <c r="AY53" i="87"/>
  <c r="AW95" i="87"/>
  <c r="AY54" i="87"/>
  <c r="AW96" i="87"/>
  <c r="AY49" i="87"/>
  <c r="AX92" i="87"/>
  <c r="AX93" i="87"/>
  <c r="AX94" i="87"/>
  <c r="AX95" i="87"/>
  <c r="AX96" i="87"/>
  <c r="AX97" i="87"/>
  <c r="AX92" i="89"/>
  <c r="AX93" i="89"/>
  <c r="AX94" i="89"/>
  <c r="AX95" i="89"/>
  <c r="AX96" i="89"/>
  <c r="AX97" i="89"/>
  <c r="AX98" i="89"/>
  <c r="AX99" i="89"/>
  <c r="AX100" i="89"/>
  <c r="AX101" i="89"/>
  <c r="AX102" i="89"/>
  <c r="AX103" i="89"/>
  <c r="AX104" i="89"/>
  <c r="AX105" i="89"/>
  <c r="AX106" i="89"/>
  <c r="AX107" i="89"/>
  <c r="AX108" i="89"/>
  <c r="AX109" i="89"/>
  <c r="AX110" i="89"/>
  <c r="AX111" i="89"/>
  <c r="AX112" i="89"/>
  <c r="AX113" i="89"/>
  <c r="AX114" i="89"/>
  <c r="AX115" i="89"/>
  <c r="AX116" i="89"/>
  <c r="AX117" i="89"/>
  <c r="AX118" i="89"/>
  <c r="AX119" i="89"/>
  <c r="AX120" i="89"/>
  <c r="AX121" i="89"/>
  <c r="AX92" i="88"/>
  <c r="AX93" i="88"/>
  <c r="AX94" i="88"/>
  <c r="AX95" i="88"/>
  <c r="AX96" i="88"/>
  <c r="AX97" i="88"/>
  <c r="AX98" i="88"/>
  <c r="AX99" i="88"/>
  <c r="AX100" i="88"/>
  <c r="AX101" i="88"/>
  <c r="AX102" i="88"/>
  <c r="AX103" i="88"/>
  <c r="AX104" i="88"/>
  <c r="AX105" i="88"/>
  <c r="AX106" i="88"/>
  <c r="AX107" i="88"/>
  <c r="AX108" i="88"/>
  <c r="AX109" i="88"/>
  <c r="AX110" i="88"/>
  <c r="AX111" i="88"/>
  <c r="AX112" i="88"/>
  <c r="AX113" i="88"/>
  <c r="AX114" i="88"/>
  <c r="AX115" i="88"/>
  <c r="AX116" i="88"/>
  <c r="AX117" i="88"/>
  <c r="AX118" i="88"/>
  <c r="AX119" i="88"/>
  <c r="AX120" i="88"/>
  <c r="AX121" i="88"/>
  <c r="AX92" i="91"/>
  <c r="AX93" i="91"/>
  <c r="AX94" i="91"/>
  <c r="AX95" i="91"/>
  <c r="AX96" i="91"/>
  <c r="AX97" i="91"/>
  <c r="AX98" i="91"/>
  <c r="AX99" i="91"/>
  <c r="AX100" i="91"/>
  <c r="AX101" i="91"/>
  <c r="AX102" i="91"/>
  <c r="AX103" i="91"/>
  <c r="AX104" i="91"/>
  <c r="AX105" i="91"/>
  <c r="AX106" i="91"/>
  <c r="AX107" i="91"/>
  <c r="AX108" i="91"/>
  <c r="AX109" i="91"/>
  <c r="AX110" i="91"/>
  <c r="AX111" i="91"/>
  <c r="AX112" i="91"/>
  <c r="AX113" i="91"/>
  <c r="AX114" i="91"/>
  <c r="AX115" i="91"/>
  <c r="AX116" i="91"/>
  <c r="AX117" i="91"/>
  <c r="AX118" i="91"/>
  <c r="AX119" i="91"/>
  <c r="AX120" i="91"/>
  <c r="AX121" i="91"/>
  <c r="AX92" i="92"/>
  <c r="AX93" i="92"/>
  <c r="AX94" i="92"/>
  <c r="AX95" i="92"/>
  <c r="AX96" i="92"/>
  <c r="AX97" i="92"/>
  <c r="AX98" i="92"/>
  <c r="AX99" i="92"/>
  <c r="AX100" i="92"/>
  <c r="AX101" i="92"/>
  <c r="AX102" i="92"/>
  <c r="AX103" i="92"/>
  <c r="AX104" i="92"/>
  <c r="AX105" i="92"/>
  <c r="AX106" i="92"/>
  <c r="AX107" i="92"/>
  <c r="AX108" i="92"/>
  <c r="AX109" i="92"/>
  <c r="AX110" i="92"/>
  <c r="AX111" i="92"/>
  <c r="AX112" i="92"/>
  <c r="AX113" i="92"/>
  <c r="AX114" i="92"/>
  <c r="AX115" i="92"/>
  <c r="AX116" i="92"/>
  <c r="AX117" i="92"/>
  <c r="AX118" i="92"/>
  <c r="AX119" i="92"/>
  <c r="AX120" i="92"/>
  <c r="AX121" i="92"/>
  <c r="AX92" i="93"/>
  <c r="AX93" i="93"/>
  <c r="AX94" i="93"/>
  <c r="AX95" i="93"/>
  <c r="AX96" i="93"/>
  <c r="AX97" i="93"/>
  <c r="AX98" i="93"/>
  <c r="AX99" i="93"/>
  <c r="AX100" i="93"/>
  <c r="AX101" i="93"/>
  <c r="AX102" i="93"/>
  <c r="AX103" i="93"/>
  <c r="AX104" i="93"/>
  <c r="AX105" i="93"/>
  <c r="AX106" i="93"/>
  <c r="AX107" i="93"/>
  <c r="AX108" i="93"/>
  <c r="AX109" i="93"/>
  <c r="AX110" i="93"/>
  <c r="AX111" i="93"/>
  <c r="AX112" i="93"/>
  <c r="AX113" i="93"/>
  <c r="AX114" i="93"/>
  <c r="AX115" i="93"/>
  <c r="AX116" i="93"/>
  <c r="AX117" i="93"/>
  <c r="AX118" i="93"/>
  <c r="AX119" i="93"/>
  <c r="AX120" i="93"/>
  <c r="AX121" i="93"/>
  <c r="AX121" i="76"/>
  <c r="AX91" i="87"/>
  <c r="AX91" i="89"/>
  <c r="AX91" i="88"/>
  <c r="AX91" i="91"/>
  <c r="AX91" i="92"/>
  <c r="AX91" i="93"/>
  <c r="X46" i="86"/>
  <c r="X47" i="86"/>
  <c r="X48" i="86"/>
  <c r="X49" i="86"/>
  <c r="X50" i="86"/>
  <c r="X51" i="86"/>
  <c r="X52" i="86"/>
  <c r="X53" i="86"/>
  <c r="F85" i="86"/>
  <c r="G86" i="86"/>
  <c r="H38" i="86"/>
  <c r="K85" i="86"/>
  <c r="L86" i="86"/>
  <c r="K38" i="86"/>
  <c r="L38" i="86"/>
  <c r="M38" i="86"/>
  <c r="P85" i="86"/>
  <c r="Q86" i="86"/>
  <c r="S38" i="86"/>
  <c r="V86" i="86"/>
  <c r="W86" i="86"/>
  <c r="Z86" i="86"/>
  <c r="AN108" i="86" a="1"/>
  <c r="AN57" i="86"/>
  <c r="AG85" i="86"/>
  <c r="AH86" i="86"/>
  <c r="AG38" i="86"/>
  <c r="AH38" i="86"/>
  <c r="AI38" i="86"/>
  <c r="AJ22" i="86"/>
  <c r="AJ23" i="86"/>
  <c r="AJ24" i="86"/>
  <c r="AJ25" i="86"/>
  <c r="AJ26" i="86"/>
  <c r="AJ27" i="86"/>
  <c r="AJ28" i="86"/>
  <c r="AJ29" i="86"/>
  <c r="AJ30" i="86"/>
  <c r="AJ31" i="86"/>
  <c r="AJ4" i="86"/>
  <c r="AJ5" i="86"/>
  <c r="AJ86" i="86"/>
  <c r="AJ42" i="86"/>
  <c r="AJ6" i="86"/>
  <c r="AJ7" i="86"/>
  <c r="AJ8" i="86"/>
  <c r="AJ9" i="86"/>
  <c r="AJ10" i="86"/>
  <c r="AJ11" i="86"/>
  <c r="AJ12" i="86"/>
  <c r="AJ13" i="86"/>
  <c r="AJ14" i="86"/>
  <c r="AJ15" i="86"/>
  <c r="AJ16" i="86"/>
  <c r="AJ17" i="86"/>
  <c r="AJ18" i="86"/>
  <c r="AJ19" i="86"/>
  <c r="AJ20" i="86"/>
  <c r="AJ21" i="86"/>
  <c r="AJ32" i="86"/>
  <c r="AJ33" i="86"/>
  <c r="AJ34" i="86"/>
  <c r="AJ38" i="86"/>
  <c r="AN91" i="86"/>
  <c r="AN43" i="86"/>
  <c r="AW38" i="86"/>
  <c r="AS38" i="86"/>
  <c r="AY38" i="86"/>
  <c r="B86" i="86"/>
  <c r="H85" i="86"/>
  <c r="H86" i="86"/>
  <c r="I85" i="86"/>
  <c r="I42" i="86"/>
  <c r="BC42" i="86"/>
  <c r="I86" i="86"/>
  <c r="O22" i="86"/>
  <c r="O23" i="86"/>
  <c r="O24" i="86"/>
  <c r="O25" i="86"/>
  <c r="O26" i="86"/>
  <c r="O27" i="86"/>
  <c r="O28" i="86"/>
  <c r="O29" i="86"/>
  <c r="O30" i="86"/>
  <c r="O31" i="86"/>
  <c r="O34" i="86"/>
  <c r="O33" i="86"/>
  <c r="O32" i="86"/>
  <c r="O21" i="86"/>
  <c r="O20" i="86"/>
  <c r="O19" i="86"/>
  <c r="O18" i="86"/>
  <c r="O17" i="86"/>
  <c r="O16" i="86"/>
  <c r="O15" i="86"/>
  <c r="O14" i="86"/>
  <c r="O13" i="86"/>
  <c r="O12" i="86"/>
  <c r="O11" i="86"/>
  <c r="O10" i="86"/>
  <c r="O9" i="86"/>
  <c r="O8" i="86"/>
  <c r="O7" i="86"/>
  <c r="O6" i="86"/>
  <c r="O5" i="86"/>
  <c r="O4" i="86"/>
  <c r="B43" i="86"/>
  <c r="B39" i="86"/>
  <c r="B40" i="86"/>
  <c r="J22" i="86"/>
  <c r="J23" i="86"/>
  <c r="J24" i="86"/>
  <c r="J25" i="86"/>
  <c r="J26" i="86"/>
  <c r="J27" i="86"/>
  <c r="J28" i="86"/>
  <c r="J29" i="86"/>
  <c r="J30" i="86"/>
  <c r="J31" i="86"/>
  <c r="J34" i="86"/>
  <c r="J33" i="86"/>
  <c r="J32" i="86"/>
  <c r="J21" i="86"/>
  <c r="J20" i="86"/>
  <c r="J19" i="86"/>
  <c r="J18" i="86"/>
  <c r="J17" i="86"/>
  <c r="J16" i="86"/>
  <c r="J15" i="86"/>
  <c r="J14" i="86"/>
  <c r="J13" i="86"/>
  <c r="J12" i="86"/>
  <c r="J11" i="86"/>
  <c r="J10" i="86"/>
  <c r="J9" i="86"/>
  <c r="J8" i="86"/>
  <c r="J7" i="86"/>
  <c r="J6" i="86"/>
  <c r="J5" i="86"/>
  <c r="J4" i="86"/>
  <c r="C43" i="86"/>
  <c r="C39" i="86"/>
  <c r="C40" i="86"/>
  <c r="K86" i="86"/>
  <c r="L85" i="86"/>
  <c r="M85" i="86"/>
  <c r="M86" i="86"/>
  <c r="N85" i="86"/>
  <c r="N42" i="86"/>
  <c r="N86" i="86"/>
  <c r="S85" i="86"/>
  <c r="S42" i="86"/>
  <c r="S86" i="86"/>
  <c r="V38" i="86"/>
  <c r="W38" i="86"/>
  <c r="V85" i="86"/>
  <c r="W85" i="86"/>
  <c r="AA86" i="86"/>
  <c r="AA42" i="86"/>
  <c r="AA38" i="86"/>
  <c r="AB86" i="86"/>
  <c r="AB42" i="86"/>
  <c r="AB38" i="86"/>
  <c r="AD86" i="86"/>
  <c r="AE42" i="86"/>
  <c r="AD22" i="86"/>
  <c r="AD23" i="86"/>
  <c r="AD24" i="86"/>
  <c r="AD25" i="86"/>
  <c r="AD26" i="86"/>
  <c r="AD27" i="86"/>
  <c r="AD28" i="86"/>
  <c r="AD29" i="86"/>
  <c r="AD30" i="86"/>
  <c r="AD31" i="86"/>
  <c r="AD4" i="86"/>
  <c r="AD5" i="86"/>
  <c r="AD6" i="86"/>
  <c r="AD7" i="86"/>
  <c r="AD8" i="86"/>
  <c r="AD9" i="86"/>
  <c r="AD10" i="86"/>
  <c r="AD11" i="86"/>
  <c r="AD12" i="86"/>
  <c r="AD13" i="86"/>
  <c r="AD14" i="86"/>
  <c r="AD15" i="86"/>
  <c r="AD16" i="86"/>
  <c r="AD17" i="86"/>
  <c r="AD18" i="86"/>
  <c r="AD19" i="86"/>
  <c r="AD20" i="86"/>
  <c r="AD21" i="86"/>
  <c r="AD32" i="86"/>
  <c r="AD33" i="86"/>
  <c r="AD34" i="86"/>
  <c r="AE86" i="86"/>
  <c r="AD42" i="86"/>
  <c r="AE38" i="86"/>
  <c r="AC4" i="86"/>
  <c r="AC86" i="86"/>
  <c r="AC5" i="86"/>
  <c r="AC6" i="86"/>
  <c r="AC7" i="86"/>
  <c r="AC8" i="86"/>
  <c r="AC9" i="86"/>
  <c r="AC10" i="86"/>
  <c r="AC11" i="86"/>
  <c r="AC12" i="86"/>
  <c r="AC13" i="86"/>
  <c r="AC14" i="86"/>
  <c r="AC15" i="86"/>
  <c r="AC16" i="86"/>
  <c r="AC17" i="86"/>
  <c r="AC18" i="86"/>
  <c r="AC19" i="86"/>
  <c r="AC20" i="86"/>
  <c r="AC21" i="86"/>
  <c r="AC22" i="86"/>
  <c r="AC23" i="86"/>
  <c r="AC24" i="86"/>
  <c r="AC25" i="86"/>
  <c r="AC26" i="86"/>
  <c r="AC27" i="86"/>
  <c r="AC28" i="86"/>
  <c r="AC29" i="86"/>
  <c r="AC30" i="86"/>
  <c r="AC31" i="86"/>
  <c r="AC32" i="86"/>
  <c r="AC33" i="86"/>
  <c r="AC34" i="86"/>
  <c r="AG86" i="86"/>
  <c r="AH85" i="86"/>
  <c r="AI85" i="86"/>
  <c r="AI86" i="86"/>
  <c r="AJ85" i="86"/>
  <c r="AN76" i="86"/>
  <c r="BF80" i="86"/>
  <c r="BG80" i="86"/>
  <c r="BH80" i="86"/>
  <c r="BI80" i="86"/>
  <c r="BJ80" i="86"/>
  <c r="AD53" i="86"/>
  <c r="AD54" i="86"/>
  <c r="F86" i="86"/>
  <c r="F42" i="86"/>
  <c r="G85" i="86"/>
  <c r="G42" i="86"/>
  <c r="BA42" i="86"/>
  <c r="H42" i="86"/>
  <c r="K42" i="86"/>
  <c r="L42" i="86"/>
  <c r="M42" i="86"/>
  <c r="P86" i="86"/>
  <c r="P42" i="86"/>
  <c r="Q85" i="86"/>
  <c r="Q42" i="86"/>
  <c r="R86" i="86"/>
  <c r="R85" i="86"/>
  <c r="R42" i="86"/>
  <c r="V42" i="86"/>
  <c r="W42" i="86"/>
  <c r="Z85" i="86"/>
  <c r="Z42" i="86"/>
  <c r="AA85" i="86"/>
  <c r="AA43" i="86"/>
  <c r="AB85" i="86"/>
  <c r="AC85" i="86"/>
  <c r="AE85" i="86"/>
  <c r="AD85" i="86"/>
  <c r="AE43" i="86"/>
  <c r="AG42" i="86"/>
  <c r="AH42" i="86"/>
  <c r="AI42" i="86"/>
  <c r="AQ85" i="86"/>
  <c r="AQ42" i="86"/>
  <c r="AS32" i="86"/>
  <c r="AS86" i="86"/>
  <c r="AS42" i="86"/>
  <c r="BF42" i="86"/>
  <c r="AS33" i="86"/>
  <c r="AS34" i="86"/>
  <c r="AS85" i="86"/>
  <c r="AT32" i="86"/>
  <c r="AT86" i="86"/>
  <c r="AT42" i="86"/>
  <c r="AT33" i="86"/>
  <c r="AT34" i="86"/>
  <c r="AT85" i="86"/>
  <c r="AU21" i="86"/>
  <c r="AU22" i="86"/>
  <c r="AU23" i="86"/>
  <c r="AU24" i="86"/>
  <c r="AU25" i="86"/>
  <c r="AU26" i="86"/>
  <c r="AU27" i="86"/>
  <c r="AU28" i="86"/>
  <c r="AU29" i="86"/>
  <c r="AU30" i="86"/>
  <c r="AU31" i="86"/>
  <c r="AU32" i="86"/>
  <c r="AU33" i="86"/>
  <c r="AU34" i="86"/>
  <c r="AU8" i="86"/>
  <c r="AU86" i="86"/>
  <c r="AU42" i="86"/>
  <c r="AU9" i="86"/>
  <c r="AU10" i="86"/>
  <c r="AU11" i="86"/>
  <c r="AU12" i="86"/>
  <c r="AU13" i="86"/>
  <c r="AU14" i="86"/>
  <c r="AU15" i="86"/>
  <c r="AU16" i="86"/>
  <c r="AU17" i="86"/>
  <c r="AU18" i="86"/>
  <c r="AU19" i="86"/>
  <c r="AU20" i="86"/>
  <c r="AU85" i="86"/>
  <c r="AV22" i="86"/>
  <c r="AV23" i="86"/>
  <c r="AV24" i="86"/>
  <c r="AV25" i="86"/>
  <c r="AV26" i="86"/>
  <c r="AV27" i="86"/>
  <c r="AV28" i="86"/>
  <c r="AV29" i="86"/>
  <c r="AV30" i="86"/>
  <c r="AV31" i="86"/>
  <c r="AV32" i="86"/>
  <c r="AV33" i="86"/>
  <c r="AV34" i="86"/>
  <c r="AV8" i="86"/>
  <c r="AV9" i="86"/>
  <c r="AV86" i="86"/>
  <c r="AV42" i="86"/>
  <c r="AV10" i="86"/>
  <c r="AV11" i="86"/>
  <c r="AV12" i="86"/>
  <c r="AV13" i="86"/>
  <c r="AV14" i="86"/>
  <c r="AV15" i="86"/>
  <c r="AV16" i="86"/>
  <c r="AV17" i="86"/>
  <c r="AV18" i="86"/>
  <c r="AV19" i="86"/>
  <c r="AV20" i="86"/>
  <c r="AV21" i="86"/>
  <c r="AV85" i="86"/>
  <c r="AW21" i="86"/>
  <c r="AW22" i="86"/>
  <c r="AW23" i="86"/>
  <c r="AW24" i="86"/>
  <c r="AW25" i="86"/>
  <c r="AW26" i="86"/>
  <c r="AW27" i="86"/>
  <c r="AW28" i="86"/>
  <c r="AW29" i="86"/>
  <c r="AW30" i="86"/>
  <c r="AW31" i="86"/>
  <c r="AW32" i="86"/>
  <c r="AW33" i="86"/>
  <c r="AW34" i="86"/>
  <c r="AW8" i="86"/>
  <c r="AW86" i="86"/>
  <c r="AW42" i="86"/>
  <c r="AW9" i="86"/>
  <c r="AW10" i="86"/>
  <c r="AW11" i="86"/>
  <c r="AW12" i="86"/>
  <c r="AW13" i="86"/>
  <c r="AW14" i="86"/>
  <c r="AW15" i="86"/>
  <c r="AW16" i="86"/>
  <c r="AW17" i="86"/>
  <c r="AW18" i="86"/>
  <c r="AW19" i="86"/>
  <c r="AW20" i="86"/>
  <c r="AW85" i="86"/>
  <c r="AX22" i="86"/>
  <c r="AX23" i="86"/>
  <c r="AX24" i="86"/>
  <c r="AX25" i="86"/>
  <c r="AX26" i="86"/>
  <c r="AX27" i="86"/>
  <c r="AX28" i="86"/>
  <c r="AX29" i="86"/>
  <c r="AX30" i="86"/>
  <c r="AX31" i="86"/>
  <c r="AX32" i="86"/>
  <c r="AX33" i="86"/>
  <c r="AX34" i="86"/>
  <c r="AX8" i="86"/>
  <c r="AX9" i="86"/>
  <c r="AX86" i="86"/>
  <c r="AX42" i="86"/>
  <c r="AX10" i="86"/>
  <c r="AX11" i="86"/>
  <c r="AX12" i="86"/>
  <c r="AX13" i="86"/>
  <c r="AX14" i="86"/>
  <c r="AX15" i="86"/>
  <c r="AX16" i="86"/>
  <c r="AX17" i="86"/>
  <c r="AX18" i="86"/>
  <c r="AX19" i="86"/>
  <c r="AX20" i="86"/>
  <c r="AX21" i="86"/>
  <c r="AX85" i="86"/>
  <c r="AY21" i="86"/>
  <c r="AY22" i="86"/>
  <c r="AY23" i="86"/>
  <c r="AY24" i="86"/>
  <c r="AY25" i="86"/>
  <c r="AY26" i="86"/>
  <c r="AY27" i="86"/>
  <c r="AY28" i="86"/>
  <c r="AY29" i="86"/>
  <c r="AY30" i="86"/>
  <c r="AY31" i="86"/>
  <c r="AY32" i="86"/>
  <c r="AY33" i="86"/>
  <c r="AY34" i="86"/>
  <c r="AY8" i="86"/>
  <c r="AY86" i="86"/>
  <c r="AY42" i="86"/>
  <c r="AY9" i="86"/>
  <c r="AY10" i="86"/>
  <c r="AY11" i="86"/>
  <c r="AY12" i="86"/>
  <c r="AY13" i="86"/>
  <c r="AY14" i="86"/>
  <c r="AY15" i="86"/>
  <c r="AY16" i="86"/>
  <c r="AY17" i="86"/>
  <c r="AY18" i="86"/>
  <c r="AY19" i="86"/>
  <c r="AY20" i="86"/>
  <c r="AY85" i="86"/>
  <c r="BF82" i="86"/>
  <c r="BG82" i="86"/>
  <c r="BH82" i="86"/>
  <c r="BI82" i="86"/>
  <c r="BJ82" i="86"/>
  <c r="F43" i="86"/>
  <c r="G43" i="86"/>
  <c r="H43" i="86"/>
  <c r="I43" i="86"/>
  <c r="K43" i="86"/>
  <c r="L43" i="86"/>
  <c r="M43" i="86"/>
  <c r="N43" i="86"/>
  <c r="P43" i="86"/>
  <c r="Q43" i="86"/>
  <c r="R43" i="86"/>
  <c r="S43" i="86"/>
  <c r="U43" i="86"/>
  <c r="V43" i="86"/>
  <c r="W43" i="86"/>
  <c r="Z43" i="86"/>
  <c r="AB43" i="86"/>
  <c r="AD43" i="86"/>
  <c r="AG43" i="86"/>
  <c r="AH43" i="86"/>
  <c r="AI43" i="86"/>
  <c r="AJ43" i="86"/>
  <c r="AP43" i="86"/>
  <c r="AQ43" i="86"/>
  <c r="AS43" i="86"/>
  <c r="AU4" i="86"/>
  <c r="AU5" i="86"/>
  <c r="AU6" i="86"/>
  <c r="AU7" i="86"/>
  <c r="AU43" i="86"/>
  <c r="AV4" i="86"/>
  <c r="AV5" i="86"/>
  <c r="AV43" i="86"/>
  <c r="AV6" i="86"/>
  <c r="AV7" i="86"/>
  <c r="AW4" i="86"/>
  <c r="AW5" i="86"/>
  <c r="AW6" i="86"/>
  <c r="AW7" i="86"/>
  <c r="AW43" i="86"/>
  <c r="AX4" i="86"/>
  <c r="AX5" i="86"/>
  <c r="AX43" i="86"/>
  <c r="AX6" i="86"/>
  <c r="AX7" i="86"/>
  <c r="BF83" i="86"/>
  <c r="BG83" i="86"/>
  <c r="BH83" i="86"/>
  <c r="BI83" i="86"/>
  <c r="BJ83" i="86"/>
  <c r="AN93" i="86"/>
  <c r="AN98" i="86"/>
  <c r="E83" i="86"/>
  <c r="AB59" i="86"/>
  <c r="AE59" i="86"/>
  <c r="U60" i="86"/>
  <c r="V60" i="86"/>
  <c r="W60" i="86"/>
  <c r="X60" i="86"/>
  <c r="AB60" i="86"/>
  <c r="AE60" i="86"/>
  <c r="AB62" i="86"/>
  <c r="AE62" i="86"/>
  <c r="U63" i="86"/>
  <c r="V63" i="86"/>
  <c r="W63" i="86"/>
  <c r="X63" i="86"/>
  <c r="AB63" i="86"/>
  <c r="AE63" i="86"/>
  <c r="AB64" i="86"/>
  <c r="AE64" i="86"/>
  <c r="AB66" i="86"/>
  <c r="AE66" i="86"/>
  <c r="AB67" i="86"/>
  <c r="AE67" i="86"/>
  <c r="AB68" i="86"/>
  <c r="AE68" i="86"/>
  <c r="U69" i="86"/>
  <c r="V69" i="86"/>
  <c r="W69" i="86"/>
  <c r="X69" i="86"/>
  <c r="AB69" i="86"/>
  <c r="AE69" i="86"/>
  <c r="AB70" i="86"/>
  <c r="AE70" i="86"/>
  <c r="AB71" i="86"/>
  <c r="AE71" i="86"/>
  <c r="M49" i="88"/>
  <c r="M49" i="92"/>
  <c r="M49" i="78"/>
  <c r="M49" i="82"/>
  <c r="BC38" i="86"/>
  <c r="AX38" i="86"/>
  <c r="AS27" i="89"/>
  <c r="BF27" i="89"/>
  <c r="AT27" i="89"/>
  <c r="BG27" i="89"/>
  <c r="AS28" i="89"/>
  <c r="BF28" i="89"/>
  <c r="BD73" i="89"/>
  <c r="AT28" i="89"/>
  <c r="BG28" i="89"/>
  <c r="AS29" i="89"/>
  <c r="BF29" i="89"/>
  <c r="AT29" i="89"/>
  <c r="BG29" i="89"/>
  <c r="AS30" i="89"/>
  <c r="BF30" i="89"/>
  <c r="BD75" i="89"/>
  <c r="AT30" i="89"/>
  <c r="BG30" i="89"/>
  <c r="AS31" i="89"/>
  <c r="BF31" i="89"/>
  <c r="AT31" i="89"/>
  <c r="BG31" i="89"/>
  <c r="AS32" i="89"/>
  <c r="BF32" i="89"/>
  <c r="BD77" i="89"/>
  <c r="AT32" i="89"/>
  <c r="BG32" i="89"/>
  <c r="AS33" i="89"/>
  <c r="BF33" i="89"/>
  <c r="AT33" i="89"/>
  <c r="BG33" i="89"/>
  <c r="BF34" i="89"/>
  <c r="BG34" i="89"/>
  <c r="AS27" i="88"/>
  <c r="BF27" i="88"/>
  <c r="AT27" i="88"/>
  <c r="BG27" i="88"/>
  <c r="AS28" i="88"/>
  <c r="BF28" i="88"/>
  <c r="BD73" i="88"/>
  <c r="AT28" i="88"/>
  <c r="BG28" i="88"/>
  <c r="AS29" i="88"/>
  <c r="BF29" i="88"/>
  <c r="AT29" i="88"/>
  <c r="BG29" i="88"/>
  <c r="AS30" i="88"/>
  <c r="BF30" i="88"/>
  <c r="BD75" i="88"/>
  <c r="AT30" i="88"/>
  <c r="BG30" i="88"/>
  <c r="AS31" i="88"/>
  <c r="BF31" i="88"/>
  <c r="AT31" i="88"/>
  <c r="BG31" i="88"/>
  <c r="AS32" i="88"/>
  <c r="BF32" i="88"/>
  <c r="BD77" i="88"/>
  <c r="AT32" i="88"/>
  <c r="BG32" i="88"/>
  <c r="AS33" i="88"/>
  <c r="BF33" i="88"/>
  <c r="AT33" i="88"/>
  <c r="BG33" i="88"/>
  <c r="AS34" i="88"/>
  <c r="BF34" i="88"/>
  <c r="BD79" i="88"/>
  <c r="AT34" i="88"/>
  <c r="BG34" i="88"/>
  <c r="AS27" i="91"/>
  <c r="BF27" i="91"/>
  <c r="AT27" i="91"/>
  <c r="BG27" i="91"/>
  <c r="AS28" i="91"/>
  <c r="BF28" i="91"/>
  <c r="BD73" i="91"/>
  <c r="AT28" i="91"/>
  <c r="BG28" i="91"/>
  <c r="AS29" i="91"/>
  <c r="BF29" i="91"/>
  <c r="AT29" i="91"/>
  <c r="BG29" i="91"/>
  <c r="AS30" i="91"/>
  <c r="BF30" i="91"/>
  <c r="BD75" i="91"/>
  <c r="AT30" i="91"/>
  <c r="BG30" i="91"/>
  <c r="AS31" i="91"/>
  <c r="BF31" i="91"/>
  <c r="AT31" i="91"/>
  <c r="BG31" i="91"/>
  <c r="AS32" i="91"/>
  <c r="BF32" i="91"/>
  <c r="BD77" i="91"/>
  <c r="AT32" i="91"/>
  <c r="BG32" i="91"/>
  <c r="AS33" i="91"/>
  <c r="BF33" i="91"/>
  <c r="AT33" i="91"/>
  <c r="BG33" i="91"/>
  <c r="BF34" i="91"/>
  <c r="BG34" i="91"/>
  <c r="AS27" i="92"/>
  <c r="BF27" i="92"/>
  <c r="AT27" i="92"/>
  <c r="BG27" i="92"/>
  <c r="AS28" i="92"/>
  <c r="BF28" i="92"/>
  <c r="BD73" i="92"/>
  <c r="AT28" i="92"/>
  <c r="BG28" i="92"/>
  <c r="AS29" i="92"/>
  <c r="BF29" i="92"/>
  <c r="AT29" i="92"/>
  <c r="BG29" i="92"/>
  <c r="AS30" i="92"/>
  <c r="BF30" i="92"/>
  <c r="BD75" i="92"/>
  <c r="AT30" i="92"/>
  <c r="BG30" i="92"/>
  <c r="AS31" i="92"/>
  <c r="BF31" i="92"/>
  <c r="AT31" i="92"/>
  <c r="BG31" i="92"/>
  <c r="AS32" i="92"/>
  <c r="BF32" i="92"/>
  <c r="BD77" i="92"/>
  <c r="AT32" i="92"/>
  <c r="BG32" i="92"/>
  <c r="AS33" i="92"/>
  <c r="BF33" i="92"/>
  <c r="AT33" i="92"/>
  <c r="BG33" i="92"/>
  <c r="AS34" i="92"/>
  <c r="BF34" i="92"/>
  <c r="BD79" i="92"/>
  <c r="AT34" i="92"/>
  <c r="BG34" i="92"/>
  <c r="AS27" i="93"/>
  <c r="BF27" i="93"/>
  <c r="AT27" i="93"/>
  <c r="BG27" i="93"/>
  <c r="AS28" i="93"/>
  <c r="BF28" i="93"/>
  <c r="BD73" i="93"/>
  <c r="AT28" i="93"/>
  <c r="BG28" i="93"/>
  <c r="AS29" i="93"/>
  <c r="BF29" i="93"/>
  <c r="AT29" i="93"/>
  <c r="BG29" i="93"/>
  <c r="AS30" i="93"/>
  <c r="BF30" i="93"/>
  <c r="BD75" i="93"/>
  <c r="AT30" i="93"/>
  <c r="BG30" i="93"/>
  <c r="AS31" i="93"/>
  <c r="BF31" i="93"/>
  <c r="AT31" i="93"/>
  <c r="BG31" i="93"/>
  <c r="AS32" i="93"/>
  <c r="BF32" i="93"/>
  <c r="BD77" i="93"/>
  <c r="AT32" i="93"/>
  <c r="BG32" i="93"/>
  <c r="AS33" i="93"/>
  <c r="BF33" i="93"/>
  <c r="AT33" i="93"/>
  <c r="BG33" i="93"/>
  <c r="AS34" i="93"/>
  <c r="BF34" i="93"/>
  <c r="BD79" i="93"/>
  <c r="AT34" i="93"/>
  <c r="BG34" i="93"/>
  <c r="AS27" i="76"/>
  <c r="BF27" i="76"/>
  <c r="AT27" i="76"/>
  <c r="BG27" i="76"/>
  <c r="AS28" i="76"/>
  <c r="BF28" i="76"/>
  <c r="BD73" i="76"/>
  <c r="AT28" i="76"/>
  <c r="BG28" i="76"/>
  <c r="AS29" i="76"/>
  <c r="BF29" i="76"/>
  <c r="AT29" i="76"/>
  <c r="BG29" i="76"/>
  <c r="AS30" i="76"/>
  <c r="BF30" i="76"/>
  <c r="BD75" i="76"/>
  <c r="AT30" i="76"/>
  <c r="BG30" i="76"/>
  <c r="AS31" i="76"/>
  <c r="BF31" i="76"/>
  <c r="BD76" i="76"/>
  <c r="AT31" i="76"/>
  <c r="BG31" i="76"/>
  <c r="AS32" i="76"/>
  <c r="BF32" i="76"/>
  <c r="BD77" i="76"/>
  <c r="AT32" i="76"/>
  <c r="BG32" i="76"/>
  <c r="AS33" i="76"/>
  <c r="BF33" i="76"/>
  <c r="AT33" i="76"/>
  <c r="BG33" i="76"/>
  <c r="BF34" i="76"/>
  <c r="BG34" i="76"/>
  <c r="BF27" i="78"/>
  <c r="BG27" i="78"/>
  <c r="BF28" i="78"/>
  <c r="BG28" i="78"/>
  <c r="BF29" i="78"/>
  <c r="BG29" i="78"/>
  <c r="BF30" i="78"/>
  <c r="BG30" i="78"/>
  <c r="BF31" i="78"/>
  <c r="BG31" i="78"/>
  <c r="BF32" i="78"/>
  <c r="BG32" i="78"/>
  <c r="BF33" i="78"/>
  <c r="BG33" i="78"/>
  <c r="BF34" i="78"/>
  <c r="BG34" i="78"/>
  <c r="BF27" i="80"/>
  <c r="BG27" i="80"/>
  <c r="BF28" i="80"/>
  <c r="BG28" i="80"/>
  <c r="BF29" i="80"/>
  <c r="BG29" i="80"/>
  <c r="BF30" i="80"/>
  <c r="BG30" i="80"/>
  <c r="BF31" i="80"/>
  <c r="BG31" i="80"/>
  <c r="BF32" i="80"/>
  <c r="BG32" i="80"/>
  <c r="BF33" i="80"/>
  <c r="BG33" i="80"/>
  <c r="BF34" i="80"/>
  <c r="BG34" i="80"/>
  <c r="BF27" i="82"/>
  <c r="BG27" i="82"/>
  <c r="BF28" i="82"/>
  <c r="BG28" i="82"/>
  <c r="BF29" i="82"/>
  <c r="BG29" i="82"/>
  <c r="BF30" i="82"/>
  <c r="BG30" i="82"/>
  <c r="BF31" i="82"/>
  <c r="BG31" i="82"/>
  <c r="BF32" i="82"/>
  <c r="BG32" i="82"/>
  <c r="BF33" i="82"/>
  <c r="BG33" i="82"/>
  <c r="BF34" i="82"/>
  <c r="BG34" i="82"/>
  <c r="AS17" i="89"/>
  <c r="BF17" i="89"/>
  <c r="BD62" i="89"/>
  <c r="AT17" i="89"/>
  <c r="BG17" i="89"/>
  <c r="AS18" i="89"/>
  <c r="BF18" i="89"/>
  <c r="BD63" i="89"/>
  <c r="AT18" i="89"/>
  <c r="BG18" i="89"/>
  <c r="AS19" i="89"/>
  <c r="BF19" i="89"/>
  <c r="AT19" i="89"/>
  <c r="BG19" i="89"/>
  <c r="AS20" i="89"/>
  <c r="BF20" i="89"/>
  <c r="BD65" i="89"/>
  <c r="AT20" i="89"/>
  <c r="BG20" i="89"/>
  <c r="AS21" i="89"/>
  <c r="BF21" i="89"/>
  <c r="BD66" i="89"/>
  <c r="AT21" i="89"/>
  <c r="BG21" i="89"/>
  <c r="AS22" i="89"/>
  <c r="BF22" i="89"/>
  <c r="BD67" i="89"/>
  <c r="AT22" i="89"/>
  <c r="BG22" i="89"/>
  <c r="AS23" i="89"/>
  <c r="BF23" i="89"/>
  <c r="AT23" i="89"/>
  <c r="BG23" i="89"/>
  <c r="AS24" i="89"/>
  <c r="BF24" i="89"/>
  <c r="BD69" i="89"/>
  <c r="AT24" i="89"/>
  <c r="BG24" i="89"/>
  <c r="AS25" i="89"/>
  <c r="BF25" i="89"/>
  <c r="BD70" i="89"/>
  <c r="AT25" i="89"/>
  <c r="BG25" i="89"/>
  <c r="AS26" i="89"/>
  <c r="BF26" i="89"/>
  <c r="BD71" i="89"/>
  <c r="AT26" i="89"/>
  <c r="BG26" i="89"/>
  <c r="AS17" i="88"/>
  <c r="BF17" i="88"/>
  <c r="BD62" i="88"/>
  <c r="AT17" i="88"/>
  <c r="BG17" i="88"/>
  <c r="AS18" i="88"/>
  <c r="BF18" i="88"/>
  <c r="BD63" i="88"/>
  <c r="AT18" i="88"/>
  <c r="BG18" i="88"/>
  <c r="AS19" i="88"/>
  <c r="BF19" i="88"/>
  <c r="AT19" i="88"/>
  <c r="BG19" i="88"/>
  <c r="AS20" i="88"/>
  <c r="BF20" i="88"/>
  <c r="BD65" i="88"/>
  <c r="AT20" i="88"/>
  <c r="BG20" i="88"/>
  <c r="AS21" i="88"/>
  <c r="BF21" i="88"/>
  <c r="BD66" i="88"/>
  <c r="AT21" i="88"/>
  <c r="BG21" i="88"/>
  <c r="AS22" i="88"/>
  <c r="BF22" i="88"/>
  <c r="BD67" i="88"/>
  <c r="AT22" i="88"/>
  <c r="BG22" i="88"/>
  <c r="AS23" i="88"/>
  <c r="BF23" i="88"/>
  <c r="AT23" i="88"/>
  <c r="BG23" i="88"/>
  <c r="AS24" i="88"/>
  <c r="BF24" i="88"/>
  <c r="BD69" i="88"/>
  <c r="AT24" i="88"/>
  <c r="BG24" i="88"/>
  <c r="AS25" i="88"/>
  <c r="BF25" i="88"/>
  <c r="BD70" i="88"/>
  <c r="AT25" i="88"/>
  <c r="BG25" i="88"/>
  <c r="AS26" i="88"/>
  <c r="BF26" i="88"/>
  <c r="BD71" i="88"/>
  <c r="AT26" i="88"/>
  <c r="BG26" i="88"/>
  <c r="AS17" i="91"/>
  <c r="BF17" i="91"/>
  <c r="AT17" i="91"/>
  <c r="BG17" i="91"/>
  <c r="AS18" i="91"/>
  <c r="BF18" i="91"/>
  <c r="BD63" i="91"/>
  <c r="AT18" i="91"/>
  <c r="BG18" i="91"/>
  <c r="AS19" i="91"/>
  <c r="BF19" i="91"/>
  <c r="BD64" i="91"/>
  <c r="AT19" i="91"/>
  <c r="BG19" i="91"/>
  <c r="AS20" i="91"/>
  <c r="BF20" i="91"/>
  <c r="BD65" i="91"/>
  <c r="AT20" i="91"/>
  <c r="BG20" i="91"/>
  <c r="AS21" i="91"/>
  <c r="BF21" i="91"/>
  <c r="AT21" i="91"/>
  <c r="BG21" i="91"/>
  <c r="AS22" i="91"/>
  <c r="BF22" i="91"/>
  <c r="BD67" i="91"/>
  <c r="AT22" i="91"/>
  <c r="BG22" i="91"/>
  <c r="AS23" i="91"/>
  <c r="BF23" i="91"/>
  <c r="BD68" i="91"/>
  <c r="AT23" i="91"/>
  <c r="BG23" i="91"/>
  <c r="AS24" i="91"/>
  <c r="BF24" i="91"/>
  <c r="BD69" i="91"/>
  <c r="AT24" i="91"/>
  <c r="BG24" i="91"/>
  <c r="AS25" i="91"/>
  <c r="BF25" i="91"/>
  <c r="AT25" i="91"/>
  <c r="BG25" i="91"/>
  <c r="AS26" i="91"/>
  <c r="BF26" i="91"/>
  <c r="BD71" i="91"/>
  <c r="AT26" i="91"/>
  <c r="BG26" i="91"/>
  <c r="AS17" i="92"/>
  <c r="BF17" i="92"/>
  <c r="AT17" i="92"/>
  <c r="BG17" i="92"/>
  <c r="AS18" i="92"/>
  <c r="BF18" i="92"/>
  <c r="BD63" i="92"/>
  <c r="AT18" i="92"/>
  <c r="BG18" i="92"/>
  <c r="AS19" i="92"/>
  <c r="BF19" i="92"/>
  <c r="BD64" i="92"/>
  <c r="AT19" i="92"/>
  <c r="BG19" i="92"/>
  <c r="AS20" i="92"/>
  <c r="BF20" i="92"/>
  <c r="BD65" i="92"/>
  <c r="AT20" i="92"/>
  <c r="BG20" i="92"/>
  <c r="AS21" i="92"/>
  <c r="BF21" i="92"/>
  <c r="AT21" i="92"/>
  <c r="BG21" i="92"/>
  <c r="AS22" i="92"/>
  <c r="BF22" i="92"/>
  <c r="BD67" i="92"/>
  <c r="AT22" i="92"/>
  <c r="BG22" i="92"/>
  <c r="AS23" i="92"/>
  <c r="BF23" i="92"/>
  <c r="BD68" i="92"/>
  <c r="AT23" i="92"/>
  <c r="BG23" i="92"/>
  <c r="AS24" i="92"/>
  <c r="BF24" i="92"/>
  <c r="BD69" i="92"/>
  <c r="AT24" i="92"/>
  <c r="BG24" i="92"/>
  <c r="AS25" i="92"/>
  <c r="BF25" i="92"/>
  <c r="AT25" i="92"/>
  <c r="BG25" i="92"/>
  <c r="AS26" i="92"/>
  <c r="BF26" i="92"/>
  <c r="BD71" i="92"/>
  <c r="AT26" i="92"/>
  <c r="BG26" i="92"/>
  <c r="AS17" i="93"/>
  <c r="BF17" i="93"/>
  <c r="BD62" i="93"/>
  <c r="AT17" i="93"/>
  <c r="BG17" i="93"/>
  <c r="AS18" i="93"/>
  <c r="BF18" i="93"/>
  <c r="BD63" i="93"/>
  <c r="AT18" i="93"/>
  <c r="BG18" i="93"/>
  <c r="AS19" i="93"/>
  <c r="BF19" i="93"/>
  <c r="AT19" i="93"/>
  <c r="BG19" i="93"/>
  <c r="AS20" i="93"/>
  <c r="BF20" i="93"/>
  <c r="BD65" i="93"/>
  <c r="AT20" i="93"/>
  <c r="BG20" i="93"/>
  <c r="AS21" i="93"/>
  <c r="BF21" i="93"/>
  <c r="BD66" i="93"/>
  <c r="AT21" i="93"/>
  <c r="BG21" i="93"/>
  <c r="AS22" i="93"/>
  <c r="BF22" i="93"/>
  <c r="BD67" i="93"/>
  <c r="AT22" i="93"/>
  <c r="BG22" i="93"/>
  <c r="AS23" i="93"/>
  <c r="BF23" i="93"/>
  <c r="AT23" i="93"/>
  <c r="BG23" i="93"/>
  <c r="AS24" i="93"/>
  <c r="BF24" i="93"/>
  <c r="BD69" i="93"/>
  <c r="AT24" i="93"/>
  <c r="BG24" i="93"/>
  <c r="AS25" i="93"/>
  <c r="BF25" i="93"/>
  <c r="BD70" i="93"/>
  <c r="AT25" i="93"/>
  <c r="BG25" i="93"/>
  <c r="AS26" i="93"/>
  <c r="BF26" i="93"/>
  <c r="BD71" i="93"/>
  <c r="AT26" i="93"/>
  <c r="BG26" i="93"/>
  <c r="AS17" i="76"/>
  <c r="BF17" i="76"/>
  <c r="BH17" i="76"/>
  <c r="AT17" i="76"/>
  <c r="BG17" i="76"/>
  <c r="AS18" i="76"/>
  <c r="BF18" i="76"/>
  <c r="BD63" i="76"/>
  <c r="AT18" i="76"/>
  <c r="BG18" i="76"/>
  <c r="AS19" i="76"/>
  <c r="BF19" i="76"/>
  <c r="BD64" i="76"/>
  <c r="AT19" i="76"/>
  <c r="BG19" i="76"/>
  <c r="AS20" i="76"/>
  <c r="BF20" i="76"/>
  <c r="BD65" i="76"/>
  <c r="AT20" i="76"/>
  <c r="BG20" i="76"/>
  <c r="AS21" i="76"/>
  <c r="BF21" i="76"/>
  <c r="AT21" i="76"/>
  <c r="BG21" i="76"/>
  <c r="AS22" i="76"/>
  <c r="BF22" i="76"/>
  <c r="BD67" i="76"/>
  <c r="AT22" i="76"/>
  <c r="BG22" i="76"/>
  <c r="AS23" i="76"/>
  <c r="BF23" i="76"/>
  <c r="BD68" i="76"/>
  <c r="AT23" i="76"/>
  <c r="BG23" i="76"/>
  <c r="AS24" i="76"/>
  <c r="BF24" i="76"/>
  <c r="BD69" i="76"/>
  <c r="AT24" i="76"/>
  <c r="BG24" i="76"/>
  <c r="AS25" i="76"/>
  <c r="BF25" i="76"/>
  <c r="AT25" i="76"/>
  <c r="BG25" i="76"/>
  <c r="AS26" i="76"/>
  <c r="BF26" i="76"/>
  <c r="BD71" i="76"/>
  <c r="AT26" i="76"/>
  <c r="BG26" i="76"/>
  <c r="BF17" i="78"/>
  <c r="BG17" i="78"/>
  <c r="BF18" i="78"/>
  <c r="BG18" i="78"/>
  <c r="BF19" i="78"/>
  <c r="BG19" i="78"/>
  <c r="BF20" i="78"/>
  <c r="BG20" i="78"/>
  <c r="BF21" i="78"/>
  <c r="BG21" i="78"/>
  <c r="BF22" i="78"/>
  <c r="BG22" i="78"/>
  <c r="BF23" i="78"/>
  <c r="BG23" i="78"/>
  <c r="BF24" i="78"/>
  <c r="BG24" i="78"/>
  <c r="BF25" i="78"/>
  <c r="BG25" i="78"/>
  <c r="BF26" i="78"/>
  <c r="BG26" i="78"/>
  <c r="BF17" i="80"/>
  <c r="BG17" i="80"/>
  <c r="BF18" i="80"/>
  <c r="BG18" i="80"/>
  <c r="BF19" i="80"/>
  <c r="BG19" i="80"/>
  <c r="BF20" i="80"/>
  <c r="BG20" i="80"/>
  <c r="BF21" i="80"/>
  <c r="BG21" i="80"/>
  <c r="BF22" i="80"/>
  <c r="BG22" i="80"/>
  <c r="BF23" i="80"/>
  <c r="BG23" i="80"/>
  <c r="BF24" i="80"/>
  <c r="BG24" i="80"/>
  <c r="BF25" i="80"/>
  <c r="BG25" i="80"/>
  <c r="BF26" i="80"/>
  <c r="BG26" i="80"/>
  <c r="BF17" i="82"/>
  <c r="BG17" i="82"/>
  <c r="BF18" i="82"/>
  <c r="BG18" i="82"/>
  <c r="BF19" i="82"/>
  <c r="BG19" i="82"/>
  <c r="BF20" i="82"/>
  <c r="BG20" i="82"/>
  <c r="BF21" i="82"/>
  <c r="BG21" i="82"/>
  <c r="BF22" i="82"/>
  <c r="BG22" i="82"/>
  <c r="BF23" i="82"/>
  <c r="BG23" i="82"/>
  <c r="BF24" i="82"/>
  <c r="BG24" i="82"/>
  <c r="BF25" i="82"/>
  <c r="BG25" i="82"/>
  <c r="BF26" i="82"/>
  <c r="BG26" i="82"/>
  <c r="AS5" i="87"/>
  <c r="BF5" i="87"/>
  <c r="AT5" i="87"/>
  <c r="BG5" i="87"/>
  <c r="AS6" i="87"/>
  <c r="BF6" i="87"/>
  <c r="BD51" i="87"/>
  <c r="AT6" i="87"/>
  <c r="BG6" i="87"/>
  <c r="AS7" i="87"/>
  <c r="BF7" i="87"/>
  <c r="BD52" i="87"/>
  <c r="AT7" i="87"/>
  <c r="BG7" i="87"/>
  <c r="AS8" i="87"/>
  <c r="AT8" i="87"/>
  <c r="AS9" i="87"/>
  <c r="BF9" i="87"/>
  <c r="AT9" i="87"/>
  <c r="BG9" i="87"/>
  <c r="AS10" i="87"/>
  <c r="BF10" i="87"/>
  <c r="BD55" i="87"/>
  <c r="AT10" i="87"/>
  <c r="BG10" i="87"/>
  <c r="AS5" i="89"/>
  <c r="BF5" i="89"/>
  <c r="BD50" i="89"/>
  <c r="AT5" i="89"/>
  <c r="BG5" i="89"/>
  <c r="AS6" i="89"/>
  <c r="BF6" i="89"/>
  <c r="BD51" i="89"/>
  <c r="AT6" i="89"/>
  <c r="BG6" i="89"/>
  <c r="AS7" i="89"/>
  <c r="BF7" i="89"/>
  <c r="BH7" i="89"/>
  <c r="AT7" i="89"/>
  <c r="BG7" i="89"/>
  <c r="AS8" i="89"/>
  <c r="BF8" i="89"/>
  <c r="BD53" i="89"/>
  <c r="AT8" i="89"/>
  <c r="BG8" i="89"/>
  <c r="AS9" i="89"/>
  <c r="BF9" i="89"/>
  <c r="BD54" i="89"/>
  <c r="AT9" i="89"/>
  <c r="BG9" i="89"/>
  <c r="AS10" i="89"/>
  <c r="BF10" i="89"/>
  <c r="BD55" i="89"/>
  <c r="AT10" i="89"/>
  <c r="BG10" i="89"/>
  <c r="AS11" i="89"/>
  <c r="BF11" i="89"/>
  <c r="AT11" i="89"/>
  <c r="BG11" i="89"/>
  <c r="AS12" i="89"/>
  <c r="BF12" i="89"/>
  <c r="BD57" i="89"/>
  <c r="AT12" i="89"/>
  <c r="BG12" i="89"/>
  <c r="AS13" i="89"/>
  <c r="BF13" i="89"/>
  <c r="BD58" i="89"/>
  <c r="AT13" i="89"/>
  <c r="BG13" i="89"/>
  <c r="AS14" i="89"/>
  <c r="BF14" i="89"/>
  <c r="BD59" i="89"/>
  <c r="AT14" i="89"/>
  <c r="BG14" i="89"/>
  <c r="AS15" i="89"/>
  <c r="BF15" i="89"/>
  <c r="AT15" i="89"/>
  <c r="BG15" i="89"/>
  <c r="AS16" i="89"/>
  <c r="BF16" i="89"/>
  <c r="BD61" i="89"/>
  <c r="AT16" i="89"/>
  <c r="BG16" i="89"/>
  <c r="AS5" i="88"/>
  <c r="BF5" i="88"/>
  <c r="BD50" i="88"/>
  <c r="AT5" i="88"/>
  <c r="BG5" i="88"/>
  <c r="AS6" i="88"/>
  <c r="BF6" i="88"/>
  <c r="BD51" i="88"/>
  <c r="AT6" i="88"/>
  <c r="BG6" i="88"/>
  <c r="AS7" i="88"/>
  <c r="BF7" i="88"/>
  <c r="AT7" i="88"/>
  <c r="BG7" i="88"/>
  <c r="AS8" i="88"/>
  <c r="BF8" i="88"/>
  <c r="BD53" i="88"/>
  <c r="AT8" i="88"/>
  <c r="BG8" i="88"/>
  <c r="AS9" i="88"/>
  <c r="BF9" i="88"/>
  <c r="BD54" i="88"/>
  <c r="AT9" i="88"/>
  <c r="BG9" i="88"/>
  <c r="AS10" i="88"/>
  <c r="BF10" i="88"/>
  <c r="BD55" i="88"/>
  <c r="AT10" i="88"/>
  <c r="BG10" i="88"/>
  <c r="AS11" i="88"/>
  <c r="BF11" i="88"/>
  <c r="AT11" i="88"/>
  <c r="BG11" i="88"/>
  <c r="AS12" i="88"/>
  <c r="BF12" i="88"/>
  <c r="BD57" i="88"/>
  <c r="AT12" i="88"/>
  <c r="BG12" i="88"/>
  <c r="AS13" i="88"/>
  <c r="BF13" i="88"/>
  <c r="BD58" i="88"/>
  <c r="AT13" i="88"/>
  <c r="BG13" i="88"/>
  <c r="AS14" i="88"/>
  <c r="BF14" i="88"/>
  <c r="BD59" i="88"/>
  <c r="AT14" i="88"/>
  <c r="BG14" i="88"/>
  <c r="AS15" i="88"/>
  <c r="BF15" i="88"/>
  <c r="AT15" i="88"/>
  <c r="BG15" i="88"/>
  <c r="AS16" i="88"/>
  <c r="BF16" i="88"/>
  <c r="BD61" i="88"/>
  <c r="AT16" i="88"/>
  <c r="BG16" i="88"/>
  <c r="AS5" i="91"/>
  <c r="BF5" i="91"/>
  <c r="BH5" i="91"/>
  <c r="AT5" i="91"/>
  <c r="BG5" i="91"/>
  <c r="AS6" i="91"/>
  <c r="BF6" i="91"/>
  <c r="BD51" i="91"/>
  <c r="AT6" i="91"/>
  <c r="BG6" i="91"/>
  <c r="AS7" i="91"/>
  <c r="BF7" i="91"/>
  <c r="BD52" i="91"/>
  <c r="AT7" i="91"/>
  <c r="BG7" i="91"/>
  <c r="AS8" i="91"/>
  <c r="BF8" i="91"/>
  <c r="BD53" i="91"/>
  <c r="AT8" i="91"/>
  <c r="BG8" i="91"/>
  <c r="AS9" i="91"/>
  <c r="BF9" i="91"/>
  <c r="BH9" i="91"/>
  <c r="AT9" i="91"/>
  <c r="BG9" i="91"/>
  <c r="AS10" i="91"/>
  <c r="BF10" i="91"/>
  <c r="BD55" i="91"/>
  <c r="AT10" i="91"/>
  <c r="BG10" i="91"/>
  <c r="AS11" i="91"/>
  <c r="BF11" i="91"/>
  <c r="BD56" i="91"/>
  <c r="AT11" i="91"/>
  <c r="BG11" i="91"/>
  <c r="AS12" i="91"/>
  <c r="BF12" i="91"/>
  <c r="BD57" i="91"/>
  <c r="AT12" i="91"/>
  <c r="BG12" i="91"/>
  <c r="AS13" i="91"/>
  <c r="BF13" i="91"/>
  <c r="AT13" i="91"/>
  <c r="BG13" i="91"/>
  <c r="AS14" i="91"/>
  <c r="BF14" i="91"/>
  <c r="BD59" i="91"/>
  <c r="AT14" i="91"/>
  <c r="BG14" i="91"/>
  <c r="AS15" i="91"/>
  <c r="BF15" i="91"/>
  <c r="BD60" i="91"/>
  <c r="AT15" i="91"/>
  <c r="BG15" i="91"/>
  <c r="AS16" i="91"/>
  <c r="BF16" i="91"/>
  <c r="BD61" i="91"/>
  <c r="AT16" i="91"/>
  <c r="BG16" i="91"/>
  <c r="AS5" i="92"/>
  <c r="BF5" i="92"/>
  <c r="AT5" i="92"/>
  <c r="BG5" i="92"/>
  <c r="AS6" i="92"/>
  <c r="BF6" i="92"/>
  <c r="BD51" i="92"/>
  <c r="AT6" i="92"/>
  <c r="BG6" i="92"/>
  <c r="AS7" i="92"/>
  <c r="BF7" i="92"/>
  <c r="BD52" i="92"/>
  <c r="AT7" i="92"/>
  <c r="BG7" i="92"/>
  <c r="AS8" i="92"/>
  <c r="BF8" i="92"/>
  <c r="BD53" i="92"/>
  <c r="AT8" i="92"/>
  <c r="BG8" i="92"/>
  <c r="AS9" i="92"/>
  <c r="BF9" i="92"/>
  <c r="AT9" i="92"/>
  <c r="BG9" i="92"/>
  <c r="AS10" i="92"/>
  <c r="BF10" i="92"/>
  <c r="BD55" i="92"/>
  <c r="AT10" i="92"/>
  <c r="BG10" i="92"/>
  <c r="AS11" i="92"/>
  <c r="BF11" i="92"/>
  <c r="BD56" i="92"/>
  <c r="AT11" i="92"/>
  <c r="BG11" i="92"/>
  <c r="AS12" i="92"/>
  <c r="BF12" i="92"/>
  <c r="BD57" i="92"/>
  <c r="AT12" i="92"/>
  <c r="BG12" i="92"/>
  <c r="AS13" i="92"/>
  <c r="BF13" i="92"/>
  <c r="AT13" i="92"/>
  <c r="BG13" i="92"/>
  <c r="AS14" i="92"/>
  <c r="BF14" i="92"/>
  <c r="BD59" i="92"/>
  <c r="AT14" i="92"/>
  <c r="BG14" i="92"/>
  <c r="AS15" i="92"/>
  <c r="BF15" i="92"/>
  <c r="BD60" i="92"/>
  <c r="AT15" i="92"/>
  <c r="BG15" i="92"/>
  <c r="AS16" i="92"/>
  <c r="BF16" i="92"/>
  <c r="BD61" i="92"/>
  <c r="AT16" i="92"/>
  <c r="BG16" i="92"/>
  <c r="AS5" i="93"/>
  <c r="BF5" i="93"/>
  <c r="BD50" i="93"/>
  <c r="AT5" i="93"/>
  <c r="BG5" i="93"/>
  <c r="AS6" i="93"/>
  <c r="BF6" i="93"/>
  <c r="BD51" i="93"/>
  <c r="AT6" i="93"/>
  <c r="BG6" i="93"/>
  <c r="AS7" i="93"/>
  <c r="BF7" i="93"/>
  <c r="BH7" i="93"/>
  <c r="AT7" i="93"/>
  <c r="BG7" i="93"/>
  <c r="AS8" i="93"/>
  <c r="BF8" i="93"/>
  <c r="BD53" i="93"/>
  <c r="AT8" i="93"/>
  <c r="BG8" i="93"/>
  <c r="AS9" i="93"/>
  <c r="BF9" i="93"/>
  <c r="BD54" i="93"/>
  <c r="AT9" i="93"/>
  <c r="BG9" i="93"/>
  <c r="AS10" i="93"/>
  <c r="BF10" i="93"/>
  <c r="BD55" i="93"/>
  <c r="AT10" i="93"/>
  <c r="BG10" i="93"/>
  <c r="AS11" i="93"/>
  <c r="BF11" i="93"/>
  <c r="AT11" i="93"/>
  <c r="BG11" i="93"/>
  <c r="AS12" i="93"/>
  <c r="BF12" i="93"/>
  <c r="BD57" i="93"/>
  <c r="AT12" i="93"/>
  <c r="BG12" i="93"/>
  <c r="AS13" i="93"/>
  <c r="BF13" i="93"/>
  <c r="BD58" i="93"/>
  <c r="AT13" i="93"/>
  <c r="BG13" i="93"/>
  <c r="AS14" i="93"/>
  <c r="BF14" i="93"/>
  <c r="BD59" i="93"/>
  <c r="AT14" i="93"/>
  <c r="BG14" i="93"/>
  <c r="AS15" i="93"/>
  <c r="BF15" i="93"/>
  <c r="AT15" i="93"/>
  <c r="BG15" i="93"/>
  <c r="AS16" i="93"/>
  <c r="BF16" i="93"/>
  <c r="BD61" i="93"/>
  <c r="AT16" i="93"/>
  <c r="BG16" i="93"/>
  <c r="AS5" i="76"/>
  <c r="BF5" i="76"/>
  <c r="AT5" i="76"/>
  <c r="BG5" i="76"/>
  <c r="AS6" i="76"/>
  <c r="BF6" i="76"/>
  <c r="BD51" i="76"/>
  <c r="AT6" i="76"/>
  <c r="BG6" i="76"/>
  <c r="AS7" i="76"/>
  <c r="BF7" i="76"/>
  <c r="BD52" i="76"/>
  <c r="AT7" i="76"/>
  <c r="BG7" i="76"/>
  <c r="AS8" i="76"/>
  <c r="BF8" i="76"/>
  <c r="BD53" i="76"/>
  <c r="AT8" i="76"/>
  <c r="BG8" i="76"/>
  <c r="AS9" i="76"/>
  <c r="BF9" i="76"/>
  <c r="AT9" i="76"/>
  <c r="BG9" i="76"/>
  <c r="AS10" i="76"/>
  <c r="BF10" i="76"/>
  <c r="BD55" i="76"/>
  <c r="AT10" i="76"/>
  <c r="BG10" i="76"/>
  <c r="AS11" i="76"/>
  <c r="BF11" i="76"/>
  <c r="BD56" i="76"/>
  <c r="AT11" i="76"/>
  <c r="BG11" i="76"/>
  <c r="AS12" i="76"/>
  <c r="BF12" i="76"/>
  <c r="BD57" i="76"/>
  <c r="AT12" i="76"/>
  <c r="BG12" i="76"/>
  <c r="AS13" i="76"/>
  <c r="BF13" i="76"/>
  <c r="BH13" i="76"/>
  <c r="AT13" i="76"/>
  <c r="BG13" i="76"/>
  <c r="AS14" i="76"/>
  <c r="BF14" i="76"/>
  <c r="BD59" i="76"/>
  <c r="AT14" i="76"/>
  <c r="BG14" i="76"/>
  <c r="AS15" i="76"/>
  <c r="BF15" i="76"/>
  <c r="BD60" i="76"/>
  <c r="AT15" i="76"/>
  <c r="BG15" i="76"/>
  <c r="AS16" i="76"/>
  <c r="BF16" i="76"/>
  <c r="BD61" i="76"/>
  <c r="AT16" i="76"/>
  <c r="BG16" i="76"/>
  <c r="BF5" i="78"/>
  <c r="BG5" i="78"/>
  <c r="BF6" i="78"/>
  <c r="BG6" i="78"/>
  <c r="BF7" i="78"/>
  <c r="BG7" i="78"/>
  <c r="BF8" i="78"/>
  <c r="BG8" i="78"/>
  <c r="BF9" i="78"/>
  <c r="BG9" i="78"/>
  <c r="BF10" i="78"/>
  <c r="BG10" i="78"/>
  <c r="BF11" i="78"/>
  <c r="BG11" i="78"/>
  <c r="BF12" i="78"/>
  <c r="BG12" i="78"/>
  <c r="BF13" i="78"/>
  <c r="BG13" i="78"/>
  <c r="BF14" i="78"/>
  <c r="BG14" i="78"/>
  <c r="BF15" i="78"/>
  <c r="BG15" i="78"/>
  <c r="BF16" i="78"/>
  <c r="BG16" i="78"/>
  <c r="BF5" i="80"/>
  <c r="BG5" i="80"/>
  <c r="BF6" i="80"/>
  <c r="BG6" i="80"/>
  <c r="BF7" i="80"/>
  <c r="BG7" i="80"/>
  <c r="BF8" i="80"/>
  <c r="BG8" i="80"/>
  <c r="BF9" i="80"/>
  <c r="BG9" i="80"/>
  <c r="BF10" i="80"/>
  <c r="BG10" i="80"/>
  <c r="BF11" i="80"/>
  <c r="BG11" i="80"/>
  <c r="BF12" i="80"/>
  <c r="BG12" i="80"/>
  <c r="BF13" i="80"/>
  <c r="BG13" i="80"/>
  <c r="BF14" i="80"/>
  <c r="BG14" i="80"/>
  <c r="BF15" i="80"/>
  <c r="BG15" i="80"/>
  <c r="BF16" i="80"/>
  <c r="BG16" i="80"/>
  <c r="BF5" i="82"/>
  <c r="BG5" i="82"/>
  <c r="BF6" i="82"/>
  <c r="BG6" i="82"/>
  <c r="BF7" i="82"/>
  <c r="BG7" i="82"/>
  <c r="BF8" i="82"/>
  <c r="BG8" i="82"/>
  <c r="BF9" i="82"/>
  <c r="BG9" i="82"/>
  <c r="BF10" i="82"/>
  <c r="BG10" i="82"/>
  <c r="BF11" i="82"/>
  <c r="BG11" i="82"/>
  <c r="BF12" i="82"/>
  <c r="BG12" i="82"/>
  <c r="BF13" i="82"/>
  <c r="BG13" i="82"/>
  <c r="BF14" i="82"/>
  <c r="BG14" i="82"/>
  <c r="BF15" i="82"/>
  <c r="BG15" i="82"/>
  <c r="BF16" i="82"/>
  <c r="BG16" i="82"/>
  <c r="AT4" i="87"/>
  <c r="AT43" i="87"/>
  <c r="AT4" i="89"/>
  <c r="BG4" i="89"/>
  <c r="AT4" i="88"/>
  <c r="BG4" i="88"/>
  <c r="AT4" i="91"/>
  <c r="BG4" i="91"/>
  <c r="AT4" i="92"/>
  <c r="BG4" i="92"/>
  <c r="AT4" i="93"/>
  <c r="BG4" i="93"/>
  <c r="AT4" i="76"/>
  <c r="BG4" i="76"/>
  <c r="BG4" i="78"/>
  <c r="BG4" i="80"/>
  <c r="BG4" i="82"/>
  <c r="AS4" i="87"/>
  <c r="BF4" i="87"/>
  <c r="AS4" i="89"/>
  <c r="BF4" i="89"/>
  <c r="AS4" i="88"/>
  <c r="BF4" i="88"/>
  <c r="AS4" i="91"/>
  <c r="BF4" i="91"/>
  <c r="AS4" i="92"/>
  <c r="BF4" i="92"/>
  <c r="AS4" i="93"/>
  <c r="BF4" i="93"/>
  <c r="AS4" i="76"/>
  <c r="BF4" i="76"/>
  <c r="BF4" i="78"/>
  <c r="BF4" i="80"/>
  <c r="BF4" i="82"/>
  <c r="V59" i="86"/>
  <c r="V68" i="86"/>
  <c r="U59" i="86"/>
  <c r="W59" i="86"/>
  <c r="X59" i="86"/>
  <c r="U68" i="86"/>
  <c r="W68" i="86"/>
  <c r="X68" i="86"/>
  <c r="Y15" i="86"/>
  <c r="F47" i="86"/>
  <c r="I47" i="86"/>
  <c r="BB60" i="86"/>
  <c r="BC60" i="86"/>
  <c r="BC61" i="86"/>
  <c r="BC62" i="86"/>
  <c r="BC63" i="86"/>
  <c r="BC64" i="86"/>
  <c r="BC65" i="86"/>
  <c r="BC66" i="86"/>
  <c r="BC67" i="86"/>
  <c r="BC68" i="86"/>
  <c r="BC69" i="86"/>
  <c r="BC70" i="86"/>
  <c r="BC71" i="86"/>
  <c r="BC72" i="86"/>
  <c r="BC73" i="86"/>
  <c r="BC74" i="86"/>
  <c r="BC75" i="86"/>
  <c r="BC76" i="86"/>
  <c r="AV102" i="86"/>
  <c r="K80" i="86"/>
  <c r="M80" i="86"/>
  <c r="BB61" i="86"/>
  <c r="BB62" i="86"/>
  <c r="BB63" i="86"/>
  <c r="BB64" i="86"/>
  <c r="BB65" i="86"/>
  <c r="BB66" i="86"/>
  <c r="BB67" i="86"/>
  <c r="BB68" i="86"/>
  <c r="BB69" i="86"/>
  <c r="BB70" i="86"/>
  <c r="BB71" i="86"/>
  <c r="BB72" i="86"/>
  <c r="BB73" i="86"/>
  <c r="BB74" i="86"/>
  <c r="BB75" i="86"/>
  <c r="BB76" i="86"/>
  <c r="BB49" i="86"/>
  <c r="BB50" i="86"/>
  <c r="BB51" i="86"/>
  <c r="BB52" i="86"/>
  <c r="BB53" i="86"/>
  <c r="BB54" i="86"/>
  <c r="BB55" i="86"/>
  <c r="BB56" i="86"/>
  <c r="BB57" i="86"/>
  <c r="BB58" i="86"/>
  <c r="BB59" i="86"/>
  <c r="BB80" i="86"/>
  <c r="BC80" i="86"/>
  <c r="B120" i="86"/>
  <c r="C120" i="86"/>
  <c r="D120" i="86"/>
  <c r="BD80" i="86"/>
  <c r="M81" i="86"/>
  <c r="BA84" i="86"/>
  <c r="BB84" i="86"/>
  <c r="BC85" i="86"/>
  <c r="BD85" i="86"/>
  <c r="BF85" i="86"/>
  <c r="BA86" i="86"/>
  <c r="BC86" i="86"/>
  <c r="BD86" i="86"/>
  <c r="BF86" i="86"/>
  <c r="N38" i="86"/>
  <c r="K46" i="86"/>
  <c r="N46" i="86"/>
  <c r="L46" i="86"/>
  <c r="P38" i="86"/>
  <c r="R40" i="86"/>
  <c r="R46" i="86"/>
  <c r="S46" i="86"/>
  <c r="R47" i="86"/>
  <c r="Y16" i="86"/>
  <c r="Y17" i="86"/>
  <c r="Y18" i="86"/>
  <c r="Y19" i="86"/>
  <c r="Y20" i="86"/>
  <c r="Y21" i="86"/>
  <c r="Y22" i="86"/>
  <c r="Y23" i="86"/>
  <c r="Y24" i="86"/>
  <c r="Y25" i="86"/>
  <c r="Y26" i="86"/>
  <c r="Y27" i="86"/>
  <c r="Y28" i="86"/>
  <c r="Y29" i="86"/>
  <c r="Y30" i="86"/>
  <c r="Y31" i="86"/>
  <c r="M82" i="86"/>
  <c r="M83" i="86"/>
  <c r="Q38" i="86"/>
  <c r="AG46" i="86"/>
  <c r="AJ46" i="86"/>
  <c r="AH46" i="86"/>
  <c r="AE40" i="86"/>
  <c r="Y4" i="86"/>
  <c r="Y86" i="86"/>
  <c r="Y5" i="86"/>
  <c r="Y6" i="86"/>
  <c r="Y7" i="86"/>
  <c r="Y8" i="86"/>
  <c r="Y9" i="86"/>
  <c r="Y10" i="86"/>
  <c r="Y11" i="86"/>
  <c r="Y12" i="86"/>
  <c r="Y13" i="86"/>
  <c r="Y14" i="86"/>
  <c r="Y32" i="86"/>
  <c r="Y33" i="86"/>
  <c r="Y34" i="86"/>
  <c r="Y85" i="86"/>
  <c r="BB42" i="86"/>
  <c r="H47" i="86"/>
  <c r="M46" i="86"/>
  <c r="U46" i="86"/>
  <c r="X55" i="86"/>
  <c r="X85" i="86"/>
  <c r="X86" i="86"/>
  <c r="AI46" i="86"/>
  <c r="I106" i="87"/>
  <c r="I107" i="87"/>
  <c r="I108" i="87"/>
  <c r="I109" i="87"/>
  <c r="I110" i="87"/>
  <c r="I111" i="87"/>
  <c r="I112" i="87"/>
  <c r="I113" i="87"/>
  <c r="I114" i="87"/>
  <c r="I115" i="87"/>
  <c r="I116" i="87"/>
  <c r="I117" i="87"/>
  <c r="I118" i="87"/>
  <c r="I91" i="89"/>
  <c r="I92" i="89"/>
  <c r="I93" i="89"/>
  <c r="I94" i="89"/>
  <c r="I95" i="89"/>
  <c r="I96" i="89"/>
  <c r="I97" i="89"/>
  <c r="I91" i="88"/>
  <c r="I92" i="88"/>
  <c r="I93" i="88"/>
  <c r="I94" i="88"/>
  <c r="I95" i="88"/>
  <c r="I96" i="88"/>
  <c r="I97" i="88"/>
  <c r="I91" i="91"/>
  <c r="I92" i="91"/>
  <c r="I93" i="91"/>
  <c r="I94" i="91"/>
  <c r="I95" i="91"/>
  <c r="I96" i="91"/>
  <c r="I97" i="91"/>
  <c r="I91" i="92"/>
  <c r="I92" i="92"/>
  <c r="I93" i="92"/>
  <c r="I94" i="92"/>
  <c r="I95" i="92"/>
  <c r="I96" i="92"/>
  <c r="I97" i="92"/>
  <c r="I92" i="93"/>
  <c r="I93" i="93"/>
  <c r="I94" i="93"/>
  <c r="I95" i="93"/>
  <c r="I96" i="93"/>
  <c r="I97" i="93"/>
  <c r="I92" i="76"/>
  <c r="I93" i="76"/>
  <c r="I94" i="76"/>
  <c r="I95" i="76"/>
  <c r="I96" i="76"/>
  <c r="I97" i="76"/>
  <c r="I92" i="78"/>
  <c r="I93" i="78"/>
  <c r="I94" i="78"/>
  <c r="I95" i="78"/>
  <c r="I96" i="78"/>
  <c r="I97" i="78"/>
  <c r="I92" i="80"/>
  <c r="I93" i="80"/>
  <c r="I94" i="80"/>
  <c r="I95" i="80"/>
  <c r="I96" i="80"/>
  <c r="I97" i="80"/>
  <c r="I91" i="82"/>
  <c r="I92" i="82"/>
  <c r="I93" i="82"/>
  <c r="I94" i="82"/>
  <c r="I95" i="82"/>
  <c r="I96" i="82"/>
  <c r="I97" i="82"/>
  <c r="H38" i="84"/>
  <c r="X46" i="84"/>
  <c r="X46" i="89"/>
  <c r="X46" i="88"/>
  <c r="X46" i="91"/>
  <c r="X46" i="92"/>
  <c r="X46" i="93"/>
  <c r="X46" i="76"/>
  <c r="X47" i="84"/>
  <c r="X47" i="89"/>
  <c r="X47" i="88"/>
  <c r="X47" i="91"/>
  <c r="X47" i="92"/>
  <c r="X47" i="93"/>
  <c r="X47" i="76"/>
  <c r="X48" i="84"/>
  <c r="X48" i="89"/>
  <c r="X48" i="88"/>
  <c r="X48" i="91"/>
  <c r="X48" i="92"/>
  <c r="X48" i="93"/>
  <c r="X48" i="76"/>
  <c r="X49" i="84"/>
  <c r="X49" i="89"/>
  <c r="X49" i="88"/>
  <c r="X49" i="91"/>
  <c r="X49" i="92"/>
  <c r="X49" i="93"/>
  <c r="X49" i="76"/>
  <c r="X50" i="84"/>
  <c r="X50" i="89"/>
  <c r="X50" i="88"/>
  <c r="X50" i="91"/>
  <c r="X50" i="92"/>
  <c r="X50" i="93"/>
  <c r="X50" i="76"/>
  <c r="X51" i="84"/>
  <c r="X51" i="89"/>
  <c r="X51" i="88"/>
  <c r="X51" i="91"/>
  <c r="X51" i="92"/>
  <c r="X51" i="93"/>
  <c r="X51" i="76"/>
  <c r="X52" i="84"/>
  <c r="X52" i="89"/>
  <c r="X52" i="88"/>
  <c r="X52" i="91"/>
  <c r="X52" i="92"/>
  <c r="X52" i="93"/>
  <c r="X52" i="76"/>
  <c r="X53" i="84"/>
  <c r="X53" i="89"/>
  <c r="X53" i="88"/>
  <c r="X53" i="91"/>
  <c r="X53" i="92"/>
  <c r="X53" i="93"/>
  <c r="X53" i="76"/>
  <c r="F85" i="84"/>
  <c r="G86" i="84"/>
  <c r="K85" i="84"/>
  <c r="L86" i="84"/>
  <c r="K38" i="84"/>
  <c r="L38" i="84"/>
  <c r="M38" i="84"/>
  <c r="P85" i="84"/>
  <c r="Q86" i="84"/>
  <c r="R38" i="84"/>
  <c r="S4" i="84"/>
  <c r="S5" i="84"/>
  <c r="S86" i="84"/>
  <c r="S42" i="84"/>
  <c r="S6" i="84"/>
  <c r="S7" i="84"/>
  <c r="S8" i="84"/>
  <c r="S9" i="84"/>
  <c r="S10" i="84"/>
  <c r="S11" i="84"/>
  <c r="S12" i="84"/>
  <c r="S13" i="84"/>
  <c r="S14" i="84"/>
  <c r="S15" i="84"/>
  <c r="S16" i="84"/>
  <c r="S17" i="84"/>
  <c r="S18" i="84"/>
  <c r="S19" i="84"/>
  <c r="S20" i="84"/>
  <c r="S21" i="84"/>
  <c r="S22" i="84"/>
  <c r="S23" i="84"/>
  <c r="S24" i="84"/>
  <c r="S25" i="84"/>
  <c r="S26" i="84"/>
  <c r="S27" i="84"/>
  <c r="S28" i="84"/>
  <c r="S29" i="84"/>
  <c r="S30" i="84"/>
  <c r="S31" i="84"/>
  <c r="S32" i="84"/>
  <c r="S33" i="84"/>
  <c r="S34" i="84"/>
  <c r="S38" i="84"/>
  <c r="U86" i="84"/>
  <c r="V86" i="84"/>
  <c r="W86" i="84"/>
  <c r="Z86" i="84"/>
  <c r="Z42" i="84"/>
  <c r="AN108" i="84" a="1"/>
  <c r="AN51" i="84"/>
  <c r="AN54" i="84"/>
  <c r="AN57" i="84"/>
  <c r="AG85" i="84"/>
  <c r="AH86" i="84"/>
  <c r="AH42" i="84"/>
  <c r="AG38" i="84"/>
  <c r="AH38" i="84"/>
  <c r="AI38" i="84"/>
  <c r="AJ4" i="84"/>
  <c r="AJ38" i="84"/>
  <c r="AJ46" i="84"/>
  <c r="AJ5" i="84"/>
  <c r="AJ6" i="84"/>
  <c r="AJ7" i="84"/>
  <c r="AJ8" i="84"/>
  <c r="AJ9" i="84"/>
  <c r="AJ10" i="84"/>
  <c r="AJ11" i="84"/>
  <c r="AJ12" i="84"/>
  <c r="AJ13" i="84"/>
  <c r="AJ14" i="84"/>
  <c r="AJ15" i="84"/>
  <c r="AJ16" i="84"/>
  <c r="AJ17" i="84"/>
  <c r="AJ18" i="84"/>
  <c r="AJ19" i="84"/>
  <c r="AJ20" i="84"/>
  <c r="AJ21" i="84"/>
  <c r="AJ22" i="84"/>
  <c r="AJ23" i="84"/>
  <c r="AJ24" i="84"/>
  <c r="AJ25" i="84"/>
  <c r="AJ26" i="84"/>
  <c r="AJ27" i="84"/>
  <c r="AJ28" i="84"/>
  <c r="AJ29" i="84"/>
  <c r="AJ30" i="84"/>
  <c r="AJ31" i="84"/>
  <c r="AJ32" i="84"/>
  <c r="AJ33" i="84"/>
  <c r="AJ34" i="84"/>
  <c r="AN91" i="84"/>
  <c r="AN43" i="84"/>
  <c r="BC38" i="84"/>
  <c r="AW38" i="84"/>
  <c r="AX38" i="84"/>
  <c r="AS38" i="84"/>
  <c r="AY38" i="84"/>
  <c r="BH91" i="84"/>
  <c r="BH92" i="84"/>
  <c r="BH93" i="84"/>
  <c r="BH94" i="84"/>
  <c r="BH95" i="84"/>
  <c r="BH96" i="84"/>
  <c r="BH97" i="84"/>
  <c r="BH98" i="84"/>
  <c r="BH99" i="84"/>
  <c r="BH100" i="84"/>
  <c r="BH101" i="84"/>
  <c r="BH102" i="84"/>
  <c r="BH103" i="84"/>
  <c r="BH104" i="84"/>
  <c r="BH105" i="84"/>
  <c r="BH106" i="84"/>
  <c r="BH107" i="84"/>
  <c r="BH108" i="84"/>
  <c r="BH109" i="84"/>
  <c r="BH110" i="84"/>
  <c r="BH111" i="84"/>
  <c r="BH112" i="84"/>
  <c r="BH113" i="84"/>
  <c r="BH114" i="84"/>
  <c r="BH115" i="84"/>
  <c r="BH116" i="84"/>
  <c r="BH117" i="84"/>
  <c r="BH118" i="84"/>
  <c r="BH119" i="84"/>
  <c r="BH120" i="84"/>
  <c r="BH121" i="84"/>
  <c r="AH65" i="84"/>
  <c r="AY91" i="84"/>
  <c r="AY92" i="84"/>
  <c r="AY93" i="84"/>
  <c r="AY94" i="84"/>
  <c r="AY95" i="84"/>
  <c r="AY96" i="84"/>
  <c r="AY97" i="84"/>
  <c r="AY98" i="84"/>
  <c r="AY99" i="84"/>
  <c r="AY100" i="84"/>
  <c r="AY101" i="84"/>
  <c r="AY102" i="84"/>
  <c r="AY103" i="84"/>
  <c r="AY104" i="84"/>
  <c r="AY105" i="84"/>
  <c r="AY106" i="84"/>
  <c r="AY107" i="84"/>
  <c r="AY108" i="84"/>
  <c r="AY109" i="84"/>
  <c r="AY110" i="84"/>
  <c r="AY111" i="84"/>
  <c r="AY112" i="84"/>
  <c r="AY113" i="84"/>
  <c r="AY114" i="84"/>
  <c r="AY115" i="84"/>
  <c r="AY116" i="84"/>
  <c r="AY117" i="84"/>
  <c r="AY118" i="84"/>
  <c r="AY119" i="84"/>
  <c r="AY120" i="84"/>
  <c r="AY121" i="84"/>
  <c r="AH68" i="84"/>
  <c r="N4" i="84"/>
  <c r="N5" i="84"/>
  <c r="N86" i="84"/>
  <c r="N42" i="84"/>
  <c r="N6" i="84"/>
  <c r="N7" i="84"/>
  <c r="N8" i="84"/>
  <c r="N9" i="84"/>
  <c r="N10" i="84"/>
  <c r="N11" i="84"/>
  <c r="N12" i="84"/>
  <c r="N13" i="84"/>
  <c r="N14" i="84"/>
  <c r="N15" i="84"/>
  <c r="N16" i="84"/>
  <c r="N17" i="84"/>
  <c r="N18" i="84"/>
  <c r="N19" i="84"/>
  <c r="N20" i="84"/>
  <c r="N21" i="84"/>
  <c r="N22" i="84"/>
  <c r="N23" i="84"/>
  <c r="N24" i="84"/>
  <c r="N25" i="84"/>
  <c r="N26" i="84"/>
  <c r="N27" i="84"/>
  <c r="N28" i="84"/>
  <c r="N29" i="84"/>
  <c r="N30" i="84"/>
  <c r="N31" i="84"/>
  <c r="N32" i="84"/>
  <c r="N33" i="84"/>
  <c r="N34" i="84"/>
  <c r="N4" i="87"/>
  <c r="N5" i="87"/>
  <c r="N6" i="87"/>
  <c r="N7" i="87"/>
  <c r="N8" i="87"/>
  <c r="N9" i="87"/>
  <c r="R4" i="84"/>
  <c r="R86" i="84"/>
  <c r="R42" i="84"/>
  <c r="R5" i="84"/>
  <c r="R6" i="84"/>
  <c r="R7" i="84"/>
  <c r="R8" i="84"/>
  <c r="R9" i="84"/>
  <c r="R10" i="84"/>
  <c r="R11" i="84"/>
  <c r="R12" i="84"/>
  <c r="R13" i="84"/>
  <c r="R14" i="84"/>
  <c r="R15" i="84"/>
  <c r="R16" i="84"/>
  <c r="R17" i="84"/>
  <c r="R18" i="84"/>
  <c r="R19" i="84"/>
  <c r="R20" i="84"/>
  <c r="R21" i="84"/>
  <c r="R22" i="84"/>
  <c r="R23" i="84"/>
  <c r="R24" i="84"/>
  <c r="R25" i="84"/>
  <c r="R26" i="84"/>
  <c r="R27" i="84"/>
  <c r="R28" i="84"/>
  <c r="R29" i="84"/>
  <c r="R30" i="84"/>
  <c r="R31" i="84"/>
  <c r="R32" i="84"/>
  <c r="R33" i="84"/>
  <c r="R34" i="84"/>
  <c r="R4" i="87"/>
  <c r="R5" i="87"/>
  <c r="R6" i="87"/>
  <c r="R7" i="87"/>
  <c r="R8" i="87"/>
  <c r="R9" i="87"/>
  <c r="V67" i="87"/>
  <c r="S4" i="87"/>
  <c r="S5" i="87"/>
  <c r="S6" i="87"/>
  <c r="S7" i="87"/>
  <c r="S8" i="87"/>
  <c r="S9" i="87"/>
  <c r="AJ4" i="87"/>
  <c r="AJ5" i="87"/>
  <c r="AJ6" i="87"/>
  <c r="AJ7" i="87"/>
  <c r="AJ8" i="87"/>
  <c r="AJ9" i="87"/>
  <c r="B86" i="84"/>
  <c r="H85" i="84"/>
  <c r="H42" i="84"/>
  <c r="BB42" i="84"/>
  <c r="H86" i="84"/>
  <c r="I85" i="84"/>
  <c r="I86" i="84"/>
  <c r="O34" i="84"/>
  <c r="O33" i="84"/>
  <c r="O32" i="84"/>
  <c r="O31" i="84"/>
  <c r="O30" i="84"/>
  <c r="O29" i="84"/>
  <c r="O28" i="84"/>
  <c r="O27" i="84"/>
  <c r="O26" i="84"/>
  <c r="O25" i="84"/>
  <c r="O24" i="84"/>
  <c r="O23" i="84"/>
  <c r="O22" i="84"/>
  <c r="O21" i="84"/>
  <c r="O20" i="84"/>
  <c r="O19" i="84"/>
  <c r="O18" i="84"/>
  <c r="O17" i="84"/>
  <c r="O16" i="84"/>
  <c r="O15" i="84"/>
  <c r="O14" i="84"/>
  <c r="O13" i="84"/>
  <c r="O12" i="84"/>
  <c r="O11" i="84"/>
  <c r="O10" i="84"/>
  <c r="O9" i="84"/>
  <c r="O8" i="84"/>
  <c r="O7" i="84"/>
  <c r="O6" i="84"/>
  <c r="O5" i="84"/>
  <c r="O4" i="84"/>
  <c r="B43" i="84"/>
  <c r="B39" i="84"/>
  <c r="B40" i="84"/>
  <c r="J34" i="84"/>
  <c r="J33" i="84"/>
  <c r="J32" i="84"/>
  <c r="J31" i="84"/>
  <c r="J30" i="84"/>
  <c r="J29" i="84"/>
  <c r="J28" i="84"/>
  <c r="J27" i="84"/>
  <c r="J26" i="84"/>
  <c r="J25" i="84"/>
  <c r="J24" i="84"/>
  <c r="J23" i="84"/>
  <c r="J22" i="84"/>
  <c r="J21" i="84"/>
  <c r="J20" i="84"/>
  <c r="J19" i="84"/>
  <c r="J18" i="84"/>
  <c r="J17" i="84"/>
  <c r="J16" i="84"/>
  <c r="J15" i="84"/>
  <c r="J14" i="84"/>
  <c r="J13" i="84"/>
  <c r="J12" i="84"/>
  <c r="J11" i="84"/>
  <c r="J10" i="84"/>
  <c r="J9" i="84"/>
  <c r="J8" i="84"/>
  <c r="J7" i="84"/>
  <c r="J6" i="84"/>
  <c r="J5" i="84"/>
  <c r="J4" i="84"/>
  <c r="C43" i="84"/>
  <c r="C39" i="84"/>
  <c r="C40" i="84"/>
  <c r="K86" i="84"/>
  <c r="K42" i="84"/>
  <c r="L85" i="84"/>
  <c r="M85" i="84"/>
  <c r="M42" i="84"/>
  <c r="M86" i="84"/>
  <c r="N85" i="84"/>
  <c r="S85" i="84"/>
  <c r="V38" i="84"/>
  <c r="W38" i="84"/>
  <c r="U85" i="84"/>
  <c r="U42" i="84"/>
  <c r="V85" i="84"/>
  <c r="W85" i="84"/>
  <c r="W42" i="84"/>
  <c r="AA86" i="84"/>
  <c r="AA38" i="84"/>
  <c r="AB86" i="84"/>
  <c r="AB38" i="84"/>
  <c r="AD86" i="84"/>
  <c r="AD4" i="84"/>
  <c r="AE86" i="84"/>
  <c r="AD5" i="84"/>
  <c r="AD6" i="84"/>
  <c r="AD7" i="84"/>
  <c r="AD8" i="84"/>
  <c r="AD9" i="84"/>
  <c r="AD10" i="84"/>
  <c r="AD11" i="84"/>
  <c r="AD12" i="84"/>
  <c r="AD13" i="84"/>
  <c r="AD14" i="84"/>
  <c r="AD15" i="84"/>
  <c r="AD16" i="84"/>
  <c r="AD17" i="84"/>
  <c r="AD18" i="84"/>
  <c r="AD19" i="84"/>
  <c r="AD20" i="84"/>
  <c r="AD21" i="84"/>
  <c r="AD22" i="84"/>
  <c r="AD23" i="84"/>
  <c r="AD24" i="84"/>
  <c r="AD25" i="84"/>
  <c r="AD26" i="84"/>
  <c r="AD27" i="84"/>
  <c r="AD28" i="84"/>
  <c r="AD29" i="84"/>
  <c r="AD30" i="84"/>
  <c r="AD31" i="84"/>
  <c r="AD32" i="84"/>
  <c r="AD33" i="84"/>
  <c r="AD34" i="84"/>
  <c r="AE38" i="84"/>
  <c r="AC4" i="84"/>
  <c r="AC5" i="84"/>
  <c r="AC6" i="84"/>
  <c r="AC7" i="84"/>
  <c r="AC8" i="84"/>
  <c r="AC9" i="84"/>
  <c r="AC10" i="84"/>
  <c r="AC11" i="84"/>
  <c r="AC12" i="84"/>
  <c r="AC13" i="84"/>
  <c r="AC14" i="84"/>
  <c r="AC15" i="84"/>
  <c r="AC16" i="84"/>
  <c r="AC17" i="84"/>
  <c r="AC18" i="84"/>
  <c r="AC19" i="84"/>
  <c r="AC20" i="84"/>
  <c r="AC21" i="84"/>
  <c r="AC22" i="84"/>
  <c r="AC23" i="84"/>
  <c r="AC24" i="84"/>
  <c r="AC25" i="84"/>
  <c r="AC26" i="84"/>
  <c r="AC27" i="84"/>
  <c r="AC28" i="84"/>
  <c r="AC29" i="84"/>
  <c r="AC30" i="84"/>
  <c r="AC31" i="84"/>
  <c r="AC32" i="84"/>
  <c r="AC33" i="84"/>
  <c r="AC34" i="84"/>
  <c r="AC86" i="84"/>
  <c r="AC42" i="84"/>
  <c r="AG86" i="84"/>
  <c r="AH85" i="84"/>
  <c r="AI85" i="84"/>
  <c r="AI86" i="84"/>
  <c r="AJ86" i="84"/>
  <c r="AN76" i="84"/>
  <c r="AT73" i="84"/>
  <c r="BF80" i="84"/>
  <c r="BG80" i="84"/>
  <c r="BH80" i="84"/>
  <c r="BI80" i="84"/>
  <c r="BJ80" i="84"/>
  <c r="AD53" i="84"/>
  <c r="AD54" i="84"/>
  <c r="E48" i="84"/>
  <c r="E49" i="84"/>
  <c r="E50" i="84"/>
  <c r="F86" i="84"/>
  <c r="F42" i="84"/>
  <c r="G85" i="84"/>
  <c r="G42" i="84"/>
  <c r="I42" i="84"/>
  <c r="L42" i="84"/>
  <c r="P86" i="84"/>
  <c r="P42" i="84"/>
  <c r="Q85" i="84"/>
  <c r="Q42" i="84"/>
  <c r="R85" i="84"/>
  <c r="V42" i="84"/>
  <c r="Z85" i="84"/>
  <c r="AA85" i="84"/>
  <c r="AA42" i="84"/>
  <c r="AB85" i="84"/>
  <c r="AB42" i="84"/>
  <c r="AC85" i="84"/>
  <c r="AE85" i="84"/>
  <c r="AD85" i="84"/>
  <c r="AE42" i="84"/>
  <c r="AG42" i="84"/>
  <c r="AI42" i="84"/>
  <c r="AP86" i="84"/>
  <c r="AP85" i="84"/>
  <c r="AP42" i="84"/>
  <c r="AU50" i="84"/>
  <c r="AQ85" i="84"/>
  <c r="AQ42" i="84"/>
  <c r="AS86" i="84"/>
  <c r="AS85" i="84"/>
  <c r="AS42" i="84"/>
  <c r="AT86" i="84"/>
  <c r="AT85" i="84"/>
  <c r="AT42" i="84"/>
  <c r="AU8" i="84"/>
  <c r="AU9" i="84"/>
  <c r="AU85" i="84"/>
  <c r="AU42" i="84"/>
  <c r="AU10" i="84"/>
  <c r="AU11" i="84"/>
  <c r="AU12" i="84"/>
  <c r="AU13" i="84"/>
  <c r="AU14" i="84"/>
  <c r="AU15" i="84"/>
  <c r="AU16" i="84"/>
  <c r="AU17" i="84"/>
  <c r="AU18" i="84"/>
  <c r="AU19" i="84"/>
  <c r="AU20" i="84"/>
  <c r="AU21" i="84"/>
  <c r="AU22" i="84"/>
  <c r="AU23" i="84"/>
  <c r="AU24" i="84"/>
  <c r="AU25" i="84"/>
  <c r="AU26" i="84"/>
  <c r="AU27" i="84"/>
  <c r="AU28" i="84"/>
  <c r="AU29" i="84"/>
  <c r="AU30" i="84"/>
  <c r="AU31" i="84"/>
  <c r="AU32" i="84"/>
  <c r="AU33" i="84"/>
  <c r="AU34" i="84"/>
  <c r="AU86" i="84"/>
  <c r="AV8" i="84"/>
  <c r="AV9" i="84"/>
  <c r="AV85" i="84"/>
  <c r="AV42" i="84"/>
  <c r="AV10" i="84"/>
  <c r="AV11" i="84"/>
  <c r="AV12" i="84"/>
  <c r="AV13" i="84"/>
  <c r="AV14" i="84"/>
  <c r="AV15" i="84"/>
  <c r="AV16" i="84"/>
  <c r="AV17" i="84"/>
  <c r="AV18" i="84"/>
  <c r="AV19" i="84"/>
  <c r="AV20" i="84"/>
  <c r="AV21" i="84"/>
  <c r="AV22" i="84"/>
  <c r="AV23" i="84"/>
  <c r="AV24" i="84"/>
  <c r="AV25" i="84"/>
  <c r="AV26" i="84"/>
  <c r="AV27" i="84"/>
  <c r="AV28" i="84"/>
  <c r="AV29" i="84"/>
  <c r="AV30" i="84"/>
  <c r="AV31" i="84"/>
  <c r="AV32" i="84"/>
  <c r="AV33" i="84"/>
  <c r="AV34" i="84"/>
  <c r="AV86" i="84"/>
  <c r="AW8" i="84"/>
  <c r="AW9" i="84"/>
  <c r="AW85" i="84"/>
  <c r="AW42" i="84"/>
  <c r="AW10" i="84"/>
  <c r="AW11" i="84"/>
  <c r="AW12" i="84"/>
  <c r="AW13" i="84"/>
  <c r="AW14" i="84"/>
  <c r="AW15" i="84"/>
  <c r="AW16" i="84"/>
  <c r="AW17" i="84"/>
  <c r="AW18" i="84"/>
  <c r="AW19" i="84"/>
  <c r="AW20" i="84"/>
  <c r="AW21" i="84"/>
  <c r="AW22" i="84"/>
  <c r="AW23" i="84"/>
  <c r="AW24" i="84"/>
  <c r="AW25" i="84"/>
  <c r="AW26" i="84"/>
  <c r="AW27" i="84"/>
  <c r="AW28" i="84"/>
  <c r="AW29" i="84"/>
  <c r="AW30" i="84"/>
  <c r="AW31" i="84"/>
  <c r="AW32" i="84"/>
  <c r="AW33" i="84"/>
  <c r="AW34" i="84"/>
  <c r="AW86" i="84"/>
  <c r="AX9" i="84"/>
  <c r="AX11" i="84"/>
  <c r="AX13" i="84"/>
  <c r="AX15" i="84"/>
  <c r="AX17" i="84"/>
  <c r="AX19" i="84"/>
  <c r="AX21" i="84"/>
  <c r="AX23" i="84"/>
  <c r="AX25" i="84"/>
  <c r="AX27" i="84"/>
  <c r="AX29" i="84"/>
  <c r="AX31" i="84"/>
  <c r="AX33" i="84"/>
  <c r="AY8" i="84"/>
  <c r="AY9" i="84"/>
  <c r="AY85" i="84"/>
  <c r="AY42" i="84"/>
  <c r="AY10" i="84"/>
  <c r="AY11" i="84"/>
  <c r="AY12" i="84"/>
  <c r="AY13" i="84"/>
  <c r="AY14" i="84"/>
  <c r="AY15" i="84"/>
  <c r="AY16" i="84"/>
  <c r="AY17" i="84"/>
  <c r="AY18" i="84"/>
  <c r="AY19" i="84"/>
  <c r="AY20" i="84"/>
  <c r="AY21" i="84"/>
  <c r="AY22" i="84"/>
  <c r="AY23" i="84"/>
  <c r="AY24" i="84"/>
  <c r="AY25" i="84"/>
  <c r="AY26" i="84"/>
  <c r="AY27" i="84"/>
  <c r="AY28" i="84"/>
  <c r="AY29" i="84"/>
  <c r="AY30" i="84"/>
  <c r="AY31" i="84"/>
  <c r="AY32" i="84"/>
  <c r="AY33" i="84"/>
  <c r="AY34" i="84"/>
  <c r="AY86" i="84"/>
  <c r="BF82" i="84"/>
  <c r="BG82" i="84"/>
  <c r="BH82" i="84"/>
  <c r="BI82" i="84"/>
  <c r="BJ82" i="84"/>
  <c r="E51" i="84"/>
  <c r="F51" i="84"/>
  <c r="E52" i="84"/>
  <c r="E53" i="84"/>
  <c r="F53" i="84"/>
  <c r="E55" i="84"/>
  <c r="F55" i="84"/>
  <c r="E57" i="84"/>
  <c r="F57" i="84"/>
  <c r="E59" i="84"/>
  <c r="F59" i="84"/>
  <c r="E61" i="84"/>
  <c r="F61" i="84"/>
  <c r="E62" i="84"/>
  <c r="E63" i="84"/>
  <c r="F63" i="84"/>
  <c r="E65" i="84"/>
  <c r="F65" i="84"/>
  <c r="E66" i="84"/>
  <c r="F48" i="84"/>
  <c r="F49" i="84"/>
  <c r="F50" i="84"/>
  <c r="F52" i="84"/>
  <c r="F62" i="84"/>
  <c r="F66" i="84"/>
  <c r="F43" i="84"/>
  <c r="G43" i="84"/>
  <c r="H43" i="84"/>
  <c r="I43" i="84"/>
  <c r="K43" i="84"/>
  <c r="L43" i="84"/>
  <c r="M43" i="84"/>
  <c r="N43" i="84"/>
  <c r="P43" i="84"/>
  <c r="Q43" i="84"/>
  <c r="S43" i="84"/>
  <c r="U43" i="84"/>
  <c r="V43" i="84"/>
  <c r="W43" i="84"/>
  <c r="Z43" i="84"/>
  <c r="AB43" i="84"/>
  <c r="AG43" i="84"/>
  <c r="AH43" i="84"/>
  <c r="AI43" i="84"/>
  <c r="AJ43" i="84"/>
  <c r="AP43" i="84"/>
  <c r="AQ43" i="84"/>
  <c r="AS43" i="84"/>
  <c r="AT43" i="84"/>
  <c r="AU4" i="84"/>
  <c r="AU5" i="84"/>
  <c r="AU6" i="84"/>
  <c r="AU7" i="84"/>
  <c r="AU43" i="84"/>
  <c r="AV4" i="84"/>
  <c r="AV5" i="84"/>
  <c r="AV43" i="84"/>
  <c r="AV6" i="84"/>
  <c r="AV7" i="84"/>
  <c r="AW4" i="84"/>
  <c r="AW5" i="84"/>
  <c r="AW6" i="84"/>
  <c r="AW7" i="84"/>
  <c r="AW43" i="84"/>
  <c r="AX4" i="84"/>
  <c r="AX5" i="84"/>
  <c r="AX6" i="84"/>
  <c r="AX7" i="84"/>
  <c r="BF83" i="84"/>
  <c r="BG83" i="84"/>
  <c r="BH83" i="84"/>
  <c r="BI83" i="84"/>
  <c r="BJ83" i="84"/>
  <c r="E72" i="84"/>
  <c r="E73" i="84"/>
  <c r="F73" i="84"/>
  <c r="E74" i="84"/>
  <c r="E75" i="84"/>
  <c r="F75" i="84"/>
  <c r="E76" i="84"/>
  <c r="E77" i="84"/>
  <c r="F77" i="84"/>
  <c r="E78" i="84"/>
  <c r="E79" i="84"/>
  <c r="F79" i="84"/>
  <c r="E80" i="84"/>
  <c r="F72" i="84"/>
  <c r="E82" i="84"/>
  <c r="F74" i="84"/>
  <c r="F76" i="84"/>
  <c r="F78" i="84"/>
  <c r="F80" i="84"/>
  <c r="AN93" i="84"/>
  <c r="AU51" i="84"/>
  <c r="AU53" i="84"/>
  <c r="AV53" i="84"/>
  <c r="AU54" i="84"/>
  <c r="AU55" i="84"/>
  <c r="AV55" i="84"/>
  <c r="AU56" i="84"/>
  <c r="AU57" i="84"/>
  <c r="AU58" i="84"/>
  <c r="AU59" i="84"/>
  <c r="AV59" i="84"/>
  <c r="AV54" i="84"/>
  <c r="AV56" i="84"/>
  <c r="AV58" i="84"/>
  <c r="AU53" i="78"/>
  <c r="AV53" i="78"/>
  <c r="AU53" i="80"/>
  <c r="AV53" i="80"/>
  <c r="AP86" i="82"/>
  <c r="AP85" i="82"/>
  <c r="AP42" i="82"/>
  <c r="AQ38" i="82"/>
  <c r="AU53" i="82"/>
  <c r="AV53" i="82"/>
  <c r="U59" i="84"/>
  <c r="V59" i="84"/>
  <c r="W59" i="84"/>
  <c r="X59" i="84"/>
  <c r="AB59" i="84"/>
  <c r="AE59" i="84"/>
  <c r="U60" i="84"/>
  <c r="V60" i="84"/>
  <c r="W60" i="84"/>
  <c r="X60" i="84"/>
  <c r="AB60" i="84"/>
  <c r="AE60" i="84"/>
  <c r="U62" i="84"/>
  <c r="V62" i="84"/>
  <c r="W62" i="84"/>
  <c r="X62" i="84"/>
  <c r="AB62" i="84"/>
  <c r="AE62" i="84"/>
  <c r="U63" i="84"/>
  <c r="V63" i="84"/>
  <c r="W63" i="84"/>
  <c r="X63" i="84"/>
  <c r="AB63" i="84"/>
  <c r="AE63" i="84"/>
  <c r="U64" i="84"/>
  <c r="V64" i="84"/>
  <c r="W64" i="84"/>
  <c r="X64" i="84"/>
  <c r="AB64" i="84"/>
  <c r="AE64" i="84"/>
  <c r="U66" i="84"/>
  <c r="V66" i="84"/>
  <c r="W66" i="84"/>
  <c r="X66" i="84"/>
  <c r="AB66" i="84"/>
  <c r="AE66" i="84"/>
  <c r="U67" i="84"/>
  <c r="V67" i="84"/>
  <c r="W67" i="84"/>
  <c r="X67" i="84"/>
  <c r="AB67" i="84"/>
  <c r="AE67" i="84"/>
  <c r="U68" i="84"/>
  <c r="V68" i="84"/>
  <c r="W68" i="84"/>
  <c r="X68" i="84"/>
  <c r="AB68" i="84"/>
  <c r="AE68" i="84"/>
  <c r="U69" i="84"/>
  <c r="V69" i="84"/>
  <c r="W69" i="84"/>
  <c r="X69" i="84"/>
  <c r="AB69" i="84"/>
  <c r="AE69" i="84"/>
  <c r="U70" i="84"/>
  <c r="V70" i="84"/>
  <c r="W70" i="84"/>
  <c r="X70" i="84"/>
  <c r="AB70" i="84"/>
  <c r="AE70" i="84"/>
  <c r="U71" i="84"/>
  <c r="V71" i="84"/>
  <c r="W71" i="84"/>
  <c r="X71" i="84"/>
  <c r="AB71" i="84"/>
  <c r="AE71" i="84"/>
  <c r="X55" i="84"/>
  <c r="U62" i="86"/>
  <c r="V62" i="86"/>
  <c r="W62" i="86"/>
  <c r="X62" i="86"/>
  <c r="U64" i="86"/>
  <c r="V64" i="86"/>
  <c r="W64" i="86"/>
  <c r="X64" i="86"/>
  <c r="U66" i="86"/>
  <c r="V66" i="86"/>
  <c r="W66" i="86"/>
  <c r="X66" i="86"/>
  <c r="U67" i="86"/>
  <c r="V67" i="86"/>
  <c r="W67" i="86"/>
  <c r="X67" i="86"/>
  <c r="U70" i="86"/>
  <c r="V70" i="86"/>
  <c r="W70" i="86"/>
  <c r="X70" i="86"/>
  <c r="U71" i="86"/>
  <c r="V71" i="86"/>
  <c r="W71" i="86"/>
  <c r="X71" i="86"/>
  <c r="AD4" i="87"/>
  <c r="AD5" i="87"/>
  <c r="AD6" i="87"/>
  <c r="AD7" i="87"/>
  <c r="AD8" i="87"/>
  <c r="AD9" i="87"/>
  <c r="AD10" i="87"/>
  <c r="U66" i="87"/>
  <c r="V66" i="87"/>
  <c r="W66" i="87"/>
  <c r="X66" i="87"/>
  <c r="U59" i="89"/>
  <c r="V59" i="89"/>
  <c r="W59" i="89"/>
  <c r="X59" i="89"/>
  <c r="AB59" i="89"/>
  <c r="AP38" i="89"/>
  <c r="AE59" i="89"/>
  <c r="U60" i="89"/>
  <c r="W60" i="89"/>
  <c r="X60" i="89"/>
  <c r="AB60" i="89"/>
  <c r="AE60" i="89"/>
  <c r="U62" i="89"/>
  <c r="V62" i="89"/>
  <c r="W62" i="89"/>
  <c r="X62" i="89"/>
  <c r="AB62" i="89"/>
  <c r="AE62" i="89"/>
  <c r="U63" i="89"/>
  <c r="V63" i="89"/>
  <c r="W63" i="89"/>
  <c r="X63" i="89"/>
  <c r="AB63" i="89"/>
  <c r="AE63" i="89"/>
  <c r="U64" i="89"/>
  <c r="W64" i="89"/>
  <c r="X64" i="89"/>
  <c r="AB64" i="89"/>
  <c r="AE64" i="89"/>
  <c r="U66" i="89"/>
  <c r="V66" i="89"/>
  <c r="W66" i="89"/>
  <c r="X66" i="89"/>
  <c r="AB66" i="89"/>
  <c r="AE66" i="89"/>
  <c r="U67" i="89"/>
  <c r="V67" i="89"/>
  <c r="W67" i="89"/>
  <c r="X67" i="89"/>
  <c r="AB67" i="89"/>
  <c r="AE67" i="89"/>
  <c r="U68" i="89"/>
  <c r="V68" i="89"/>
  <c r="W68" i="89"/>
  <c r="X68" i="89"/>
  <c r="AB68" i="89"/>
  <c r="AE68" i="89"/>
  <c r="U69" i="89"/>
  <c r="V69" i="89"/>
  <c r="W69" i="89"/>
  <c r="X69" i="89"/>
  <c r="AB69" i="89"/>
  <c r="AE69" i="89"/>
  <c r="U70" i="89"/>
  <c r="V70" i="89"/>
  <c r="W70" i="89"/>
  <c r="X70" i="89"/>
  <c r="AB70" i="89"/>
  <c r="AE70" i="89"/>
  <c r="U71" i="89"/>
  <c r="W71" i="89"/>
  <c r="X71" i="89"/>
  <c r="AB71" i="89"/>
  <c r="AE71" i="89"/>
  <c r="U59" i="88"/>
  <c r="V59" i="88"/>
  <c r="W59" i="88"/>
  <c r="X59" i="88"/>
  <c r="AB59" i="88"/>
  <c r="AE59" i="88"/>
  <c r="U60" i="88"/>
  <c r="V60" i="88"/>
  <c r="W60" i="88"/>
  <c r="X60" i="88"/>
  <c r="AB60" i="88"/>
  <c r="AE60" i="88"/>
  <c r="U62" i="88"/>
  <c r="V62" i="88"/>
  <c r="W62" i="88"/>
  <c r="X62" i="88"/>
  <c r="AB62" i="88"/>
  <c r="AE62" i="88"/>
  <c r="U63" i="88"/>
  <c r="V63" i="88"/>
  <c r="W63" i="88"/>
  <c r="X63" i="88"/>
  <c r="AB63" i="88"/>
  <c r="AE63" i="88"/>
  <c r="U64" i="88"/>
  <c r="V64" i="88"/>
  <c r="W64" i="88"/>
  <c r="X64" i="88"/>
  <c r="AB64" i="88"/>
  <c r="AE64" i="88"/>
  <c r="U66" i="88"/>
  <c r="V66" i="88"/>
  <c r="W66" i="88"/>
  <c r="X66" i="88"/>
  <c r="AB66" i="88"/>
  <c r="AE66" i="88"/>
  <c r="U67" i="88"/>
  <c r="V67" i="88"/>
  <c r="W67" i="88"/>
  <c r="X67" i="88"/>
  <c r="AB67" i="88"/>
  <c r="AE67" i="88"/>
  <c r="U68" i="88"/>
  <c r="V68" i="88"/>
  <c r="W68" i="88"/>
  <c r="X68" i="88"/>
  <c r="AB68" i="88"/>
  <c r="AE68" i="88"/>
  <c r="U69" i="88"/>
  <c r="V69" i="88"/>
  <c r="W69" i="88"/>
  <c r="X69" i="88"/>
  <c r="AB69" i="88"/>
  <c r="AE69" i="88"/>
  <c r="U70" i="88"/>
  <c r="V70" i="88"/>
  <c r="W70" i="88"/>
  <c r="X70" i="88"/>
  <c r="AB70" i="88"/>
  <c r="AE70" i="88"/>
  <c r="U71" i="88"/>
  <c r="V71" i="88"/>
  <c r="W71" i="88"/>
  <c r="X71" i="88"/>
  <c r="AB71" i="88"/>
  <c r="AE71" i="88"/>
  <c r="U59" i="91"/>
  <c r="V59" i="91"/>
  <c r="W59" i="91"/>
  <c r="X59" i="91"/>
  <c r="AB59" i="91"/>
  <c r="AE59" i="91"/>
  <c r="U60" i="91"/>
  <c r="W60" i="91"/>
  <c r="X60" i="91"/>
  <c r="AB60" i="91"/>
  <c r="AE60" i="91"/>
  <c r="U62" i="91"/>
  <c r="V62" i="91"/>
  <c r="W62" i="91"/>
  <c r="X62" i="91"/>
  <c r="AB62" i="91"/>
  <c r="AE62" i="91"/>
  <c r="U63" i="91"/>
  <c r="V63" i="91"/>
  <c r="W63" i="91"/>
  <c r="X63" i="91"/>
  <c r="AB63" i="91"/>
  <c r="AE63" i="91"/>
  <c r="U64" i="91"/>
  <c r="W64" i="91"/>
  <c r="X64" i="91"/>
  <c r="AB64" i="91"/>
  <c r="AE64" i="91"/>
  <c r="U66" i="91"/>
  <c r="V66" i="91"/>
  <c r="W66" i="91"/>
  <c r="X66" i="91"/>
  <c r="AB66" i="91"/>
  <c r="AE66" i="91"/>
  <c r="U67" i="91"/>
  <c r="V67" i="91"/>
  <c r="W67" i="91"/>
  <c r="X67" i="91"/>
  <c r="AB67" i="91"/>
  <c r="AE67" i="91"/>
  <c r="U68" i="91"/>
  <c r="V68" i="91"/>
  <c r="W68" i="91"/>
  <c r="X68" i="91"/>
  <c r="AB68" i="91"/>
  <c r="AE68" i="91"/>
  <c r="U69" i="91"/>
  <c r="V69" i="91"/>
  <c r="W69" i="91"/>
  <c r="X69" i="91"/>
  <c r="AB69" i="91"/>
  <c r="AE69" i="91"/>
  <c r="U70" i="91"/>
  <c r="V70" i="91"/>
  <c r="W70" i="91"/>
  <c r="X70" i="91"/>
  <c r="AB70" i="91"/>
  <c r="AE70" i="91"/>
  <c r="U71" i="91"/>
  <c r="W71" i="91"/>
  <c r="X71" i="91"/>
  <c r="AB71" i="91"/>
  <c r="AE71" i="91"/>
  <c r="U59" i="92"/>
  <c r="V59" i="92"/>
  <c r="W59" i="92"/>
  <c r="X59" i="92"/>
  <c r="AB59" i="92"/>
  <c r="AE59" i="92"/>
  <c r="U60" i="92"/>
  <c r="V60" i="92"/>
  <c r="W60" i="92"/>
  <c r="X60" i="92"/>
  <c r="AB60" i="92"/>
  <c r="AE60" i="92"/>
  <c r="U62" i="92"/>
  <c r="V62" i="92"/>
  <c r="W62" i="92"/>
  <c r="X62" i="92"/>
  <c r="AB62" i="92"/>
  <c r="AE62" i="92"/>
  <c r="U63" i="92"/>
  <c r="V63" i="92"/>
  <c r="W63" i="92"/>
  <c r="X63" i="92"/>
  <c r="AB63" i="92"/>
  <c r="AE63" i="92"/>
  <c r="U64" i="92"/>
  <c r="V64" i="92"/>
  <c r="W64" i="92"/>
  <c r="X64" i="92"/>
  <c r="AB64" i="92"/>
  <c r="AE64" i="92"/>
  <c r="U66" i="92"/>
  <c r="V66" i="92"/>
  <c r="W66" i="92"/>
  <c r="X66" i="92"/>
  <c r="AB66" i="92"/>
  <c r="AE66" i="92"/>
  <c r="U67" i="92"/>
  <c r="V67" i="92"/>
  <c r="W67" i="92"/>
  <c r="X67" i="92"/>
  <c r="AB67" i="92"/>
  <c r="AE67" i="92"/>
  <c r="U68" i="92"/>
  <c r="V68" i="92"/>
  <c r="W68" i="92"/>
  <c r="X68" i="92"/>
  <c r="AB68" i="92"/>
  <c r="AE68" i="92"/>
  <c r="U69" i="92"/>
  <c r="V69" i="92"/>
  <c r="W69" i="92"/>
  <c r="X69" i="92"/>
  <c r="AB69" i="92"/>
  <c r="AE69" i="92"/>
  <c r="U70" i="92"/>
  <c r="V70" i="92"/>
  <c r="W70" i="92"/>
  <c r="X70" i="92"/>
  <c r="AB70" i="92"/>
  <c r="AE70" i="92"/>
  <c r="U71" i="92"/>
  <c r="V71" i="92"/>
  <c r="W71" i="92"/>
  <c r="X71" i="92"/>
  <c r="AB71" i="92"/>
  <c r="AE71" i="92"/>
  <c r="U59" i="93"/>
  <c r="V59" i="93"/>
  <c r="W59" i="93"/>
  <c r="X59" i="93"/>
  <c r="AB59" i="93"/>
  <c r="AE59" i="93"/>
  <c r="U60" i="93"/>
  <c r="V60" i="93"/>
  <c r="W60" i="93"/>
  <c r="X60" i="93"/>
  <c r="AB60" i="93"/>
  <c r="AE60" i="93"/>
  <c r="U62" i="93"/>
  <c r="V62" i="93"/>
  <c r="W62" i="93"/>
  <c r="X62" i="93"/>
  <c r="AB62" i="93"/>
  <c r="AE62" i="93"/>
  <c r="U63" i="93"/>
  <c r="V63" i="93"/>
  <c r="W63" i="93"/>
  <c r="X63" i="93"/>
  <c r="AB63" i="93"/>
  <c r="AE63" i="93"/>
  <c r="U64" i="93"/>
  <c r="V64" i="93"/>
  <c r="W64" i="93"/>
  <c r="X64" i="93"/>
  <c r="AB64" i="93"/>
  <c r="AE64" i="93"/>
  <c r="U66" i="93"/>
  <c r="V66" i="93"/>
  <c r="W66" i="93"/>
  <c r="X66" i="93"/>
  <c r="AB66" i="93"/>
  <c r="AE66" i="93"/>
  <c r="U67" i="93"/>
  <c r="V67" i="93"/>
  <c r="W67" i="93"/>
  <c r="X67" i="93"/>
  <c r="AB67" i="93"/>
  <c r="AE67" i="93"/>
  <c r="U68" i="93"/>
  <c r="V68" i="93"/>
  <c r="W68" i="93"/>
  <c r="X68" i="93"/>
  <c r="AB68" i="93"/>
  <c r="AE68" i="93"/>
  <c r="U69" i="93"/>
  <c r="V69" i="93"/>
  <c r="W69" i="93"/>
  <c r="X69" i="93"/>
  <c r="AB69" i="93"/>
  <c r="AE69" i="93"/>
  <c r="U70" i="93"/>
  <c r="V70" i="93"/>
  <c r="W70" i="93"/>
  <c r="X70" i="93"/>
  <c r="AB70" i="93"/>
  <c r="AE70" i="93"/>
  <c r="U71" i="93"/>
  <c r="V71" i="93"/>
  <c r="W71" i="93"/>
  <c r="X71" i="93"/>
  <c r="AB71" i="93"/>
  <c r="AE71" i="93"/>
  <c r="U59" i="76"/>
  <c r="V59" i="76"/>
  <c r="W59" i="76"/>
  <c r="X59" i="76"/>
  <c r="AB59" i="76"/>
  <c r="AE59" i="76"/>
  <c r="U60" i="76"/>
  <c r="V60" i="76"/>
  <c r="W60" i="76"/>
  <c r="X60" i="76"/>
  <c r="AB60" i="76"/>
  <c r="AE60" i="76"/>
  <c r="U62" i="76"/>
  <c r="V62" i="76"/>
  <c r="W62" i="76"/>
  <c r="X62" i="76"/>
  <c r="AB62" i="76"/>
  <c r="AE62" i="76"/>
  <c r="U63" i="76"/>
  <c r="V63" i="76"/>
  <c r="W63" i="76"/>
  <c r="X63" i="76"/>
  <c r="AB63" i="76"/>
  <c r="AE63" i="76"/>
  <c r="U64" i="76"/>
  <c r="V64" i="76"/>
  <c r="W64" i="76"/>
  <c r="X64" i="76"/>
  <c r="AB64" i="76"/>
  <c r="AE64" i="76"/>
  <c r="U66" i="76"/>
  <c r="V66" i="76"/>
  <c r="W66" i="76"/>
  <c r="X66" i="76"/>
  <c r="AB66" i="76"/>
  <c r="AE66" i="76"/>
  <c r="U67" i="76"/>
  <c r="V67" i="76"/>
  <c r="W67" i="76"/>
  <c r="X67" i="76"/>
  <c r="AB67" i="76"/>
  <c r="AE67" i="76"/>
  <c r="U68" i="76"/>
  <c r="V68" i="76"/>
  <c r="W68" i="76"/>
  <c r="X68" i="76"/>
  <c r="AB68" i="76"/>
  <c r="AE68" i="76"/>
  <c r="U69" i="76"/>
  <c r="V69" i="76"/>
  <c r="W69" i="76"/>
  <c r="X69" i="76"/>
  <c r="AB69" i="76"/>
  <c r="AE69" i="76"/>
  <c r="U70" i="76"/>
  <c r="V70" i="76"/>
  <c r="W70" i="76"/>
  <c r="X70" i="76"/>
  <c r="AB70" i="76"/>
  <c r="AE70" i="76"/>
  <c r="U71" i="76"/>
  <c r="V71" i="76"/>
  <c r="W71" i="76"/>
  <c r="X71" i="76"/>
  <c r="AB71" i="76"/>
  <c r="AE71" i="76"/>
  <c r="AE59" i="78"/>
  <c r="AE60" i="78"/>
  <c r="AE62" i="78"/>
  <c r="AE63" i="78"/>
  <c r="AE64" i="78"/>
  <c r="AE66" i="78"/>
  <c r="AE67" i="78"/>
  <c r="AE68" i="78"/>
  <c r="AE69" i="78"/>
  <c r="AE70" i="78"/>
  <c r="AE71" i="78"/>
  <c r="AE59" i="80"/>
  <c r="AE60" i="80"/>
  <c r="AE62" i="80"/>
  <c r="AE63" i="80"/>
  <c r="AE64" i="80"/>
  <c r="AE66" i="80"/>
  <c r="AE67" i="80"/>
  <c r="AE68" i="80"/>
  <c r="AE69" i="80"/>
  <c r="AE70" i="80"/>
  <c r="AE71" i="80"/>
  <c r="AE59" i="82"/>
  <c r="AE60" i="82"/>
  <c r="AE62" i="82"/>
  <c r="AE63" i="82"/>
  <c r="AE64" i="82"/>
  <c r="AE66" i="82"/>
  <c r="AE67" i="82"/>
  <c r="AE68" i="82"/>
  <c r="W69" i="82"/>
  <c r="AE69" i="82"/>
  <c r="AE70" i="82"/>
  <c r="AE71" i="82"/>
  <c r="E49" i="89"/>
  <c r="F49" i="89"/>
  <c r="E51" i="89"/>
  <c r="F51" i="89"/>
  <c r="E52" i="89"/>
  <c r="F52" i="89"/>
  <c r="E53" i="89"/>
  <c r="F53" i="89"/>
  <c r="E58" i="89"/>
  <c r="F58" i="89"/>
  <c r="E60" i="89"/>
  <c r="F60" i="89"/>
  <c r="E61" i="89"/>
  <c r="F61" i="89"/>
  <c r="E62" i="89"/>
  <c r="F62" i="89"/>
  <c r="E64" i="89"/>
  <c r="F64" i="89"/>
  <c r="E65" i="89"/>
  <c r="F65" i="89"/>
  <c r="E66" i="89"/>
  <c r="F66" i="89"/>
  <c r="E73" i="89"/>
  <c r="F73" i="89"/>
  <c r="E74" i="89"/>
  <c r="F74" i="89"/>
  <c r="E75" i="89"/>
  <c r="F75" i="89"/>
  <c r="E76" i="89"/>
  <c r="F76" i="89"/>
  <c r="E77" i="89"/>
  <c r="F77" i="89"/>
  <c r="E78" i="89"/>
  <c r="F78" i="89"/>
  <c r="E79" i="89"/>
  <c r="F79" i="89"/>
  <c r="E80" i="89"/>
  <c r="F80" i="89"/>
  <c r="AP86" i="89"/>
  <c r="AP85" i="89"/>
  <c r="AP42" i="89"/>
  <c r="AU53" i="89"/>
  <c r="AV53" i="89"/>
  <c r="AU54" i="89"/>
  <c r="AV54" i="89"/>
  <c r="AU55" i="89"/>
  <c r="AV55" i="89"/>
  <c r="AU56" i="89"/>
  <c r="AV56" i="89"/>
  <c r="U86" i="89"/>
  <c r="U85" i="89"/>
  <c r="U42" i="89"/>
  <c r="AU60" i="89"/>
  <c r="AV60" i="89"/>
  <c r="E48" i="88"/>
  <c r="F48" i="88"/>
  <c r="E49" i="88"/>
  <c r="F49" i="88"/>
  <c r="E50" i="88"/>
  <c r="F50" i="88"/>
  <c r="E51" i="88"/>
  <c r="F51" i="88"/>
  <c r="E52" i="88"/>
  <c r="F52" i="88"/>
  <c r="E53" i="88"/>
  <c r="F53" i="88"/>
  <c r="E54" i="88"/>
  <c r="F54" i="88"/>
  <c r="E55" i="88"/>
  <c r="F55" i="88"/>
  <c r="E56" i="88"/>
  <c r="F56" i="88"/>
  <c r="E57" i="88"/>
  <c r="F57" i="88"/>
  <c r="E58" i="88"/>
  <c r="F58" i="88"/>
  <c r="E59" i="88"/>
  <c r="F59" i="88"/>
  <c r="E60" i="88"/>
  <c r="F60" i="88"/>
  <c r="E61" i="88"/>
  <c r="F61" i="88"/>
  <c r="E62" i="88"/>
  <c r="F62" i="88"/>
  <c r="E63" i="88"/>
  <c r="F63" i="88"/>
  <c r="E64" i="88"/>
  <c r="F64" i="88"/>
  <c r="E65" i="88"/>
  <c r="F65" i="88"/>
  <c r="E66" i="88"/>
  <c r="F66" i="88"/>
  <c r="E72" i="88"/>
  <c r="F72" i="88"/>
  <c r="E73" i="88"/>
  <c r="F73" i="88"/>
  <c r="E74" i="88"/>
  <c r="F74" i="88"/>
  <c r="E75" i="88"/>
  <c r="F75" i="88"/>
  <c r="E76" i="88"/>
  <c r="F76" i="88"/>
  <c r="E77" i="88"/>
  <c r="F77" i="88"/>
  <c r="E78" i="88"/>
  <c r="F78" i="88"/>
  <c r="E79" i="88"/>
  <c r="F79" i="88"/>
  <c r="E80" i="88"/>
  <c r="F80" i="88"/>
  <c r="AP86" i="88"/>
  <c r="AP85" i="88"/>
  <c r="AP42" i="88"/>
  <c r="AU50" i="88"/>
  <c r="AV50" i="88"/>
  <c r="AQ38" i="88"/>
  <c r="AU53" i="88"/>
  <c r="AV53" i="88"/>
  <c r="AU54" i="88"/>
  <c r="AV54" i="88"/>
  <c r="AU55" i="88"/>
  <c r="AV55" i="88"/>
  <c r="AU56" i="88"/>
  <c r="AV56" i="88"/>
  <c r="AU57" i="88"/>
  <c r="AU58" i="88"/>
  <c r="AV58" i="88"/>
  <c r="AU59" i="88"/>
  <c r="AV59" i="88"/>
  <c r="U86" i="88"/>
  <c r="U85" i="88"/>
  <c r="U42" i="88"/>
  <c r="AU60" i="88"/>
  <c r="AV60" i="88"/>
  <c r="E49" i="91"/>
  <c r="F49" i="91"/>
  <c r="E51" i="91"/>
  <c r="F51" i="91"/>
  <c r="E52" i="91"/>
  <c r="F52" i="91"/>
  <c r="E53" i="91"/>
  <c r="F53" i="91"/>
  <c r="E58" i="91"/>
  <c r="F58" i="91"/>
  <c r="E60" i="91"/>
  <c r="F60" i="91"/>
  <c r="E61" i="91"/>
  <c r="F61" i="91"/>
  <c r="E62" i="91"/>
  <c r="F62" i="91"/>
  <c r="E64" i="91"/>
  <c r="F64" i="91"/>
  <c r="E65" i="91"/>
  <c r="F65" i="91"/>
  <c r="E66" i="91"/>
  <c r="F66" i="91"/>
  <c r="E73" i="91"/>
  <c r="F73" i="91"/>
  <c r="E74" i="91"/>
  <c r="F74" i="91"/>
  <c r="E75" i="91"/>
  <c r="F75" i="91"/>
  <c r="E76" i="91"/>
  <c r="F76" i="91"/>
  <c r="E77" i="91"/>
  <c r="F77" i="91"/>
  <c r="E78" i="91"/>
  <c r="F78" i="91"/>
  <c r="E79" i="91"/>
  <c r="F79" i="91"/>
  <c r="E80" i="91"/>
  <c r="F80" i="91"/>
  <c r="AP86" i="91"/>
  <c r="AP85" i="91"/>
  <c r="AP42" i="91"/>
  <c r="AU50" i="91"/>
  <c r="AV50" i="91"/>
  <c r="AQ38" i="91"/>
  <c r="AU53" i="91"/>
  <c r="AV53" i="91"/>
  <c r="AU54" i="91"/>
  <c r="AV54" i="91"/>
  <c r="AU55" i="91"/>
  <c r="AV55" i="91"/>
  <c r="AU56" i="91"/>
  <c r="AV56" i="91"/>
  <c r="U86" i="91"/>
  <c r="U85" i="91"/>
  <c r="U42" i="91"/>
  <c r="AU60" i="91"/>
  <c r="AV60" i="91"/>
  <c r="E48" i="92"/>
  <c r="F48" i="92"/>
  <c r="E49" i="92"/>
  <c r="F49" i="92"/>
  <c r="E50" i="92"/>
  <c r="F50" i="92"/>
  <c r="E51" i="92"/>
  <c r="F51" i="92"/>
  <c r="E52" i="92"/>
  <c r="F52" i="92"/>
  <c r="E53" i="92"/>
  <c r="F53" i="92"/>
  <c r="E54" i="92"/>
  <c r="F54" i="92"/>
  <c r="E55" i="92"/>
  <c r="F55" i="92"/>
  <c r="E56" i="92"/>
  <c r="F56" i="92"/>
  <c r="E57" i="92"/>
  <c r="F57" i="92"/>
  <c r="E58" i="92"/>
  <c r="F58" i="92"/>
  <c r="E59" i="92"/>
  <c r="F59" i="92"/>
  <c r="E60" i="92"/>
  <c r="F60" i="92"/>
  <c r="E61" i="92"/>
  <c r="F61" i="92"/>
  <c r="E62" i="92"/>
  <c r="F62" i="92"/>
  <c r="E63" i="92"/>
  <c r="F63" i="92"/>
  <c r="E64" i="92"/>
  <c r="F64" i="92"/>
  <c r="E65" i="92"/>
  <c r="F65" i="92"/>
  <c r="E66" i="92"/>
  <c r="F66" i="92"/>
  <c r="E72" i="92"/>
  <c r="F72" i="92"/>
  <c r="E73" i="92"/>
  <c r="F73" i="92"/>
  <c r="E74" i="92"/>
  <c r="F74" i="92"/>
  <c r="E75" i="92"/>
  <c r="F75" i="92"/>
  <c r="E76" i="92"/>
  <c r="F76" i="92"/>
  <c r="E77" i="92"/>
  <c r="F77" i="92"/>
  <c r="E78" i="92"/>
  <c r="F78" i="92"/>
  <c r="E79" i="92"/>
  <c r="F79" i="92"/>
  <c r="E80" i="92"/>
  <c r="F80" i="92"/>
  <c r="AU50" i="92"/>
  <c r="AV50" i="92"/>
  <c r="AU51" i="92"/>
  <c r="AV51" i="92"/>
  <c r="AU52" i="92"/>
  <c r="AV52" i="92"/>
  <c r="AU53" i="92"/>
  <c r="AV53" i="92"/>
  <c r="AU54" i="92"/>
  <c r="AV54" i="92"/>
  <c r="AU55" i="92"/>
  <c r="AV55" i="92"/>
  <c r="AU56" i="92"/>
  <c r="AV56" i="92"/>
  <c r="AU57" i="92"/>
  <c r="AV57" i="92"/>
  <c r="AU58" i="92"/>
  <c r="AV58" i="92"/>
  <c r="AU59" i="92"/>
  <c r="AV59" i="92"/>
  <c r="AU60" i="92"/>
  <c r="AV60" i="92"/>
  <c r="E48" i="93"/>
  <c r="F48" i="93"/>
  <c r="E49" i="93"/>
  <c r="F49" i="93"/>
  <c r="E50" i="93"/>
  <c r="F50" i="93"/>
  <c r="E51" i="93"/>
  <c r="F51" i="93"/>
  <c r="E52" i="93"/>
  <c r="F52" i="93"/>
  <c r="E53" i="93"/>
  <c r="F53" i="93"/>
  <c r="E54" i="93"/>
  <c r="F54" i="93"/>
  <c r="E55" i="93"/>
  <c r="F55" i="93"/>
  <c r="E56" i="93"/>
  <c r="F56" i="93"/>
  <c r="E57" i="93"/>
  <c r="F57" i="93"/>
  <c r="E58" i="93"/>
  <c r="F58" i="93"/>
  <c r="E59" i="93"/>
  <c r="F59" i="93"/>
  <c r="E60" i="93"/>
  <c r="F60" i="93"/>
  <c r="E61" i="93"/>
  <c r="F61" i="93"/>
  <c r="E62" i="93"/>
  <c r="F62" i="93"/>
  <c r="E63" i="93"/>
  <c r="F63" i="93"/>
  <c r="E64" i="93"/>
  <c r="F64" i="93"/>
  <c r="E65" i="93"/>
  <c r="F65" i="93"/>
  <c r="E66" i="93"/>
  <c r="F66" i="93"/>
  <c r="E72" i="93"/>
  <c r="F72" i="93"/>
  <c r="E73" i="93"/>
  <c r="F73" i="93"/>
  <c r="E74" i="93"/>
  <c r="F74" i="93"/>
  <c r="E75" i="93"/>
  <c r="F75" i="93"/>
  <c r="E76" i="93"/>
  <c r="F76" i="93"/>
  <c r="E77" i="93"/>
  <c r="F77" i="93"/>
  <c r="E78" i="93"/>
  <c r="F78" i="93"/>
  <c r="E79" i="93"/>
  <c r="F79" i="93"/>
  <c r="E80" i="93"/>
  <c r="F80" i="93"/>
  <c r="AP86" i="93"/>
  <c r="AP85" i="93"/>
  <c r="AP42" i="93"/>
  <c r="AQ38" i="93"/>
  <c r="AV58" i="93"/>
  <c r="U86" i="93"/>
  <c r="U85" i="93"/>
  <c r="U42" i="93"/>
  <c r="E48" i="76"/>
  <c r="F48" i="76"/>
  <c r="E49" i="76"/>
  <c r="F49" i="76"/>
  <c r="E50" i="76"/>
  <c r="F50" i="76"/>
  <c r="E51" i="76"/>
  <c r="F51" i="76"/>
  <c r="E52" i="76"/>
  <c r="F52" i="76"/>
  <c r="E53" i="76"/>
  <c r="F53" i="76"/>
  <c r="E54" i="76"/>
  <c r="F54" i="76"/>
  <c r="E55" i="76"/>
  <c r="F55" i="76"/>
  <c r="E56" i="76"/>
  <c r="F56" i="76"/>
  <c r="E57" i="76"/>
  <c r="F57" i="76"/>
  <c r="E58" i="76"/>
  <c r="F58" i="76"/>
  <c r="E59" i="76"/>
  <c r="F59" i="76"/>
  <c r="E60" i="76"/>
  <c r="F60" i="76"/>
  <c r="E61" i="76"/>
  <c r="F61" i="76"/>
  <c r="E62" i="76"/>
  <c r="F62" i="76"/>
  <c r="E63" i="76"/>
  <c r="F63" i="76"/>
  <c r="E64" i="76"/>
  <c r="F64" i="76"/>
  <c r="E65" i="76"/>
  <c r="F65" i="76"/>
  <c r="E66" i="76"/>
  <c r="F66" i="76"/>
  <c r="E72" i="76"/>
  <c r="F72" i="76"/>
  <c r="E73" i="76"/>
  <c r="F73" i="76"/>
  <c r="E74" i="76"/>
  <c r="F74" i="76"/>
  <c r="E75" i="76"/>
  <c r="F75" i="76"/>
  <c r="E76" i="76"/>
  <c r="F76" i="76"/>
  <c r="E77" i="76"/>
  <c r="F77" i="76"/>
  <c r="E78" i="76"/>
  <c r="F78" i="76"/>
  <c r="E79" i="76"/>
  <c r="F79" i="76"/>
  <c r="E80" i="76"/>
  <c r="F80" i="76"/>
  <c r="AV50" i="76"/>
  <c r="AV51" i="76"/>
  <c r="AV52" i="76"/>
  <c r="AV53" i="76"/>
  <c r="AV54" i="76"/>
  <c r="AV55" i="76"/>
  <c r="AV56" i="76"/>
  <c r="AV57" i="76"/>
  <c r="AV60" i="76"/>
  <c r="BB11" i="89"/>
  <c r="BA11" i="89"/>
  <c r="BD11" i="89"/>
  <c r="BB11" i="88"/>
  <c r="BC11" i="88"/>
  <c r="BA56" i="88"/>
  <c r="BB11" i="91"/>
  <c r="BB11" i="92"/>
  <c r="BB11" i="93"/>
  <c r="BA11" i="93"/>
  <c r="BD11" i="93"/>
  <c r="BB11" i="76"/>
  <c r="BC11" i="76"/>
  <c r="BA11" i="76"/>
  <c r="BD11" i="76"/>
  <c r="K82" i="86"/>
  <c r="BD50" i="87"/>
  <c r="BD54" i="87"/>
  <c r="BD52" i="89"/>
  <c r="BD56" i="89"/>
  <c r="BD60" i="89"/>
  <c r="BD64" i="89"/>
  <c r="BD68" i="89"/>
  <c r="BD72" i="89"/>
  <c r="BD74" i="89"/>
  <c r="BD76" i="89"/>
  <c r="BD78" i="89"/>
  <c r="BD79" i="89"/>
  <c r="BD52" i="88"/>
  <c r="BD56" i="88"/>
  <c r="BD60" i="88"/>
  <c r="BD64" i="88"/>
  <c r="BD68" i="88"/>
  <c r="BD72" i="88"/>
  <c r="BD74" i="88"/>
  <c r="BD76" i="88"/>
  <c r="BD78" i="88"/>
  <c r="BD50" i="91"/>
  <c r="BD54" i="91"/>
  <c r="BD58" i="91"/>
  <c r="BD62" i="91"/>
  <c r="BD66" i="91"/>
  <c r="BD70" i="91"/>
  <c r="BD72" i="91"/>
  <c r="BD74" i="91"/>
  <c r="BD76" i="91"/>
  <c r="BD78" i="91"/>
  <c r="BD79" i="91"/>
  <c r="BD50" i="92"/>
  <c r="BD54" i="92"/>
  <c r="BD58" i="92"/>
  <c r="BD62" i="92"/>
  <c r="BD66" i="92"/>
  <c r="BD70" i="92"/>
  <c r="BD72" i="92"/>
  <c r="BD74" i="92"/>
  <c r="BD76" i="92"/>
  <c r="BD78" i="92"/>
  <c r="BD52" i="93"/>
  <c r="BD56" i="93"/>
  <c r="BD60" i="93"/>
  <c r="BD64" i="93"/>
  <c r="BD68" i="93"/>
  <c r="BD72" i="93"/>
  <c r="BD74" i="93"/>
  <c r="BD76" i="93"/>
  <c r="BD78" i="93"/>
  <c r="BD50" i="76"/>
  <c r="BD54" i="76"/>
  <c r="BD58" i="76"/>
  <c r="BD62" i="76"/>
  <c r="BD66" i="76"/>
  <c r="BD70" i="76"/>
  <c r="BD72" i="76"/>
  <c r="BD74" i="76"/>
  <c r="BD78" i="76"/>
  <c r="BD79" i="76"/>
  <c r="BD50" i="78"/>
  <c r="BD51" i="78"/>
  <c r="BD52" i="78"/>
  <c r="BD53" i="78"/>
  <c r="BD54" i="78"/>
  <c r="BD55" i="78"/>
  <c r="BD56" i="78"/>
  <c r="BD57" i="78"/>
  <c r="BD58" i="78"/>
  <c r="BD59" i="78"/>
  <c r="BD60" i="78"/>
  <c r="BD61" i="78"/>
  <c r="BD62" i="78"/>
  <c r="BD63" i="78"/>
  <c r="BD64" i="78"/>
  <c r="BD65" i="78"/>
  <c r="BD66" i="78"/>
  <c r="BD67" i="78"/>
  <c r="BD68" i="78"/>
  <c r="BD69" i="78"/>
  <c r="BD70" i="78"/>
  <c r="BD71" i="78"/>
  <c r="BD72" i="78"/>
  <c r="BD73" i="78"/>
  <c r="BD74" i="78"/>
  <c r="BD75" i="78"/>
  <c r="BD76" i="78"/>
  <c r="BD77" i="78"/>
  <c r="BD78" i="78"/>
  <c r="BD79" i="78"/>
  <c r="BD50" i="80"/>
  <c r="BD51" i="80"/>
  <c r="BD52" i="80"/>
  <c r="BD53" i="80"/>
  <c r="BD54" i="80"/>
  <c r="BD55" i="80"/>
  <c r="BD56" i="80"/>
  <c r="BD57" i="80"/>
  <c r="BD58" i="80"/>
  <c r="BD59" i="80"/>
  <c r="BD60" i="80"/>
  <c r="BD61" i="80"/>
  <c r="BD62" i="80"/>
  <c r="BD63" i="80"/>
  <c r="BD64" i="80"/>
  <c r="BD65" i="80"/>
  <c r="BD66" i="80"/>
  <c r="BD67" i="80"/>
  <c r="BD68" i="80"/>
  <c r="BD69" i="80"/>
  <c r="BD70" i="80"/>
  <c r="BD71" i="80"/>
  <c r="BD72" i="80"/>
  <c r="BD73" i="80"/>
  <c r="BD74" i="80"/>
  <c r="BD75" i="80"/>
  <c r="BD76" i="80"/>
  <c r="BD77" i="80"/>
  <c r="BD78" i="80"/>
  <c r="BD79" i="80"/>
  <c r="BD50" i="82"/>
  <c r="BD51" i="82"/>
  <c r="BD52" i="82"/>
  <c r="BD53" i="82"/>
  <c r="BD54" i="82"/>
  <c r="BD55" i="82"/>
  <c r="BD56" i="82"/>
  <c r="BD57" i="82"/>
  <c r="BD58" i="82"/>
  <c r="BD59" i="82"/>
  <c r="BD60" i="82"/>
  <c r="BD61" i="82"/>
  <c r="BD62" i="82"/>
  <c r="BD63" i="82"/>
  <c r="BD64" i="82"/>
  <c r="BD65" i="82"/>
  <c r="BD66" i="82"/>
  <c r="BD67" i="82"/>
  <c r="BD68" i="82"/>
  <c r="BD69" i="82"/>
  <c r="BD70" i="82"/>
  <c r="BD71" i="82"/>
  <c r="BD72" i="82"/>
  <c r="BD73" i="82"/>
  <c r="BD74" i="82"/>
  <c r="BD75" i="82"/>
  <c r="BD76" i="82"/>
  <c r="BD77" i="82"/>
  <c r="BD78" i="82"/>
  <c r="BD79" i="82"/>
  <c r="BD79" i="84"/>
  <c r="BD49" i="89"/>
  <c r="BD49" i="91"/>
  <c r="BD49" i="93"/>
  <c r="BD49" i="78"/>
  <c r="BD49" i="80"/>
  <c r="BD49" i="82"/>
  <c r="AG115" i="89"/>
  <c r="AG116" i="89"/>
  <c r="AG117" i="89"/>
  <c r="AG118" i="89"/>
  <c r="AG119" i="89"/>
  <c r="AG120" i="89"/>
  <c r="BJ34" i="89"/>
  <c r="AG115" i="88"/>
  <c r="AG116" i="88"/>
  <c r="AG117" i="88"/>
  <c r="AG118" i="88"/>
  <c r="AG119" i="88"/>
  <c r="AG120" i="88"/>
  <c r="AG121" i="88"/>
  <c r="AG115" i="91"/>
  <c r="AG116" i="91"/>
  <c r="AG117" i="91"/>
  <c r="AG118" i="91"/>
  <c r="AG119" i="91"/>
  <c r="AG120" i="91"/>
  <c r="BJ34" i="91"/>
  <c r="AG115" i="92"/>
  <c r="AG116" i="92"/>
  <c r="AG117" i="92"/>
  <c r="AG118" i="92"/>
  <c r="AG119" i="92"/>
  <c r="AG120" i="92"/>
  <c r="AG121" i="92"/>
  <c r="AG115" i="93"/>
  <c r="AG116" i="93"/>
  <c r="AG117" i="93"/>
  <c r="AG118" i="93"/>
  <c r="AG119" i="93"/>
  <c r="AG120" i="93"/>
  <c r="AG121" i="93"/>
  <c r="AG115" i="76"/>
  <c r="AG116" i="76"/>
  <c r="AG117" i="76"/>
  <c r="AG118" i="76"/>
  <c r="AG119" i="76"/>
  <c r="AG120" i="76"/>
  <c r="BJ34" i="76"/>
  <c r="AG115" i="78"/>
  <c r="AG116" i="78"/>
  <c r="AG117" i="78"/>
  <c r="AG118" i="78"/>
  <c r="AG119" i="78"/>
  <c r="AG120" i="78"/>
  <c r="AG121" i="78"/>
  <c r="AG115" i="80"/>
  <c r="AG116" i="80"/>
  <c r="AG117" i="80"/>
  <c r="AG118" i="80"/>
  <c r="AG119" i="80"/>
  <c r="AG120" i="80"/>
  <c r="AG115" i="82"/>
  <c r="AG116" i="82"/>
  <c r="AG117" i="82"/>
  <c r="AG118" i="82"/>
  <c r="AG119" i="82"/>
  <c r="AG120" i="82"/>
  <c r="AG121" i="82"/>
  <c r="BH30" i="89"/>
  <c r="BH32" i="89"/>
  <c r="BH34" i="89"/>
  <c r="BH30" i="88"/>
  <c r="BH32" i="88"/>
  <c r="BH34" i="88"/>
  <c r="BH30" i="91"/>
  <c r="BH32" i="91"/>
  <c r="BH34" i="91"/>
  <c r="BH30" i="92"/>
  <c r="BH32" i="92"/>
  <c r="BH34" i="92"/>
  <c r="BH30" i="93"/>
  <c r="BH32" i="93"/>
  <c r="BH34" i="93"/>
  <c r="BH30" i="76"/>
  <c r="BH32" i="76"/>
  <c r="BH34" i="76"/>
  <c r="BH29" i="78"/>
  <c r="BH30" i="78"/>
  <c r="BH31" i="78"/>
  <c r="BH32" i="78"/>
  <c r="BH33" i="78"/>
  <c r="BH34" i="78"/>
  <c r="BH29" i="80"/>
  <c r="BH30" i="80"/>
  <c r="BH31" i="80"/>
  <c r="BH32" i="80"/>
  <c r="BH33" i="80"/>
  <c r="BH34" i="80"/>
  <c r="BH29" i="82"/>
  <c r="BH30" i="82"/>
  <c r="BH31" i="82"/>
  <c r="BH32" i="82"/>
  <c r="BH33" i="82"/>
  <c r="BH34" i="82"/>
  <c r="BH22" i="89"/>
  <c r="BH24" i="89"/>
  <c r="BH26" i="89"/>
  <c r="BH28" i="89"/>
  <c r="BH22" i="88"/>
  <c r="BH24" i="88"/>
  <c r="BH26" i="88"/>
  <c r="BH28" i="88"/>
  <c r="BH22" i="91"/>
  <c r="BH26" i="91"/>
  <c r="BH28" i="91"/>
  <c r="BH22" i="92"/>
  <c r="BH26" i="92"/>
  <c r="BH28" i="92"/>
  <c r="BH22" i="93"/>
  <c r="BH26" i="93"/>
  <c r="BH28" i="93"/>
  <c r="BH22" i="76"/>
  <c r="BH26" i="76"/>
  <c r="BH28" i="76"/>
  <c r="BH21" i="78"/>
  <c r="BH22" i="78"/>
  <c r="BH23" i="78"/>
  <c r="BH24" i="78"/>
  <c r="BH25" i="78"/>
  <c r="BH26" i="78"/>
  <c r="BH27" i="78"/>
  <c r="BH28" i="78"/>
  <c r="BH21" i="80"/>
  <c r="BH22" i="80"/>
  <c r="BH23" i="80"/>
  <c r="BH24" i="80"/>
  <c r="BH25" i="80"/>
  <c r="BH26" i="80"/>
  <c r="BH27" i="80"/>
  <c r="BH28" i="80"/>
  <c r="BH21" i="82"/>
  <c r="BH22" i="82"/>
  <c r="BH23" i="82"/>
  <c r="BH24" i="82"/>
  <c r="BH25" i="82"/>
  <c r="BH26" i="82"/>
  <c r="BH27" i="82"/>
  <c r="BH28" i="82"/>
  <c r="BH10" i="89"/>
  <c r="BH14" i="89"/>
  <c r="BH18" i="89"/>
  <c r="BH20" i="89"/>
  <c r="BH11" i="88"/>
  <c r="BH15" i="88"/>
  <c r="BH17" i="88"/>
  <c r="BH19" i="88"/>
  <c r="BH12" i="91"/>
  <c r="BH16" i="91"/>
  <c r="BH18" i="91"/>
  <c r="BH20" i="91"/>
  <c r="BH13" i="92"/>
  <c r="BH17" i="92"/>
  <c r="BH10" i="93"/>
  <c r="BH14" i="93"/>
  <c r="BH18" i="93"/>
  <c r="BH11" i="76"/>
  <c r="BH15" i="76"/>
  <c r="BH19" i="76"/>
  <c r="BH10" i="78"/>
  <c r="BH11" i="78"/>
  <c r="BH12" i="78"/>
  <c r="BH13" i="78"/>
  <c r="BH14" i="78"/>
  <c r="BH15" i="78"/>
  <c r="BH16" i="78"/>
  <c r="BH17" i="78"/>
  <c r="BH18" i="78"/>
  <c r="BH19" i="78"/>
  <c r="BH20" i="78"/>
  <c r="BH10" i="80"/>
  <c r="BH11" i="80"/>
  <c r="BH12" i="80"/>
  <c r="BH13" i="80"/>
  <c r="BH14" i="80"/>
  <c r="BH15" i="80"/>
  <c r="BH16" i="80"/>
  <c r="BH17" i="80"/>
  <c r="BH18" i="80"/>
  <c r="BH19" i="80"/>
  <c r="BH20" i="80"/>
  <c r="BH10" i="82"/>
  <c r="BH11" i="82"/>
  <c r="BH12" i="82"/>
  <c r="BH13" i="82"/>
  <c r="BH14" i="82"/>
  <c r="BH15" i="82"/>
  <c r="BH16" i="82"/>
  <c r="BH17" i="82"/>
  <c r="BH18" i="82"/>
  <c r="BH19" i="82"/>
  <c r="BH20" i="82"/>
  <c r="BH6" i="87"/>
  <c r="BH5" i="89"/>
  <c r="BH9" i="89"/>
  <c r="BH8" i="88"/>
  <c r="BH7" i="91"/>
  <c r="BH6" i="92"/>
  <c r="BH5" i="93"/>
  <c r="BH9" i="93"/>
  <c r="BH8" i="76"/>
  <c r="BH5" i="78"/>
  <c r="BH6" i="78"/>
  <c r="BH7" i="78"/>
  <c r="BH8" i="78"/>
  <c r="BH9" i="78"/>
  <c r="BH5" i="80"/>
  <c r="BH6" i="80"/>
  <c r="BH7" i="80"/>
  <c r="BH8" i="80"/>
  <c r="BH9" i="80"/>
  <c r="BH5" i="82"/>
  <c r="BH6" i="82"/>
  <c r="BH7" i="82"/>
  <c r="BH8" i="82"/>
  <c r="BH9" i="82"/>
  <c r="BH4" i="89"/>
  <c r="BH4" i="91"/>
  <c r="BH4" i="93"/>
  <c r="BH4" i="78"/>
  <c r="BH4" i="80"/>
  <c r="BH4" i="82"/>
  <c r="R34" i="89"/>
  <c r="E48" i="89"/>
  <c r="F48" i="89"/>
  <c r="R34" i="91"/>
  <c r="BB4" i="89"/>
  <c r="BA4" i="89"/>
  <c r="BD4" i="89"/>
  <c r="BB5" i="89"/>
  <c r="BC5" i="89"/>
  <c r="BA5" i="89"/>
  <c r="BD5" i="89"/>
  <c r="BB6" i="89"/>
  <c r="BA6" i="89"/>
  <c r="BD6" i="89"/>
  <c r="BB7" i="89"/>
  <c r="BA7" i="89"/>
  <c r="BD7" i="89"/>
  <c r="BB8" i="89"/>
  <c r="BA8" i="89"/>
  <c r="BB9" i="89"/>
  <c r="BC9" i="89"/>
  <c r="BA54" i="89"/>
  <c r="BA9" i="89"/>
  <c r="BD9" i="89"/>
  <c r="BB10" i="89"/>
  <c r="BA10" i="89"/>
  <c r="BB12" i="89"/>
  <c r="BC12" i="89"/>
  <c r="BA57" i="89"/>
  <c r="BA12" i="89"/>
  <c r="BD12" i="89"/>
  <c r="BB13" i="89"/>
  <c r="BA13" i="89"/>
  <c r="BD13" i="89"/>
  <c r="BB14" i="89"/>
  <c r="BC14" i="89"/>
  <c r="BA59" i="89"/>
  <c r="BA14" i="89"/>
  <c r="BD14" i="89"/>
  <c r="BB15" i="89"/>
  <c r="BA15" i="89"/>
  <c r="BD15" i="89"/>
  <c r="BB16" i="89"/>
  <c r="BC16" i="89"/>
  <c r="BA61" i="89"/>
  <c r="BA16" i="89"/>
  <c r="BD16" i="89"/>
  <c r="BB17" i="89"/>
  <c r="BA17" i="89"/>
  <c r="BD17" i="89"/>
  <c r="BB18" i="89"/>
  <c r="BC18" i="89"/>
  <c r="BA63" i="89"/>
  <c r="BA18" i="89"/>
  <c r="BD18" i="89"/>
  <c r="BB19" i="89"/>
  <c r="BA19" i="89"/>
  <c r="BD19" i="89"/>
  <c r="BB20" i="89"/>
  <c r="BC20" i="89"/>
  <c r="BA65" i="89"/>
  <c r="BA20" i="89"/>
  <c r="BD20" i="89"/>
  <c r="BB21" i="89"/>
  <c r="BA21" i="89"/>
  <c r="BD21" i="89"/>
  <c r="BB22" i="89"/>
  <c r="BC22" i="89"/>
  <c r="BA67" i="89"/>
  <c r="BA22" i="89"/>
  <c r="BD22" i="89"/>
  <c r="BB23" i="89"/>
  <c r="BA23" i="89"/>
  <c r="BD23" i="89"/>
  <c r="BB24" i="89"/>
  <c r="BC24" i="89"/>
  <c r="BA69" i="89"/>
  <c r="BA24" i="89"/>
  <c r="BD24" i="89"/>
  <c r="BB25" i="89"/>
  <c r="BA25" i="89"/>
  <c r="BD25" i="89"/>
  <c r="BB26" i="89"/>
  <c r="BC26" i="89"/>
  <c r="BA71" i="89"/>
  <c r="BA26" i="89"/>
  <c r="BD26" i="89"/>
  <c r="BB27" i="89"/>
  <c r="BA27" i="89"/>
  <c r="BD27" i="89"/>
  <c r="BB28" i="89"/>
  <c r="BC28" i="89"/>
  <c r="BA73" i="89"/>
  <c r="BA28" i="89"/>
  <c r="BD28" i="89"/>
  <c r="BB29" i="89"/>
  <c r="BA29" i="89"/>
  <c r="BD29" i="89"/>
  <c r="BB30" i="89"/>
  <c r="BC30" i="89"/>
  <c r="BA75" i="89"/>
  <c r="BA30" i="89"/>
  <c r="BD30" i="89"/>
  <c r="BB31" i="89"/>
  <c r="BA31" i="89"/>
  <c r="BD31" i="89"/>
  <c r="BD32" i="89"/>
  <c r="BD33" i="89"/>
  <c r="BB4" i="88"/>
  <c r="BC4" i="88"/>
  <c r="BA4" i="88"/>
  <c r="BD4" i="88"/>
  <c r="BB5" i="88"/>
  <c r="BA5" i="88"/>
  <c r="BB6" i="88"/>
  <c r="BC6" i="88"/>
  <c r="BA6" i="88"/>
  <c r="BD6" i="88"/>
  <c r="BB7" i="88"/>
  <c r="BA7" i="88"/>
  <c r="BB8" i="88"/>
  <c r="BA8" i="88"/>
  <c r="BD8" i="88"/>
  <c r="BB9" i="88"/>
  <c r="BA9" i="88"/>
  <c r="BB10" i="88"/>
  <c r="BA10" i="88"/>
  <c r="BD10" i="88"/>
  <c r="BA11" i="88"/>
  <c r="BD11" i="88"/>
  <c r="BB12" i="88"/>
  <c r="BA12" i="88"/>
  <c r="BD12" i="88"/>
  <c r="BB13" i="88"/>
  <c r="BC13" i="88"/>
  <c r="BA58" i="88"/>
  <c r="BA13" i="88"/>
  <c r="BD13" i="88"/>
  <c r="BB14" i="88"/>
  <c r="BA14" i="88"/>
  <c r="BD14" i="88"/>
  <c r="BB15" i="88"/>
  <c r="BC15" i="88"/>
  <c r="BA60" i="88"/>
  <c r="BA15" i="88"/>
  <c r="BD15" i="88"/>
  <c r="BB16" i="88"/>
  <c r="BA16" i="88"/>
  <c r="BD16" i="88"/>
  <c r="BB17" i="88"/>
  <c r="BC17" i="88"/>
  <c r="BA62" i="88"/>
  <c r="BA17" i="88"/>
  <c r="BD17" i="88"/>
  <c r="BB18" i="88"/>
  <c r="BA18" i="88"/>
  <c r="BD18" i="88"/>
  <c r="BB19" i="88"/>
  <c r="BC19" i="88"/>
  <c r="BA64" i="88"/>
  <c r="BA19" i="88"/>
  <c r="BD19" i="88"/>
  <c r="BB20" i="88"/>
  <c r="BA20" i="88"/>
  <c r="BD20" i="88"/>
  <c r="BB21" i="88"/>
  <c r="BC21" i="88"/>
  <c r="BA66" i="88"/>
  <c r="BA21" i="88"/>
  <c r="BD21" i="88"/>
  <c r="BB22" i="88"/>
  <c r="BA22" i="88"/>
  <c r="BD22" i="88"/>
  <c r="BB23" i="88"/>
  <c r="BC23" i="88"/>
  <c r="BA68" i="88"/>
  <c r="BA23" i="88"/>
  <c r="BD23" i="88"/>
  <c r="BB24" i="88"/>
  <c r="BA24" i="88"/>
  <c r="BD24" i="88"/>
  <c r="BB25" i="88"/>
  <c r="BC25" i="88"/>
  <c r="BA70" i="88"/>
  <c r="BA25" i="88"/>
  <c r="BD25" i="88"/>
  <c r="BB26" i="88"/>
  <c r="BA26" i="88"/>
  <c r="BD26" i="88"/>
  <c r="BB27" i="88"/>
  <c r="BC27" i="88"/>
  <c r="BA72" i="88"/>
  <c r="BA27" i="88"/>
  <c r="BD27" i="88"/>
  <c r="BB28" i="88"/>
  <c r="BA28" i="88"/>
  <c r="BD28" i="88"/>
  <c r="BB29" i="88"/>
  <c r="BC29" i="88"/>
  <c r="BA29" i="88"/>
  <c r="BD29" i="88"/>
  <c r="BB30" i="88"/>
  <c r="BA30" i="88"/>
  <c r="BD30" i="88"/>
  <c r="BB31" i="88"/>
  <c r="BC31" i="88"/>
  <c r="BA31" i="88"/>
  <c r="BD31" i="88"/>
  <c r="BD32" i="88"/>
  <c r="BD33" i="88"/>
  <c r="BD34" i="88"/>
  <c r="BB4" i="93"/>
  <c r="BA4" i="93"/>
  <c r="BD4" i="93"/>
  <c r="BB5" i="93"/>
  <c r="BA5" i="93"/>
  <c r="BD5" i="93"/>
  <c r="BB6" i="93"/>
  <c r="BA6" i="93"/>
  <c r="BD6" i="93"/>
  <c r="BB7" i="93"/>
  <c r="BA7" i="93"/>
  <c r="BD7" i="93"/>
  <c r="BB8" i="93"/>
  <c r="BC8" i="93"/>
  <c r="BA8" i="93"/>
  <c r="BD8" i="93"/>
  <c r="BB9" i="93"/>
  <c r="BA9" i="93"/>
  <c r="BD9" i="93"/>
  <c r="BB10" i="93"/>
  <c r="BC10" i="93"/>
  <c r="BA10" i="93"/>
  <c r="BD10" i="93"/>
  <c r="BB12" i="93"/>
  <c r="BA12" i="93"/>
  <c r="BB13" i="93"/>
  <c r="BA13" i="93"/>
  <c r="BD13" i="93"/>
  <c r="BB14" i="93"/>
  <c r="BA14" i="93"/>
  <c r="BB15" i="93"/>
  <c r="BA15" i="93"/>
  <c r="BD15" i="93"/>
  <c r="BB16" i="93"/>
  <c r="BA16" i="93"/>
  <c r="BB17" i="93"/>
  <c r="BA17" i="93"/>
  <c r="BD17" i="93"/>
  <c r="BB18" i="93"/>
  <c r="BA18" i="93"/>
  <c r="BB19" i="93"/>
  <c r="BA19" i="93"/>
  <c r="BD19" i="93"/>
  <c r="BB20" i="93"/>
  <c r="BA20" i="93"/>
  <c r="BB21" i="93"/>
  <c r="BA21" i="93"/>
  <c r="BD21" i="93"/>
  <c r="BB22" i="93"/>
  <c r="BA22" i="93"/>
  <c r="BB23" i="93"/>
  <c r="BA23" i="93"/>
  <c r="BD23" i="93"/>
  <c r="BB24" i="93"/>
  <c r="BA24" i="93"/>
  <c r="BB25" i="93"/>
  <c r="BA25" i="93"/>
  <c r="BD25" i="93"/>
  <c r="BB26" i="93"/>
  <c r="BA26" i="93"/>
  <c r="BB27" i="93"/>
  <c r="BA27" i="93"/>
  <c r="BD27" i="93"/>
  <c r="BB28" i="93"/>
  <c r="BA28" i="93"/>
  <c r="BB29" i="93"/>
  <c r="BA29" i="93"/>
  <c r="BD29" i="93"/>
  <c r="BB30" i="93"/>
  <c r="BA30" i="93"/>
  <c r="BB31" i="93"/>
  <c r="BA31" i="93"/>
  <c r="BD31" i="93"/>
  <c r="BD32" i="93"/>
  <c r="BD33" i="93"/>
  <c r="BD34" i="93"/>
  <c r="BB4" i="76"/>
  <c r="BC4" i="76"/>
  <c r="BA4" i="76"/>
  <c r="BD4" i="76"/>
  <c r="BB5" i="76"/>
  <c r="BA5" i="76"/>
  <c r="BB6" i="76"/>
  <c r="BC6" i="76"/>
  <c r="BA51" i="76"/>
  <c r="BA6" i="76"/>
  <c r="BD6" i="76"/>
  <c r="BB7" i="76"/>
  <c r="BA7" i="76"/>
  <c r="BB8" i="76"/>
  <c r="BA8" i="76"/>
  <c r="BD8" i="76"/>
  <c r="BB9" i="76"/>
  <c r="BA9" i="76"/>
  <c r="BB10" i="76"/>
  <c r="BC10" i="76"/>
  <c r="BA55" i="76"/>
  <c r="BA10" i="76"/>
  <c r="BD10" i="76"/>
  <c r="BB12" i="76"/>
  <c r="BA12" i="76"/>
  <c r="BD12" i="76"/>
  <c r="BB13" i="76"/>
  <c r="BC13" i="76"/>
  <c r="BA13" i="76"/>
  <c r="BD13" i="76"/>
  <c r="BB14" i="76"/>
  <c r="BA14" i="76"/>
  <c r="BD14" i="76"/>
  <c r="BB15" i="76"/>
  <c r="BC15" i="76"/>
  <c r="BA15" i="76"/>
  <c r="BD15" i="76"/>
  <c r="BB16" i="76"/>
  <c r="BA16" i="76"/>
  <c r="BD16" i="76"/>
  <c r="BB17" i="76"/>
  <c r="BC17" i="76"/>
  <c r="BA17" i="76"/>
  <c r="BD17" i="76"/>
  <c r="BB18" i="76"/>
  <c r="BA18" i="76"/>
  <c r="BD18" i="76"/>
  <c r="BB19" i="76"/>
  <c r="BC19" i="76"/>
  <c r="BA19" i="76"/>
  <c r="BD19" i="76"/>
  <c r="BB20" i="76"/>
  <c r="BA20" i="76"/>
  <c r="BD20" i="76"/>
  <c r="BB21" i="76"/>
  <c r="BC21" i="76"/>
  <c r="BA21" i="76"/>
  <c r="BD21" i="76"/>
  <c r="BB22" i="76"/>
  <c r="BA22" i="76"/>
  <c r="BD22" i="76"/>
  <c r="BB23" i="76"/>
  <c r="BC23" i="76"/>
  <c r="BA23" i="76"/>
  <c r="BD23" i="76"/>
  <c r="BB24" i="76"/>
  <c r="BA24" i="76"/>
  <c r="BD24" i="76"/>
  <c r="BB25" i="76"/>
  <c r="BC25" i="76"/>
  <c r="BA25" i="76"/>
  <c r="BD25" i="76"/>
  <c r="BB26" i="76"/>
  <c r="BA26" i="76"/>
  <c r="BD26" i="76"/>
  <c r="BB27" i="76"/>
  <c r="BC27" i="76"/>
  <c r="BA27" i="76"/>
  <c r="BD27" i="76"/>
  <c r="BB28" i="76"/>
  <c r="BA28" i="76"/>
  <c r="BD28" i="76"/>
  <c r="BB29" i="76"/>
  <c r="BC29" i="76"/>
  <c r="BA29" i="76"/>
  <c r="BD29" i="76"/>
  <c r="BB30" i="76"/>
  <c r="BA30" i="76"/>
  <c r="BD30" i="76"/>
  <c r="BB31" i="76"/>
  <c r="BC31" i="76"/>
  <c r="BA31" i="76"/>
  <c r="BD31" i="76"/>
  <c r="BD32" i="76"/>
  <c r="BD33" i="76"/>
  <c r="AV93" i="86"/>
  <c r="AV94" i="86"/>
  <c r="AV95" i="86"/>
  <c r="A5" i="86"/>
  <c r="A6" i="86"/>
  <c r="A7" i="86"/>
  <c r="A8" i="86"/>
  <c r="A9" i="86"/>
  <c r="A10" i="86"/>
  <c r="A11" i="86"/>
  <c r="A12" i="86"/>
  <c r="A13" i="86"/>
  <c r="A14" i="86"/>
  <c r="A15" i="86"/>
  <c r="A16" i="86"/>
  <c r="A17" i="86"/>
  <c r="A18" i="86"/>
  <c r="A19" i="86"/>
  <c r="A20" i="86"/>
  <c r="A21" i="86"/>
  <c r="A22" i="86"/>
  <c r="A23" i="86"/>
  <c r="A24" i="86"/>
  <c r="A25" i="86"/>
  <c r="A26" i="86"/>
  <c r="A27" i="86"/>
  <c r="A28" i="86"/>
  <c r="A29" i="86"/>
  <c r="A30" i="86"/>
  <c r="A31" i="86"/>
  <c r="BC49" i="86"/>
  <c r="BC50" i="86"/>
  <c r="BC51" i="86"/>
  <c r="AC38" i="86"/>
  <c r="BG42" i="86"/>
  <c r="G47" i="86"/>
  <c r="AY6" i="86"/>
  <c r="AY7" i="86"/>
  <c r="BC52" i="86"/>
  <c r="BC53" i="86"/>
  <c r="BC54" i="86"/>
  <c r="BC55" i="86"/>
  <c r="BC56" i="86"/>
  <c r="BC57" i="86"/>
  <c r="BC58" i="86"/>
  <c r="BC59" i="86"/>
  <c r="BG85" i="86"/>
  <c r="BG86" i="86"/>
  <c r="B92" i="84"/>
  <c r="D92" i="84"/>
  <c r="C92" i="84"/>
  <c r="E92" i="84"/>
  <c r="B93" i="84"/>
  <c r="C93" i="84"/>
  <c r="E93" i="84"/>
  <c r="B94" i="84"/>
  <c r="D94" i="84"/>
  <c r="C94" i="84"/>
  <c r="E94" i="84"/>
  <c r="B95" i="84"/>
  <c r="C95" i="84"/>
  <c r="E95" i="84"/>
  <c r="B96" i="84"/>
  <c r="D96" i="84"/>
  <c r="C96" i="84"/>
  <c r="E96" i="84"/>
  <c r="B97" i="84"/>
  <c r="C97" i="84"/>
  <c r="E97" i="84"/>
  <c r="B98" i="84"/>
  <c r="D98" i="84"/>
  <c r="C98" i="84"/>
  <c r="E98" i="84"/>
  <c r="B99" i="84"/>
  <c r="C99" i="84"/>
  <c r="E99" i="84"/>
  <c r="B100" i="84"/>
  <c r="D100" i="84"/>
  <c r="C100" i="84"/>
  <c r="E100" i="84"/>
  <c r="B101" i="84"/>
  <c r="C101" i="84"/>
  <c r="E101" i="84"/>
  <c r="B102" i="84"/>
  <c r="D102" i="84"/>
  <c r="C102" i="84"/>
  <c r="E102" i="84"/>
  <c r="B103" i="84"/>
  <c r="C103" i="84"/>
  <c r="E103" i="84"/>
  <c r="B104" i="84"/>
  <c r="D104" i="84"/>
  <c r="C104" i="84"/>
  <c r="E104" i="84"/>
  <c r="B105" i="84"/>
  <c r="C105" i="84"/>
  <c r="E105" i="84"/>
  <c r="B106" i="84"/>
  <c r="D106" i="84"/>
  <c r="C106" i="84"/>
  <c r="E106" i="84"/>
  <c r="B107" i="84"/>
  <c r="C107" i="84"/>
  <c r="E107" i="84"/>
  <c r="B108" i="84"/>
  <c r="D108" i="84"/>
  <c r="C108" i="84"/>
  <c r="E108" i="84"/>
  <c r="B109" i="84"/>
  <c r="C109" i="84"/>
  <c r="E109" i="84"/>
  <c r="B110" i="84"/>
  <c r="D110" i="84"/>
  <c r="C110" i="84"/>
  <c r="E110" i="84"/>
  <c r="B111" i="84"/>
  <c r="C111" i="84"/>
  <c r="E111" i="84"/>
  <c r="B112" i="84"/>
  <c r="D112" i="84"/>
  <c r="C112" i="84"/>
  <c r="E112" i="84"/>
  <c r="B113" i="84"/>
  <c r="C113" i="84"/>
  <c r="E113" i="84"/>
  <c r="B114" i="84"/>
  <c r="D114" i="84"/>
  <c r="C114" i="84"/>
  <c r="E114" i="84"/>
  <c r="B115" i="84"/>
  <c r="C115" i="84"/>
  <c r="E115" i="84"/>
  <c r="B116" i="84"/>
  <c r="D116" i="84"/>
  <c r="C116" i="84"/>
  <c r="E116" i="84"/>
  <c r="B117" i="84"/>
  <c r="C117" i="84"/>
  <c r="E117" i="84"/>
  <c r="B118" i="84"/>
  <c r="D118" i="84"/>
  <c r="C118" i="84"/>
  <c r="E118" i="84"/>
  <c r="B119" i="84"/>
  <c r="C119" i="84"/>
  <c r="E119" i="84"/>
  <c r="B120" i="84"/>
  <c r="D120" i="84"/>
  <c r="C120" i="84"/>
  <c r="E120" i="84"/>
  <c r="B121" i="84"/>
  <c r="C121" i="84"/>
  <c r="E121" i="84"/>
  <c r="D91" i="84"/>
  <c r="D93" i="84"/>
  <c r="D95" i="84"/>
  <c r="D97" i="84"/>
  <c r="D99" i="84"/>
  <c r="D101" i="84"/>
  <c r="D103" i="84"/>
  <c r="D105" i="84"/>
  <c r="D107" i="84"/>
  <c r="D109" i="84"/>
  <c r="D111" i="84"/>
  <c r="D113" i="84"/>
  <c r="D115" i="84"/>
  <c r="D117" i="84"/>
  <c r="D119" i="84"/>
  <c r="BC49" i="84"/>
  <c r="BC50" i="84"/>
  <c r="BC51" i="84"/>
  <c r="BC52" i="84"/>
  <c r="BC53" i="84"/>
  <c r="BC54" i="84"/>
  <c r="BC55" i="84"/>
  <c r="BC56" i="84"/>
  <c r="BC57" i="84"/>
  <c r="BC58" i="84"/>
  <c r="BC59" i="84"/>
  <c r="BC60" i="84"/>
  <c r="BC61" i="84"/>
  <c r="BC62" i="84"/>
  <c r="BC63" i="84"/>
  <c r="BC64" i="84"/>
  <c r="BC65" i="84"/>
  <c r="BC66" i="84"/>
  <c r="BC67" i="84"/>
  <c r="BC68" i="84"/>
  <c r="BC69" i="84"/>
  <c r="BC70" i="84"/>
  <c r="BC71" i="84"/>
  <c r="BC72" i="84"/>
  <c r="BC73" i="84"/>
  <c r="BC74" i="84"/>
  <c r="BC75" i="84"/>
  <c r="BC76" i="84"/>
  <c r="BC77" i="84"/>
  <c r="BC78" i="84"/>
  <c r="B10" i="87"/>
  <c r="B8" i="87"/>
  <c r="B7" i="87"/>
  <c r="B6" i="87"/>
  <c r="AT38" i="89"/>
  <c r="AT38" i="88"/>
  <c r="AT38" i="91"/>
  <c r="AT38" i="92"/>
  <c r="B34" i="76"/>
  <c r="AT38" i="82"/>
  <c r="AC48" i="89"/>
  <c r="AC48" i="88"/>
  <c r="AC48" i="91"/>
  <c r="AC48" i="92"/>
  <c r="AC48" i="93"/>
  <c r="AC48" i="76"/>
  <c r="AC48" i="78"/>
  <c r="AC48" i="80"/>
  <c r="AC48" i="82"/>
  <c r="AD48" i="89"/>
  <c r="AD48" i="88"/>
  <c r="AD48" i="91"/>
  <c r="AD48" i="92"/>
  <c r="AD48" i="93"/>
  <c r="AD48" i="76"/>
  <c r="AD48" i="78"/>
  <c r="AD48" i="80"/>
  <c r="AD48" i="82"/>
  <c r="BC7" i="87"/>
  <c r="BC8" i="87"/>
  <c r="BC9" i="87"/>
  <c r="BC10" i="87"/>
  <c r="BC7" i="89"/>
  <c r="BA52" i="89"/>
  <c r="BC11" i="89"/>
  <c r="BA56" i="89"/>
  <c r="BC13" i="89"/>
  <c r="BC15" i="89"/>
  <c r="BA60" i="89"/>
  <c r="BC17" i="89"/>
  <c r="BC19" i="89"/>
  <c r="BA64" i="89"/>
  <c r="BC21" i="89"/>
  <c r="BC23" i="89"/>
  <c r="BA68" i="89"/>
  <c r="BC25" i="89"/>
  <c r="BC27" i="89"/>
  <c r="BA72" i="89"/>
  <c r="BC29" i="89"/>
  <c r="BC31" i="89"/>
  <c r="BA76" i="89"/>
  <c r="BC8" i="88"/>
  <c r="BC10" i="88"/>
  <c r="BC14" i="88"/>
  <c r="BC18" i="88"/>
  <c r="BC22" i="88"/>
  <c r="BC26" i="88"/>
  <c r="BC30" i="88"/>
  <c r="BA75" i="88"/>
  <c r="BA7" i="91"/>
  <c r="BB7" i="91"/>
  <c r="BC7" i="91"/>
  <c r="BA8" i="91"/>
  <c r="BB8" i="91"/>
  <c r="BC8" i="91"/>
  <c r="BA9" i="91"/>
  <c r="BB9" i="91"/>
  <c r="BC9" i="91"/>
  <c r="BA54" i="91"/>
  <c r="BA10" i="91"/>
  <c r="BB10" i="91"/>
  <c r="BC10" i="91"/>
  <c r="BA11" i="91"/>
  <c r="BC11" i="91"/>
  <c r="BA12" i="91"/>
  <c r="BD12" i="91"/>
  <c r="BB12" i="91"/>
  <c r="BC12" i="91"/>
  <c r="BA13" i="91"/>
  <c r="BB13" i="91"/>
  <c r="BC13" i="91"/>
  <c r="BA58" i="91"/>
  <c r="BA14" i="91"/>
  <c r="BB14" i="91"/>
  <c r="BC14" i="91"/>
  <c r="BA15" i="91"/>
  <c r="BB15" i="91"/>
  <c r="BC15" i="91"/>
  <c r="BA16" i="91"/>
  <c r="BD16" i="91"/>
  <c r="BB16" i="91"/>
  <c r="BC16" i="91"/>
  <c r="BA17" i="91"/>
  <c r="BB17" i="91"/>
  <c r="BC17" i="91"/>
  <c r="BA62" i="91"/>
  <c r="BA18" i="91"/>
  <c r="BB18" i="91"/>
  <c r="BC18" i="91"/>
  <c r="BA19" i="91"/>
  <c r="BB19" i="91"/>
  <c r="BC19" i="91"/>
  <c r="BA20" i="91"/>
  <c r="BD20" i="91"/>
  <c r="BB20" i="91"/>
  <c r="BC20" i="91"/>
  <c r="BA21" i="91"/>
  <c r="BB21" i="91"/>
  <c r="BC21" i="91"/>
  <c r="BA66" i="91"/>
  <c r="BA22" i="91"/>
  <c r="BB22" i="91"/>
  <c r="BC22" i="91"/>
  <c r="BA23" i="91"/>
  <c r="BB23" i="91"/>
  <c r="BC23" i="91"/>
  <c r="BA24" i="91"/>
  <c r="BD24" i="91"/>
  <c r="BB24" i="91"/>
  <c r="BC24" i="91"/>
  <c r="BA25" i="91"/>
  <c r="BB25" i="91"/>
  <c r="BC25" i="91"/>
  <c r="BA70" i="91"/>
  <c r="BA26" i="91"/>
  <c r="BB26" i="91"/>
  <c r="BC26" i="91"/>
  <c r="BA27" i="91"/>
  <c r="BB27" i="91"/>
  <c r="BC27" i="91"/>
  <c r="BA28" i="91"/>
  <c r="BD28" i="91"/>
  <c r="BB28" i="91"/>
  <c r="BC28" i="91"/>
  <c r="BA29" i="91"/>
  <c r="BB29" i="91"/>
  <c r="BC29" i="91"/>
  <c r="BA74" i="91"/>
  <c r="BA30" i="91"/>
  <c r="BB30" i="91"/>
  <c r="BC30" i="91"/>
  <c r="BA31" i="91"/>
  <c r="BB31" i="91"/>
  <c r="BC31" i="91"/>
  <c r="BA7" i="92"/>
  <c r="BD7" i="92"/>
  <c r="BB7" i="92"/>
  <c r="BC7" i="92"/>
  <c r="BA8" i="92"/>
  <c r="BB8" i="92"/>
  <c r="BC8" i="92"/>
  <c r="BA53" i="92"/>
  <c r="BA9" i="92"/>
  <c r="BB9" i="92"/>
  <c r="BC9" i="92"/>
  <c r="BA10" i="92"/>
  <c r="BB10" i="92"/>
  <c r="BC10" i="92"/>
  <c r="BA11" i="92"/>
  <c r="BC11" i="92"/>
  <c r="BA12" i="92"/>
  <c r="BB12" i="92"/>
  <c r="BC12" i="92"/>
  <c r="BA13" i="92"/>
  <c r="BB13" i="92"/>
  <c r="BC13" i="92"/>
  <c r="BA14" i="92"/>
  <c r="BB14" i="92"/>
  <c r="BC14" i="92"/>
  <c r="BA59" i="92"/>
  <c r="BA15" i="92"/>
  <c r="BB15" i="92"/>
  <c r="BC15" i="92"/>
  <c r="BA16" i="92"/>
  <c r="BB16" i="92"/>
  <c r="BC16" i="92"/>
  <c r="BA17" i="92"/>
  <c r="BB17" i="92"/>
  <c r="BC17" i="92"/>
  <c r="BA18" i="92"/>
  <c r="BB18" i="92"/>
  <c r="BC18" i="92"/>
  <c r="BA63" i="92"/>
  <c r="BA19" i="92"/>
  <c r="BB19" i="92"/>
  <c r="BC19" i="92"/>
  <c r="BA20" i="92"/>
  <c r="BB20" i="92"/>
  <c r="BC20" i="92"/>
  <c r="BA21" i="92"/>
  <c r="BB21" i="92"/>
  <c r="BC21" i="92"/>
  <c r="BA22" i="92"/>
  <c r="BB22" i="92"/>
  <c r="BC22" i="92"/>
  <c r="BA67" i="92"/>
  <c r="BA23" i="92"/>
  <c r="BB23" i="92"/>
  <c r="BC23" i="92"/>
  <c r="BA24" i="92"/>
  <c r="BB24" i="92"/>
  <c r="BC24" i="92"/>
  <c r="BA25" i="92"/>
  <c r="BB25" i="92"/>
  <c r="BC25" i="92"/>
  <c r="BA26" i="92"/>
  <c r="BB26" i="92"/>
  <c r="BC26" i="92"/>
  <c r="BA71" i="92"/>
  <c r="BA27" i="92"/>
  <c r="BB27" i="92"/>
  <c r="BC27" i="92"/>
  <c r="BA28" i="92"/>
  <c r="BB28" i="92"/>
  <c r="BC28" i="92"/>
  <c r="BA29" i="92"/>
  <c r="BB29" i="92"/>
  <c r="BC29" i="92"/>
  <c r="BA30" i="92"/>
  <c r="BB30" i="92"/>
  <c r="BC30" i="92"/>
  <c r="BA75" i="92"/>
  <c r="BA31" i="92"/>
  <c r="BB31" i="92"/>
  <c r="BC31" i="92"/>
  <c r="BC7" i="93"/>
  <c r="BC9" i="93"/>
  <c r="BA54" i="93"/>
  <c r="BC11" i="93"/>
  <c r="BC13" i="93"/>
  <c r="BA58" i="93"/>
  <c r="BC15" i="93"/>
  <c r="BC17" i="93"/>
  <c r="BA62" i="93"/>
  <c r="BC19" i="93"/>
  <c r="BC21" i="93"/>
  <c r="BA66" i="93"/>
  <c r="BC23" i="93"/>
  <c r="BC25" i="93"/>
  <c r="BA70" i="93"/>
  <c r="BC27" i="93"/>
  <c r="BC29" i="93"/>
  <c r="BA74" i="93"/>
  <c r="BC31" i="93"/>
  <c r="BC8" i="76"/>
  <c r="BA53" i="76"/>
  <c r="BC12" i="76"/>
  <c r="BA57" i="76"/>
  <c r="BC14" i="76"/>
  <c r="BC16" i="76"/>
  <c r="BA61" i="76"/>
  <c r="BC18" i="76"/>
  <c r="BC20" i="76"/>
  <c r="BA65" i="76"/>
  <c r="BC22" i="76"/>
  <c r="BC24" i="76"/>
  <c r="BA69" i="76"/>
  <c r="BC26" i="76"/>
  <c r="BC28" i="76"/>
  <c r="BA73" i="76"/>
  <c r="BC30" i="76"/>
  <c r="BC7" i="78"/>
  <c r="BA52" i="78"/>
  <c r="BC8" i="78"/>
  <c r="BC9" i="78"/>
  <c r="BA54" i="78"/>
  <c r="BC10" i="78"/>
  <c r="BC11" i="78"/>
  <c r="BA56" i="78"/>
  <c r="BC12" i="78"/>
  <c r="BC13" i="78"/>
  <c r="BA58" i="78"/>
  <c r="BC14" i="78"/>
  <c r="BC15" i="78"/>
  <c r="BA60" i="78"/>
  <c r="BC16" i="78"/>
  <c r="BC17" i="78"/>
  <c r="BA62" i="78"/>
  <c r="BC18" i="78"/>
  <c r="BC19" i="78"/>
  <c r="BA64" i="78"/>
  <c r="BC20" i="78"/>
  <c r="BC21" i="78"/>
  <c r="BA66" i="78"/>
  <c r="BC22" i="78"/>
  <c r="BC23" i="78"/>
  <c r="BA68" i="78"/>
  <c r="BC24" i="78"/>
  <c r="BC25" i="78"/>
  <c r="BA70" i="78"/>
  <c r="BC26" i="78"/>
  <c r="BC27" i="78"/>
  <c r="BA72" i="78"/>
  <c r="BC28" i="78"/>
  <c r="BC29" i="78"/>
  <c r="BA74" i="78"/>
  <c r="BC30" i="78"/>
  <c r="BC31" i="78"/>
  <c r="BA76" i="78"/>
  <c r="BC7" i="80"/>
  <c r="BC8" i="80"/>
  <c r="BC86" i="80"/>
  <c r="BC9" i="80"/>
  <c r="BC10" i="80"/>
  <c r="BA55" i="80"/>
  <c r="BC11" i="80"/>
  <c r="BC12" i="80"/>
  <c r="BA57" i="80"/>
  <c r="BC13" i="80"/>
  <c r="BC14" i="80"/>
  <c r="BA59" i="80"/>
  <c r="BC15" i="80"/>
  <c r="BC16" i="80"/>
  <c r="BA61" i="80"/>
  <c r="BC17" i="80"/>
  <c r="BC18" i="80"/>
  <c r="BA63" i="80"/>
  <c r="BC19" i="80"/>
  <c r="BC20" i="80"/>
  <c r="BA65" i="80"/>
  <c r="BC21" i="80"/>
  <c r="BC22" i="80"/>
  <c r="BA67" i="80"/>
  <c r="BC23" i="80"/>
  <c r="BC24" i="80"/>
  <c r="BA69" i="80"/>
  <c r="BC25" i="80"/>
  <c r="BC26" i="80"/>
  <c r="BA71" i="80"/>
  <c r="BC27" i="80"/>
  <c r="BC28" i="80"/>
  <c r="BA73" i="80"/>
  <c r="BC29" i="80"/>
  <c r="BC30" i="80"/>
  <c r="BA75" i="80"/>
  <c r="BC31" i="80"/>
  <c r="BC7" i="82"/>
  <c r="BA52" i="82"/>
  <c r="BC8" i="82"/>
  <c r="BC9" i="82"/>
  <c r="BA54" i="82"/>
  <c r="BC10" i="82"/>
  <c r="BC11" i="82"/>
  <c r="BA56" i="82"/>
  <c r="BC12" i="82"/>
  <c r="BC13" i="82"/>
  <c r="BA58" i="82"/>
  <c r="BC14" i="82"/>
  <c r="BC15" i="82"/>
  <c r="BA60" i="82"/>
  <c r="BC16" i="82"/>
  <c r="BC17" i="82"/>
  <c r="BA62" i="82"/>
  <c r="BC18" i="82"/>
  <c r="BC19" i="82"/>
  <c r="BA64" i="82"/>
  <c r="BC20" i="82"/>
  <c r="BC21" i="82"/>
  <c r="BA66" i="82"/>
  <c r="BC22" i="82"/>
  <c r="BC23" i="82"/>
  <c r="BA68" i="82"/>
  <c r="BC24" i="82"/>
  <c r="BC25" i="82"/>
  <c r="BA70" i="82"/>
  <c r="BC26" i="82"/>
  <c r="BC27" i="82"/>
  <c r="BA72" i="82"/>
  <c r="BC28" i="82"/>
  <c r="BC29" i="82"/>
  <c r="BA74" i="82"/>
  <c r="BC30" i="82"/>
  <c r="BC31" i="82"/>
  <c r="BA76" i="82"/>
  <c r="BC6" i="87"/>
  <c r="BC6" i="89"/>
  <c r="BA51" i="89"/>
  <c r="BA6" i="91"/>
  <c r="BB6" i="91"/>
  <c r="BC6" i="91"/>
  <c r="BA6" i="92"/>
  <c r="BB6" i="92"/>
  <c r="BC6" i="92"/>
  <c r="BC6" i="93"/>
  <c r="BC6" i="78"/>
  <c r="BC6" i="80"/>
  <c r="BC6" i="82"/>
  <c r="BC5" i="87"/>
  <c r="BA5" i="91"/>
  <c r="BD5" i="91"/>
  <c r="BB5" i="91"/>
  <c r="BC5" i="91"/>
  <c r="BA50" i="91"/>
  <c r="BA5" i="92"/>
  <c r="BB5" i="92"/>
  <c r="BC5" i="92"/>
  <c r="BC86" i="92"/>
  <c r="BC5" i="78"/>
  <c r="BA50" i="78"/>
  <c r="BC5" i="80"/>
  <c r="BC5" i="82"/>
  <c r="BA50" i="82"/>
  <c r="BC4" i="87"/>
  <c r="BC4" i="89"/>
  <c r="BA49" i="89"/>
  <c r="BA4" i="91"/>
  <c r="BB4" i="91"/>
  <c r="BC4" i="91"/>
  <c r="BA4" i="92"/>
  <c r="BB4" i="92"/>
  <c r="BC4" i="92"/>
  <c r="BC4" i="93"/>
  <c r="BA49" i="93"/>
  <c r="BC4" i="78"/>
  <c r="BC4" i="80"/>
  <c r="BC4" i="82"/>
  <c r="BC86" i="91"/>
  <c r="BC86" i="78"/>
  <c r="BC86" i="82"/>
  <c r="BC85" i="84"/>
  <c r="BC86" i="84"/>
  <c r="U38" i="89"/>
  <c r="U38" i="88"/>
  <c r="U38" i="91"/>
  <c r="U38" i="93"/>
  <c r="U38" i="76"/>
  <c r="BA50" i="87"/>
  <c r="BA51" i="87"/>
  <c r="BA52" i="87"/>
  <c r="BA53" i="87"/>
  <c r="BA54" i="87"/>
  <c r="BA55" i="87"/>
  <c r="BA58" i="89"/>
  <c r="BA62" i="89"/>
  <c r="BA66" i="89"/>
  <c r="BA70" i="89"/>
  <c r="BA74" i="89"/>
  <c r="BA51" i="88"/>
  <c r="BA53" i="88"/>
  <c r="BA55" i="88"/>
  <c r="BA59" i="88"/>
  <c r="BA63" i="88"/>
  <c r="BA67" i="88"/>
  <c r="BA71" i="88"/>
  <c r="BA74" i="88"/>
  <c r="BA76" i="88"/>
  <c r="BA51" i="91"/>
  <c r="BA52" i="91"/>
  <c r="BA53" i="91"/>
  <c r="BA55" i="91"/>
  <c r="BA56" i="91"/>
  <c r="BA57" i="91"/>
  <c r="BA59" i="91"/>
  <c r="BA60" i="91"/>
  <c r="BA61" i="91"/>
  <c r="BA63" i="91"/>
  <c r="BA64" i="91"/>
  <c r="BA65" i="91"/>
  <c r="BA67" i="91"/>
  <c r="BA68" i="91"/>
  <c r="BA69" i="91"/>
  <c r="BA71" i="91"/>
  <c r="BA72" i="91"/>
  <c r="BA73" i="91"/>
  <c r="BA75" i="91"/>
  <c r="BA76" i="91"/>
  <c r="BA50" i="92"/>
  <c r="BA51" i="92"/>
  <c r="BA52" i="92"/>
  <c r="BA54" i="92"/>
  <c r="BA55" i="92"/>
  <c r="BA56" i="92"/>
  <c r="BA57" i="92"/>
  <c r="BA58" i="92"/>
  <c r="BA60" i="92"/>
  <c r="BA61" i="92"/>
  <c r="BA62" i="92"/>
  <c r="BA64" i="92"/>
  <c r="BA65" i="92"/>
  <c r="BA66" i="92"/>
  <c r="BA68" i="92"/>
  <c r="BA69" i="92"/>
  <c r="BA70" i="92"/>
  <c r="BA72" i="92"/>
  <c r="BA73" i="92"/>
  <c r="BA74" i="92"/>
  <c r="BA76" i="92"/>
  <c r="BA51" i="93"/>
  <c r="BA52" i="93"/>
  <c r="BA53" i="93"/>
  <c r="BA55" i="93"/>
  <c r="BA56" i="93"/>
  <c r="BA60" i="93"/>
  <c r="BA64" i="93"/>
  <c r="BA68" i="93"/>
  <c r="BA72" i="93"/>
  <c r="BA76" i="93"/>
  <c r="BA56" i="76"/>
  <c r="BA58" i="76"/>
  <c r="BA59" i="76"/>
  <c r="BA60" i="76"/>
  <c r="BA62" i="76"/>
  <c r="BA63" i="76"/>
  <c r="BA64" i="76"/>
  <c r="BA66" i="76"/>
  <c r="BA67" i="76"/>
  <c r="BA68" i="76"/>
  <c r="BA70" i="76"/>
  <c r="BA71" i="76"/>
  <c r="BA72" i="76"/>
  <c r="BA74" i="76"/>
  <c r="BA75" i="76"/>
  <c r="BA76" i="76"/>
  <c r="BA51" i="78"/>
  <c r="BA53" i="78"/>
  <c r="BA55" i="78"/>
  <c r="BA57" i="78"/>
  <c r="BA59" i="78"/>
  <c r="BA61" i="78"/>
  <c r="BA63" i="78"/>
  <c r="BA65" i="78"/>
  <c r="BA67" i="78"/>
  <c r="BA69" i="78"/>
  <c r="BA71" i="78"/>
  <c r="BA73" i="78"/>
  <c r="BA75" i="78"/>
  <c r="BA50" i="80"/>
  <c r="BA51" i="80"/>
  <c r="BA52" i="80"/>
  <c r="BA54" i="80"/>
  <c r="BA56" i="80"/>
  <c r="BA58" i="80"/>
  <c r="BA60" i="80"/>
  <c r="BA62" i="80"/>
  <c r="BA64" i="80"/>
  <c r="BA66" i="80"/>
  <c r="BA68" i="80"/>
  <c r="BA70" i="80"/>
  <c r="BA72" i="80"/>
  <c r="BA74" i="80"/>
  <c r="BA76" i="80"/>
  <c r="BA51" i="82"/>
  <c r="BA53" i="82"/>
  <c r="BA55" i="82"/>
  <c r="BA57" i="82"/>
  <c r="BA59" i="82"/>
  <c r="BA61" i="82"/>
  <c r="BA63" i="82"/>
  <c r="BA65" i="82"/>
  <c r="BA67" i="82"/>
  <c r="BA69" i="82"/>
  <c r="BA71" i="82"/>
  <c r="BA73" i="82"/>
  <c r="BA75" i="82"/>
  <c r="BA49" i="87"/>
  <c r="BA49" i="88"/>
  <c r="BA49" i="91"/>
  <c r="BA49" i="92"/>
  <c r="BA49" i="76"/>
  <c r="BA49" i="78"/>
  <c r="BA49" i="80"/>
  <c r="BA49" i="82"/>
  <c r="BD34" i="89"/>
  <c r="BD6" i="91"/>
  <c r="BD7" i="91"/>
  <c r="BD8" i="91"/>
  <c r="BD9" i="91"/>
  <c r="BD11" i="91"/>
  <c r="BD13" i="91"/>
  <c r="BD14" i="91"/>
  <c r="BD15" i="91"/>
  <c r="BD17" i="91"/>
  <c r="BD18" i="91"/>
  <c r="BD19" i="91"/>
  <c r="BD21" i="91"/>
  <c r="BD22" i="91"/>
  <c r="BD23" i="91"/>
  <c r="BD25" i="91"/>
  <c r="BD26" i="91"/>
  <c r="BD27" i="91"/>
  <c r="BD29" i="91"/>
  <c r="BD30" i="91"/>
  <c r="BD31" i="91"/>
  <c r="BD32" i="91"/>
  <c r="BD33" i="91"/>
  <c r="BD34" i="91"/>
  <c r="BD6" i="92"/>
  <c r="BD8" i="92"/>
  <c r="BD9" i="92"/>
  <c r="BD10" i="92"/>
  <c r="BD12" i="92"/>
  <c r="BD13" i="92"/>
  <c r="BD14" i="92"/>
  <c r="BD16" i="92"/>
  <c r="BD17" i="92"/>
  <c r="BD18" i="92"/>
  <c r="BD20" i="92"/>
  <c r="BD21" i="92"/>
  <c r="BD22" i="92"/>
  <c r="BD24" i="92"/>
  <c r="BD25" i="92"/>
  <c r="BD26" i="92"/>
  <c r="BD28" i="92"/>
  <c r="BD29" i="92"/>
  <c r="BD30" i="92"/>
  <c r="BD32" i="92"/>
  <c r="BD33" i="92"/>
  <c r="BD34" i="92"/>
  <c r="BD34" i="76"/>
  <c r="BD34" i="80"/>
  <c r="BD5" i="92"/>
  <c r="BD4" i="91"/>
  <c r="BD4" i="92"/>
  <c r="BB34" i="89"/>
  <c r="BB34" i="91"/>
  <c r="BB34" i="76"/>
  <c r="BA34" i="89"/>
  <c r="BA34" i="91"/>
  <c r="BA34" i="76"/>
  <c r="K77" i="89"/>
  <c r="K77" i="88"/>
  <c r="K77" i="91"/>
  <c r="K77" i="92"/>
  <c r="K77" i="76"/>
  <c r="K77" i="78"/>
  <c r="K77" i="80"/>
  <c r="K77" i="82"/>
  <c r="K77" i="93"/>
  <c r="K75" i="89"/>
  <c r="K75" i="88"/>
  <c r="K75" i="91"/>
  <c r="K75" i="92"/>
  <c r="K75" i="76"/>
  <c r="K75" i="78"/>
  <c r="K75" i="80"/>
  <c r="K75" i="82"/>
  <c r="K75" i="93"/>
  <c r="K76" i="82"/>
  <c r="K76" i="80"/>
  <c r="K76" i="78"/>
  <c r="K76" i="76"/>
  <c r="K76" i="93"/>
  <c r="K76" i="92"/>
  <c r="K76" i="91"/>
  <c r="K76" i="88"/>
  <c r="K76" i="89"/>
  <c r="K76" i="87"/>
  <c r="AV113" i="84"/>
  <c r="AV91" i="84"/>
  <c r="AV92" i="84"/>
  <c r="AV93" i="84"/>
  <c r="AV94" i="84"/>
  <c r="AV95" i="84"/>
  <c r="AV96" i="84"/>
  <c r="AV97" i="84"/>
  <c r="AV98" i="84"/>
  <c r="AV99" i="84"/>
  <c r="AV100" i="84"/>
  <c r="AV101" i="84"/>
  <c r="AV102" i="84"/>
  <c r="AV103" i="84"/>
  <c r="AV104" i="84"/>
  <c r="AV105" i="84"/>
  <c r="AV106" i="84"/>
  <c r="AV107" i="84"/>
  <c r="AV108" i="84"/>
  <c r="AV109" i="84"/>
  <c r="AV110" i="84"/>
  <c r="AV111" i="84"/>
  <c r="AV112" i="84"/>
  <c r="AV114" i="84"/>
  <c r="AV115" i="84"/>
  <c r="AV116" i="84"/>
  <c r="AV117" i="84"/>
  <c r="AV118" i="84"/>
  <c r="AV119" i="84"/>
  <c r="AV120" i="84"/>
  <c r="AV121" i="84"/>
  <c r="X85" i="84"/>
  <c r="X86" i="84"/>
  <c r="Y26" i="84"/>
  <c r="AC38" i="84"/>
  <c r="AE40" i="84"/>
  <c r="Y27" i="84"/>
  <c r="Y28" i="84"/>
  <c r="Y29" i="84"/>
  <c r="Y4" i="84"/>
  <c r="Y85" i="84"/>
  <c r="Y5" i="84"/>
  <c r="Y6" i="84"/>
  <c r="Y7" i="84"/>
  <c r="Y8" i="84"/>
  <c r="Y9" i="84"/>
  <c r="Y10" i="84"/>
  <c r="Y11" i="84"/>
  <c r="Y12" i="84"/>
  <c r="Y13" i="84"/>
  <c r="Y14" i="84"/>
  <c r="Y15" i="84"/>
  <c r="Y16" i="84"/>
  <c r="Y17" i="84"/>
  <c r="Y18" i="84"/>
  <c r="Y19" i="84"/>
  <c r="Y20" i="84"/>
  <c r="Y21" i="84"/>
  <c r="Y22" i="84"/>
  <c r="Y23" i="84"/>
  <c r="Y24" i="84"/>
  <c r="Y25" i="84"/>
  <c r="Y30" i="84"/>
  <c r="Y31" i="84"/>
  <c r="Y32" i="84"/>
  <c r="Y33" i="84"/>
  <c r="Y34" i="84"/>
  <c r="Y86" i="84"/>
  <c r="P38" i="84"/>
  <c r="R40" i="84"/>
  <c r="R46" i="84"/>
  <c r="S46" i="84"/>
  <c r="R47" i="84"/>
  <c r="AJ68" i="84"/>
  <c r="K82" i="84"/>
  <c r="L82" i="84"/>
  <c r="M82" i="84"/>
  <c r="L83" i="84"/>
  <c r="M83" i="84"/>
  <c r="Q38" i="84"/>
  <c r="AJ65" i="84"/>
  <c r="AY4" i="84"/>
  <c r="A5" i="84"/>
  <c r="AY5" i="84"/>
  <c r="A6" i="84"/>
  <c r="AY6" i="84"/>
  <c r="A7" i="84"/>
  <c r="AY7" i="84"/>
  <c r="A8" i="84"/>
  <c r="A9" i="84"/>
  <c r="A10" i="84"/>
  <c r="A11" i="84"/>
  <c r="A12" i="84"/>
  <c r="A13" i="84"/>
  <c r="A14" i="84"/>
  <c r="A15" i="84"/>
  <c r="A16" i="84"/>
  <c r="A17" i="84"/>
  <c r="A18" i="84"/>
  <c r="A19" i="84"/>
  <c r="A20" i="84"/>
  <c r="A21" i="84"/>
  <c r="A22" i="84"/>
  <c r="A23" i="84"/>
  <c r="A24" i="84"/>
  <c r="A25" i="84"/>
  <c r="A26" i="84"/>
  <c r="A27" i="84"/>
  <c r="A28" i="84"/>
  <c r="A29" i="84"/>
  <c r="A30" i="84"/>
  <c r="A31" i="84"/>
  <c r="A32" i="84"/>
  <c r="A33" i="84"/>
  <c r="A34" i="84"/>
  <c r="N38" i="84"/>
  <c r="H40" i="84"/>
  <c r="M40" i="84"/>
  <c r="BA42" i="84"/>
  <c r="BC42" i="84"/>
  <c r="BF42" i="84"/>
  <c r="BG42" i="84"/>
  <c r="K46" i="84"/>
  <c r="L46" i="84"/>
  <c r="M46" i="84"/>
  <c r="N46" i="84"/>
  <c r="U46" i="84"/>
  <c r="AG46" i="84"/>
  <c r="AH46" i="84"/>
  <c r="AI46" i="84"/>
  <c r="F47" i="84"/>
  <c r="G47" i="84"/>
  <c r="H47" i="84"/>
  <c r="I47" i="84"/>
  <c r="BB49" i="84"/>
  <c r="BB80" i="84"/>
  <c r="BB50" i="84"/>
  <c r="BB51" i="84"/>
  <c r="BB52" i="84"/>
  <c r="BB53" i="84"/>
  <c r="BB54" i="84"/>
  <c r="BB55" i="84"/>
  <c r="BB56" i="84"/>
  <c r="BB57" i="84"/>
  <c r="BB58" i="84"/>
  <c r="BB59" i="84"/>
  <c r="AN60" i="84"/>
  <c r="BB60" i="84"/>
  <c r="BB61" i="84"/>
  <c r="BB62" i="84"/>
  <c r="BB63" i="84"/>
  <c r="BB64" i="84"/>
  <c r="BB65" i="84"/>
  <c r="BB66" i="84"/>
  <c r="BB67" i="84"/>
  <c r="BB68" i="84"/>
  <c r="BB69" i="84"/>
  <c r="BB70" i="84"/>
  <c r="BB71" i="84"/>
  <c r="BB72" i="84"/>
  <c r="BB73" i="84"/>
  <c r="BB74" i="84"/>
  <c r="BB75" i="84"/>
  <c r="BB76" i="84"/>
  <c r="BB77" i="84"/>
  <c r="BB78" i="84"/>
  <c r="BB79" i="84"/>
  <c r="BC79" i="84"/>
  <c r="K80" i="84"/>
  <c r="L80" i="84"/>
  <c r="M80" i="84"/>
  <c r="BC80" i="84"/>
  <c r="BD80" i="84"/>
  <c r="K81" i="84"/>
  <c r="L81" i="84"/>
  <c r="M81" i="84"/>
  <c r="BC83" i="84"/>
  <c r="BA84" i="84"/>
  <c r="BB84" i="84"/>
  <c r="AF85" i="84"/>
  <c r="AZ85" i="84"/>
  <c r="BD85" i="84"/>
  <c r="BE85" i="84"/>
  <c r="BF85" i="84"/>
  <c r="BG85" i="84"/>
  <c r="T86" i="84"/>
  <c r="AF86" i="84"/>
  <c r="AZ86" i="84"/>
  <c r="BA86" i="84"/>
  <c r="BD86" i="84"/>
  <c r="BE86" i="84"/>
  <c r="BF86" i="84"/>
  <c r="BG86" i="84"/>
  <c r="A91" i="84"/>
  <c r="K91" i="84"/>
  <c r="L91" i="84"/>
  <c r="M91" i="84"/>
  <c r="BJ91" i="84"/>
  <c r="N91" i="84"/>
  <c r="O91" i="84"/>
  <c r="P91" i="84"/>
  <c r="Q91" i="84"/>
  <c r="R91" i="84"/>
  <c r="S91" i="84"/>
  <c r="U91" i="84"/>
  <c r="W91" i="84"/>
  <c r="X91" i="84"/>
  <c r="Y91" i="84"/>
  <c r="Z91" i="84"/>
  <c r="AC91" i="84"/>
  <c r="AD91" i="84"/>
  <c r="AF91" i="84"/>
  <c r="AK91" i="84"/>
  <c r="AM91" i="84"/>
  <c r="AO91" i="84"/>
  <c r="AR91" i="84"/>
  <c r="AZ91" i="84"/>
  <c r="BB91" i="84"/>
  <c r="BF91" i="84"/>
  <c r="BG91" i="84"/>
  <c r="A92" i="84"/>
  <c r="K92" i="84"/>
  <c r="L92" i="84"/>
  <c r="M92" i="84"/>
  <c r="BJ92" i="84"/>
  <c r="N92" i="84"/>
  <c r="O92" i="84"/>
  <c r="P92" i="84"/>
  <c r="Q92" i="84"/>
  <c r="R92" i="84"/>
  <c r="S92" i="84"/>
  <c r="U92" i="84"/>
  <c r="W92" i="84"/>
  <c r="X92" i="84"/>
  <c r="Y92" i="84"/>
  <c r="Z92" i="84"/>
  <c r="AC92" i="84"/>
  <c r="AD92" i="84"/>
  <c r="AF92" i="84"/>
  <c r="AK92" i="84"/>
  <c r="AM92" i="84"/>
  <c r="AN92" i="84"/>
  <c r="AO92" i="84"/>
  <c r="AR92" i="84"/>
  <c r="AZ92" i="84"/>
  <c r="BB92" i="84"/>
  <c r="BF92" i="84"/>
  <c r="BG92" i="84"/>
  <c r="A93" i="84"/>
  <c r="K93" i="84"/>
  <c r="L93" i="84"/>
  <c r="M93" i="84"/>
  <c r="BJ93" i="84"/>
  <c r="N93" i="84"/>
  <c r="O93" i="84"/>
  <c r="P93" i="84"/>
  <c r="Q93" i="84"/>
  <c r="R93" i="84"/>
  <c r="S93" i="84"/>
  <c r="U93" i="84"/>
  <c r="W93" i="84"/>
  <c r="X93" i="84"/>
  <c r="Y93" i="84"/>
  <c r="Z93" i="84"/>
  <c r="AD93" i="84"/>
  <c r="AF93" i="84"/>
  <c r="AK93" i="84"/>
  <c r="AM93" i="84"/>
  <c r="AO93" i="84"/>
  <c r="AR93" i="84"/>
  <c r="AZ93" i="84"/>
  <c r="BB93" i="84"/>
  <c r="BF93" i="84"/>
  <c r="BG93" i="84"/>
  <c r="A94" i="84"/>
  <c r="K94" i="84"/>
  <c r="L94" i="84"/>
  <c r="M94" i="84"/>
  <c r="BJ94" i="84"/>
  <c r="N94" i="84"/>
  <c r="O94" i="84"/>
  <c r="P94" i="84"/>
  <c r="Q94" i="84"/>
  <c r="R94" i="84"/>
  <c r="S94" i="84"/>
  <c r="U94" i="84"/>
  <c r="W94" i="84"/>
  <c r="X94" i="84"/>
  <c r="Y94" i="84"/>
  <c r="Z94" i="84"/>
  <c r="AD94" i="84"/>
  <c r="AF94" i="84"/>
  <c r="AK94" i="84"/>
  <c r="AM94" i="84"/>
  <c r="AN94" i="84"/>
  <c r="AT76" i="84"/>
  <c r="AO94" i="84"/>
  <c r="AR94" i="84"/>
  <c r="AZ94" i="84"/>
  <c r="BB94" i="84"/>
  <c r="BF94" i="84"/>
  <c r="BG94" i="84"/>
  <c r="A95" i="84"/>
  <c r="K95" i="84"/>
  <c r="L95" i="84"/>
  <c r="M95" i="84"/>
  <c r="BJ95" i="84"/>
  <c r="N95" i="84"/>
  <c r="O95" i="84"/>
  <c r="P95" i="84"/>
  <c r="Q95" i="84"/>
  <c r="R95" i="84"/>
  <c r="S95" i="84"/>
  <c r="U95" i="84"/>
  <c r="W95" i="84"/>
  <c r="X95" i="84"/>
  <c r="Y95" i="84"/>
  <c r="Z95" i="84"/>
  <c r="AF95" i="84"/>
  <c r="AK95" i="84"/>
  <c r="AM95" i="84"/>
  <c r="AO95" i="84"/>
  <c r="AR95" i="84"/>
  <c r="AZ95" i="84"/>
  <c r="BB95" i="84"/>
  <c r="BF95" i="84"/>
  <c r="BG95" i="84"/>
  <c r="A96" i="84"/>
  <c r="K96" i="84"/>
  <c r="L96" i="84"/>
  <c r="M96" i="84"/>
  <c r="BJ96" i="84"/>
  <c r="N96" i="84"/>
  <c r="O96" i="84"/>
  <c r="P96" i="84"/>
  <c r="Q96" i="84"/>
  <c r="R96" i="84"/>
  <c r="S96" i="84"/>
  <c r="U96" i="84"/>
  <c r="W96" i="84"/>
  <c r="X96" i="84"/>
  <c r="Y96" i="84"/>
  <c r="Z96" i="84"/>
  <c r="AD96" i="84"/>
  <c r="AF96" i="84"/>
  <c r="AK96" i="84"/>
  <c r="AM96" i="84"/>
  <c r="AO96" i="84"/>
  <c r="AR96" i="84"/>
  <c r="AZ96" i="84"/>
  <c r="BB96" i="84"/>
  <c r="BF96" i="84"/>
  <c r="BG96" i="84"/>
  <c r="A97" i="84"/>
  <c r="K97" i="84"/>
  <c r="L97" i="84"/>
  <c r="M97" i="84"/>
  <c r="BJ97" i="84"/>
  <c r="N97" i="84"/>
  <c r="O97" i="84"/>
  <c r="P97" i="84"/>
  <c r="Q97" i="84"/>
  <c r="R97" i="84"/>
  <c r="S97" i="84"/>
  <c r="U97" i="84"/>
  <c r="W97" i="84"/>
  <c r="X97" i="84"/>
  <c r="Y97" i="84"/>
  <c r="Z97" i="84"/>
  <c r="AF97" i="84"/>
  <c r="AK97" i="84"/>
  <c r="AM97" i="84"/>
  <c r="AO97" i="84"/>
  <c r="AR97" i="84"/>
  <c r="AZ97" i="84"/>
  <c r="BB97" i="84"/>
  <c r="BF97" i="84"/>
  <c r="BG97" i="84"/>
  <c r="A98" i="84"/>
  <c r="K98" i="84"/>
  <c r="L98" i="84"/>
  <c r="M98" i="84"/>
  <c r="BJ98" i="84"/>
  <c r="N98" i="84"/>
  <c r="O98" i="84"/>
  <c r="P98" i="84"/>
  <c r="Q98" i="84"/>
  <c r="R98" i="84"/>
  <c r="S98" i="84"/>
  <c r="U98" i="84"/>
  <c r="W98" i="84"/>
  <c r="X98" i="84"/>
  <c r="Y98" i="84"/>
  <c r="Z98" i="84"/>
  <c r="AD98" i="84"/>
  <c r="AF98" i="84"/>
  <c r="AK98" i="84"/>
  <c r="AM98" i="84"/>
  <c r="AO98" i="84"/>
  <c r="AR98" i="84"/>
  <c r="AZ98" i="84"/>
  <c r="BB98" i="84"/>
  <c r="BF98" i="84"/>
  <c r="BG98" i="84"/>
  <c r="A99" i="84"/>
  <c r="K99" i="84"/>
  <c r="L99" i="84"/>
  <c r="M99" i="84"/>
  <c r="BJ99" i="84"/>
  <c r="N99" i="84"/>
  <c r="O99" i="84"/>
  <c r="P99" i="84"/>
  <c r="Q99" i="84"/>
  <c r="R99" i="84"/>
  <c r="S99" i="84"/>
  <c r="U99" i="84"/>
  <c r="W99" i="84"/>
  <c r="X99" i="84"/>
  <c r="Y99" i="84"/>
  <c r="Z99" i="84"/>
  <c r="AF99" i="84"/>
  <c r="AK99" i="84"/>
  <c r="AM99" i="84"/>
  <c r="AN99" i="84"/>
  <c r="AO99" i="84"/>
  <c r="AR99" i="84"/>
  <c r="AZ99" i="84"/>
  <c r="BB99" i="84"/>
  <c r="BF99" i="84"/>
  <c r="BG99" i="84"/>
  <c r="A100" i="84"/>
  <c r="K100" i="84"/>
  <c r="L100" i="84"/>
  <c r="M100" i="84"/>
  <c r="BJ100" i="84"/>
  <c r="N100" i="84"/>
  <c r="O100" i="84"/>
  <c r="P100" i="84"/>
  <c r="Q100" i="84"/>
  <c r="R100" i="84"/>
  <c r="S100" i="84"/>
  <c r="U100" i="84"/>
  <c r="W100" i="84"/>
  <c r="X100" i="84"/>
  <c r="Y100" i="84"/>
  <c r="Z100" i="84"/>
  <c r="AD100" i="84"/>
  <c r="AF100" i="84"/>
  <c r="AK100" i="84"/>
  <c r="AM100" i="84"/>
  <c r="AO100" i="84"/>
  <c r="AR100" i="84"/>
  <c r="AZ100" i="84"/>
  <c r="BB100" i="84"/>
  <c r="BF100" i="84"/>
  <c r="BG100" i="84"/>
  <c r="A101" i="84"/>
  <c r="K101" i="84"/>
  <c r="L101" i="84"/>
  <c r="M101" i="84"/>
  <c r="BJ101" i="84"/>
  <c r="N101" i="84"/>
  <c r="O101" i="84"/>
  <c r="P101" i="84"/>
  <c r="Q101" i="84"/>
  <c r="R101" i="84"/>
  <c r="S101" i="84"/>
  <c r="U101" i="84"/>
  <c r="W101" i="84"/>
  <c r="X101" i="84"/>
  <c r="Y101" i="84"/>
  <c r="Z101" i="84"/>
  <c r="AF101" i="84"/>
  <c r="AK101" i="84"/>
  <c r="AM101" i="84"/>
  <c r="AO101" i="84"/>
  <c r="AR101" i="84"/>
  <c r="AZ101" i="84"/>
  <c r="BB101" i="84"/>
  <c r="BF101" i="84"/>
  <c r="BG101" i="84"/>
  <c r="A102" i="84"/>
  <c r="K102" i="84"/>
  <c r="L102" i="84"/>
  <c r="M102" i="84"/>
  <c r="BJ102" i="84"/>
  <c r="N102" i="84"/>
  <c r="O102" i="84"/>
  <c r="P102" i="84"/>
  <c r="Q102" i="84"/>
  <c r="R102" i="84"/>
  <c r="S102" i="84"/>
  <c r="U102" i="84"/>
  <c r="W102" i="84"/>
  <c r="X102" i="84"/>
  <c r="Y102" i="84"/>
  <c r="Z102" i="84"/>
  <c r="AD102" i="84"/>
  <c r="AF102" i="84"/>
  <c r="AK102" i="84"/>
  <c r="AM102" i="84"/>
  <c r="AN102" i="84" a="1"/>
  <c r="AN102" i="84"/>
  <c r="AO102" i="84"/>
  <c r="AR102" i="84"/>
  <c r="AZ102" i="84"/>
  <c r="BB102" i="84"/>
  <c r="BF102" i="84"/>
  <c r="BG102" i="84"/>
  <c r="A103" i="84"/>
  <c r="K103" i="84"/>
  <c r="L103" i="84"/>
  <c r="M103" i="84"/>
  <c r="BJ103" i="84"/>
  <c r="N103" i="84"/>
  <c r="O103" i="84"/>
  <c r="P103" i="84"/>
  <c r="Q103" i="84"/>
  <c r="R103" i="84"/>
  <c r="S103" i="84"/>
  <c r="U103" i="84"/>
  <c r="W103" i="84"/>
  <c r="X103" i="84"/>
  <c r="Y103" i="84"/>
  <c r="Z103" i="84"/>
  <c r="AF103" i="84"/>
  <c r="AK103" i="84"/>
  <c r="AM103" i="84"/>
  <c r="AN103" i="84"/>
  <c r="AO103" i="84"/>
  <c r="AR103" i="84"/>
  <c r="AZ103" i="84"/>
  <c r="BB103" i="84"/>
  <c r="BF103" i="84"/>
  <c r="BG103" i="84"/>
  <c r="A104" i="84"/>
  <c r="K104" i="84"/>
  <c r="L104" i="84"/>
  <c r="M104" i="84"/>
  <c r="BJ104" i="84"/>
  <c r="N104" i="84"/>
  <c r="O104" i="84"/>
  <c r="P104" i="84"/>
  <c r="Q104" i="84"/>
  <c r="R104" i="84"/>
  <c r="S104" i="84"/>
  <c r="U104" i="84"/>
  <c r="W104" i="84"/>
  <c r="X104" i="84"/>
  <c r="Y104" i="84"/>
  <c r="Z104" i="84"/>
  <c r="AD104" i="84"/>
  <c r="AF104" i="84"/>
  <c r="AK104" i="84"/>
  <c r="AM104" i="84"/>
  <c r="AN104" i="84"/>
  <c r="AO104" i="84"/>
  <c r="AR104" i="84"/>
  <c r="AZ104" i="84"/>
  <c r="BB104" i="84"/>
  <c r="BF104" i="84"/>
  <c r="BG104" i="84"/>
  <c r="A105" i="84"/>
  <c r="K105" i="84"/>
  <c r="L105" i="84"/>
  <c r="M105" i="84"/>
  <c r="BJ105" i="84"/>
  <c r="N105" i="84"/>
  <c r="O105" i="84"/>
  <c r="P105" i="84"/>
  <c r="Q105" i="84"/>
  <c r="R105" i="84"/>
  <c r="S105" i="84"/>
  <c r="U105" i="84"/>
  <c r="W105" i="84"/>
  <c r="X105" i="84"/>
  <c r="Y105" i="84"/>
  <c r="Z105" i="84"/>
  <c r="AF105" i="84"/>
  <c r="AK105" i="84"/>
  <c r="AM105" i="84"/>
  <c r="AO105" i="84"/>
  <c r="AR105" i="84"/>
  <c r="AZ105" i="84"/>
  <c r="BB105" i="84"/>
  <c r="BF105" i="84"/>
  <c r="BG105" i="84"/>
  <c r="A106" i="84"/>
  <c r="K106" i="84"/>
  <c r="L106" i="84"/>
  <c r="M106" i="84"/>
  <c r="BJ106" i="84"/>
  <c r="N106" i="84"/>
  <c r="O106" i="84"/>
  <c r="P106" i="84"/>
  <c r="Q106" i="84"/>
  <c r="R106" i="84"/>
  <c r="S106" i="84"/>
  <c r="U106" i="84"/>
  <c r="W106" i="84"/>
  <c r="X106" i="84"/>
  <c r="Y106" i="84"/>
  <c r="Z106" i="84"/>
  <c r="AD106" i="84"/>
  <c r="AF106" i="84"/>
  <c r="AK106" i="84"/>
  <c r="AM106" i="84"/>
  <c r="AO106" i="84"/>
  <c r="AR106" i="84"/>
  <c r="AZ106" i="84"/>
  <c r="BB106" i="84"/>
  <c r="BF106" i="84"/>
  <c r="BG106" i="84"/>
  <c r="A107" i="84"/>
  <c r="K107" i="84"/>
  <c r="L107" i="84"/>
  <c r="M107" i="84"/>
  <c r="BJ107" i="84"/>
  <c r="N107" i="84"/>
  <c r="O107" i="84"/>
  <c r="P107" i="84"/>
  <c r="Q107" i="84"/>
  <c r="R107" i="84"/>
  <c r="S107" i="84"/>
  <c r="U107" i="84"/>
  <c r="W107" i="84"/>
  <c r="X107" i="84"/>
  <c r="Y107" i="84"/>
  <c r="Z107" i="84"/>
  <c r="AF107" i="84"/>
  <c r="AK107" i="84"/>
  <c r="AM107" i="84"/>
  <c r="AO107" i="84"/>
  <c r="AR107" i="84"/>
  <c r="AZ107" i="84"/>
  <c r="BB107" i="84"/>
  <c r="BF107" i="84"/>
  <c r="BG107" i="84"/>
  <c r="A108" i="84"/>
  <c r="K108" i="84"/>
  <c r="L108" i="84"/>
  <c r="M108" i="84"/>
  <c r="BJ108" i="84"/>
  <c r="N108" i="84"/>
  <c r="O108" i="84"/>
  <c r="P108" i="84"/>
  <c r="Q108" i="84"/>
  <c r="R108" i="84"/>
  <c r="S108" i="84"/>
  <c r="U108" i="84"/>
  <c r="W108" i="84"/>
  <c r="X108" i="84"/>
  <c r="Y108" i="84"/>
  <c r="Z108" i="84"/>
  <c r="AD108" i="84"/>
  <c r="AF108" i="84"/>
  <c r="AK108" i="84"/>
  <c r="AM108" i="84"/>
  <c r="AN108" i="84"/>
  <c r="AO108" i="84"/>
  <c r="AR108" i="84"/>
  <c r="AZ108" i="84"/>
  <c r="BB108" i="84"/>
  <c r="BF108" i="84"/>
  <c r="BG108" i="84"/>
  <c r="A109" i="84"/>
  <c r="K109" i="84"/>
  <c r="L109" i="84"/>
  <c r="M109" i="84"/>
  <c r="BJ109" i="84"/>
  <c r="N109" i="84"/>
  <c r="O109" i="84"/>
  <c r="P109" i="84"/>
  <c r="Q109" i="84"/>
  <c r="R109" i="84"/>
  <c r="S109" i="84"/>
  <c r="U109" i="84"/>
  <c r="W109" i="84"/>
  <c r="X109" i="84"/>
  <c r="Y109" i="84"/>
  <c r="Z109" i="84"/>
  <c r="AF109" i="84"/>
  <c r="AK109" i="84"/>
  <c r="AM109" i="84"/>
  <c r="AO109" i="84"/>
  <c r="AQ109" i="84"/>
  <c r="AR109" i="84"/>
  <c r="AZ109" i="84"/>
  <c r="BB109" i="84"/>
  <c r="BF109" i="84"/>
  <c r="BG109" i="84"/>
  <c r="A110" i="84"/>
  <c r="K110" i="84"/>
  <c r="L110" i="84"/>
  <c r="M110" i="84"/>
  <c r="BJ110" i="84"/>
  <c r="N110" i="84"/>
  <c r="O110" i="84"/>
  <c r="P110" i="84"/>
  <c r="Q110" i="84"/>
  <c r="R110" i="84"/>
  <c r="S110" i="84"/>
  <c r="U110" i="84"/>
  <c r="W110" i="84"/>
  <c r="X110" i="84"/>
  <c r="Y110" i="84"/>
  <c r="Z110" i="84"/>
  <c r="AD110" i="84"/>
  <c r="AF110" i="84"/>
  <c r="AK110" i="84"/>
  <c r="AM110" i="84"/>
  <c r="AO110" i="84"/>
  <c r="AR110" i="84"/>
  <c r="AZ110" i="84"/>
  <c r="BB110" i="84"/>
  <c r="BF110" i="84"/>
  <c r="BG110" i="84"/>
  <c r="A111" i="84"/>
  <c r="K111" i="84"/>
  <c r="L111" i="84"/>
  <c r="M111" i="84"/>
  <c r="BJ111" i="84"/>
  <c r="N111" i="84"/>
  <c r="O111" i="84"/>
  <c r="P111" i="84"/>
  <c r="Q111" i="84"/>
  <c r="R111" i="84"/>
  <c r="S111" i="84"/>
  <c r="U111" i="84"/>
  <c r="W111" i="84"/>
  <c r="X111" i="84"/>
  <c r="Y111" i="84"/>
  <c r="Z111" i="84"/>
  <c r="AF111" i="84"/>
  <c r="AK111" i="84"/>
  <c r="AM111" i="84"/>
  <c r="AO111" i="84"/>
  <c r="AQ111" i="84"/>
  <c r="AR111" i="84"/>
  <c r="AZ111" i="84"/>
  <c r="BB111" i="84"/>
  <c r="BF111" i="84"/>
  <c r="BG111" i="84"/>
  <c r="A112" i="84"/>
  <c r="K112" i="84"/>
  <c r="L112" i="84"/>
  <c r="M112" i="84"/>
  <c r="BJ112" i="84"/>
  <c r="N112" i="84"/>
  <c r="O112" i="84"/>
  <c r="P112" i="84"/>
  <c r="Q112" i="84"/>
  <c r="R112" i="84"/>
  <c r="S112" i="84"/>
  <c r="U112" i="84"/>
  <c r="W112" i="84"/>
  <c r="X112" i="84"/>
  <c r="Y112" i="84"/>
  <c r="Z112" i="84"/>
  <c r="AD112" i="84"/>
  <c r="AF112" i="84"/>
  <c r="AK112" i="84"/>
  <c r="AM112" i="84"/>
  <c r="AO112" i="84"/>
  <c r="AR112" i="84"/>
  <c r="AZ112" i="84"/>
  <c r="BB112" i="84"/>
  <c r="BF112" i="84"/>
  <c r="BG112" i="84"/>
  <c r="A113" i="84"/>
  <c r="K113" i="84"/>
  <c r="L113" i="84"/>
  <c r="M113" i="84"/>
  <c r="BJ113" i="84"/>
  <c r="N113" i="84"/>
  <c r="O113" i="84"/>
  <c r="P113" i="84"/>
  <c r="Q113" i="84"/>
  <c r="R113" i="84"/>
  <c r="S113" i="84"/>
  <c r="U113" i="84"/>
  <c r="W113" i="84"/>
  <c r="X113" i="84"/>
  <c r="Y113" i="84"/>
  <c r="Z113" i="84"/>
  <c r="AF113" i="84"/>
  <c r="AK113" i="84"/>
  <c r="AM113" i="84"/>
  <c r="AO113" i="84"/>
  <c r="AR113" i="84"/>
  <c r="AZ113" i="84"/>
  <c r="BB113" i="84"/>
  <c r="BF113" i="84"/>
  <c r="BG113" i="84"/>
  <c r="A114" i="84"/>
  <c r="K114" i="84"/>
  <c r="L114" i="84"/>
  <c r="M114" i="84"/>
  <c r="BJ114" i="84"/>
  <c r="N114" i="84"/>
  <c r="O114" i="84"/>
  <c r="P114" i="84"/>
  <c r="Q114" i="84"/>
  <c r="R114" i="84"/>
  <c r="S114" i="84"/>
  <c r="U114" i="84"/>
  <c r="W114" i="84"/>
  <c r="X114" i="84"/>
  <c r="Y114" i="84"/>
  <c r="Z114" i="84"/>
  <c r="AD114" i="84"/>
  <c r="AF114" i="84"/>
  <c r="AK114" i="84"/>
  <c r="AM114" i="84"/>
  <c r="AO114" i="84"/>
  <c r="AR114" i="84"/>
  <c r="AZ114" i="84"/>
  <c r="BB114" i="84"/>
  <c r="BF114" i="84"/>
  <c r="BG114" i="84"/>
  <c r="A115" i="84"/>
  <c r="K115" i="84"/>
  <c r="L115" i="84"/>
  <c r="M115" i="84"/>
  <c r="BJ115" i="84"/>
  <c r="N115" i="84"/>
  <c r="O115" i="84"/>
  <c r="P115" i="84"/>
  <c r="Q115" i="84"/>
  <c r="R115" i="84"/>
  <c r="S115" i="84"/>
  <c r="U115" i="84"/>
  <c r="W115" i="84"/>
  <c r="X115" i="84"/>
  <c r="Y115" i="84"/>
  <c r="Z115" i="84"/>
  <c r="AF115" i="84"/>
  <c r="AK115" i="84"/>
  <c r="AM115" i="84"/>
  <c r="AO115" i="84"/>
  <c r="AR115" i="84"/>
  <c r="AZ115" i="84"/>
  <c r="BB115" i="84"/>
  <c r="BF115" i="84"/>
  <c r="BG115" i="84"/>
  <c r="A116" i="84"/>
  <c r="K116" i="84"/>
  <c r="L116" i="84"/>
  <c r="M116" i="84"/>
  <c r="BJ116" i="84"/>
  <c r="N116" i="84"/>
  <c r="O116" i="84"/>
  <c r="P116" i="84"/>
  <c r="Q116" i="84"/>
  <c r="R116" i="84"/>
  <c r="S116" i="84"/>
  <c r="U116" i="84"/>
  <c r="W116" i="84"/>
  <c r="X116" i="84"/>
  <c r="Y116" i="84"/>
  <c r="Z116" i="84"/>
  <c r="AD116" i="84"/>
  <c r="AF116" i="84"/>
  <c r="AK116" i="84"/>
  <c r="AM116" i="84"/>
  <c r="AO116" i="84"/>
  <c r="AR116" i="84"/>
  <c r="AZ116" i="84"/>
  <c r="BB116" i="84"/>
  <c r="BF116" i="84"/>
  <c r="BG116" i="84"/>
  <c r="A117" i="84"/>
  <c r="K117" i="84"/>
  <c r="L117" i="84"/>
  <c r="M117" i="84"/>
  <c r="BJ117" i="84"/>
  <c r="N117" i="84"/>
  <c r="O117" i="84"/>
  <c r="P117" i="84"/>
  <c r="Q117" i="84"/>
  <c r="R117" i="84"/>
  <c r="S117" i="84"/>
  <c r="U117" i="84"/>
  <c r="W117" i="84"/>
  <c r="X117" i="84"/>
  <c r="Y117" i="84"/>
  <c r="Z117" i="84"/>
  <c r="AF117" i="84"/>
  <c r="AK117" i="84"/>
  <c r="AM117" i="84"/>
  <c r="AO117" i="84"/>
  <c r="AR117" i="84"/>
  <c r="AZ117" i="84"/>
  <c r="BB117" i="84"/>
  <c r="BF117" i="84"/>
  <c r="BG117" i="84"/>
  <c r="A118" i="84"/>
  <c r="K118" i="84"/>
  <c r="L118" i="84"/>
  <c r="M118" i="84"/>
  <c r="BJ118" i="84"/>
  <c r="N118" i="84"/>
  <c r="O118" i="84"/>
  <c r="P118" i="84"/>
  <c r="Q118" i="84"/>
  <c r="R118" i="84"/>
  <c r="S118" i="84"/>
  <c r="U118" i="84"/>
  <c r="W118" i="84"/>
  <c r="X118" i="84"/>
  <c r="Y118" i="84"/>
  <c r="Z118" i="84"/>
  <c r="AD118" i="84"/>
  <c r="AF118" i="84"/>
  <c r="AK118" i="84"/>
  <c r="AM118" i="84"/>
  <c r="AO118" i="84"/>
  <c r="AR118" i="84"/>
  <c r="AZ118" i="84"/>
  <c r="BB118" i="84"/>
  <c r="BF118" i="84"/>
  <c r="BG118" i="84"/>
  <c r="A119" i="84"/>
  <c r="K119" i="84"/>
  <c r="L119" i="84"/>
  <c r="M119" i="84"/>
  <c r="BJ119" i="84"/>
  <c r="N119" i="84"/>
  <c r="O119" i="84"/>
  <c r="P119" i="84"/>
  <c r="Q119" i="84"/>
  <c r="R119" i="84"/>
  <c r="S119" i="84"/>
  <c r="U119" i="84"/>
  <c r="W119" i="84"/>
  <c r="X119" i="84"/>
  <c r="Y119" i="84"/>
  <c r="Z119" i="84"/>
  <c r="AF119" i="84"/>
  <c r="AK119" i="84"/>
  <c r="AM119" i="84"/>
  <c r="AO119" i="84"/>
  <c r="AR119" i="84"/>
  <c r="AZ119" i="84"/>
  <c r="BB119" i="84"/>
  <c r="BF119" i="84"/>
  <c r="BG119" i="84"/>
  <c r="A120" i="84"/>
  <c r="K120" i="84"/>
  <c r="L120" i="84"/>
  <c r="M120" i="84"/>
  <c r="BJ120" i="84"/>
  <c r="N120" i="84"/>
  <c r="O120" i="84"/>
  <c r="P120" i="84"/>
  <c r="Q120" i="84"/>
  <c r="R120" i="84"/>
  <c r="S120" i="84"/>
  <c r="U120" i="84"/>
  <c r="W120" i="84"/>
  <c r="X120" i="84"/>
  <c r="Y120" i="84"/>
  <c r="Z120" i="84"/>
  <c r="AD120" i="84"/>
  <c r="AF120" i="84"/>
  <c r="AK120" i="84"/>
  <c r="AM120" i="84"/>
  <c r="AO120" i="84"/>
  <c r="AR120" i="84"/>
  <c r="AZ120" i="84"/>
  <c r="BB120" i="84"/>
  <c r="BF120" i="84"/>
  <c r="BG120" i="84"/>
  <c r="A121" i="84"/>
  <c r="K121" i="84"/>
  <c r="L121" i="84"/>
  <c r="M121" i="84"/>
  <c r="BJ121" i="84"/>
  <c r="N121" i="84"/>
  <c r="O121" i="84"/>
  <c r="P121" i="84"/>
  <c r="Q121" i="84"/>
  <c r="R121" i="84"/>
  <c r="S121" i="84"/>
  <c r="U121" i="84"/>
  <c r="W121" i="84"/>
  <c r="X121" i="84"/>
  <c r="Y121" i="84"/>
  <c r="Z121" i="84"/>
  <c r="AC121" i="84"/>
  <c r="AF121" i="84"/>
  <c r="AK121" i="84"/>
  <c r="AM121" i="84"/>
  <c r="AO121" i="84"/>
  <c r="AR121" i="84"/>
  <c r="AZ121" i="84"/>
  <c r="BB121" i="84"/>
  <c r="BF121" i="84"/>
  <c r="BG121" i="84"/>
  <c r="W123" i="84"/>
  <c r="X123" i="84"/>
  <c r="BC80" i="82"/>
  <c r="BD80" i="82" s="1"/>
  <c r="AG91" i="82"/>
  <c r="AG92" i="82"/>
  <c r="AG93" i="82"/>
  <c r="AG94" i="82"/>
  <c r="AG95" i="82"/>
  <c r="AG96" i="82"/>
  <c r="AG97" i="82"/>
  <c r="AG98" i="82"/>
  <c r="AG99" i="82"/>
  <c r="AG100" i="82"/>
  <c r="AG101" i="82"/>
  <c r="AG102" i="82"/>
  <c r="AG103" i="82"/>
  <c r="AG104" i="82"/>
  <c r="AG105" i="82"/>
  <c r="AG106" i="82"/>
  <c r="AG107" i="82"/>
  <c r="AG108" i="82"/>
  <c r="AG109" i="82"/>
  <c r="AG110" i="82"/>
  <c r="AG111" i="82"/>
  <c r="AG112" i="82"/>
  <c r="AG113" i="82"/>
  <c r="AG114" i="82"/>
  <c r="AY4" i="82"/>
  <c r="A5" i="82"/>
  <c r="A6" i="82"/>
  <c r="A7" i="82"/>
  <c r="A8" i="82"/>
  <c r="A9" i="82"/>
  <c r="A10" i="82"/>
  <c r="A11" i="82"/>
  <c r="A12" i="82"/>
  <c r="A13" i="82"/>
  <c r="A14" i="82"/>
  <c r="A15" i="82"/>
  <c r="A16" i="82"/>
  <c r="A17" i="82"/>
  <c r="A18" i="82"/>
  <c r="A19" i="82"/>
  <c r="A20" i="82"/>
  <c r="A21" i="82"/>
  <c r="A22" i="82"/>
  <c r="A23" i="82"/>
  <c r="A24" i="82"/>
  <c r="A25" i="82"/>
  <c r="A26" i="82"/>
  <c r="A27" i="82"/>
  <c r="A28" i="82"/>
  <c r="A29" i="82"/>
  <c r="A30" i="82"/>
  <c r="A31" i="82"/>
  <c r="A32" i="82"/>
  <c r="A33" i="82"/>
  <c r="E5" i="82"/>
  <c r="AY5" i="82"/>
  <c r="E6" i="82"/>
  <c r="E7" i="82"/>
  <c r="AY6" i="82"/>
  <c r="AY7" i="82"/>
  <c r="N38" i="82"/>
  <c r="P38" i="82"/>
  <c r="Q38" i="82"/>
  <c r="AU38" i="82"/>
  <c r="AV38" i="82"/>
  <c r="AV40" i="82"/>
  <c r="AX38" i="82"/>
  <c r="BA38" i="82"/>
  <c r="BC38" i="82"/>
  <c r="C39" i="82"/>
  <c r="C40" i="82"/>
  <c r="I39" i="82"/>
  <c r="AD39" i="82"/>
  <c r="F40" i="82"/>
  <c r="G40" i="82"/>
  <c r="H40" i="82"/>
  <c r="I40" i="82"/>
  <c r="M40" i="82"/>
  <c r="R40" i="82"/>
  <c r="R46" i="82"/>
  <c r="U40" i="82"/>
  <c r="V40" i="82"/>
  <c r="W40" i="82"/>
  <c r="X40" i="82"/>
  <c r="AA40" i="82"/>
  <c r="AE40" i="82"/>
  <c r="AN40" i="82"/>
  <c r="AP47" i="82"/>
  <c r="AQ47" i="82"/>
  <c r="AQ40" i="82"/>
  <c r="AT40" i="82"/>
  <c r="AU40" i="82"/>
  <c r="BA40" i="82"/>
  <c r="AQ85" i="82"/>
  <c r="AQ42" i="82"/>
  <c r="BA42" i="82"/>
  <c r="BB42" i="82"/>
  <c r="BC42" i="82"/>
  <c r="BF42" i="82"/>
  <c r="BG42" i="82"/>
  <c r="BH86" i="82"/>
  <c r="BH85" i="82"/>
  <c r="BH42" i="82"/>
  <c r="AN91" i="82"/>
  <c r="AN43" i="82"/>
  <c r="AP43" i="82"/>
  <c r="AQ43" i="82"/>
  <c r="BA43" i="82"/>
  <c r="BB43" i="82"/>
  <c r="BC43" i="82"/>
  <c r="BF43" i="82"/>
  <c r="BG43" i="82"/>
  <c r="BH43" i="82"/>
  <c r="F46" i="82"/>
  <c r="G46" i="82"/>
  <c r="AY80" i="82"/>
  <c r="I46" i="82"/>
  <c r="K46" i="82"/>
  <c r="L46" i="82"/>
  <c r="M46" i="82"/>
  <c r="N46" i="82"/>
  <c r="U46" i="82"/>
  <c r="AG46" i="82"/>
  <c r="AH46" i="82"/>
  <c r="AI46" i="82"/>
  <c r="AJ46" i="82"/>
  <c r="AP46" i="82"/>
  <c r="AQ46" i="82"/>
  <c r="F47" i="82"/>
  <c r="G47" i="82"/>
  <c r="H47" i="82"/>
  <c r="I47" i="82"/>
  <c r="R47" i="82"/>
  <c r="AB48" i="82"/>
  <c r="Z40" i="82"/>
  <c r="M54" i="82"/>
  <c r="AC47" i="82"/>
  <c r="BB49" i="82"/>
  <c r="BC49" i="82"/>
  <c r="BB50" i="82"/>
  <c r="BC50" i="82"/>
  <c r="BB51" i="82"/>
  <c r="BC51" i="82"/>
  <c r="AA52" i="82"/>
  <c r="BB52" i="82"/>
  <c r="BC52" i="82"/>
  <c r="BB53" i="82"/>
  <c r="BC53" i="82"/>
  <c r="AP54" i="82"/>
  <c r="AP40" i="82"/>
  <c r="BB54" i="82"/>
  <c r="BC54" i="82"/>
  <c r="X55" i="82"/>
  <c r="BB55" i="82"/>
  <c r="BC55" i="82"/>
  <c r="BB56" i="82"/>
  <c r="BC56" i="82"/>
  <c r="BB57" i="82"/>
  <c r="BC57" i="82"/>
  <c r="BB58" i="82"/>
  <c r="BC58" i="82"/>
  <c r="BB59" i="82"/>
  <c r="BC59" i="82"/>
  <c r="BB60" i="82"/>
  <c r="BC60" i="82"/>
  <c r="BB61" i="82"/>
  <c r="BC61" i="82"/>
  <c r="BB62" i="82"/>
  <c r="BC62" i="82"/>
  <c r="BB63" i="82"/>
  <c r="BC63" i="82"/>
  <c r="BB64" i="82"/>
  <c r="BC64" i="82"/>
  <c r="AJ65" i="82"/>
  <c r="BB65" i="82"/>
  <c r="BC65" i="82"/>
  <c r="BB66" i="82"/>
  <c r="BC66" i="82"/>
  <c r="BB67" i="82"/>
  <c r="BC67" i="82"/>
  <c r="AJ68" i="82"/>
  <c r="BB68" i="82"/>
  <c r="BC68" i="82"/>
  <c r="BB69" i="82"/>
  <c r="BC69" i="82"/>
  <c r="BB70" i="82"/>
  <c r="BC70" i="82"/>
  <c r="BB71" i="82"/>
  <c r="BC71" i="82"/>
  <c r="BB72" i="82"/>
  <c r="BC72" i="82"/>
  <c r="AN67" i="82" a="1"/>
  <c r="BB73" i="82"/>
  <c r="BC73" i="82"/>
  <c r="K74" i="82"/>
  <c r="K80" i="82"/>
  <c r="M74" i="82"/>
  <c r="BB74" i="82"/>
  <c r="BC74" i="82"/>
  <c r="BB75" i="82"/>
  <c r="BC75" i="82"/>
  <c r="M76" i="82"/>
  <c r="AN76" i="82"/>
  <c r="BB76" i="82"/>
  <c r="BC76" i="82"/>
  <c r="L77" i="82"/>
  <c r="M77" i="82"/>
  <c r="BB77" i="82"/>
  <c r="BC77" i="82"/>
  <c r="AY81" i="82"/>
  <c r="AY82" i="82"/>
  <c r="H46" i="82"/>
  <c r="L78" i="82"/>
  <c r="BB78" i="82"/>
  <c r="BC78" i="82"/>
  <c r="K79" i="82"/>
  <c r="BB79" i="82"/>
  <c r="BC79" i="82"/>
  <c r="L80" i="82"/>
  <c r="BB80" i="82"/>
  <c r="K81" i="82"/>
  <c r="K82" i="82"/>
  <c r="L82" i="82"/>
  <c r="K83" i="82"/>
  <c r="C91" i="82"/>
  <c r="B91" i="82"/>
  <c r="E91" i="82"/>
  <c r="BA83" i="82"/>
  <c r="BC83" i="82"/>
  <c r="BA84" i="82"/>
  <c r="BB84" i="82"/>
  <c r="C85" i="82"/>
  <c r="X85" i="82"/>
  <c r="Y85" i="82"/>
  <c r="AF85" i="82"/>
  <c r="AZ85" i="82"/>
  <c r="BD85" i="82"/>
  <c r="BE85" i="82"/>
  <c r="BF85" i="82"/>
  <c r="BG85" i="82"/>
  <c r="B86" i="82"/>
  <c r="T86" i="82"/>
  <c r="X86" i="82"/>
  <c r="Y86" i="82"/>
  <c r="AF86" i="82"/>
  <c r="AZ86" i="82"/>
  <c r="BA86" i="82"/>
  <c r="BD86" i="82"/>
  <c r="BE86" i="82"/>
  <c r="BF86" i="82"/>
  <c r="BG86" i="82"/>
  <c r="A91" i="82"/>
  <c r="D91" i="82"/>
  <c r="H91" i="82"/>
  <c r="K91" i="82"/>
  <c r="L91" i="82"/>
  <c r="M91" i="82"/>
  <c r="BJ91" i="82"/>
  <c r="N91" i="82"/>
  <c r="O91" i="82"/>
  <c r="P91" i="82"/>
  <c r="Q91" i="82"/>
  <c r="R91" i="82"/>
  <c r="S91" i="82"/>
  <c r="U91" i="82"/>
  <c r="W91" i="82"/>
  <c r="X91" i="82"/>
  <c r="Y91" i="82"/>
  <c r="Z91" i="82"/>
  <c r="AA91" i="82"/>
  <c r="BI4" i="82"/>
  <c r="AC91" i="82"/>
  <c r="AD91" i="82"/>
  <c r="AF91" i="82"/>
  <c r="AT123" i="82"/>
  <c r="AS91" i="82"/>
  <c r="AK91" i="82"/>
  <c r="AM91" i="82"/>
  <c r="AO91" i="82"/>
  <c r="AR91" i="82"/>
  <c r="AV91" i="82"/>
  <c r="AZ91" i="82"/>
  <c r="BF91" i="82"/>
  <c r="BG91" i="82"/>
  <c r="A92" i="82"/>
  <c r="B92" i="82"/>
  <c r="C92" i="82"/>
  <c r="D92" i="82"/>
  <c r="E92" i="82"/>
  <c r="H92" i="82"/>
  <c r="K92" i="82"/>
  <c r="L92" i="82"/>
  <c r="M92" i="82"/>
  <c r="BJ92" i="82"/>
  <c r="N92" i="82"/>
  <c r="O92" i="82"/>
  <c r="P92" i="82"/>
  <c r="Q92" i="82"/>
  <c r="R92" i="82"/>
  <c r="S92" i="82"/>
  <c r="U92" i="82"/>
  <c r="W92" i="82"/>
  <c r="X92" i="82"/>
  <c r="Y92" i="82"/>
  <c r="Z92" i="82"/>
  <c r="AA92" i="82"/>
  <c r="BI5" i="82"/>
  <c r="AC92" i="82"/>
  <c r="AF92" i="82"/>
  <c r="AS92" i="82"/>
  <c r="AK92" i="82"/>
  <c r="AM92" i="82"/>
  <c r="AO92" i="82"/>
  <c r="AR92" i="82"/>
  <c r="AV92" i="82"/>
  <c r="AZ92" i="82"/>
  <c r="BF92" i="82"/>
  <c r="BG92" i="82"/>
  <c r="A93" i="82"/>
  <c r="B93" i="82"/>
  <c r="E93" i="82"/>
  <c r="C93" i="82"/>
  <c r="D93" i="82"/>
  <c r="H93" i="82"/>
  <c r="K93" i="82"/>
  <c r="L93" i="82"/>
  <c r="M93" i="82"/>
  <c r="BJ93" i="82"/>
  <c r="N93" i="82"/>
  <c r="O93" i="82"/>
  <c r="P93" i="82"/>
  <c r="Q93" i="82"/>
  <c r="R93" i="82"/>
  <c r="S93" i="82"/>
  <c r="U93" i="82"/>
  <c r="W93" i="82"/>
  <c r="X93" i="82"/>
  <c r="Y93" i="82"/>
  <c r="Z93" i="82"/>
  <c r="AA93" i="82"/>
  <c r="BI6" i="82"/>
  <c r="AF93" i="82"/>
  <c r="AK93" i="82"/>
  <c r="AM93" i="82"/>
  <c r="AO93" i="82"/>
  <c r="AR93" i="82"/>
  <c r="AV93" i="82"/>
  <c r="AZ93" i="82"/>
  <c r="BF93" i="82"/>
  <c r="BG93" i="82"/>
  <c r="A94" i="82"/>
  <c r="B94" i="82"/>
  <c r="C94" i="82"/>
  <c r="D94" i="82"/>
  <c r="E94" i="82"/>
  <c r="H94" i="82"/>
  <c r="K94" i="82"/>
  <c r="L94" i="82"/>
  <c r="M94" i="82"/>
  <c r="BJ94" i="82"/>
  <c r="N94" i="82"/>
  <c r="O94" i="82"/>
  <c r="P94" i="82"/>
  <c r="Q94" i="82"/>
  <c r="R94" i="82"/>
  <c r="S94" i="82"/>
  <c r="U94" i="82"/>
  <c r="W94" i="82"/>
  <c r="X94" i="82"/>
  <c r="Y94" i="82"/>
  <c r="Z94" i="82"/>
  <c r="AF94" i="82"/>
  <c r="AS94" i="82"/>
  <c r="AK94" i="82"/>
  <c r="AM94" i="82"/>
  <c r="AO94" i="82"/>
  <c r="AR94" i="82"/>
  <c r="AV94" i="82"/>
  <c r="AZ94" i="82"/>
  <c r="BF94" i="82"/>
  <c r="BG94" i="82"/>
  <c r="A95" i="82"/>
  <c r="B95" i="82"/>
  <c r="E95" i="82"/>
  <c r="C95" i="82"/>
  <c r="D95" i="82"/>
  <c r="H95" i="82"/>
  <c r="K95" i="82"/>
  <c r="L95" i="82"/>
  <c r="M95" i="82"/>
  <c r="BJ95" i="82"/>
  <c r="N95" i="82"/>
  <c r="O95" i="82"/>
  <c r="P95" i="82"/>
  <c r="Q95" i="82"/>
  <c r="R95" i="82"/>
  <c r="S95" i="82"/>
  <c r="U95" i="82"/>
  <c r="W95" i="82"/>
  <c r="X95" i="82"/>
  <c r="Y95" i="82"/>
  <c r="Z95" i="82"/>
  <c r="AF95" i="82"/>
  <c r="AK95" i="82"/>
  <c r="AM95" i="82"/>
  <c r="AO95" i="82"/>
  <c r="AR95" i="82"/>
  <c r="AV95" i="82"/>
  <c r="AZ95" i="82"/>
  <c r="BF95" i="82"/>
  <c r="BG95" i="82"/>
  <c r="A96" i="82"/>
  <c r="B96" i="82"/>
  <c r="C96" i="82"/>
  <c r="D96" i="82"/>
  <c r="E96" i="82"/>
  <c r="H96" i="82"/>
  <c r="K96" i="82"/>
  <c r="L96" i="82"/>
  <c r="M96" i="82"/>
  <c r="BJ96" i="82"/>
  <c r="N96" i="82"/>
  <c r="O96" i="82"/>
  <c r="P96" i="82"/>
  <c r="Q96" i="82"/>
  <c r="R96" i="82"/>
  <c r="S96" i="82"/>
  <c r="U96" i="82"/>
  <c r="W96" i="82"/>
  <c r="X96" i="82"/>
  <c r="Y96" i="82"/>
  <c r="Z96" i="82"/>
  <c r="AF96" i="82"/>
  <c r="AS96" i="82"/>
  <c r="AK96" i="82"/>
  <c r="AM96" i="82"/>
  <c r="AO96" i="82"/>
  <c r="AR96" i="82"/>
  <c r="AV96" i="82"/>
  <c r="AZ96" i="82"/>
  <c r="BF96" i="82"/>
  <c r="BG96" i="82"/>
  <c r="A97" i="82"/>
  <c r="B97" i="82"/>
  <c r="E97" i="82"/>
  <c r="C97" i="82"/>
  <c r="D97" i="82"/>
  <c r="H97" i="82"/>
  <c r="K97" i="82"/>
  <c r="L97" i="82"/>
  <c r="M97" i="82"/>
  <c r="BJ97" i="82"/>
  <c r="N97" i="82"/>
  <c r="O97" i="82"/>
  <c r="P97" i="82"/>
  <c r="Q97" i="82"/>
  <c r="R97" i="82"/>
  <c r="S97" i="82"/>
  <c r="U97" i="82"/>
  <c r="W97" i="82"/>
  <c r="X97" i="82"/>
  <c r="Y97" i="82"/>
  <c r="Z97" i="82"/>
  <c r="AF97" i="82"/>
  <c r="AK97" i="82"/>
  <c r="AM97" i="82"/>
  <c r="AO97" i="82"/>
  <c r="AR97" i="82"/>
  <c r="AV97" i="82"/>
  <c r="AZ97" i="82"/>
  <c r="BF97" i="82"/>
  <c r="BG97" i="82"/>
  <c r="A98" i="82"/>
  <c r="B98" i="82"/>
  <c r="C98" i="82"/>
  <c r="D98" i="82"/>
  <c r="E98" i="82"/>
  <c r="H98" i="82"/>
  <c r="I98" i="82"/>
  <c r="K98" i="82"/>
  <c r="L98" i="82"/>
  <c r="M98" i="82"/>
  <c r="BJ98" i="82"/>
  <c r="N98" i="82"/>
  <c r="O98" i="82"/>
  <c r="P98" i="82"/>
  <c r="Q98" i="82"/>
  <c r="R98" i="82"/>
  <c r="S98" i="82"/>
  <c r="U98" i="82"/>
  <c r="W98" i="82"/>
  <c r="X98" i="82"/>
  <c r="Y98" i="82"/>
  <c r="Z98" i="82"/>
  <c r="AF98" i="82"/>
  <c r="AK98" i="82"/>
  <c r="AM98" i="82"/>
  <c r="AO98" i="82"/>
  <c r="AR98" i="82"/>
  <c r="AV98" i="82"/>
  <c r="AZ98" i="82"/>
  <c r="BF98" i="82"/>
  <c r="BG98" i="82"/>
  <c r="A99" i="82"/>
  <c r="B99" i="82"/>
  <c r="C99" i="82"/>
  <c r="D99" i="82"/>
  <c r="E99" i="82"/>
  <c r="H99" i="82"/>
  <c r="I99" i="82"/>
  <c r="K99" i="82"/>
  <c r="L99" i="82"/>
  <c r="M99" i="82"/>
  <c r="BJ99" i="82"/>
  <c r="N99" i="82"/>
  <c r="O99" i="82"/>
  <c r="P99" i="82"/>
  <c r="Q99" i="82"/>
  <c r="R99" i="82"/>
  <c r="S99" i="82"/>
  <c r="U99" i="82"/>
  <c r="W99" i="82"/>
  <c r="X99" i="82"/>
  <c r="Y99" i="82"/>
  <c r="Z99" i="82"/>
  <c r="AF99" i="82"/>
  <c r="AK99" i="82"/>
  <c r="AM99" i="82"/>
  <c r="AN99" i="82"/>
  <c r="AO99" i="82"/>
  <c r="AR99" i="82"/>
  <c r="AV99" i="82"/>
  <c r="AZ99" i="82"/>
  <c r="BF99" i="82"/>
  <c r="BG99" i="82"/>
  <c r="A100" i="82"/>
  <c r="B100" i="82"/>
  <c r="E100" i="82"/>
  <c r="C100" i="82"/>
  <c r="D100" i="82"/>
  <c r="H100" i="82"/>
  <c r="I100" i="82"/>
  <c r="K100" i="82"/>
  <c r="L100" i="82"/>
  <c r="M100" i="82"/>
  <c r="BJ100" i="82"/>
  <c r="N100" i="82"/>
  <c r="O100" i="82"/>
  <c r="P100" i="82"/>
  <c r="Q100" i="82"/>
  <c r="R100" i="82"/>
  <c r="S100" i="82"/>
  <c r="U100" i="82"/>
  <c r="W100" i="82"/>
  <c r="X100" i="82"/>
  <c r="Y100" i="82"/>
  <c r="Z100" i="82"/>
  <c r="AF100" i="82"/>
  <c r="AS100" i="82"/>
  <c r="AK100" i="82"/>
  <c r="AM100" i="82"/>
  <c r="AO100" i="82"/>
  <c r="AR100" i="82"/>
  <c r="AV100" i="82"/>
  <c r="AZ100" i="82"/>
  <c r="BF100" i="82"/>
  <c r="BG100" i="82"/>
  <c r="A101" i="82"/>
  <c r="B101" i="82"/>
  <c r="E101" i="82"/>
  <c r="C101" i="82"/>
  <c r="D101" i="82"/>
  <c r="H101" i="82"/>
  <c r="I101" i="82"/>
  <c r="K101" i="82"/>
  <c r="L101" i="82"/>
  <c r="M101" i="82"/>
  <c r="BJ101" i="82"/>
  <c r="N101" i="82"/>
  <c r="O101" i="82"/>
  <c r="P101" i="82"/>
  <c r="Q101" i="82"/>
  <c r="R101" i="82"/>
  <c r="S101" i="82"/>
  <c r="U101" i="82"/>
  <c r="W101" i="82"/>
  <c r="X101" i="82"/>
  <c r="Y101" i="82"/>
  <c r="Z101" i="82"/>
  <c r="AF101" i="82"/>
  <c r="AS101" i="82"/>
  <c r="AK101" i="82"/>
  <c r="AM101" i="82"/>
  <c r="AO101" i="82"/>
  <c r="AR101" i="82"/>
  <c r="AV101" i="82"/>
  <c r="AZ101" i="82"/>
  <c r="BF101" i="82"/>
  <c r="BG101" i="82"/>
  <c r="A102" i="82"/>
  <c r="B102" i="82"/>
  <c r="E102" i="82"/>
  <c r="C102" i="82"/>
  <c r="D102" i="82"/>
  <c r="H102" i="82"/>
  <c r="I102" i="82"/>
  <c r="K102" i="82"/>
  <c r="L102" i="82"/>
  <c r="M102" i="82"/>
  <c r="BJ102" i="82"/>
  <c r="N102" i="82"/>
  <c r="O102" i="82"/>
  <c r="P102" i="82"/>
  <c r="Q102" i="82"/>
  <c r="R102" i="82"/>
  <c r="S102" i="82"/>
  <c r="U102" i="82"/>
  <c r="W102" i="82"/>
  <c r="X102" i="82"/>
  <c r="Y102" i="82"/>
  <c r="Z102" i="82"/>
  <c r="AF102" i="82"/>
  <c r="AS102" i="82"/>
  <c r="AK102" i="82"/>
  <c r="AM102" i="82"/>
  <c r="AN102" i="82" a="1"/>
  <c r="AN102" i="82"/>
  <c r="AO102" i="82"/>
  <c r="AR102" i="82"/>
  <c r="AV102" i="82"/>
  <c r="AZ102" i="82"/>
  <c r="BF102" i="82"/>
  <c r="BG102" i="82"/>
  <c r="A103" i="82"/>
  <c r="B103" i="82"/>
  <c r="E103" i="82"/>
  <c r="C103" i="82"/>
  <c r="D103" i="82"/>
  <c r="H103" i="82"/>
  <c r="I103" i="82"/>
  <c r="K103" i="82"/>
  <c r="L103" i="82"/>
  <c r="M103" i="82"/>
  <c r="BJ103" i="82"/>
  <c r="N103" i="82"/>
  <c r="O103" i="82"/>
  <c r="P103" i="82"/>
  <c r="Q103" i="82"/>
  <c r="R103" i="82"/>
  <c r="S103" i="82"/>
  <c r="U103" i="82"/>
  <c r="W103" i="82"/>
  <c r="X103" i="82"/>
  <c r="Y103" i="82"/>
  <c r="Z103" i="82"/>
  <c r="AF103" i="82"/>
  <c r="AS103" i="82"/>
  <c r="AK103" i="82"/>
  <c r="AM103" i="82"/>
  <c r="AN103" i="82"/>
  <c r="AO103" i="82"/>
  <c r="AR103" i="82"/>
  <c r="AV103" i="82"/>
  <c r="AZ103" i="82"/>
  <c r="BF103" i="82"/>
  <c r="BG103" i="82"/>
  <c r="A104" i="82"/>
  <c r="B104" i="82"/>
  <c r="C104" i="82"/>
  <c r="D104" i="82"/>
  <c r="E104" i="82"/>
  <c r="H104" i="82"/>
  <c r="I104" i="82"/>
  <c r="K104" i="82"/>
  <c r="L104" i="82"/>
  <c r="M104" i="82"/>
  <c r="BJ104" i="82"/>
  <c r="N104" i="82"/>
  <c r="O104" i="82"/>
  <c r="P104" i="82"/>
  <c r="Q104" i="82"/>
  <c r="R104" i="82"/>
  <c r="S104" i="82"/>
  <c r="U104" i="82"/>
  <c r="W104" i="82"/>
  <c r="X104" i="82"/>
  <c r="Y104" i="82"/>
  <c r="Z104" i="82"/>
  <c r="AF104" i="82"/>
  <c r="AK104" i="82"/>
  <c r="AM104" i="82"/>
  <c r="AN104" i="82"/>
  <c r="AO104" i="82"/>
  <c r="AR104" i="82"/>
  <c r="AV104" i="82"/>
  <c r="AZ104" i="82"/>
  <c r="BF104" i="82"/>
  <c r="BG104" i="82"/>
  <c r="A105" i="82"/>
  <c r="B105" i="82"/>
  <c r="E105" i="82"/>
  <c r="C105" i="82"/>
  <c r="D105" i="82"/>
  <c r="H105" i="82"/>
  <c r="I105" i="82"/>
  <c r="K105" i="82"/>
  <c r="L105" i="82"/>
  <c r="M105" i="82"/>
  <c r="BJ105" i="82"/>
  <c r="N105" i="82"/>
  <c r="O105" i="82"/>
  <c r="P105" i="82"/>
  <c r="Q105" i="82"/>
  <c r="R105" i="82"/>
  <c r="S105" i="82"/>
  <c r="U105" i="82"/>
  <c r="W105" i="82"/>
  <c r="X105" i="82"/>
  <c r="Y105" i="82"/>
  <c r="Z105" i="82"/>
  <c r="AF105" i="82"/>
  <c r="AS105" i="82"/>
  <c r="AK105" i="82"/>
  <c r="AM105" i="82"/>
  <c r="AO105" i="82"/>
  <c r="AR105" i="82"/>
  <c r="AV105" i="82"/>
  <c r="AZ105" i="82"/>
  <c r="BF105" i="82"/>
  <c r="BG105" i="82"/>
  <c r="A106" i="82"/>
  <c r="B106" i="82"/>
  <c r="C106" i="82"/>
  <c r="D106" i="82"/>
  <c r="E106" i="82"/>
  <c r="H106" i="82"/>
  <c r="I106" i="82"/>
  <c r="K106" i="82"/>
  <c r="L106" i="82"/>
  <c r="M106" i="82"/>
  <c r="BJ106" i="82"/>
  <c r="N106" i="82"/>
  <c r="O106" i="82"/>
  <c r="P106" i="82"/>
  <c r="Q106" i="82"/>
  <c r="R106" i="82"/>
  <c r="S106" i="82"/>
  <c r="U106" i="82"/>
  <c r="W106" i="82"/>
  <c r="X106" i="82"/>
  <c r="Y106" i="82"/>
  <c r="Z106" i="82"/>
  <c r="AF106" i="82"/>
  <c r="AK106" i="82"/>
  <c r="AM106" i="82"/>
  <c r="AO106" i="82"/>
  <c r="AR106" i="82"/>
  <c r="AV106" i="82"/>
  <c r="AZ106" i="82"/>
  <c r="BF106" i="82"/>
  <c r="BG106" i="82"/>
  <c r="A107" i="82"/>
  <c r="B107" i="82"/>
  <c r="E107" i="82"/>
  <c r="C107" i="82"/>
  <c r="D107" i="82"/>
  <c r="H107" i="82"/>
  <c r="I107" i="82"/>
  <c r="K107" i="82"/>
  <c r="L107" i="82"/>
  <c r="M107" i="82"/>
  <c r="BJ107" i="82"/>
  <c r="N107" i="82"/>
  <c r="O107" i="82"/>
  <c r="P107" i="82"/>
  <c r="Q107" i="82"/>
  <c r="R107" i="82"/>
  <c r="S107" i="82"/>
  <c r="U107" i="82"/>
  <c r="W107" i="82"/>
  <c r="X107" i="82"/>
  <c r="Y107" i="82"/>
  <c r="Z107" i="82"/>
  <c r="AF107" i="82"/>
  <c r="AS107" i="82"/>
  <c r="AK107" i="82"/>
  <c r="AM107" i="82"/>
  <c r="AN107" i="82"/>
  <c r="AO107" i="82"/>
  <c r="AR107" i="82"/>
  <c r="AV107" i="82"/>
  <c r="AZ107" i="82"/>
  <c r="BF107" i="82"/>
  <c r="BG107" i="82"/>
  <c r="A108" i="82"/>
  <c r="B108" i="82"/>
  <c r="C108" i="82"/>
  <c r="D108" i="82"/>
  <c r="E108" i="82"/>
  <c r="H108" i="82"/>
  <c r="I108" i="82"/>
  <c r="K108" i="82"/>
  <c r="L108" i="82"/>
  <c r="M108" i="82"/>
  <c r="BJ108" i="82"/>
  <c r="N108" i="82"/>
  <c r="O108" i="82"/>
  <c r="P108" i="82"/>
  <c r="Q108" i="82"/>
  <c r="R108" i="82"/>
  <c r="S108" i="82"/>
  <c r="U108" i="82"/>
  <c r="W108" i="82"/>
  <c r="X108" i="82"/>
  <c r="Y108" i="82"/>
  <c r="Z108" i="82"/>
  <c r="AF108" i="82"/>
  <c r="AK108" i="82"/>
  <c r="AM108" i="82"/>
  <c r="AN108" i="82"/>
  <c r="AO108" i="82"/>
  <c r="AR108" i="82"/>
  <c r="AV108" i="82"/>
  <c r="AZ108" i="82"/>
  <c r="BF108" i="82"/>
  <c r="BG108" i="82"/>
  <c r="A109" i="82"/>
  <c r="B109" i="82"/>
  <c r="E109" i="82"/>
  <c r="C109" i="82"/>
  <c r="D109" i="82"/>
  <c r="H109" i="82"/>
  <c r="I109" i="82"/>
  <c r="K109" i="82"/>
  <c r="L109" i="82"/>
  <c r="M109" i="82"/>
  <c r="BJ109" i="82"/>
  <c r="N109" i="82"/>
  <c r="O109" i="82"/>
  <c r="P109" i="82"/>
  <c r="Q109" i="82"/>
  <c r="R109" i="82"/>
  <c r="S109" i="82"/>
  <c r="U109" i="82"/>
  <c r="W109" i="82"/>
  <c r="X109" i="82"/>
  <c r="Y109" i="82"/>
  <c r="Z109" i="82"/>
  <c r="AF109" i="82"/>
  <c r="AS109" i="82"/>
  <c r="AK109" i="82"/>
  <c r="AM109" i="82"/>
  <c r="AO109" i="82"/>
  <c r="AQ109" i="82"/>
  <c r="AR109" i="82"/>
  <c r="AV109" i="82"/>
  <c r="AZ109" i="82"/>
  <c r="BF109" i="82"/>
  <c r="BG109" i="82"/>
  <c r="A110" i="82"/>
  <c r="B110" i="82"/>
  <c r="C110" i="82"/>
  <c r="D110" i="82"/>
  <c r="E110" i="82"/>
  <c r="H110" i="82"/>
  <c r="I110" i="82"/>
  <c r="K110" i="82"/>
  <c r="L110" i="82"/>
  <c r="M110" i="82"/>
  <c r="BJ110" i="82"/>
  <c r="N110" i="82"/>
  <c r="O110" i="82"/>
  <c r="P110" i="82"/>
  <c r="Q110" i="82"/>
  <c r="R110" i="82"/>
  <c r="S110" i="82"/>
  <c r="U110" i="82"/>
  <c r="W110" i="82"/>
  <c r="X110" i="82"/>
  <c r="Y110" i="82"/>
  <c r="Z110" i="82"/>
  <c r="AF110" i="82"/>
  <c r="AK110" i="82"/>
  <c r="AM110" i="82"/>
  <c r="AO110" i="82"/>
  <c r="AR110" i="82"/>
  <c r="AV110" i="82"/>
  <c r="AZ110" i="82"/>
  <c r="BF110" i="82"/>
  <c r="BG110" i="82"/>
  <c r="A111" i="82"/>
  <c r="B111" i="82"/>
  <c r="C111" i="82"/>
  <c r="D111" i="82"/>
  <c r="E111" i="82"/>
  <c r="H111" i="82"/>
  <c r="I111" i="82"/>
  <c r="K111" i="82"/>
  <c r="L111" i="82"/>
  <c r="M111" i="82"/>
  <c r="BJ111" i="82"/>
  <c r="N111" i="82"/>
  <c r="O111" i="82"/>
  <c r="P111" i="82"/>
  <c r="Q111" i="82"/>
  <c r="R111" i="82"/>
  <c r="S111" i="82"/>
  <c r="U111" i="82"/>
  <c r="W111" i="82"/>
  <c r="X111" i="82"/>
  <c r="Y111" i="82"/>
  <c r="Z111" i="82"/>
  <c r="AF111" i="82"/>
  <c r="AK111" i="82"/>
  <c r="AM111" i="82"/>
  <c r="AO111" i="82"/>
  <c r="AQ111" i="82"/>
  <c r="AR111" i="82"/>
  <c r="AV111" i="82"/>
  <c r="AZ111" i="82"/>
  <c r="BF111" i="82"/>
  <c r="BG111" i="82"/>
  <c r="A112" i="82"/>
  <c r="B112" i="82"/>
  <c r="E112" i="82"/>
  <c r="C112" i="82"/>
  <c r="D112" i="82"/>
  <c r="H112" i="82"/>
  <c r="I112" i="82"/>
  <c r="K112" i="82"/>
  <c r="L112" i="82"/>
  <c r="M112" i="82"/>
  <c r="BJ112" i="82"/>
  <c r="N112" i="82"/>
  <c r="O112" i="82"/>
  <c r="P112" i="82"/>
  <c r="Q112" i="82"/>
  <c r="R112" i="82"/>
  <c r="S112" i="82"/>
  <c r="U112" i="82"/>
  <c r="W112" i="82"/>
  <c r="X112" i="82"/>
  <c r="Y112" i="82"/>
  <c r="Z112" i="82"/>
  <c r="AF112" i="82"/>
  <c r="AS112" i="82"/>
  <c r="AK112" i="82"/>
  <c r="AM112" i="82"/>
  <c r="AO112" i="82"/>
  <c r="AR112" i="82"/>
  <c r="AV112" i="82"/>
  <c r="AZ112" i="82"/>
  <c r="BF112" i="82"/>
  <c r="BG112" i="82"/>
  <c r="A113" i="82"/>
  <c r="B113" i="82"/>
  <c r="E113" i="82"/>
  <c r="C113" i="82"/>
  <c r="D113" i="82"/>
  <c r="H113" i="82"/>
  <c r="I113" i="82"/>
  <c r="K113" i="82"/>
  <c r="L113" i="82"/>
  <c r="M113" i="82"/>
  <c r="BJ113" i="82"/>
  <c r="N113" i="82"/>
  <c r="O113" i="82"/>
  <c r="P113" i="82"/>
  <c r="Q113" i="82"/>
  <c r="R113" i="82"/>
  <c r="S113" i="82"/>
  <c r="U113" i="82"/>
  <c r="W113" i="82"/>
  <c r="X113" i="82"/>
  <c r="Y113" i="82"/>
  <c r="Z113" i="82"/>
  <c r="AF113" i="82"/>
  <c r="AS113" i="82"/>
  <c r="AK113" i="82"/>
  <c r="AM113" i="82"/>
  <c r="AO113" i="82"/>
  <c r="AR113" i="82"/>
  <c r="AV113" i="82"/>
  <c r="AZ113" i="82"/>
  <c r="BF113" i="82"/>
  <c r="BG113" i="82"/>
  <c r="A114" i="82"/>
  <c r="B114" i="82"/>
  <c r="E114" i="82"/>
  <c r="C114" i="82"/>
  <c r="D114" i="82"/>
  <c r="H114" i="82"/>
  <c r="I114" i="82"/>
  <c r="K114" i="82"/>
  <c r="L114" i="82"/>
  <c r="M114" i="82"/>
  <c r="BJ114" i="82"/>
  <c r="N114" i="82"/>
  <c r="O114" i="82"/>
  <c r="P114" i="82"/>
  <c r="Q114" i="82"/>
  <c r="R114" i="82"/>
  <c r="S114" i="82"/>
  <c r="U114" i="82"/>
  <c r="W114" i="82"/>
  <c r="X114" i="82"/>
  <c r="Y114" i="82"/>
  <c r="Z114" i="82"/>
  <c r="AF114" i="82"/>
  <c r="AS114" i="82"/>
  <c r="AK114" i="82"/>
  <c r="AM114" i="82"/>
  <c r="AO114" i="82"/>
  <c r="AR114" i="82"/>
  <c r="AV114" i="82"/>
  <c r="AZ114" i="82"/>
  <c r="BF114" i="82"/>
  <c r="BG114" i="82"/>
  <c r="A115" i="82"/>
  <c r="B115" i="82"/>
  <c r="E115" i="82"/>
  <c r="C115" i="82"/>
  <c r="D115" i="82"/>
  <c r="H115" i="82"/>
  <c r="I115" i="82"/>
  <c r="K115" i="82"/>
  <c r="L115" i="82"/>
  <c r="M115" i="82"/>
  <c r="BJ115" i="82"/>
  <c r="N115" i="82"/>
  <c r="O115" i="82"/>
  <c r="P115" i="82"/>
  <c r="Q115" i="82"/>
  <c r="R115" i="82"/>
  <c r="S115" i="82"/>
  <c r="U115" i="82"/>
  <c r="W115" i="82"/>
  <c r="X115" i="82"/>
  <c r="Y115" i="82"/>
  <c r="Z115" i="82"/>
  <c r="AF115" i="82"/>
  <c r="AS115" i="82"/>
  <c r="AK115" i="82"/>
  <c r="AM115" i="82"/>
  <c r="AO115" i="82"/>
  <c r="AR115" i="82"/>
  <c r="AV115" i="82"/>
  <c r="AZ115" i="82"/>
  <c r="BF115" i="82"/>
  <c r="BG115" i="82"/>
  <c r="A116" i="82"/>
  <c r="B116" i="82"/>
  <c r="E116" i="82"/>
  <c r="C116" i="82"/>
  <c r="D116" i="82"/>
  <c r="H116" i="82"/>
  <c r="I116" i="82"/>
  <c r="K116" i="82"/>
  <c r="L116" i="82"/>
  <c r="M116" i="82"/>
  <c r="BJ116" i="82"/>
  <c r="N116" i="82"/>
  <c r="O116" i="82"/>
  <c r="P116" i="82"/>
  <c r="Q116" i="82"/>
  <c r="R116" i="82"/>
  <c r="S116" i="82"/>
  <c r="U116" i="82"/>
  <c r="W116" i="82"/>
  <c r="X116" i="82"/>
  <c r="Y116" i="82"/>
  <c r="Z116" i="82"/>
  <c r="AF116" i="82"/>
  <c r="AS116" i="82"/>
  <c r="AK116" i="82"/>
  <c r="AM116" i="82"/>
  <c r="AO116" i="82"/>
  <c r="AR116" i="82"/>
  <c r="AV116" i="82"/>
  <c r="AZ116" i="82"/>
  <c r="BF116" i="82"/>
  <c r="BG116" i="82"/>
  <c r="A117" i="82"/>
  <c r="B117" i="82"/>
  <c r="E117" i="82"/>
  <c r="C117" i="82"/>
  <c r="D117" i="82"/>
  <c r="H117" i="82"/>
  <c r="I117" i="82"/>
  <c r="K117" i="82"/>
  <c r="L117" i="82"/>
  <c r="M117" i="82"/>
  <c r="BJ117" i="82"/>
  <c r="N117" i="82"/>
  <c r="O117" i="82"/>
  <c r="P117" i="82"/>
  <c r="Q117" i="82"/>
  <c r="R117" i="82"/>
  <c r="S117" i="82"/>
  <c r="U117" i="82"/>
  <c r="W117" i="82"/>
  <c r="X117" i="82"/>
  <c r="Y117" i="82"/>
  <c r="Z117" i="82"/>
  <c r="AF117" i="82"/>
  <c r="AS117" i="82"/>
  <c r="AK117" i="82"/>
  <c r="AM117" i="82"/>
  <c r="AO117" i="82"/>
  <c r="AR117" i="82"/>
  <c r="AV117" i="82"/>
  <c r="AZ117" i="82"/>
  <c r="BF117" i="82"/>
  <c r="BG117" i="82"/>
  <c r="A118" i="82"/>
  <c r="B118" i="82"/>
  <c r="E118" i="82"/>
  <c r="C118" i="82"/>
  <c r="D118" i="82"/>
  <c r="H118" i="82"/>
  <c r="I118" i="82"/>
  <c r="K118" i="82"/>
  <c r="L118" i="82"/>
  <c r="M118" i="82"/>
  <c r="BJ118" i="82"/>
  <c r="N118" i="82"/>
  <c r="O118" i="82"/>
  <c r="P118" i="82"/>
  <c r="Q118" i="82"/>
  <c r="R118" i="82"/>
  <c r="S118" i="82"/>
  <c r="U118" i="82"/>
  <c r="W118" i="82"/>
  <c r="X118" i="82"/>
  <c r="Y118" i="82"/>
  <c r="Z118" i="82"/>
  <c r="AF118" i="82"/>
  <c r="AS118" i="82"/>
  <c r="AK118" i="82"/>
  <c r="AM118" i="82"/>
  <c r="AO118" i="82"/>
  <c r="AR118" i="82"/>
  <c r="AV118" i="82"/>
  <c r="AZ118" i="82"/>
  <c r="BF118" i="82"/>
  <c r="BG118" i="82"/>
  <c r="A119" i="82"/>
  <c r="B119" i="82"/>
  <c r="E119" i="82"/>
  <c r="C119" i="82"/>
  <c r="D119" i="82"/>
  <c r="H119" i="82"/>
  <c r="I119" i="82"/>
  <c r="K119" i="82"/>
  <c r="L119" i="82"/>
  <c r="M119" i="82"/>
  <c r="BJ119" i="82"/>
  <c r="N119" i="82"/>
  <c r="O119" i="82"/>
  <c r="P119" i="82"/>
  <c r="Q119" i="82"/>
  <c r="R119" i="82"/>
  <c r="S119" i="82"/>
  <c r="U119" i="82"/>
  <c r="W119" i="82"/>
  <c r="X119" i="82"/>
  <c r="Y119" i="82"/>
  <c r="Z119" i="82"/>
  <c r="AF119" i="82"/>
  <c r="AS119" i="82"/>
  <c r="AK119" i="82"/>
  <c r="AM119" i="82"/>
  <c r="AO119" i="82"/>
  <c r="AR119" i="82"/>
  <c r="AV119" i="82"/>
  <c r="AZ119" i="82"/>
  <c r="BF119" i="82"/>
  <c r="BG119" i="82"/>
  <c r="A120" i="82"/>
  <c r="B120" i="82"/>
  <c r="E120" i="82"/>
  <c r="C120" i="82"/>
  <c r="D120" i="82"/>
  <c r="H120" i="82"/>
  <c r="I120" i="82"/>
  <c r="K120" i="82"/>
  <c r="L120" i="82"/>
  <c r="M120" i="82"/>
  <c r="BJ120" i="82"/>
  <c r="N120" i="82"/>
  <c r="O120" i="82"/>
  <c r="P120" i="82"/>
  <c r="Q120" i="82"/>
  <c r="R120" i="82"/>
  <c r="S120" i="82"/>
  <c r="U120" i="82"/>
  <c r="W120" i="82"/>
  <c r="X120" i="82"/>
  <c r="Y120" i="82"/>
  <c r="Z120" i="82"/>
  <c r="AF120" i="82"/>
  <c r="AS120" i="82"/>
  <c r="AK120" i="82"/>
  <c r="AM120" i="82"/>
  <c r="AO120" i="82"/>
  <c r="AR120" i="82"/>
  <c r="AV120" i="82"/>
  <c r="AZ120" i="82"/>
  <c r="BF120" i="82"/>
  <c r="BG120" i="82"/>
  <c r="A121" i="82"/>
  <c r="B121" i="82"/>
  <c r="E121" i="82"/>
  <c r="C121" i="82"/>
  <c r="D121" i="82"/>
  <c r="H121" i="82"/>
  <c r="I121" i="82"/>
  <c r="K121" i="82"/>
  <c r="L121" i="82"/>
  <c r="M121" i="82"/>
  <c r="BJ121" i="82"/>
  <c r="N121" i="82"/>
  <c r="O121" i="82"/>
  <c r="P121" i="82"/>
  <c r="Q121" i="82"/>
  <c r="R121" i="82"/>
  <c r="S121" i="82"/>
  <c r="U121" i="82"/>
  <c r="W121" i="82"/>
  <c r="X121" i="82"/>
  <c r="Y121" i="82"/>
  <c r="Z121" i="82"/>
  <c r="AA121" i="82"/>
  <c r="BI34" i="82"/>
  <c r="AC121" i="82"/>
  <c r="AF121" i="82"/>
  <c r="AS121" i="82"/>
  <c r="AK121" i="82"/>
  <c r="AM121" i="82"/>
  <c r="AO121" i="82"/>
  <c r="AR121" i="82"/>
  <c r="AV121" i="82"/>
  <c r="AZ121" i="82"/>
  <c r="BF121" i="82"/>
  <c r="BG121" i="82"/>
  <c r="W123" i="82"/>
  <c r="X123" i="82"/>
  <c r="AV91" i="80"/>
  <c r="AV92" i="80"/>
  <c r="AV93" i="80"/>
  <c r="AV94" i="80"/>
  <c r="AV95" i="80"/>
  <c r="AV96" i="80"/>
  <c r="AV97" i="80"/>
  <c r="AV98" i="80"/>
  <c r="AV99" i="80"/>
  <c r="AV100" i="80"/>
  <c r="AV101" i="80"/>
  <c r="AV102" i="80"/>
  <c r="AV103" i="80"/>
  <c r="AV104" i="80"/>
  <c r="AV105" i="80"/>
  <c r="AV106" i="80"/>
  <c r="AV107" i="80"/>
  <c r="AV108" i="80"/>
  <c r="AV109" i="80"/>
  <c r="AV110" i="80"/>
  <c r="AV111" i="80"/>
  <c r="AV112" i="80"/>
  <c r="AV113" i="80"/>
  <c r="AV114" i="80"/>
  <c r="AV115" i="80"/>
  <c r="AV116" i="80"/>
  <c r="AV117" i="80"/>
  <c r="AV118" i="80"/>
  <c r="AV119" i="80"/>
  <c r="AV120" i="80"/>
  <c r="AV121" i="80"/>
  <c r="AG91" i="80"/>
  <c r="AG92" i="80"/>
  <c r="AG93" i="80"/>
  <c r="AG94" i="80"/>
  <c r="AG95" i="80"/>
  <c r="AG96" i="80"/>
  <c r="AG97" i="80"/>
  <c r="AG98" i="80"/>
  <c r="AG99" i="80"/>
  <c r="AG100" i="80"/>
  <c r="AG101" i="80"/>
  <c r="AG102" i="80"/>
  <c r="AG103" i="80"/>
  <c r="AG104" i="80"/>
  <c r="AG105" i="80"/>
  <c r="AG106" i="80"/>
  <c r="AG107" i="80"/>
  <c r="AG108" i="80"/>
  <c r="AG109" i="80"/>
  <c r="AG110" i="80"/>
  <c r="AG111" i="80"/>
  <c r="AG112" i="80"/>
  <c r="AG113" i="80"/>
  <c r="AG114" i="80"/>
  <c r="BD38" i="80" a="1"/>
  <c r="AU38" i="80"/>
  <c r="AU40" i="80"/>
  <c r="AV38" i="80"/>
  <c r="AV40" i="80"/>
  <c r="BA38" i="80"/>
  <c r="BA40" i="80"/>
  <c r="BH86" i="80"/>
  <c r="BH85" i="80"/>
  <c r="BH42" i="80"/>
  <c r="BA43" i="80"/>
  <c r="BB43" i="80"/>
  <c r="BC43" i="80"/>
  <c r="BF43" i="80"/>
  <c r="BG43" i="80"/>
  <c r="BH43" i="80"/>
  <c r="F46" i="80"/>
  <c r="G46" i="80"/>
  <c r="AY80" i="80"/>
  <c r="AY81" i="80"/>
  <c r="AY82" i="80"/>
  <c r="H46" i="80"/>
  <c r="I46" i="80"/>
  <c r="AP46" i="80"/>
  <c r="AQ46" i="80"/>
  <c r="M54" i="80"/>
  <c r="AC47" i="80"/>
  <c r="AJ50" i="80"/>
  <c r="AA52" i="80"/>
  <c r="AJ53" i="80"/>
  <c r="AP53" i="80"/>
  <c r="AA54" i="80"/>
  <c r="AQ54" i="80"/>
  <c r="AY4" i="80"/>
  <c r="AY5" i="80"/>
  <c r="M92" i="80"/>
  <c r="AY6" i="80"/>
  <c r="AY7" i="80"/>
  <c r="M94" i="80"/>
  <c r="AX38" i="80"/>
  <c r="BC38" i="80"/>
  <c r="BD38" i="80"/>
  <c r="BA42" i="80"/>
  <c r="BB42" i="80"/>
  <c r="BC42" i="80"/>
  <c r="BF42" i="80"/>
  <c r="BG42" i="80"/>
  <c r="K46" i="80"/>
  <c r="L46" i="80"/>
  <c r="M46" i="80"/>
  <c r="N46" i="80"/>
  <c r="R46" i="80"/>
  <c r="U46" i="80"/>
  <c r="AG46" i="80"/>
  <c r="AH46" i="80"/>
  <c r="AI46" i="80"/>
  <c r="AJ46" i="80"/>
  <c r="F47" i="80"/>
  <c r="G47" i="80"/>
  <c r="H47" i="80"/>
  <c r="I47" i="80"/>
  <c r="R47" i="80"/>
  <c r="BB49" i="80"/>
  <c r="BC49" i="80"/>
  <c r="BB50" i="80"/>
  <c r="BC50" i="80"/>
  <c r="BB51" i="80"/>
  <c r="BC51" i="80"/>
  <c r="BB52" i="80"/>
  <c r="BC52" i="80"/>
  <c r="BB53" i="80"/>
  <c r="BC53" i="80"/>
  <c r="BB54" i="80"/>
  <c r="BB80" i="80"/>
  <c r="BC54" i="80"/>
  <c r="X55" i="80"/>
  <c r="BB55" i="80"/>
  <c r="BC55" i="80"/>
  <c r="BB56" i="80"/>
  <c r="BC56" i="80"/>
  <c r="BB57" i="80"/>
  <c r="BC57" i="80"/>
  <c r="BB58" i="80"/>
  <c r="BC58" i="80"/>
  <c r="BB59" i="80"/>
  <c r="BC59" i="80"/>
  <c r="BB60" i="80"/>
  <c r="BC60" i="80"/>
  <c r="BB61" i="80"/>
  <c r="BC61" i="80"/>
  <c r="BB62" i="80"/>
  <c r="BC62" i="80"/>
  <c r="BB63" i="80"/>
  <c r="BC63" i="80"/>
  <c r="BB64" i="80"/>
  <c r="BC64" i="80"/>
  <c r="AJ65" i="80"/>
  <c r="BB65" i="80"/>
  <c r="BC65" i="80"/>
  <c r="BB66" i="80"/>
  <c r="BC66" i="80"/>
  <c r="AN67" i="80" a="1"/>
  <c r="AN67" i="80"/>
  <c r="AN73" i="80"/>
  <c r="BB67" i="80"/>
  <c r="BC67" i="80"/>
  <c r="AJ68" i="80"/>
  <c r="BB68" i="80"/>
  <c r="BC68" i="80"/>
  <c r="BB69" i="80"/>
  <c r="BC69" i="80"/>
  <c r="BB70" i="80"/>
  <c r="BC70" i="80"/>
  <c r="BB71" i="80"/>
  <c r="BC71" i="80"/>
  <c r="BB72" i="80"/>
  <c r="BC72" i="80"/>
  <c r="BB73" i="80"/>
  <c r="BC73" i="80"/>
  <c r="K74" i="80"/>
  <c r="L74" i="80"/>
  <c r="M74" i="80"/>
  <c r="BB74" i="80"/>
  <c r="BC74" i="80"/>
  <c r="L75" i="80"/>
  <c r="M75" i="80"/>
  <c r="BB75" i="80"/>
  <c r="BC75" i="80"/>
  <c r="L76" i="80"/>
  <c r="M76" i="80"/>
  <c r="AN76" i="80"/>
  <c r="BB76" i="80"/>
  <c r="BC76" i="80"/>
  <c r="L77" i="80"/>
  <c r="M77" i="80"/>
  <c r="BB77" i="80"/>
  <c r="BC77" i="80"/>
  <c r="K78" i="80"/>
  <c r="L78" i="80"/>
  <c r="M78" i="80"/>
  <c r="BB78" i="80"/>
  <c r="BC78" i="80"/>
  <c r="K79" i="80"/>
  <c r="L79" i="80"/>
  <c r="M79" i="80"/>
  <c r="AY79" i="80"/>
  <c r="BB79" i="80"/>
  <c r="BC79" i="80"/>
  <c r="K80" i="80"/>
  <c r="L80" i="80"/>
  <c r="M80" i="80"/>
  <c r="BC80" i="80"/>
  <c r="B120" i="80"/>
  <c r="C120" i="80"/>
  <c r="D120" i="80"/>
  <c r="BD80" i="80"/>
  <c r="K81" i="80"/>
  <c r="L81" i="80"/>
  <c r="M81" i="80"/>
  <c r="K82" i="80"/>
  <c r="L82" i="80"/>
  <c r="M82" i="80"/>
  <c r="K83" i="80"/>
  <c r="L83" i="80"/>
  <c r="M83" i="80"/>
  <c r="C91" i="80"/>
  <c r="B91" i="80"/>
  <c r="E91" i="80"/>
  <c r="BA83" i="80"/>
  <c r="BA84" i="80"/>
  <c r="BB84" i="80"/>
  <c r="X85" i="80"/>
  <c r="Y85" i="80"/>
  <c r="AF85" i="80"/>
  <c r="AZ85" i="80"/>
  <c r="BD85" i="80"/>
  <c r="BE85" i="80"/>
  <c r="BF85" i="80"/>
  <c r="BG85" i="80"/>
  <c r="T86" i="80"/>
  <c r="X86" i="80"/>
  <c r="Y86" i="80"/>
  <c r="AF86" i="80"/>
  <c r="AZ86" i="80"/>
  <c r="BA86" i="80"/>
  <c r="BD86" i="80"/>
  <c r="BE86" i="80"/>
  <c r="BF86" i="80"/>
  <c r="BG86" i="80"/>
  <c r="A91" i="80"/>
  <c r="D91" i="80"/>
  <c r="K91" i="80"/>
  <c r="L91" i="80"/>
  <c r="M91" i="80"/>
  <c r="BJ91" i="80"/>
  <c r="N91" i="80"/>
  <c r="O91" i="80"/>
  <c r="P91" i="80"/>
  <c r="Q91" i="80"/>
  <c r="R91" i="80"/>
  <c r="S91" i="80"/>
  <c r="U91" i="80"/>
  <c r="W91" i="80"/>
  <c r="X91" i="80"/>
  <c r="Y91" i="80"/>
  <c r="Z91" i="80"/>
  <c r="AC91" i="80"/>
  <c r="AD91" i="80"/>
  <c r="AF91" i="80"/>
  <c r="AT123" i="80"/>
  <c r="AK91" i="80"/>
  <c r="AM91" i="80"/>
  <c r="AO91" i="80"/>
  <c r="AR91" i="80"/>
  <c r="AZ91" i="80"/>
  <c r="BF91" i="80"/>
  <c r="BG91" i="80"/>
  <c r="A92" i="80"/>
  <c r="B92" i="80"/>
  <c r="E92" i="80"/>
  <c r="C92" i="80"/>
  <c r="D92" i="80"/>
  <c r="H92" i="80"/>
  <c r="K92" i="80"/>
  <c r="L92" i="80"/>
  <c r="BJ92" i="80"/>
  <c r="N92" i="80"/>
  <c r="O92" i="80"/>
  <c r="P92" i="80"/>
  <c r="Q92" i="80"/>
  <c r="R92" i="80"/>
  <c r="S92" i="80"/>
  <c r="U92" i="80"/>
  <c r="W92" i="80"/>
  <c r="X92" i="80"/>
  <c r="Y92" i="80"/>
  <c r="Z92" i="80"/>
  <c r="AD92" i="80"/>
  <c r="AF92" i="80"/>
  <c r="AK92" i="80"/>
  <c r="AM92" i="80"/>
  <c r="AO92" i="80"/>
  <c r="AR92" i="80"/>
  <c r="AZ92" i="80"/>
  <c r="BF92" i="80"/>
  <c r="BG92" i="80"/>
  <c r="A93" i="80"/>
  <c r="B93" i="80"/>
  <c r="C93" i="80"/>
  <c r="D93" i="80"/>
  <c r="E93" i="80"/>
  <c r="H93" i="80"/>
  <c r="K93" i="80"/>
  <c r="L93" i="80"/>
  <c r="M93" i="80"/>
  <c r="BJ93" i="80"/>
  <c r="N93" i="80"/>
  <c r="O93" i="80"/>
  <c r="P93" i="80"/>
  <c r="Q93" i="80"/>
  <c r="R93" i="80"/>
  <c r="S93" i="80"/>
  <c r="U93" i="80"/>
  <c r="W93" i="80"/>
  <c r="X93" i="80"/>
  <c r="Y93" i="80"/>
  <c r="Z93" i="80"/>
  <c r="AF93" i="80"/>
  <c r="AK93" i="80"/>
  <c r="AM93" i="80"/>
  <c r="AO93" i="80"/>
  <c r="AR93" i="80"/>
  <c r="AZ93" i="80"/>
  <c r="BF93" i="80"/>
  <c r="BG93" i="80"/>
  <c r="A94" i="80"/>
  <c r="B94" i="80"/>
  <c r="E94" i="80"/>
  <c r="C94" i="80"/>
  <c r="D94" i="80"/>
  <c r="H94" i="80"/>
  <c r="K94" i="80"/>
  <c r="L94" i="80"/>
  <c r="BJ94" i="80"/>
  <c r="N94" i="80"/>
  <c r="O94" i="80"/>
  <c r="P94" i="80"/>
  <c r="Q94" i="80"/>
  <c r="R94" i="80"/>
  <c r="S94" i="80"/>
  <c r="U94" i="80"/>
  <c r="W94" i="80"/>
  <c r="X94" i="80"/>
  <c r="Y94" i="80"/>
  <c r="Z94" i="80"/>
  <c r="AF94" i="80"/>
  <c r="AK94" i="80"/>
  <c r="AM94" i="80"/>
  <c r="AO94" i="80"/>
  <c r="AR94" i="80"/>
  <c r="AZ94" i="80"/>
  <c r="BF94" i="80"/>
  <c r="BG94" i="80"/>
  <c r="A95" i="80"/>
  <c r="B95" i="80"/>
  <c r="C95" i="80"/>
  <c r="D95" i="80"/>
  <c r="E95" i="80"/>
  <c r="H95" i="80"/>
  <c r="K95" i="80"/>
  <c r="L95" i="80"/>
  <c r="M95" i="80"/>
  <c r="BJ95" i="80"/>
  <c r="N95" i="80"/>
  <c r="O95" i="80"/>
  <c r="P95" i="80"/>
  <c r="Q95" i="80"/>
  <c r="R95" i="80"/>
  <c r="S95" i="80"/>
  <c r="U95" i="80"/>
  <c r="W95" i="80"/>
  <c r="X95" i="80"/>
  <c r="Y95" i="80"/>
  <c r="Z95" i="80"/>
  <c r="AF95" i="80"/>
  <c r="AK95" i="80"/>
  <c r="AM95" i="80"/>
  <c r="AO95" i="80"/>
  <c r="AR95" i="80"/>
  <c r="AZ95" i="80"/>
  <c r="BF95" i="80"/>
  <c r="BG95" i="80"/>
  <c r="A96" i="80"/>
  <c r="B96" i="80"/>
  <c r="E96" i="80"/>
  <c r="C96" i="80"/>
  <c r="D96" i="80"/>
  <c r="H96" i="80"/>
  <c r="K96" i="80"/>
  <c r="L96" i="80"/>
  <c r="M96" i="80"/>
  <c r="BJ96" i="80"/>
  <c r="N96" i="80"/>
  <c r="O96" i="80"/>
  <c r="P96" i="80"/>
  <c r="Q96" i="80"/>
  <c r="R96" i="80"/>
  <c r="S96" i="80"/>
  <c r="U96" i="80"/>
  <c r="W96" i="80"/>
  <c r="X96" i="80"/>
  <c r="Y96" i="80"/>
  <c r="Z96" i="80"/>
  <c r="AF96" i="80"/>
  <c r="AK96" i="80"/>
  <c r="AM96" i="80"/>
  <c r="AO96" i="80"/>
  <c r="AR96" i="80"/>
  <c r="AZ96" i="80"/>
  <c r="BF96" i="80"/>
  <c r="BG96" i="80"/>
  <c r="A97" i="80"/>
  <c r="B97" i="80"/>
  <c r="C97" i="80"/>
  <c r="D97" i="80"/>
  <c r="E97" i="80"/>
  <c r="H97" i="80"/>
  <c r="K97" i="80"/>
  <c r="L97" i="80"/>
  <c r="M97" i="80"/>
  <c r="BJ97" i="80"/>
  <c r="N97" i="80"/>
  <c r="O97" i="80"/>
  <c r="P97" i="80"/>
  <c r="Q97" i="80"/>
  <c r="R97" i="80"/>
  <c r="S97" i="80"/>
  <c r="U97" i="80"/>
  <c r="W97" i="80"/>
  <c r="X97" i="80"/>
  <c r="Y97" i="80"/>
  <c r="Z97" i="80"/>
  <c r="AF97" i="80"/>
  <c r="AK97" i="80"/>
  <c r="AM97" i="80"/>
  <c r="AO97" i="80"/>
  <c r="AR97" i="80"/>
  <c r="AZ97" i="80"/>
  <c r="BF97" i="80"/>
  <c r="BG97" i="80"/>
  <c r="A98" i="80"/>
  <c r="B98" i="80"/>
  <c r="E98" i="80"/>
  <c r="C98" i="80"/>
  <c r="D98" i="80"/>
  <c r="H98" i="80"/>
  <c r="I98" i="80"/>
  <c r="K98" i="80"/>
  <c r="L98" i="80"/>
  <c r="M98" i="80"/>
  <c r="BJ98" i="80"/>
  <c r="N98" i="80"/>
  <c r="O98" i="80"/>
  <c r="P98" i="80"/>
  <c r="Q98" i="80"/>
  <c r="R98" i="80"/>
  <c r="S98" i="80"/>
  <c r="U98" i="80"/>
  <c r="W98" i="80"/>
  <c r="X98" i="80"/>
  <c r="Y98" i="80"/>
  <c r="Z98" i="80"/>
  <c r="AF98" i="80"/>
  <c r="AK98" i="80"/>
  <c r="AM98" i="80"/>
  <c r="AO98" i="80"/>
  <c r="AR98" i="80"/>
  <c r="AZ98" i="80"/>
  <c r="BF98" i="80"/>
  <c r="BG98" i="80"/>
  <c r="A99" i="80"/>
  <c r="B99" i="80"/>
  <c r="E99" i="80"/>
  <c r="C99" i="80"/>
  <c r="D99" i="80"/>
  <c r="H99" i="80"/>
  <c r="I99" i="80"/>
  <c r="K99" i="80"/>
  <c r="L99" i="80"/>
  <c r="M99" i="80"/>
  <c r="BJ99" i="80"/>
  <c r="N99" i="80"/>
  <c r="O99" i="80"/>
  <c r="P99" i="80"/>
  <c r="Q99" i="80"/>
  <c r="R99" i="80"/>
  <c r="S99" i="80"/>
  <c r="U99" i="80"/>
  <c r="W99" i="80"/>
  <c r="X99" i="80"/>
  <c r="Y99" i="80"/>
  <c r="Z99" i="80"/>
  <c r="AF99" i="80"/>
  <c r="AK99" i="80"/>
  <c r="AM99" i="80"/>
  <c r="AN99" i="80"/>
  <c r="AO99" i="80"/>
  <c r="AR99" i="80"/>
  <c r="AZ99" i="80"/>
  <c r="BF99" i="80"/>
  <c r="BG99" i="80"/>
  <c r="A100" i="80"/>
  <c r="B100" i="80"/>
  <c r="C100" i="80"/>
  <c r="D100" i="80"/>
  <c r="E100" i="80"/>
  <c r="H100" i="80"/>
  <c r="I100" i="80"/>
  <c r="K100" i="80"/>
  <c r="L100" i="80"/>
  <c r="M100" i="80"/>
  <c r="BJ100" i="80"/>
  <c r="N100" i="80"/>
  <c r="O100" i="80"/>
  <c r="P100" i="80"/>
  <c r="Q100" i="80"/>
  <c r="R100" i="80"/>
  <c r="S100" i="80"/>
  <c r="U100" i="80"/>
  <c r="W100" i="80"/>
  <c r="X100" i="80"/>
  <c r="Y100" i="80"/>
  <c r="Z100" i="80"/>
  <c r="AF100" i="80"/>
  <c r="AK100" i="80"/>
  <c r="AM100" i="80"/>
  <c r="AO100" i="80"/>
  <c r="AR100" i="80"/>
  <c r="AZ100" i="80"/>
  <c r="BF100" i="80"/>
  <c r="BG100" i="80"/>
  <c r="A101" i="80"/>
  <c r="B101" i="80"/>
  <c r="C101" i="80"/>
  <c r="D101" i="80"/>
  <c r="E101" i="80"/>
  <c r="H101" i="80"/>
  <c r="I101" i="80"/>
  <c r="K101" i="80"/>
  <c r="L101" i="80"/>
  <c r="M101" i="80"/>
  <c r="BJ101" i="80"/>
  <c r="N101" i="80"/>
  <c r="O101" i="80"/>
  <c r="P101" i="80"/>
  <c r="Q101" i="80"/>
  <c r="R101" i="80"/>
  <c r="S101" i="80"/>
  <c r="U101" i="80"/>
  <c r="W101" i="80"/>
  <c r="X101" i="80"/>
  <c r="Y101" i="80"/>
  <c r="Z101" i="80"/>
  <c r="AF101" i="80"/>
  <c r="AK101" i="80"/>
  <c r="AM101" i="80"/>
  <c r="AO101" i="80"/>
  <c r="AR101" i="80"/>
  <c r="AZ101" i="80"/>
  <c r="BF101" i="80"/>
  <c r="BG101" i="80"/>
  <c r="A102" i="80"/>
  <c r="B102" i="80"/>
  <c r="C102" i="80"/>
  <c r="D102" i="80"/>
  <c r="E102" i="80"/>
  <c r="H102" i="80"/>
  <c r="I102" i="80"/>
  <c r="K102" i="80"/>
  <c r="L102" i="80"/>
  <c r="M102" i="80"/>
  <c r="BJ102" i="80"/>
  <c r="N102" i="80"/>
  <c r="O102" i="80"/>
  <c r="P102" i="80"/>
  <c r="Q102" i="80"/>
  <c r="R102" i="80"/>
  <c r="S102" i="80"/>
  <c r="U102" i="80"/>
  <c r="W102" i="80"/>
  <c r="X102" i="80"/>
  <c r="Y102" i="80"/>
  <c r="Z102" i="80"/>
  <c r="AF102" i="80"/>
  <c r="AK102" i="80"/>
  <c r="AM102" i="80"/>
  <c r="AN102" i="80" a="1"/>
  <c r="AN102" i="80"/>
  <c r="AO102" i="80"/>
  <c r="AR102" i="80"/>
  <c r="AZ102" i="80"/>
  <c r="BF102" i="80"/>
  <c r="BG102" i="80"/>
  <c r="A103" i="80"/>
  <c r="B103" i="80"/>
  <c r="C103" i="80"/>
  <c r="D103" i="80"/>
  <c r="E103" i="80"/>
  <c r="H103" i="80"/>
  <c r="I103" i="80"/>
  <c r="K103" i="80"/>
  <c r="L103" i="80"/>
  <c r="M103" i="80"/>
  <c r="BJ103" i="80"/>
  <c r="N103" i="80"/>
  <c r="O103" i="80"/>
  <c r="P103" i="80"/>
  <c r="Q103" i="80"/>
  <c r="R103" i="80"/>
  <c r="S103" i="80"/>
  <c r="U103" i="80"/>
  <c r="W103" i="80"/>
  <c r="X103" i="80"/>
  <c r="Y103" i="80"/>
  <c r="Z103" i="80"/>
  <c r="AF103" i="80"/>
  <c r="AK103" i="80"/>
  <c r="AM103" i="80"/>
  <c r="AN103" i="80"/>
  <c r="AO103" i="80"/>
  <c r="AR103" i="80"/>
  <c r="AZ103" i="80"/>
  <c r="BF103" i="80"/>
  <c r="BG103" i="80"/>
  <c r="A104" i="80"/>
  <c r="B104" i="80"/>
  <c r="E104" i="80"/>
  <c r="C104" i="80"/>
  <c r="D104" i="80"/>
  <c r="H104" i="80"/>
  <c r="I104" i="80"/>
  <c r="K104" i="80"/>
  <c r="L104" i="80"/>
  <c r="M104" i="80"/>
  <c r="BJ104" i="80"/>
  <c r="N104" i="80"/>
  <c r="O104" i="80"/>
  <c r="P104" i="80"/>
  <c r="Q104" i="80"/>
  <c r="R104" i="80"/>
  <c r="S104" i="80"/>
  <c r="U104" i="80"/>
  <c r="W104" i="80"/>
  <c r="X104" i="80"/>
  <c r="Y104" i="80"/>
  <c r="Z104" i="80"/>
  <c r="AF104" i="80"/>
  <c r="AK104" i="80"/>
  <c r="AM104" i="80"/>
  <c r="AN104" i="80"/>
  <c r="AO104" i="80"/>
  <c r="AR104" i="80"/>
  <c r="AZ104" i="80"/>
  <c r="BF104" i="80"/>
  <c r="BG104" i="80"/>
  <c r="A105" i="80"/>
  <c r="B105" i="80"/>
  <c r="C105" i="80"/>
  <c r="D105" i="80"/>
  <c r="E105" i="80"/>
  <c r="H105" i="80"/>
  <c r="I105" i="80"/>
  <c r="K105" i="80"/>
  <c r="L105" i="80"/>
  <c r="M105" i="80"/>
  <c r="BJ105" i="80"/>
  <c r="N105" i="80"/>
  <c r="O105" i="80"/>
  <c r="P105" i="80"/>
  <c r="Q105" i="80"/>
  <c r="R105" i="80"/>
  <c r="S105" i="80"/>
  <c r="U105" i="80"/>
  <c r="W105" i="80"/>
  <c r="X105" i="80"/>
  <c r="Y105" i="80"/>
  <c r="Z105" i="80"/>
  <c r="AF105" i="80"/>
  <c r="AK105" i="80"/>
  <c r="AM105" i="80"/>
  <c r="AO105" i="80"/>
  <c r="AR105" i="80"/>
  <c r="AZ105" i="80"/>
  <c r="BF105" i="80"/>
  <c r="BG105" i="80"/>
  <c r="A106" i="80"/>
  <c r="B106" i="80"/>
  <c r="E106" i="80"/>
  <c r="C106" i="80"/>
  <c r="D106" i="80"/>
  <c r="H106" i="80"/>
  <c r="I106" i="80"/>
  <c r="K106" i="80"/>
  <c r="L106" i="80"/>
  <c r="M106" i="80"/>
  <c r="BJ106" i="80"/>
  <c r="N106" i="80"/>
  <c r="O106" i="80"/>
  <c r="P106" i="80"/>
  <c r="Q106" i="80"/>
  <c r="R106" i="80"/>
  <c r="S106" i="80"/>
  <c r="U106" i="80"/>
  <c r="W106" i="80"/>
  <c r="X106" i="80"/>
  <c r="Y106" i="80"/>
  <c r="Z106" i="80"/>
  <c r="AF106" i="80"/>
  <c r="AK106" i="80"/>
  <c r="AM106" i="80"/>
  <c r="AO106" i="80"/>
  <c r="AR106" i="80"/>
  <c r="AZ106" i="80"/>
  <c r="BF106" i="80"/>
  <c r="BG106" i="80"/>
  <c r="A107" i="80"/>
  <c r="B107" i="80"/>
  <c r="C107" i="80"/>
  <c r="D107" i="80"/>
  <c r="E107" i="80"/>
  <c r="H107" i="80"/>
  <c r="I107" i="80"/>
  <c r="K107" i="80"/>
  <c r="L107" i="80"/>
  <c r="M107" i="80"/>
  <c r="BJ107" i="80"/>
  <c r="N107" i="80"/>
  <c r="O107" i="80"/>
  <c r="P107" i="80"/>
  <c r="Q107" i="80"/>
  <c r="R107" i="80"/>
  <c r="S107" i="80"/>
  <c r="U107" i="80"/>
  <c r="W107" i="80"/>
  <c r="X107" i="80"/>
  <c r="Y107" i="80"/>
  <c r="Z107" i="80"/>
  <c r="AF107" i="80"/>
  <c r="AK107" i="80"/>
  <c r="AM107" i="80"/>
  <c r="AO107" i="80"/>
  <c r="AR107" i="80"/>
  <c r="AZ107" i="80"/>
  <c r="BF107" i="80"/>
  <c r="BG107" i="80"/>
  <c r="A108" i="80"/>
  <c r="B108" i="80"/>
  <c r="C108" i="80"/>
  <c r="D108" i="80"/>
  <c r="E108" i="80"/>
  <c r="H108" i="80"/>
  <c r="I108" i="80"/>
  <c r="K108" i="80"/>
  <c r="L108" i="80"/>
  <c r="M108" i="80"/>
  <c r="BJ108" i="80"/>
  <c r="N108" i="80"/>
  <c r="O108" i="80"/>
  <c r="P108" i="80"/>
  <c r="Q108" i="80"/>
  <c r="R108" i="80"/>
  <c r="S108" i="80"/>
  <c r="U108" i="80"/>
  <c r="W108" i="80"/>
  <c r="X108" i="80"/>
  <c r="Y108" i="80"/>
  <c r="Z108" i="80"/>
  <c r="AF108" i="80"/>
  <c r="AK108" i="80"/>
  <c r="AM108" i="80"/>
  <c r="AN108" i="80"/>
  <c r="AO108" i="80"/>
  <c r="AR108" i="80"/>
  <c r="AZ108" i="80"/>
  <c r="BF108" i="80"/>
  <c r="BG108" i="80"/>
  <c r="A109" i="80"/>
  <c r="B109" i="80"/>
  <c r="E109" i="80"/>
  <c r="C109" i="80"/>
  <c r="D109" i="80"/>
  <c r="H109" i="80"/>
  <c r="I109" i="80"/>
  <c r="K109" i="80"/>
  <c r="L109" i="80"/>
  <c r="M109" i="80"/>
  <c r="BJ109" i="80"/>
  <c r="N109" i="80"/>
  <c r="O109" i="80"/>
  <c r="P109" i="80"/>
  <c r="Q109" i="80"/>
  <c r="R109" i="80"/>
  <c r="S109" i="80"/>
  <c r="U109" i="80"/>
  <c r="W109" i="80"/>
  <c r="X109" i="80"/>
  <c r="Y109" i="80"/>
  <c r="Z109" i="80"/>
  <c r="AF109" i="80"/>
  <c r="AK109" i="80"/>
  <c r="AM109" i="80"/>
  <c r="AO109" i="80"/>
  <c r="AQ109" i="80"/>
  <c r="AR109" i="80"/>
  <c r="AZ109" i="80"/>
  <c r="BF109" i="80"/>
  <c r="BG109" i="80"/>
  <c r="A110" i="80"/>
  <c r="B110" i="80"/>
  <c r="C110" i="80"/>
  <c r="D110" i="80"/>
  <c r="E110" i="80"/>
  <c r="H110" i="80"/>
  <c r="I110" i="80"/>
  <c r="K110" i="80"/>
  <c r="L110" i="80"/>
  <c r="M110" i="80"/>
  <c r="BJ110" i="80"/>
  <c r="N110" i="80"/>
  <c r="O110" i="80"/>
  <c r="P110" i="80"/>
  <c r="Q110" i="80"/>
  <c r="R110" i="80"/>
  <c r="S110" i="80"/>
  <c r="U110" i="80"/>
  <c r="W110" i="80"/>
  <c r="X110" i="80"/>
  <c r="Y110" i="80"/>
  <c r="Z110" i="80"/>
  <c r="AF110" i="80"/>
  <c r="AK110" i="80"/>
  <c r="AM110" i="80"/>
  <c r="AO110" i="80"/>
  <c r="AR110" i="80"/>
  <c r="AZ110" i="80"/>
  <c r="BF110" i="80"/>
  <c r="BG110" i="80"/>
  <c r="A111" i="80"/>
  <c r="B111" i="80"/>
  <c r="C111" i="80"/>
  <c r="D111" i="80"/>
  <c r="E111" i="80"/>
  <c r="H111" i="80"/>
  <c r="I111" i="80"/>
  <c r="K111" i="80"/>
  <c r="L111" i="80"/>
  <c r="M111" i="80"/>
  <c r="BJ111" i="80"/>
  <c r="N111" i="80"/>
  <c r="O111" i="80"/>
  <c r="P111" i="80"/>
  <c r="Q111" i="80"/>
  <c r="R111" i="80"/>
  <c r="S111" i="80"/>
  <c r="U111" i="80"/>
  <c r="W111" i="80"/>
  <c r="X111" i="80"/>
  <c r="Y111" i="80"/>
  <c r="Z111" i="80"/>
  <c r="AF111" i="80"/>
  <c r="AK111" i="80"/>
  <c r="AM111" i="80"/>
  <c r="AO111" i="80"/>
  <c r="AQ111" i="80"/>
  <c r="AR111" i="80"/>
  <c r="AZ111" i="80"/>
  <c r="BF111" i="80"/>
  <c r="BG111" i="80"/>
  <c r="A112" i="80"/>
  <c r="B112" i="80"/>
  <c r="E112" i="80"/>
  <c r="C112" i="80"/>
  <c r="D112" i="80"/>
  <c r="H112" i="80"/>
  <c r="I112" i="80"/>
  <c r="K112" i="80"/>
  <c r="L112" i="80"/>
  <c r="M112" i="80"/>
  <c r="BJ112" i="80"/>
  <c r="N112" i="80"/>
  <c r="O112" i="80"/>
  <c r="P112" i="80"/>
  <c r="Q112" i="80"/>
  <c r="R112" i="80"/>
  <c r="S112" i="80"/>
  <c r="U112" i="80"/>
  <c r="W112" i="80"/>
  <c r="X112" i="80"/>
  <c r="Y112" i="80"/>
  <c r="Z112" i="80"/>
  <c r="AF112" i="80"/>
  <c r="AK112" i="80"/>
  <c r="AM112" i="80"/>
  <c r="AO112" i="80"/>
  <c r="AR112" i="80"/>
  <c r="AZ112" i="80"/>
  <c r="BF112" i="80"/>
  <c r="BG112" i="80"/>
  <c r="A113" i="80"/>
  <c r="B113" i="80"/>
  <c r="E113" i="80"/>
  <c r="C113" i="80"/>
  <c r="D113" i="80"/>
  <c r="H113" i="80"/>
  <c r="I113" i="80"/>
  <c r="K113" i="80"/>
  <c r="L113" i="80"/>
  <c r="M113" i="80"/>
  <c r="BJ113" i="80"/>
  <c r="N113" i="80"/>
  <c r="O113" i="80"/>
  <c r="P113" i="80"/>
  <c r="Q113" i="80"/>
  <c r="R113" i="80"/>
  <c r="S113" i="80"/>
  <c r="U113" i="80"/>
  <c r="W113" i="80"/>
  <c r="X113" i="80"/>
  <c r="Y113" i="80"/>
  <c r="Z113" i="80"/>
  <c r="AF113" i="80"/>
  <c r="AK113" i="80"/>
  <c r="AM113" i="80"/>
  <c r="AO113" i="80"/>
  <c r="AR113" i="80"/>
  <c r="AZ113" i="80"/>
  <c r="BF113" i="80"/>
  <c r="BG113" i="80"/>
  <c r="A114" i="80"/>
  <c r="B114" i="80"/>
  <c r="E114" i="80"/>
  <c r="C114" i="80"/>
  <c r="D114" i="80"/>
  <c r="H114" i="80"/>
  <c r="I114" i="80"/>
  <c r="K114" i="80"/>
  <c r="L114" i="80"/>
  <c r="M114" i="80"/>
  <c r="BJ114" i="80"/>
  <c r="N114" i="80"/>
  <c r="O114" i="80"/>
  <c r="P114" i="80"/>
  <c r="Q114" i="80"/>
  <c r="R114" i="80"/>
  <c r="S114" i="80"/>
  <c r="U114" i="80"/>
  <c r="W114" i="80"/>
  <c r="X114" i="80"/>
  <c r="Y114" i="80"/>
  <c r="Z114" i="80"/>
  <c r="AF114" i="80"/>
  <c r="AK114" i="80"/>
  <c r="AM114" i="80"/>
  <c r="AO114" i="80"/>
  <c r="AR114" i="80"/>
  <c r="AZ114" i="80"/>
  <c r="BF114" i="80"/>
  <c r="BG114" i="80"/>
  <c r="A115" i="80"/>
  <c r="B115" i="80"/>
  <c r="E115" i="80"/>
  <c r="C115" i="80"/>
  <c r="D115" i="80"/>
  <c r="H115" i="80"/>
  <c r="I115" i="80"/>
  <c r="K115" i="80"/>
  <c r="L115" i="80"/>
  <c r="M115" i="80"/>
  <c r="BJ115" i="80"/>
  <c r="N115" i="80"/>
  <c r="O115" i="80"/>
  <c r="P115" i="80"/>
  <c r="Q115" i="80"/>
  <c r="R115" i="80"/>
  <c r="S115" i="80"/>
  <c r="U115" i="80"/>
  <c r="W115" i="80"/>
  <c r="X115" i="80"/>
  <c r="Y115" i="80"/>
  <c r="Z115" i="80"/>
  <c r="AF115" i="80"/>
  <c r="AK115" i="80"/>
  <c r="AM115" i="80"/>
  <c r="AO115" i="80"/>
  <c r="AR115" i="80"/>
  <c r="AZ115" i="80"/>
  <c r="BF115" i="80"/>
  <c r="BG115" i="80"/>
  <c r="A116" i="80"/>
  <c r="B116" i="80"/>
  <c r="E116" i="80"/>
  <c r="C116" i="80"/>
  <c r="D116" i="80"/>
  <c r="H116" i="80"/>
  <c r="I116" i="80"/>
  <c r="K116" i="80"/>
  <c r="L116" i="80"/>
  <c r="M116" i="80"/>
  <c r="BJ116" i="80"/>
  <c r="N116" i="80"/>
  <c r="O116" i="80"/>
  <c r="P116" i="80"/>
  <c r="Q116" i="80"/>
  <c r="R116" i="80"/>
  <c r="S116" i="80"/>
  <c r="U116" i="80"/>
  <c r="W116" i="80"/>
  <c r="X116" i="80"/>
  <c r="Y116" i="80"/>
  <c r="Z116" i="80"/>
  <c r="AF116" i="80"/>
  <c r="AK116" i="80"/>
  <c r="AM116" i="80"/>
  <c r="AO116" i="80"/>
  <c r="AR116" i="80"/>
  <c r="AZ116" i="80"/>
  <c r="BF116" i="80"/>
  <c r="BG116" i="80"/>
  <c r="A117" i="80"/>
  <c r="B117" i="80"/>
  <c r="E117" i="80"/>
  <c r="C117" i="80"/>
  <c r="D117" i="80"/>
  <c r="H117" i="80"/>
  <c r="I117" i="80"/>
  <c r="K117" i="80"/>
  <c r="L117" i="80"/>
  <c r="M117" i="80"/>
  <c r="BJ117" i="80"/>
  <c r="N117" i="80"/>
  <c r="O117" i="80"/>
  <c r="P117" i="80"/>
  <c r="Q117" i="80"/>
  <c r="R117" i="80"/>
  <c r="S117" i="80"/>
  <c r="U117" i="80"/>
  <c r="W117" i="80"/>
  <c r="X117" i="80"/>
  <c r="Y117" i="80"/>
  <c r="Z117" i="80"/>
  <c r="AF117" i="80"/>
  <c r="AK117" i="80"/>
  <c r="AM117" i="80"/>
  <c r="AO117" i="80"/>
  <c r="AR117" i="80"/>
  <c r="AZ117" i="80"/>
  <c r="BF117" i="80"/>
  <c r="BG117" i="80"/>
  <c r="A118" i="80"/>
  <c r="B118" i="80"/>
  <c r="E118" i="80"/>
  <c r="C118" i="80"/>
  <c r="D118" i="80"/>
  <c r="H118" i="80"/>
  <c r="I118" i="80"/>
  <c r="K118" i="80"/>
  <c r="L118" i="80"/>
  <c r="M118" i="80"/>
  <c r="BJ118" i="80"/>
  <c r="N118" i="80"/>
  <c r="O118" i="80"/>
  <c r="P118" i="80"/>
  <c r="Q118" i="80"/>
  <c r="R118" i="80"/>
  <c r="S118" i="80"/>
  <c r="U118" i="80"/>
  <c r="W118" i="80"/>
  <c r="X118" i="80"/>
  <c r="Y118" i="80"/>
  <c r="Z118" i="80"/>
  <c r="AF118" i="80"/>
  <c r="AK118" i="80"/>
  <c r="AM118" i="80"/>
  <c r="AO118" i="80"/>
  <c r="AR118" i="80"/>
  <c r="AZ118" i="80"/>
  <c r="BF118" i="80"/>
  <c r="BG118" i="80"/>
  <c r="A119" i="80"/>
  <c r="B119" i="80"/>
  <c r="E119" i="80"/>
  <c r="C119" i="80"/>
  <c r="D119" i="80"/>
  <c r="H119" i="80"/>
  <c r="I119" i="80"/>
  <c r="K119" i="80"/>
  <c r="L119" i="80"/>
  <c r="M119" i="80"/>
  <c r="BJ119" i="80"/>
  <c r="N119" i="80"/>
  <c r="O119" i="80"/>
  <c r="P119" i="80"/>
  <c r="Q119" i="80"/>
  <c r="R119" i="80"/>
  <c r="S119" i="80"/>
  <c r="U119" i="80"/>
  <c r="W119" i="80"/>
  <c r="X119" i="80"/>
  <c r="Y119" i="80"/>
  <c r="Z119" i="80"/>
  <c r="AF119" i="80"/>
  <c r="AK119" i="80"/>
  <c r="AM119" i="80"/>
  <c r="AO119" i="80"/>
  <c r="AR119" i="80"/>
  <c r="AZ119" i="80"/>
  <c r="BF119" i="80"/>
  <c r="BG119" i="80"/>
  <c r="A120" i="80"/>
  <c r="E120" i="80"/>
  <c r="H120" i="80"/>
  <c r="I120" i="80"/>
  <c r="K120" i="80"/>
  <c r="L120" i="80"/>
  <c r="M120" i="80"/>
  <c r="BJ120" i="80"/>
  <c r="N120" i="80"/>
  <c r="O120" i="80"/>
  <c r="P120" i="80"/>
  <c r="Q120" i="80"/>
  <c r="R120" i="80"/>
  <c r="S120" i="80"/>
  <c r="U120" i="80"/>
  <c r="W120" i="80"/>
  <c r="X120" i="80"/>
  <c r="Y120" i="80"/>
  <c r="Z120" i="80"/>
  <c r="AF120" i="80"/>
  <c r="AK120" i="80"/>
  <c r="AM120" i="80"/>
  <c r="AO120" i="80"/>
  <c r="AR120" i="80"/>
  <c r="AZ120" i="80"/>
  <c r="BF120" i="80"/>
  <c r="BG120" i="80"/>
  <c r="A121" i="80"/>
  <c r="B121" i="80"/>
  <c r="C121" i="80"/>
  <c r="D121" i="80"/>
  <c r="E121" i="80"/>
  <c r="K121" i="80"/>
  <c r="L121" i="80"/>
  <c r="M121" i="80"/>
  <c r="N121" i="80"/>
  <c r="O121" i="80"/>
  <c r="P121" i="80"/>
  <c r="Q121" i="80"/>
  <c r="R121" i="80"/>
  <c r="S121" i="80"/>
  <c r="U121" i="80"/>
  <c r="W121" i="80"/>
  <c r="X121" i="80"/>
  <c r="Y121" i="80"/>
  <c r="Z121" i="80"/>
  <c r="AA121" i="80"/>
  <c r="AB121" i="80"/>
  <c r="AC121" i="80"/>
  <c r="AD121" i="80"/>
  <c r="AG121" i="80"/>
  <c r="AE121" i="80"/>
  <c r="AF121" i="80"/>
  <c r="AI121" i="80"/>
  <c r="AK121" i="80"/>
  <c r="AL121" i="80"/>
  <c r="AM121" i="80"/>
  <c r="AO121" i="80"/>
  <c r="AR121" i="80"/>
  <c r="AZ121" i="80"/>
  <c r="BF121" i="80"/>
  <c r="BG121" i="80"/>
  <c r="BJ121" i="80"/>
  <c r="W123" i="80"/>
  <c r="X123" i="80"/>
  <c r="AG91" i="78"/>
  <c r="AG92" i="78"/>
  <c r="AG93" i="78"/>
  <c r="AG94" i="78"/>
  <c r="AG95" i="78"/>
  <c r="AG96" i="78"/>
  <c r="AG97" i="78"/>
  <c r="AG98" i="78"/>
  <c r="AG99" i="78"/>
  <c r="AG100" i="78"/>
  <c r="AG101" i="78"/>
  <c r="AG102" i="78"/>
  <c r="AG103" i="78"/>
  <c r="AG104" i="78"/>
  <c r="AG105" i="78"/>
  <c r="AG106" i="78"/>
  <c r="AG107" i="78"/>
  <c r="AG108" i="78"/>
  <c r="AG109" i="78"/>
  <c r="AG110" i="78"/>
  <c r="AG111" i="78"/>
  <c r="AG112" i="78"/>
  <c r="AG113" i="78"/>
  <c r="AG114" i="78"/>
  <c r="AX4" i="78"/>
  <c r="AY4" i="78"/>
  <c r="AX5" i="78"/>
  <c r="AD92" i="78"/>
  <c r="AY5" i="78"/>
  <c r="AX6" i="78"/>
  <c r="AD93" i="78"/>
  <c r="AY6" i="78"/>
  <c r="AY7" i="78"/>
  <c r="M94" i="78"/>
  <c r="AU38" i="78"/>
  <c r="AV38" i="78"/>
  <c r="AX38" i="78"/>
  <c r="BA38" i="78"/>
  <c r="BA40" i="78"/>
  <c r="BC38" i="78"/>
  <c r="AT40" i="78"/>
  <c r="AU40" i="78"/>
  <c r="AV40" i="78"/>
  <c r="BA42" i="78"/>
  <c r="BB42" i="78"/>
  <c r="BC42" i="78"/>
  <c r="BF42" i="78"/>
  <c r="BG42" i="78"/>
  <c r="BH86" i="78"/>
  <c r="BH85" i="78"/>
  <c r="BH42" i="78"/>
  <c r="BA43" i="78"/>
  <c r="BB43" i="78"/>
  <c r="BC43" i="78"/>
  <c r="BF43" i="78"/>
  <c r="BG43" i="78"/>
  <c r="BH43" i="78"/>
  <c r="F46" i="78"/>
  <c r="G46" i="78"/>
  <c r="AY80" i="78"/>
  <c r="AY81" i="78"/>
  <c r="AY82" i="78"/>
  <c r="H46" i="78"/>
  <c r="I46" i="78"/>
  <c r="K46" i="78"/>
  <c r="L46" i="78"/>
  <c r="M46" i="78"/>
  <c r="N46" i="78"/>
  <c r="R46" i="78"/>
  <c r="S46" i="78"/>
  <c r="U46" i="78"/>
  <c r="AG46" i="78"/>
  <c r="AH46" i="78"/>
  <c r="AI46" i="78"/>
  <c r="AJ46" i="78"/>
  <c r="AP46" i="78"/>
  <c r="AQ46" i="78"/>
  <c r="F47" i="78"/>
  <c r="G47" i="78"/>
  <c r="H47" i="78"/>
  <c r="I47" i="78"/>
  <c r="R47" i="78"/>
  <c r="M54" i="78"/>
  <c r="AC47" i="78"/>
  <c r="BB49" i="78"/>
  <c r="BC49" i="78"/>
  <c r="AJ50" i="78"/>
  <c r="BB50" i="78"/>
  <c r="BB80" i="78"/>
  <c r="BC50" i="78"/>
  <c r="BB51" i="78"/>
  <c r="BC51" i="78"/>
  <c r="AA52" i="78"/>
  <c r="BB52" i="78"/>
  <c r="BC52" i="78"/>
  <c r="AJ53" i="78"/>
  <c r="AP53" i="78"/>
  <c r="BB53" i="78"/>
  <c r="BC53" i="78"/>
  <c r="AA54" i="78"/>
  <c r="AQ54" i="78"/>
  <c r="BB54" i="78"/>
  <c r="BC54" i="78"/>
  <c r="X55" i="78"/>
  <c r="BB55" i="78"/>
  <c r="BC55" i="78"/>
  <c r="BB56" i="78"/>
  <c r="BC56" i="78"/>
  <c r="BB57" i="78"/>
  <c r="BC57" i="78"/>
  <c r="BB58" i="78"/>
  <c r="BC58" i="78"/>
  <c r="BB59" i="78"/>
  <c r="BC59" i="78"/>
  <c r="BB60" i="78"/>
  <c r="BC60" i="78"/>
  <c r="BB61" i="78"/>
  <c r="BC61" i="78"/>
  <c r="BB62" i="78"/>
  <c r="BC62" i="78"/>
  <c r="BB63" i="78"/>
  <c r="BC63" i="78"/>
  <c r="BB64" i="78"/>
  <c r="BC64" i="78"/>
  <c r="AJ65" i="78"/>
  <c r="BB65" i="78"/>
  <c r="BC65" i="78"/>
  <c r="BB66" i="78"/>
  <c r="BC66" i="78"/>
  <c r="BB67" i="78"/>
  <c r="BC67" i="78"/>
  <c r="AJ68" i="78"/>
  <c r="BB68" i="78"/>
  <c r="BC68" i="78"/>
  <c r="BB69" i="78"/>
  <c r="BC69" i="78"/>
  <c r="BB70" i="78"/>
  <c r="BC70" i="78"/>
  <c r="BB71" i="78"/>
  <c r="BC71" i="78"/>
  <c r="BB72" i="78"/>
  <c r="BC72" i="78"/>
  <c r="AN67" i="78" a="1"/>
  <c r="BB73" i="78"/>
  <c r="BC73" i="78"/>
  <c r="K74" i="78"/>
  <c r="L74" i="78"/>
  <c r="M74" i="78"/>
  <c r="BB74" i="78"/>
  <c r="BC74" i="78"/>
  <c r="L75" i="78"/>
  <c r="M75" i="78"/>
  <c r="BB75" i="78"/>
  <c r="BC75" i="78"/>
  <c r="L76" i="78"/>
  <c r="M76" i="78"/>
  <c r="AN76" i="78"/>
  <c r="BB76" i="78"/>
  <c r="BC76" i="78"/>
  <c r="L77" i="78"/>
  <c r="M77" i="78"/>
  <c r="BB77" i="78"/>
  <c r="BC77" i="78"/>
  <c r="K78" i="78"/>
  <c r="L78" i="78"/>
  <c r="M78" i="78"/>
  <c r="BB78" i="78"/>
  <c r="BC78" i="78"/>
  <c r="K79" i="78"/>
  <c r="L79" i="78"/>
  <c r="M79" i="78"/>
  <c r="BB79" i="78"/>
  <c r="BC79" i="78"/>
  <c r="K80" i="78"/>
  <c r="L80" i="78"/>
  <c r="M80" i="78"/>
  <c r="BC80" i="78"/>
  <c r="B120" i="78"/>
  <c r="C120" i="78"/>
  <c r="D120" i="78"/>
  <c r="BD80" i="78"/>
  <c r="K81" i="78"/>
  <c r="L81" i="78"/>
  <c r="M81" i="78"/>
  <c r="K82" i="78"/>
  <c r="K83" i="78"/>
  <c r="L83" i="78"/>
  <c r="M83" i="78"/>
  <c r="L82" i="78"/>
  <c r="M82" i="78"/>
  <c r="C91" i="78"/>
  <c r="D91" i="78"/>
  <c r="B91" i="78"/>
  <c r="E91" i="78"/>
  <c r="BA83" i="78"/>
  <c r="BA84" i="78"/>
  <c r="BB84" i="78"/>
  <c r="X85" i="78"/>
  <c r="Y85" i="78"/>
  <c r="AF85" i="78"/>
  <c r="AZ85" i="78"/>
  <c r="BD85" i="78"/>
  <c r="BE85" i="78"/>
  <c r="BF85" i="78"/>
  <c r="BG85" i="78"/>
  <c r="T86" i="78"/>
  <c r="X86" i="78"/>
  <c r="Y86" i="78"/>
  <c r="AF86" i="78"/>
  <c r="AZ86" i="78"/>
  <c r="BA86" i="78"/>
  <c r="BD86" i="78"/>
  <c r="BE86" i="78"/>
  <c r="BF86" i="78"/>
  <c r="BG86" i="78"/>
  <c r="A91" i="78"/>
  <c r="K91" i="78"/>
  <c r="L91" i="78"/>
  <c r="M91" i="78"/>
  <c r="BJ91" i="78"/>
  <c r="N91" i="78"/>
  <c r="O91" i="78"/>
  <c r="P91" i="78"/>
  <c r="Q91" i="78"/>
  <c r="R91" i="78"/>
  <c r="S91" i="78"/>
  <c r="U91" i="78"/>
  <c r="W91" i="78"/>
  <c r="X91" i="78"/>
  <c r="Y91" i="78"/>
  <c r="Z91" i="78"/>
  <c r="AC91" i="78"/>
  <c r="AD91" i="78"/>
  <c r="AF91" i="78"/>
  <c r="AT123" i="78"/>
  <c r="AK91" i="78"/>
  <c r="AM91" i="78"/>
  <c r="AO91" i="78"/>
  <c r="AR91" i="78"/>
  <c r="AV91" i="78"/>
  <c r="AZ91" i="78"/>
  <c r="BF91" i="78"/>
  <c r="BG91" i="78"/>
  <c r="A92" i="78"/>
  <c r="B92" i="78"/>
  <c r="E92" i="78"/>
  <c r="C92" i="78"/>
  <c r="D92" i="78"/>
  <c r="H92" i="78"/>
  <c r="K92" i="78"/>
  <c r="L92" i="78"/>
  <c r="M92" i="78"/>
  <c r="BJ92" i="78"/>
  <c r="N92" i="78"/>
  <c r="O92" i="78"/>
  <c r="P92" i="78"/>
  <c r="Q92" i="78"/>
  <c r="R92" i="78"/>
  <c r="S92" i="78"/>
  <c r="U92" i="78"/>
  <c r="W92" i="78"/>
  <c r="X92" i="78"/>
  <c r="Y92" i="78"/>
  <c r="Z92" i="78"/>
  <c r="AC92" i="78"/>
  <c r="AF92" i="78"/>
  <c r="AK92" i="78"/>
  <c r="AM92" i="78"/>
  <c r="AO92" i="78"/>
  <c r="AR92" i="78"/>
  <c r="AV92" i="78"/>
  <c r="AZ92" i="78"/>
  <c r="BF92" i="78"/>
  <c r="BG92" i="78"/>
  <c r="A93" i="78"/>
  <c r="B93" i="78"/>
  <c r="E93" i="78"/>
  <c r="C93" i="78"/>
  <c r="D93" i="78"/>
  <c r="H93" i="78"/>
  <c r="K93" i="78"/>
  <c r="L93" i="78"/>
  <c r="M93" i="78"/>
  <c r="BJ93" i="78"/>
  <c r="N93" i="78"/>
  <c r="O93" i="78"/>
  <c r="P93" i="78"/>
  <c r="Q93" i="78"/>
  <c r="R93" i="78"/>
  <c r="S93" i="78"/>
  <c r="U93" i="78"/>
  <c r="W93" i="78"/>
  <c r="X93" i="78"/>
  <c r="Y93" i="78"/>
  <c r="Z93" i="78"/>
  <c r="AC93" i="78"/>
  <c r="AF93" i="78"/>
  <c r="AK93" i="78"/>
  <c r="AM93" i="78"/>
  <c r="AO93" i="78"/>
  <c r="AR93" i="78"/>
  <c r="AV93" i="78"/>
  <c r="AZ93" i="78"/>
  <c r="BF93" i="78"/>
  <c r="BG93" i="78"/>
  <c r="A94" i="78"/>
  <c r="B94" i="78"/>
  <c r="E94" i="78"/>
  <c r="C94" i="78"/>
  <c r="D94" i="78"/>
  <c r="H94" i="78"/>
  <c r="K94" i="78"/>
  <c r="L94" i="78"/>
  <c r="BJ94" i="78"/>
  <c r="N94" i="78"/>
  <c r="O94" i="78"/>
  <c r="P94" i="78"/>
  <c r="Q94" i="78"/>
  <c r="R94" i="78"/>
  <c r="S94" i="78"/>
  <c r="U94" i="78"/>
  <c r="W94" i="78"/>
  <c r="X94" i="78"/>
  <c r="Y94" i="78"/>
  <c r="Z94" i="78"/>
  <c r="AF94" i="78"/>
  <c r="AK94" i="78"/>
  <c r="AM94" i="78"/>
  <c r="AO94" i="78"/>
  <c r="AR94" i="78"/>
  <c r="AV94" i="78"/>
  <c r="AZ94" i="78"/>
  <c r="BF94" i="78"/>
  <c r="BG94" i="78"/>
  <c r="A95" i="78"/>
  <c r="B95" i="78"/>
  <c r="E95" i="78"/>
  <c r="C95" i="78"/>
  <c r="D95" i="78"/>
  <c r="H95" i="78"/>
  <c r="K95" i="78"/>
  <c r="L95" i="78"/>
  <c r="M95" i="78"/>
  <c r="BJ95" i="78"/>
  <c r="N95" i="78"/>
  <c r="O95" i="78"/>
  <c r="P95" i="78"/>
  <c r="Q95" i="78"/>
  <c r="R95" i="78"/>
  <c r="S95" i="78"/>
  <c r="U95" i="78"/>
  <c r="W95" i="78"/>
  <c r="X95" i="78"/>
  <c r="Y95" i="78"/>
  <c r="Z95" i="78"/>
  <c r="AF95" i="78"/>
  <c r="AK95" i="78"/>
  <c r="AM95" i="78"/>
  <c r="AO95" i="78"/>
  <c r="AR95" i="78"/>
  <c r="AV95" i="78"/>
  <c r="AZ95" i="78"/>
  <c r="BF95" i="78"/>
  <c r="BG95" i="78"/>
  <c r="A96" i="78"/>
  <c r="B96" i="78"/>
  <c r="E96" i="78"/>
  <c r="C96" i="78"/>
  <c r="D96" i="78"/>
  <c r="H96" i="78"/>
  <c r="K96" i="78"/>
  <c r="L96" i="78"/>
  <c r="M96" i="78"/>
  <c r="BJ96" i="78"/>
  <c r="N96" i="78"/>
  <c r="O96" i="78"/>
  <c r="P96" i="78"/>
  <c r="Q96" i="78"/>
  <c r="R96" i="78"/>
  <c r="S96" i="78"/>
  <c r="U96" i="78"/>
  <c r="W96" i="78"/>
  <c r="X96" i="78"/>
  <c r="Y96" i="78"/>
  <c r="Z96" i="78"/>
  <c r="AF96" i="78"/>
  <c r="AK96" i="78"/>
  <c r="AM96" i="78"/>
  <c r="AO96" i="78"/>
  <c r="AR96" i="78"/>
  <c r="AV96" i="78"/>
  <c r="AZ96" i="78"/>
  <c r="BF96" i="78"/>
  <c r="BG96" i="78"/>
  <c r="A97" i="78"/>
  <c r="B97" i="78"/>
  <c r="E97" i="78"/>
  <c r="C97" i="78"/>
  <c r="D97" i="78"/>
  <c r="H97" i="78"/>
  <c r="K97" i="78"/>
  <c r="L97" i="78"/>
  <c r="M97" i="78"/>
  <c r="BJ97" i="78"/>
  <c r="N97" i="78"/>
  <c r="O97" i="78"/>
  <c r="P97" i="78"/>
  <c r="Q97" i="78"/>
  <c r="R97" i="78"/>
  <c r="S97" i="78"/>
  <c r="U97" i="78"/>
  <c r="W97" i="78"/>
  <c r="X97" i="78"/>
  <c r="Y97" i="78"/>
  <c r="Z97" i="78"/>
  <c r="AF97" i="78"/>
  <c r="AK97" i="78"/>
  <c r="AM97" i="78"/>
  <c r="AO97" i="78"/>
  <c r="AR97" i="78"/>
  <c r="AV97" i="78"/>
  <c r="AZ97" i="78"/>
  <c r="BF97" i="78"/>
  <c r="BG97" i="78"/>
  <c r="A98" i="78"/>
  <c r="B98" i="78"/>
  <c r="E98" i="78"/>
  <c r="C98" i="78"/>
  <c r="D98" i="78"/>
  <c r="H98" i="78"/>
  <c r="I98" i="78"/>
  <c r="K98" i="78"/>
  <c r="L98" i="78"/>
  <c r="M98" i="78"/>
  <c r="BJ98" i="78"/>
  <c r="N98" i="78"/>
  <c r="O98" i="78"/>
  <c r="P98" i="78"/>
  <c r="Q98" i="78"/>
  <c r="R98" i="78"/>
  <c r="S98" i="78"/>
  <c r="U98" i="78"/>
  <c r="W98" i="78"/>
  <c r="X98" i="78"/>
  <c r="Y98" i="78"/>
  <c r="Z98" i="78"/>
  <c r="AF98" i="78"/>
  <c r="AK98" i="78"/>
  <c r="AM98" i="78"/>
  <c r="AO98" i="78"/>
  <c r="AR98" i="78"/>
  <c r="AV98" i="78"/>
  <c r="AZ98" i="78"/>
  <c r="BF98" i="78"/>
  <c r="BG98" i="78"/>
  <c r="A99" i="78"/>
  <c r="B99" i="78"/>
  <c r="C99" i="78"/>
  <c r="D99" i="78"/>
  <c r="E99" i="78"/>
  <c r="H99" i="78"/>
  <c r="I99" i="78"/>
  <c r="K99" i="78"/>
  <c r="L99" i="78"/>
  <c r="M99" i="78"/>
  <c r="BJ99" i="78"/>
  <c r="N99" i="78"/>
  <c r="O99" i="78"/>
  <c r="P99" i="78"/>
  <c r="Q99" i="78"/>
  <c r="R99" i="78"/>
  <c r="S99" i="78"/>
  <c r="U99" i="78"/>
  <c r="W99" i="78"/>
  <c r="X99" i="78"/>
  <c r="Y99" i="78"/>
  <c r="Z99" i="78"/>
  <c r="AF99" i="78"/>
  <c r="AK99" i="78"/>
  <c r="AM99" i="78"/>
  <c r="AN99" i="78"/>
  <c r="AO99" i="78"/>
  <c r="AR99" i="78"/>
  <c r="AV99" i="78"/>
  <c r="AZ99" i="78"/>
  <c r="BF99" i="78"/>
  <c r="BG99" i="78"/>
  <c r="A100" i="78"/>
  <c r="B100" i="78"/>
  <c r="C100" i="78"/>
  <c r="D100" i="78"/>
  <c r="E100" i="78"/>
  <c r="H100" i="78"/>
  <c r="I100" i="78"/>
  <c r="K100" i="78"/>
  <c r="L100" i="78"/>
  <c r="M100" i="78"/>
  <c r="BJ100" i="78"/>
  <c r="N100" i="78"/>
  <c r="O100" i="78"/>
  <c r="P100" i="78"/>
  <c r="Q100" i="78"/>
  <c r="R100" i="78"/>
  <c r="S100" i="78"/>
  <c r="U100" i="78"/>
  <c r="W100" i="78"/>
  <c r="X100" i="78"/>
  <c r="Y100" i="78"/>
  <c r="Z100" i="78"/>
  <c r="AF100" i="78"/>
  <c r="AK100" i="78"/>
  <c r="AM100" i="78"/>
  <c r="AO100" i="78"/>
  <c r="AR100" i="78"/>
  <c r="AV100" i="78"/>
  <c r="AZ100" i="78"/>
  <c r="BF100" i="78"/>
  <c r="BG100" i="78"/>
  <c r="A101" i="78"/>
  <c r="B101" i="78"/>
  <c r="E101" i="78"/>
  <c r="C101" i="78"/>
  <c r="D101" i="78"/>
  <c r="H101" i="78"/>
  <c r="I101" i="78"/>
  <c r="K101" i="78"/>
  <c r="L101" i="78"/>
  <c r="M101" i="78"/>
  <c r="BJ101" i="78"/>
  <c r="N101" i="78"/>
  <c r="O101" i="78"/>
  <c r="P101" i="78"/>
  <c r="Q101" i="78"/>
  <c r="R101" i="78"/>
  <c r="S101" i="78"/>
  <c r="U101" i="78"/>
  <c r="W101" i="78"/>
  <c r="X101" i="78"/>
  <c r="Y101" i="78"/>
  <c r="Z101" i="78"/>
  <c r="AF101" i="78"/>
  <c r="AK101" i="78"/>
  <c r="AM101" i="78"/>
  <c r="AO101" i="78"/>
  <c r="AR101" i="78"/>
  <c r="AV101" i="78"/>
  <c r="AZ101" i="78"/>
  <c r="BF101" i="78"/>
  <c r="BG101" i="78"/>
  <c r="A102" i="78"/>
  <c r="B102" i="78"/>
  <c r="C102" i="78"/>
  <c r="D102" i="78"/>
  <c r="E102" i="78"/>
  <c r="H102" i="78"/>
  <c r="I102" i="78"/>
  <c r="K102" i="78"/>
  <c r="L102" i="78"/>
  <c r="M102" i="78"/>
  <c r="BJ102" i="78"/>
  <c r="N102" i="78"/>
  <c r="O102" i="78"/>
  <c r="P102" i="78"/>
  <c r="Q102" i="78"/>
  <c r="R102" i="78"/>
  <c r="S102" i="78"/>
  <c r="U102" i="78"/>
  <c r="W102" i="78"/>
  <c r="X102" i="78"/>
  <c r="Y102" i="78"/>
  <c r="Z102" i="78"/>
  <c r="AF102" i="78"/>
  <c r="AK102" i="78"/>
  <c r="AM102" i="78"/>
  <c r="AN102" i="78" a="1"/>
  <c r="AN102" i="78"/>
  <c r="AO102" i="78"/>
  <c r="AR102" i="78"/>
  <c r="AV102" i="78"/>
  <c r="AZ102" i="78"/>
  <c r="BF102" i="78"/>
  <c r="BG102" i="78"/>
  <c r="A103" i="78"/>
  <c r="B103" i="78"/>
  <c r="E103" i="78"/>
  <c r="C103" i="78"/>
  <c r="D103" i="78"/>
  <c r="H103" i="78"/>
  <c r="I103" i="78"/>
  <c r="K103" i="78"/>
  <c r="L103" i="78"/>
  <c r="M103" i="78"/>
  <c r="BJ103" i="78"/>
  <c r="N103" i="78"/>
  <c r="O103" i="78"/>
  <c r="P103" i="78"/>
  <c r="Q103" i="78"/>
  <c r="R103" i="78"/>
  <c r="S103" i="78"/>
  <c r="U103" i="78"/>
  <c r="W103" i="78"/>
  <c r="X103" i="78"/>
  <c r="Y103" i="78"/>
  <c r="Z103" i="78"/>
  <c r="AF103" i="78"/>
  <c r="AK103" i="78"/>
  <c r="AM103" i="78"/>
  <c r="AN103" i="78"/>
  <c r="AO103" i="78"/>
  <c r="AR103" i="78"/>
  <c r="AV103" i="78"/>
  <c r="AZ103" i="78"/>
  <c r="BF103" i="78"/>
  <c r="BG103" i="78"/>
  <c r="A104" i="78"/>
  <c r="B104" i="78"/>
  <c r="E104" i="78"/>
  <c r="C104" i="78"/>
  <c r="D104" i="78"/>
  <c r="H104" i="78"/>
  <c r="I104" i="78"/>
  <c r="K104" i="78"/>
  <c r="L104" i="78"/>
  <c r="M104" i="78"/>
  <c r="BJ104" i="78"/>
  <c r="N104" i="78"/>
  <c r="O104" i="78"/>
  <c r="P104" i="78"/>
  <c r="Q104" i="78"/>
  <c r="R104" i="78"/>
  <c r="S104" i="78"/>
  <c r="U104" i="78"/>
  <c r="W104" i="78"/>
  <c r="X104" i="78"/>
  <c r="Y104" i="78"/>
  <c r="Z104" i="78"/>
  <c r="AF104" i="78"/>
  <c r="AK104" i="78"/>
  <c r="AM104" i="78"/>
  <c r="AN104" i="78"/>
  <c r="AO104" i="78"/>
  <c r="AR104" i="78"/>
  <c r="AV104" i="78"/>
  <c r="AZ104" i="78"/>
  <c r="BF104" i="78"/>
  <c r="BG104" i="78"/>
  <c r="A105" i="78"/>
  <c r="B105" i="78"/>
  <c r="E105" i="78"/>
  <c r="C105" i="78"/>
  <c r="D105" i="78"/>
  <c r="H105" i="78"/>
  <c r="I105" i="78"/>
  <c r="K105" i="78"/>
  <c r="L105" i="78"/>
  <c r="M105" i="78"/>
  <c r="BJ105" i="78"/>
  <c r="N105" i="78"/>
  <c r="O105" i="78"/>
  <c r="P105" i="78"/>
  <c r="Q105" i="78"/>
  <c r="R105" i="78"/>
  <c r="S105" i="78"/>
  <c r="U105" i="78"/>
  <c r="W105" i="78"/>
  <c r="X105" i="78"/>
  <c r="Y105" i="78"/>
  <c r="Z105" i="78"/>
  <c r="AF105" i="78"/>
  <c r="AK105" i="78"/>
  <c r="AM105" i="78"/>
  <c r="AO105" i="78"/>
  <c r="AR105" i="78"/>
  <c r="AV105" i="78"/>
  <c r="AZ105" i="78"/>
  <c r="BF105" i="78"/>
  <c r="BG105" i="78"/>
  <c r="A106" i="78"/>
  <c r="B106" i="78"/>
  <c r="E106" i="78"/>
  <c r="C106" i="78"/>
  <c r="D106" i="78"/>
  <c r="H106" i="78"/>
  <c r="I106" i="78"/>
  <c r="K106" i="78"/>
  <c r="L106" i="78"/>
  <c r="M106" i="78"/>
  <c r="BJ106" i="78"/>
  <c r="N106" i="78"/>
  <c r="O106" i="78"/>
  <c r="P106" i="78"/>
  <c r="Q106" i="78"/>
  <c r="R106" i="78"/>
  <c r="S106" i="78"/>
  <c r="U106" i="78"/>
  <c r="W106" i="78"/>
  <c r="X106" i="78"/>
  <c r="Y106" i="78"/>
  <c r="Z106" i="78"/>
  <c r="AF106" i="78"/>
  <c r="AK106" i="78"/>
  <c r="AM106" i="78"/>
  <c r="AO106" i="78"/>
  <c r="AR106" i="78"/>
  <c r="AV106" i="78"/>
  <c r="AZ106" i="78"/>
  <c r="BF106" i="78"/>
  <c r="BG106" i="78"/>
  <c r="A107" i="78"/>
  <c r="B107" i="78"/>
  <c r="E107" i="78"/>
  <c r="C107" i="78"/>
  <c r="D107" i="78"/>
  <c r="H107" i="78"/>
  <c r="I107" i="78"/>
  <c r="K107" i="78"/>
  <c r="L107" i="78"/>
  <c r="M107" i="78"/>
  <c r="BJ107" i="78"/>
  <c r="N107" i="78"/>
  <c r="O107" i="78"/>
  <c r="P107" i="78"/>
  <c r="Q107" i="78"/>
  <c r="R107" i="78"/>
  <c r="S107" i="78"/>
  <c r="U107" i="78"/>
  <c r="W107" i="78"/>
  <c r="X107" i="78"/>
  <c r="Y107" i="78"/>
  <c r="Z107" i="78"/>
  <c r="AF107" i="78"/>
  <c r="AK107" i="78"/>
  <c r="AM107" i="78"/>
  <c r="AO107" i="78"/>
  <c r="AR107" i="78"/>
  <c r="AV107" i="78"/>
  <c r="AZ107" i="78"/>
  <c r="BF107" i="78"/>
  <c r="BG107" i="78"/>
  <c r="A108" i="78"/>
  <c r="B108" i="78"/>
  <c r="C108" i="78"/>
  <c r="D108" i="78"/>
  <c r="E108" i="78"/>
  <c r="H108" i="78"/>
  <c r="I108" i="78"/>
  <c r="K108" i="78"/>
  <c r="L108" i="78"/>
  <c r="M108" i="78"/>
  <c r="BJ108" i="78"/>
  <c r="N108" i="78"/>
  <c r="O108" i="78"/>
  <c r="P108" i="78"/>
  <c r="Q108" i="78"/>
  <c r="R108" i="78"/>
  <c r="S108" i="78"/>
  <c r="U108" i="78"/>
  <c r="W108" i="78"/>
  <c r="X108" i="78"/>
  <c r="Y108" i="78"/>
  <c r="Z108" i="78"/>
  <c r="AF108" i="78"/>
  <c r="AK108" i="78"/>
  <c r="AM108" i="78"/>
  <c r="AN108" i="78"/>
  <c r="AO108" i="78"/>
  <c r="AR108" i="78"/>
  <c r="AV108" i="78"/>
  <c r="AZ108" i="78"/>
  <c r="BF108" i="78"/>
  <c r="BG108" i="78"/>
  <c r="A109" i="78"/>
  <c r="B109" i="78"/>
  <c r="C109" i="78"/>
  <c r="D109" i="78"/>
  <c r="E109" i="78"/>
  <c r="H109" i="78"/>
  <c r="I109" i="78"/>
  <c r="K109" i="78"/>
  <c r="L109" i="78"/>
  <c r="M109" i="78"/>
  <c r="BJ109" i="78"/>
  <c r="N109" i="78"/>
  <c r="O109" i="78"/>
  <c r="P109" i="78"/>
  <c r="Q109" i="78"/>
  <c r="R109" i="78"/>
  <c r="S109" i="78"/>
  <c r="U109" i="78"/>
  <c r="W109" i="78"/>
  <c r="X109" i="78"/>
  <c r="Y109" i="78"/>
  <c r="Z109" i="78"/>
  <c r="AF109" i="78"/>
  <c r="AK109" i="78"/>
  <c r="AM109" i="78"/>
  <c r="AO109" i="78"/>
  <c r="AQ109" i="78"/>
  <c r="AR109" i="78"/>
  <c r="AV109" i="78"/>
  <c r="AZ109" i="78"/>
  <c r="BF109" i="78"/>
  <c r="BG109" i="78"/>
  <c r="A110" i="78"/>
  <c r="B110" i="78"/>
  <c r="C110" i="78"/>
  <c r="D110" i="78"/>
  <c r="E110" i="78"/>
  <c r="H110" i="78"/>
  <c r="I110" i="78"/>
  <c r="K110" i="78"/>
  <c r="L110" i="78"/>
  <c r="M110" i="78"/>
  <c r="BJ110" i="78"/>
  <c r="N110" i="78"/>
  <c r="O110" i="78"/>
  <c r="P110" i="78"/>
  <c r="Q110" i="78"/>
  <c r="R110" i="78"/>
  <c r="S110" i="78"/>
  <c r="U110" i="78"/>
  <c r="W110" i="78"/>
  <c r="X110" i="78"/>
  <c r="Y110" i="78"/>
  <c r="Z110" i="78"/>
  <c r="AF110" i="78"/>
  <c r="AK110" i="78"/>
  <c r="AM110" i="78"/>
  <c r="AO110" i="78"/>
  <c r="AR110" i="78"/>
  <c r="AV110" i="78"/>
  <c r="AZ110" i="78"/>
  <c r="BF110" i="78"/>
  <c r="BG110" i="78"/>
  <c r="A111" i="78"/>
  <c r="B111" i="78"/>
  <c r="E111" i="78"/>
  <c r="C111" i="78"/>
  <c r="D111" i="78"/>
  <c r="H111" i="78"/>
  <c r="I111" i="78"/>
  <c r="K111" i="78"/>
  <c r="L111" i="78"/>
  <c r="M111" i="78"/>
  <c r="BJ111" i="78"/>
  <c r="N111" i="78"/>
  <c r="O111" i="78"/>
  <c r="P111" i="78"/>
  <c r="Q111" i="78"/>
  <c r="R111" i="78"/>
  <c r="S111" i="78"/>
  <c r="U111" i="78"/>
  <c r="W111" i="78"/>
  <c r="X111" i="78"/>
  <c r="Y111" i="78"/>
  <c r="Z111" i="78"/>
  <c r="AF111" i="78"/>
  <c r="AK111" i="78"/>
  <c r="AM111" i="78"/>
  <c r="AO111" i="78"/>
  <c r="AQ111" i="78"/>
  <c r="AR111" i="78"/>
  <c r="AV111" i="78"/>
  <c r="AZ111" i="78"/>
  <c r="BF111" i="78"/>
  <c r="BG111" i="78"/>
  <c r="A112" i="78"/>
  <c r="B112" i="78"/>
  <c r="E112" i="78"/>
  <c r="C112" i="78"/>
  <c r="D112" i="78"/>
  <c r="H112" i="78"/>
  <c r="I112" i="78"/>
  <c r="K112" i="78"/>
  <c r="L112" i="78"/>
  <c r="M112" i="78"/>
  <c r="BJ112" i="78"/>
  <c r="N112" i="78"/>
  <c r="O112" i="78"/>
  <c r="P112" i="78"/>
  <c r="Q112" i="78"/>
  <c r="R112" i="78"/>
  <c r="S112" i="78"/>
  <c r="U112" i="78"/>
  <c r="W112" i="78"/>
  <c r="X112" i="78"/>
  <c r="Y112" i="78"/>
  <c r="Z112" i="78"/>
  <c r="AF112" i="78"/>
  <c r="AK112" i="78"/>
  <c r="AM112" i="78"/>
  <c r="AO112" i="78"/>
  <c r="AR112" i="78"/>
  <c r="AV112" i="78"/>
  <c r="AZ112" i="78"/>
  <c r="BF112" i="78"/>
  <c r="BG112" i="78"/>
  <c r="A113" i="78"/>
  <c r="B113" i="78"/>
  <c r="C113" i="78"/>
  <c r="D113" i="78"/>
  <c r="E113" i="78"/>
  <c r="H113" i="78"/>
  <c r="I113" i="78"/>
  <c r="K113" i="78"/>
  <c r="L113" i="78"/>
  <c r="M113" i="78"/>
  <c r="BJ113" i="78"/>
  <c r="N113" i="78"/>
  <c r="O113" i="78"/>
  <c r="P113" i="78"/>
  <c r="Q113" i="78"/>
  <c r="R113" i="78"/>
  <c r="S113" i="78"/>
  <c r="U113" i="78"/>
  <c r="W113" i="78"/>
  <c r="X113" i="78"/>
  <c r="Y113" i="78"/>
  <c r="Z113" i="78"/>
  <c r="AF113" i="78"/>
  <c r="AK113" i="78"/>
  <c r="AM113" i="78"/>
  <c r="AO113" i="78"/>
  <c r="AR113" i="78"/>
  <c r="AV113" i="78"/>
  <c r="AZ113" i="78"/>
  <c r="BF113" i="78"/>
  <c r="BG113" i="78"/>
  <c r="A114" i="78"/>
  <c r="B114" i="78"/>
  <c r="E114" i="78"/>
  <c r="C114" i="78"/>
  <c r="D114" i="78"/>
  <c r="H114" i="78"/>
  <c r="I114" i="78"/>
  <c r="K114" i="78"/>
  <c r="L114" i="78"/>
  <c r="M114" i="78"/>
  <c r="BJ114" i="78"/>
  <c r="N114" i="78"/>
  <c r="O114" i="78"/>
  <c r="P114" i="78"/>
  <c r="Q114" i="78"/>
  <c r="R114" i="78"/>
  <c r="S114" i="78"/>
  <c r="U114" i="78"/>
  <c r="W114" i="78"/>
  <c r="X114" i="78"/>
  <c r="Y114" i="78"/>
  <c r="Z114" i="78"/>
  <c r="AF114" i="78"/>
  <c r="AK114" i="78"/>
  <c r="AM114" i="78"/>
  <c r="AO114" i="78"/>
  <c r="AR114" i="78"/>
  <c r="AV114" i="78"/>
  <c r="AZ114" i="78"/>
  <c r="BF114" i="78"/>
  <c r="BG114" i="78"/>
  <c r="A115" i="78"/>
  <c r="B115" i="78"/>
  <c r="C115" i="78"/>
  <c r="D115" i="78"/>
  <c r="E115" i="78"/>
  <c r="H115" i="78"/>
  <c r="I115" i="78"/>
  <c r="K115" i="78"/>
  <c r="L115" i="78"/>
  <c r="M115" i="78"/>
  <c r="BJ115" i="78"/>
  <c r="N115" i="78"/>
  <c r="O115" i="78"/>
  <c r="P115" i="78"/>
  <c r="Q115" i="78"/>
  <c r="R115" i="78"/>
  <c r="S115" i="78"/>
  <c r="U115" i="78"/>
  <c r="W115" i="78"/>
  <c r="X115" i="78"/>
  <c r="Y115" i="78"/>
  <c r="Z115" i="78"/>
  <c r="AF115" i="78"/>
  <c r="AK115" i="78"/>
  <c r="AM115" i="78"/>
  <c r="AO115" i="78"/>
  <c r="AR115" i="78"/>
  <c r="AV115" i="78"/>
  <c r="AZ115" i="78"/>
  <c r="BF115" i="78"/>
  <c r="BG115" i="78"/>
  <c r="A116" i="78"/>
  <c r="B116" i="78"/>
  <c r="E116" i="78"/>
  <c r="C116" i="78"/>
  <c r="D116" i="78"/>
  <c r="H116" i="78"/>
  <c r="I116" i="78"/>
  <c r="K116" i="78"/>
  <c r="L116" i="78"/>
  <c r="M116" i="78"/>
  <c r="BJ116" i="78"/>
  <c r="N116" i="78"/>
  <c r="O116" i="78"/>
  <c r="P116" i="78"/>
  <c r="Q116" i="78"/>
  <c r="R116" i="78"/>
  <c r="S116" i="78"/>
  <c r="U116" i="78"/>
  <c r="W116" i="78"/>
  <c r="X116" i="78"/>
  <c r="Y116" i="78"/>
  <c r="Z116" i="78"/>
  <c r="AF116" i="78"/>
  <c r="AK116" i="78"/>
  <c r="AM116" i="78"/>
  <c r="AO116" i="78"/>
  <c r="AR116" i="78"/>
  <c r="AV116" i="78"/>
  <c r="AZ116" i="78"/>
  <c r="BF116" i="78"/>
  <c r="BG116" i="78"/>
  <c r="A117" i="78"/>
  <c r="B117" i="78"/>
  <c r="C117" i="78"/>
  <c r="D117" i="78"/>
  <c r="E117" i="78"/>
  <c r="H117" i="78"/>
  <c r="I117" i="78"/>
  <c r="K117" i="78"/>
  <c r="L117" i="78"/>
  <c r="M117" i="78"/>
  <c r="BJ117" i="78"/>
  <c r="N117" i="78"/>
  <c r="O117" i="78"/>
  <c r="P117" i="78"/>
  <c r="Q117" i="78"/>
  <c r="R117" i="78"/>
  <c r="S117" i="78"/>
  <c r="U117" i="78"/>
  <c r="W117" i="78"/>
  <c r="X117" i="78"/>
  <c r="Y117" i="78"/>
  <c r="Z117" i="78"/>
  <c r="AF117" i="78"/>
  <c r="AK117" i="78"/>
  <c r="AM117" i="78"/>
  <c r="AO117" i="78"/>
  <c r="AR117" i="78"/>
  <c r="AV117" i="78"/>
  <c r="AZ117" i="78"/>
  <c r="BF117" i="78"/>
  <c r="BG117" i="78"/>
  <c r="A118" i="78"/>
  <c r="B118" i="78"/>
  <c r="E118" i="78"/>
  <c r="C118" i="78"/>
  <c r="D118" i="78"/>
  <c r="H118" i="78"/>
  <c r="I118" i="78"/>
  <c r="K118" i="78"/>
  <c r="L118" i="78"/>
  <c r="M118" i="78"/>
  <c r="BJ118" i="78"/>
  <c r="N118" i="78"/>
  <c r="O118" i="78"/>
  <c r="P118" i="78"/>
  <c r="Q118" i="78"/>
  <c r="R118" i="78"/>
  <c r="S118" i="78"/>
  <c r="U118" i="78"/>
  <c r="W118" i="78"/>
  <c r="X118" i="78"/>
  <c r="Y118" i="78"/>
  <c r="Z118" i="78"/>
  <c r="AF118" i="78"/>
  <c r="AK118" i="78"/>
  <c r="AM118" i="78"/>
  <c r="AO118" i="78"/>
  <c r="AR118" i="78"/>
  <c r="AV118" i="78"/>
  <c r="AZ118" i="78"/>
  <c r="BF118" i="78"/>
  <c r="BG118" i="78"/>
  <c r="A119" i="78"/>
  <c r="B119" i="78"/>
  <c r="C119" i="78"/>
  <c r="D119" i="78"/>
  <c r="E119" i="78"/>
  <c r="H119" i="78"/>
  <c r="I119" i="78"/>
  <c r="K119" i="78"/>
  <c r="L119" i="78"/>
  <c r="M119" i="78"/>
  <c r="BJ119" i="78"/>
  <c r="N119" i="78"/>
  <c r="O119" i="78"/>
  <c r="P119" i="78"/>
  <c r="Q119" i="78"/>
  <c r="R119" i="78"/>
  <c r="S119" i="78"/>
  <c r="U119" i="78"/>
  <c r="W119" i="78"/>
  <c r="X119" i="78"/>
  <c r="Y119" i="78"/>
  <c r="Z119" i="78"/>
  <c r="AF119" i="78"/>
  <c r="AK119" i="78"/>
  <c r="AM119" i="78"/>
  <c r="AO119" i="78"/>
  <c r="AR119" i="78"/>
  <c r="AV119" i="78"/>
  <c r="AZ119" i="78"/>
  <c r="BF119" i="78"/>
  <c r="BG119" i="78"/>
  <c r="A120" i="78"/>
  <c r="E120" i="78"/>
  <c r="H120" i="78"/>
  <c r="I120" i="78"/>
  <c r="K120" i="78"/>
  <c r="L120" i="78"/>
  <c r="M120" i="78"/>
  <c r="BJ120" i="78"/>
  <c r="N120" i="78"/>
  <c r="O120" i="78"/>
  <c r="P120" i="78"/>
  <c r="Q120" i="78"/>
  <c r="R120" i="78"/>
  <c r="S120" i="78"/>
  <c r="U120" i="78"/>
  <c r="W120" i="78"/>
  <c r="X120" i="78"/>
  <c r="Y120" i="78"/>
  <c r="Z120" i="78"/>
  <c r="AF120" i="78"/>
  <c r="AK120" i="78"/>
  <c r="AM120" i="78"/>
  <c r="AO120" i="78"/>
  <c r="AR120" i="78"/>
  <c r="AV120" i="78"/>
  <c r="AZ120" i="78"/>
  <c r="BF120" i="78"/>
  <c r="BG120" i="78"/>
  <c r="A121" i="78"/>
  <c r="B121" i="78"/>
  <c r="E121" i="78"/>
  <c r="C121" i="78"/>
  <c r="D121" i="78"/>
  <c r="H121" i="78"/>
  <c r="I121" i="78"/>
  <c r="K121" i="78"/>
  <c r="L121" i="78"/>
  <c r="M121" i="78"/>
  <c r="BJ121" i="78"/>
  <c r="N121" i="78"/>
  <c r="O121" i="78"/>
  <c r="P121" i="78"/>
  <c r="Q121" i="78"/>
  <c r="R121" i="78"/>
  <c r="S121" i="78"/>
  <c r="U121" i="78"/>
  <c r="W121" i="78"/>
  <c r="X121" i="78"/>
  <c r="Y121" i="78"/>
  <c r="Z121" i="78"/>
  <c r="AC121" i="78"/>
  <c r="AF121" i="78"/>
  <c r="AK121" i="78"/>
  <c r="AM121" i="78"/>
  <c r="AO121" i="78"/>
  <c r="AR121" i="78"/>
  <c r="AV121" i="78"/>
  <c r="AZ121" i="78"/>
  <c r="BF121" i="78"/>
  <c r="BG121" i="78"/>
  <c r="W123" i="78"/>
  <c r="X123" i="78"/>
  <c r="AV121" i="76"/>
  <c r="AN79" i="76" a="1"/>
  <c r="AB91" i="76"/>
  <c r="BI4" i="76"/>
  <c r="AG91" i="76"/>
  <c r="AB92" i="76"/>
  <c r="BI5" i="76"/>
  <c r="E5" i="76"/>
  <c r="AA92" i="76"/>
  <c r="AG92" i="76"/>
  <c r="AB93" i="76"/>
  <c r="BI6" i="76"/>
  <c r="E6" i="76"/>
  <c r="AA93" i="76"/>
  <c r="AG93" i="76"/>
  <c r="AB94" i="76"/>
  <c r="BI7" i="76"/>
  <c r="E7" i="76"/>
  <c r="AA94" i="76"/>
  <c r="AG94" i="76"/>
  <c r="AB95" i="76"/>
  <c r="BI8" i="76"/>
  <c r="E8" i="76"/>
  <c r="AA95" i="76"/>
  <c r="AG95" i="76"/>
  <c r="AB96" i="76"/>
  <c r="BI9" i="76"/>
  <c r="E9" i="76"/>
  <c r="AA96" i="76"/>
  <c r="AG96" i="76"/>
  <c r="AB97" i="76"/>
  <c r="BI10" i="76"/>
  <c r="E10" i="76"/>
  <c r="AA97" i="76"/>
  <c r="AG97" i="76"/>
  <c r="AB98" i="76"/>
  <c r="BI11" i="76"/>
  <c r="E11" i="76"/>
  <c r="AA98" i="76"/>
  <c r="AG98" i="76"/>
  <c r="AB99" i="76"/>
  <c r="BI12" i="76"/>
  <c r="E12" i="76"/>
  <c r="AA99" i="76"/>
  <c r="AG99" i="76"/>
  <c r="AB100" i="76"/>
  <c r="BI13" i="76"/>
  <c r="E13" i="76"/>
  <c r="AA100" i="76"/>
  <c r="AG100" i="76"/>
  <c r="AB101" i="76"/>
  <c r="BI14" i="76"/>
  <c r="E14" i="76"/>
  <c r="AA101" i="76"/>
  <c r="AG101" i="76"/>
  <c r="AB102" i="76"/>
  <c r="BI15" i="76"/>
  <c r="E15" i="76"/>
  <c r="AA102" i="76"/>
  <c r="AG102" i="76"/>
  <c r="AB103" i="76"/>
  <c r="BI16" i="76"/>
  <c r="E16" i="76"/>
  <c r="AA103" i="76"/>
  <c r="AG103" i="76"/>
  <c r="AB104" i="76"/>
  <c r="BI17" i="76"/>
  <c r="E17" i="76"/>
  <c r="AA104" i="76"/>
  <c r="AG104" i="76"/>
  <c r="AB105" i="76"/>
  <c r="BI18" i="76"/>
  <c r="E18" i="76"/>
  <c r="AA105" i="76"/>
  <c r="AG105" i="76"/>
  <c r="AB106" i="76"/>
  <c r="BI19" i="76"/>
  <c r="E19" i="76"/>
  <c r="AA106" i="76"/>
  <c r="AG106" i="76"/>
  <c r="AB107" i="76"/>
  <c r="BI20" i="76"/>
  <c r="E20" i="76"/>
  <c r="AA107" i="76"/>
  <c r="AG107" i="76"/>
  <c r="AB108" i="76"/>
  <c r="BI21" i="76"/>
  <c r="E21" i="76"/>
  <c r="AA108" i="76"/>
  <c r="AG108" i="76"/>
  <c r="AB109" i="76"/>
  <c r="BI22" i="76"/>
  <c r="E22" i="76"/>
  <c r="AA109" i="76"/>
  <c r="AG109" i="76"/>
  <c r="AB110" i="76"/>
  <c r="BI23" i="76"/>
  <c r="E23" i="76"/>
  <c r="AA110" i="76"/>
  <c r="AG110" i="76"/>
  <c r="AB111" i="76"/>
  <c r="BI24" i="76"/>
  <c r="E24" i="76"/>
  <c r="AA111" i="76"/>
  <c r="AG111" i="76"/>
  <c r="AB112" i="76"/>
  <c r="BI25" i="76"/>
  <c r="E25" i="76"/>
  <c r="AA112" i="76"/>
  <c r="AG112" i="76"/>
  <c r="AB113" i="76"/>
  <c r="BI26" i="76"/>
  <c r="E26" i="76"/>
  <c r="AA113" i="76"/>
  <c r="AG113" i="76"/>
  <c r="AB114" i="76"/>
  <c r="BI27" i="76"/>
  <c r="E27" i="76"/>
  <c r="AA114" i="76"/>
  <c r="AG114" i="76"/>
  <c r="AB115" i="76"/>
  <c r="BI28" i="76"/>
  <c r="E28" i="76"/>
  <c r="AA115" i="76"/>
  <c r="AB116" i="76"/>
  <c r="BI29" i="76"/>
  <c r="E29" i="76"/>
  <c r="AA116" i="76"/>
  <c r="AB117" i="76"/>
  <c r="BI30" i="76"/>
  <c r="E30" i="76"/>
  <c r="AA117" i="76"/>
  <c r="AB118" i="76"/>
  <c r="BI31" i="76"/>
  <c r="E31" i="76"/>
  <c r="AA118" i="76"/>
  <c r="AB119" i="76"/>
  <c r="BI32" i="76"/>
  <c r="E32" i="76"/>
  <c r="AA119" i="76"/>
  <c r="AB120" i="76"/>
  <c r="BI33" i="76"/>
  <c r="E33" i="76"/>
  <c r="AA120" i="76"/>
  <c r="BD38" i="76" a="1"/>
  <c r="BD38" i="76"/>
  <c r="I39" i="76"/>
  <c r="AD39" i="76"/>
  <c r="F40" i="76"/>
  <c r="G40" i="76"/>
  <c r="G46" i="76"/>
  <c r="I40" i="76"/>
  <c r="U40" i="76"/>
  <c r="AB47" i="76"/>
  <c r="Z40" i="76"/>
  <c r="AA40" i="76"/>
  <c r="AD38" i="76"/>
  <c r="AD40" i="76"/>
  <c r="AL120" i="76"/>
  <c r="AL119" i="76"/>
  <c r="AL118" i="76"/>
  <c r="AL117" i="76"/>
  <c r="AL116" i="76"/>
  <c r="AL115" i="76"/>
  <c r="AL114" i="76"/>
  <c r="AL113" i="76"/>
  <c r="AL112" i="76"/>
  <c r="AL111" i="76"/>
  <c r="AL110" i="76"/>
  <c r="AL109" i="76"/>
  <c r="AL108" i="76"/>
  <c r="AL107" i="76"/>
  <c r="AL106" i="76"/>
  <c r="AL105" i="76"/>
  <c r="AL104" i="76"/>
  <c r="AL103" i="76"/>
  <c r="AL102" i="76"/>
  <c r="AL101" i="76"/>
  <c r="AL100" i="76"/>
  <c r="AL99" i="76"/>
  <c r="AL98" i="76"/>
  <c r="AL97" i="76"/>
  <c r="AL96" i="76"/>
  <c r="AL95" i="76"/>
  <c r="AL94" i="76"/>
  <c r="AL93" i="76"/>
  <c r="AL92" i="76"/>
  <c r="AL91" i="76"/>
  <c r="AN38" i="76"/>
  <c r="AN40" i="76"/>
  <c r="AP47" i="76"/>
  <c r="AP54" i="76"/>
  <c r="AP40" i="76"/>
  <c r="AQ47" i="76"/>
  <c r="AQ40" i="76"/>
  <c r="AU38" i="76"/>
  <c r="AU40" i="76"/>
  <c r="AV38" i="76"/>
  <c r="AV40" i="76"/>
  <c r="BA38" i="76"/>
  <c r="BA40" i="76"/>
  <c r="AY43" i="76"/>
  <c r="BA43" i="76"/>
  <c r="BF43" i="76"/>
  <c r="BG43" i="76"/>
  <c r="F46" i="76"/>
  <c r="AY80" i="76"/>
  <c r="AY81" i="76"/>
  <c r="AY82" i="76"/>
  <c r="H46" i="76"/>
  <c r="I46" i="76"/>
  <c r="AP46" i="76"/>
  <c r="AQ46" i="76"/>
  <c r="AB48" i="76"/>
  <c r="M54" i="76"/>
  <c r="AC47" i="76"/>
  <c r="AH50" i="76"/>
  <c r="AJ50" i="76"/>
  <c r="AA52" i="76"/>
  <c r="AH53" i="76"/>
  <c r="AJ53" i="76"/>
  <c r="AA54" i="76"/>
  <c r="AU4" i="76"/>
  <c r="AV4" i="76"/>
  <c r="AW4" i="76"/>
  <c r="O91" i="76"/>
  <c r="AX4" i="76"/>
  <c r="AY4" i="76"/>
  <c r="A5" i="76"/>
  <c r="AU5" i="76"/>
  <c r="R92" i="76"/>
  <c r="AV5" i="76"/>
  <c r="AW5" i="76"/>
  <c r="AX5" i="76"/>
  <c r="AY5" i="76"/>
  <c r="M92" i="76"/>
  <c r="A6" i="76"/>
  <c r="AU6" i="76"/>
  <c r="AV6" i="76"/>
  <c r="AW6" i="76"/>
  <c r="O93" i="76"/>
  <c r="AX6" i="76"/>
  <c r="AY6" i="76"/>
  <c r="A7" i="76"/>
  <c r="AU7" i="76"/>
  <c r="R94" i="76"/>
  <c r="AV7" i="76"/>
  <c r="AW7" i="76"/>
  <c r="AX7" i="76"/>
  <c r="AY7" i="76"/>
  <c r="M94" i="76"/>
  <c r="A8" i="76"/>
  <c r="AU8" i="76"/>
  <c r="AU86" i="76"/>
  <c r="AU42" i="76"/>
  <c r="AV8" i="76"/>
  <c r="AW8" i="76"/>
  <c r="AW86" i="76"/>
  <c r="AW42" i="76"/>
  <c r="AX8" i="76"/>
  <c r="AY8" i="76"/>
  <c r="AY86" i="76"/>
  <c r="AY42" i="76"/>
  <c r="A9" i="76"/>
  <c r="AU9" i="76"/>
  <c r="R96" i="76"/>
  <c r="AV9" i="76"/>
  <c r="AW9" i="76"/>
  <c r="AX9" i="76"/>
  <c r="AY9" i="76"/>
  <c r="M96" i="76"/>
  <c r="A10" i="76"/>
  <c r="AU10" i="76"/>
  <c r="AV10" i="76"/>
  <c r="AW10" i="76"/>
  <c r="O97" i="76"/>
  <c r="AX10" i="76"/>
  <c r="AY10" i="76"/>
  <c r="A11" i="76"/>
  <c r="AU11" i="76"/>
  <c r="AV11" i="76"/>
  <c r="AW11" i="76"/>
  <c r="O98" i="76"/>
  <c r="AX11" i="76"/>
  <c r="AY11" i="76"/>
  <c r="A12" i="76"/>
  <c r="AU12" i="76"/>
  <c r="AV12" i="76"/>
  <c r="AW12" i="76"/>
  <c r="O99" i="76"/>
  <c r="AX12" i="76"/>
  <c r="AY12" i="76"/>
  <c r="A13" i="76"/>
  <c r="AU13" i="76"/>
  <c r="R100" i="76"/>
  <c r="AV13" i="76"/>
  <c r="AW13" i="76"/>
  <c r="AX13" i="76"/>
  <c r="AY13" i="76"/>
  <c r="M100" i="76"/>
  <c r="A14" i="76"/>
  <c r="AU14" i="76"/>
  <c r="R101" i="76"/>
  <c r="AV14" i="76"/>
  <c r="AW14" i="76"/>
  <c r="AX14" i="76"/>
  <c r="AY14" i="76"/>
  <c r="M101" i="76"/>
  <c r="A15" i="76"/>
  <c r="AU15" i="76"/>
  <c r="R102" i="76"/>
  <c r="AV15" i="76"/>
  <c r="AW15" i="76"/>
  <c r="AX15" i="76"/>
  <c r="AY15" i="76"/>
  <c r="M102" i="76"/>
  <c r="A16" i="76"/>
  <c r="AU16" i="76"/>
  <c r="R103" i="76"/>
  <c r="AV16" i="76"/>
  <c r="AW16" i="76"/>
  <c r="AX16" i="76"/>
  <c r="AY16" i="76"/>
  <c r="M103" i="76"/>
  <c r="A17" i="76"/>
  <c r="AU17" i="76"/>
  <c r="AV17" i="76"/>
  <c r="AW17" i="76"/>
  <c r="O104" i="76"/>
  <c r="AX17" i="76"/>
  <c r="AY17" i="76"/>
  <c r="A18" i="76"/>
  <c r="AU18" i="76"/>
  <c r="R105" i="76"/>
  <c r="AV18" i="76"/>
  <c r="AW18" i="76"/>
  <c r="AX18" i="76"/>
  <c r="AY18" i="76"/>
  <c r="M105" i="76"/>
  <c r="A19" i="76"/>
  <c r="AU19" i="76"/>
  <c r="R106" i="76"/>
  <c r="AV19" i="76"/>
  <c r="AW19" i="76"/>
  <c r="AX19" i="76"/>
  <c r="AY19" i="76"/>
  <c r="M106" i="76"/>
  <c r="A20" i="76"/>
  <c r="AU20" i="76"/>
  <c r="R107" i="76"/>
  <c r="AV20" i="76"/>
  <c r="AW20" i="76"/>
  <c r="AX20" i="76"/>
  <c r="AY20" i="76"/>
  <c r="M107" i="76"/>
  <c r="A21" i="76"/>
  <c r="AU21" i="76"/>
  <c r="R108" i="76"/>
  <c r="AV21" i="76"/>
  <c r="AW21" i="76"/>
  <c r="AX21" i="76"/>
  <c r="AY21" i="76"/>
  <c r="M108" i="76"/>
  <c r="A22" i="76"/>
  <c r="AU22" i="76"/>
  <c r="R109" i="76"/>
  <c r="AV22" i="76"/>
  <c r="AW22" i="76"/>
  <c r="AX22" i="76"/>
  <c r="AY22" i="76"/>
  <c r="M109" i="76"/>
  <c r="A23" i="76"/>
  <c r="AU23" i="76"/>
  <c r="AV23" i="76"/>
  <c r="AW23" i="76"/>
  <c r="O110" i="76"/>
  <c r="AX23" i="76"/>
  <c r="AY23" i="76"/>
  <c r="A24" i="76"/>
  <c r="AU24" i="76"/>
  <c r="AV24" i="76"/>
  <c r="AW24" i="76"/>
  <c r="O111" i="76"/>
  <c r="AX24" i="76"/>
  <c r="AY24" i="76"/>
  <c r="A25" i="76"/>
  <c r="AU25" i="76"/>
  <c r="R112" i="76"/>
  <c r="AV25" i="76"/>
  <c r="AW25" i="76"/>
  <c r="AX25" i="76"/>
  <c r="AY25" i="76"/>
  <c r="M112" i="76"/>
  <c r="A26" i="76"/>
  <c r="AU26" i="76"/>
  <c r="R113" i="76"/>
  <c r="AV26" i="76"/>
  <c r="AW26" i="76"/>
  <c r="AX26" i="76"/>
  <c r="AY26" i="76"/>
  <c r="M113" i="76"/>
  <c r="A27" i="76"/>
  <c r="AU27" i="76"/>
  <c r="R114" i="76"/>
  <c r="AV27" i="76"/>
  <c r="AW27" i="76"/>
  <c r="AX27" i="76"/>
  <c r="AY27" i="76"/>
  <c r="M114" i="76"/>
  <c r="A28" i="76"/>
  <c r="AU28" i="76"/>
  <c r="R115" i="76"/>
  <c r="AV28" i="76"/>
  <c r="AW28" i="76"/>
  <c r="AX28" i="76"/>
  <c r="AY28" i="76"/>
  <c r="M115" i="76"/>
  <c r="A29" i="76"/>
  <c r="AU29" i="76"/>
  <c r="R116" i="76"/>
  <c r="AV29" i="76"/>
  <c r="AW29" i="76"/>
  <c r="AX29" i="76"/>
  <c r="AY29" i="76"/>
  <c r="M116" i="76"/>
  <c r="A30" i="76"/>
  <c r="AU30" i="76"/>
  <c r="R117" i="76"/>
  <c r="AV30" i="76"/>
  <c r="AW30" i="76"/>
  <c r="AX30" i="76"/>
  <c r="AY30" i="76"/>
  <c r="M117" i="76"/>
  <c r="A31" i="76"/>
  <c r="AU31" i="76"/>
  <c r="R118" i="76"/>
  <c r="AV31" i="76"/>
  <c r="AW31" i="76"/>
  <c r="AX31" i="76"/>
  <c r="AY31" i="76"/>
  <c r="M118" i="76"/>
  <c r="A32" i="76"/>
  <c r="AU32" i="76"/>
  <c r="R119" i="76"/>
  <c r="AV32" i="76"/>
  <c r="AW32" i="76"/>
  <c r="AX32" i="76"/>
  <c r="AY32" i="76"/>
  <c r="M119" i="76"/>
  <c r="A33" i="76"/>
  <c r="AU33" i="76"/>
  <c r="AV33" i="76"/>
  <c r="AW33" i="76"/>
  <c r="O120" i="76"/>
  <c r="AX33" i="76"/>
  <c r="AY33" i="76"/>
  <c r="C34" i="76"/>
  <c r="AD34" i="76"/>
  <c r="AE86" i="76"/>
  <c r="H38" i="76"/>
  <c r="K38" i="76"/>
  <c r="L38" i="76"/>
  <c r="M38" i="76"/>
  <c r="N38" i="76"/>
  <c r="P38" i="76"/>
  <c r="Q38" i="76"/>
  <c r="R38" i="76"/>
  <c r="R47" i="76"/>
  <c r="S38" i="76"/>
  <c r="V38" i="76"/>
  <c r="W38" i="76"/>
  <c r="AA38" i="76"/>
  <c r="AC38" i="76"/>
  <c r="AG38" i="76"/>
  <c r="AG46" i="76"/>
  <c r="AH38" i="76"/>
  <c r="AI38" i="76"/>
  <c r="AI46" i="76"/>
  <c r="AJ38" i="76"/>
  <c r="AS38" i="76"/>
  <c r="AW38" i="76"/>
  <c r="AX38" i="76"/>
  <c r="AY38" i="76"/>
  <c r="BC38" i="76"/>
  <c r="H40" i="76"/>
  <c r="M40" i="76"/>
  <c r="R40" i="76"/>
  <c r="V40" i="76"/>
  <c r="W40" i="76"/>
  <c r="X40" i="76"/>
  <c r="AE40" i="76"/>
  <c r="F86" i="76"/>
  <c r="F85" i="76"/>
  <c r="F42" i="76"/>
  <c r="G86" i="76"/>
  <c r="AN106" i="76" a="1"/>
  <c r="G85" i="76"/>
  <c r="G42" i="76"/>
  <c r="H86" i="76"/>
  <c r="H85" i="76"/>
  <c r="H42" i="76"/>
  <c r="BB42" i="76"/>
  <c r="I86" i="76"/>
  <c r="I85" i="76"/>
  <c r="I42" i="76"/>
  <c r="K86" i="76"/>
  <c r="K85" i="76"/>
  <c r="K42" i="76"/>
  <c r="L86" i="76"/>
  <c r="L85" i="76"/>
  <c r="L42" i="76"/>
  <c r="M86" i="76"/>
  <c r="M85" i="76"/>
  <c r="M42" i="76"/>
  <c r="N86" i="76"/>
  <c r="N85" i="76"/>
  <c r="N42" i="76"/>
  <c r="P86" i="76"/>
  <c r="P85" i="76"/>
  <c r="P42" i="76"/>
  <c r="Q86" i="76"/>
  <c r="Q85" i="76"/>
  <c r="Q42" i="76"/>
  <c r="R86" i="76"/>
  <c r="R85" i="76"/>
  <c r="R42" i="76"/>
  <c r="S86" i="76"/>
  <c r="S85" i="76"/>
  <c r="S42" i="76"/>
  <c r="V86" i="76"/>
  <c r="V85" i="76"/>
  <c r="V42" i="76"/>
  <c r="W86" i="76"/>
  <c r="W85" i="76"/>
  <c r="W42" i="76"/>
  <c r="Z86" i="76"/>
  <c r="Z85" i="76"/>
  <c r="Z42" i="76"/>
  <c r="AA86" i="76"/>
  <c r="AA43" i="76"/>
  <c r="AA85" i="76"/>
  <c r="AA42" i="76"/>
  <c r="AB86" i="76"/>
  <c r="AB85" i="76"/>
  <c r="AB42" i="76"/>
  <c r="AC86" i="76"/>
  <c r="AC43" i="76"/>
  <c r="AC85" i="76"/>
  <c r="AC42" i="76"/>
  <c r="AE85" i="76"/>
  <c r="AD86" i="76"/>
  <c r="AE43" i="76"/>
  <c r="AD85" i="76"/>
  <c r="AE42" i="76"/>
  <c r="AG86" i="76"/>
  <c r="AG85" i="76"/>
  <c r="AG42" i="76"/>
  <c r="AH86" i="76"/>
  <c r="AH85" i="76"/>
  <c r="AH42" i="76"/>
  <c r="AI86" i="76"/>
  <c r="AI85" i="76"/>
  <c r="AI42" i="76"/>
  <c r="AJ86" i="76"/>
  <c r="AJ85" i="76"/>
  <c r="AJ42" i="76"/>
  <c r="AQ85" i="76"/>
  <c r="AQ42" i="76"/>
  <c r="AS86" i="76"/>
  <c r="AS85" i="76"/>
  <c r="AS42" i="76"/>
  <c r="BF42" i="76"/>
  <c r="AT86" i="76"/>
  <c r="AT85" i="76"/>
  <c r="AT42" i="76"/>
  <c r="AU85" i="76"/>
  <c r="AV86" i="76"/>
  <c r="AV85" i="76"/>
  <c r="AV42" i="76"/>
  <c r="AW85" i="76"/>
  <c r="AX86" i="76"/>
  <c r="AX85" i="76"/>
  <c r="AX42" i="76"/>
  <c r="AY85" i="76"/>
  <c r="BA42" i="76"/>
  <c r="BC42" i="76"/>
  <c r="BG42" i="76"/>
  <c r="F43" i="76"/>
  <c r="G43" i="76"/>
  <c r="H43" i="76"/>
  <c r="I43" i="76"/>
  <c r="K43" i="76"/>
  <c r="L43" i="76"/>
  <c r="M43" i="76"/>
  <c r="N43" i="76"/>
  <c r="P43" i="76"/>
  <c r="Q43" i="76"/>
  <c r="R43" i="76"/>
  <c r="S43" i="76"/>
  <c r="U43" i="76"/>
  <c r="V43" i="76"/>
  <c r="W43" i="76"/>
  <c r="Z43" i="76"/>
  <c r="AB43" i="76"/>
  <c r="AG43" i="76"/>
  <c r="AH43" i="76"/>
  <c r="AI43" i="76"/>
  <c r="AJ43" i="76"/>
  <c r="AN91" i="76"/>
  <c r="AN43" i="76"/>
  <c r="AP43" i="76"/>
  <c r="AQ43" i="76"/>
  <c r="AS43" i="76"/>
  <c r="AT43" i="76"/>
  <c r="AU43" i="76"/>
  <c r="AV43" i="76"/>
  <c r="AW43" i="76"/>
  <c r="AX43" i="76"/>
  <c r="K46" i="76"/>
  <c r="L46" i="76"/>
  <c r="M46" i="76"/>
  <c r="N46" i="76"/>
  <c r="R46" i="76"/>
  <c r="S46" i="76"/>
  <c r="U46" i="76"/>
  <c r="AH46" i="76"/>
  <c r="AJ46" i="76"/>
  <c r="F47" i="76"/>
  <c r="G47" i="76"/>
  <c r="H47" i="76"/>
  <c r="I47" i="76"/>
  <c r="BB49" i="76"/>
  <c r="BC49" i="76"/>
  <c r="BB50" i="76"/>
  <c r="BC50" i="76"/>
  <c r="AN51" i="76"/>
  <c r="BB51" i="76"/>
  <c r="BC51" i="76"/>
  <c r="BB52" i="76"/>
  <c r="BC52" i="76"/>
  <c r="AD53" i="76"/>
  <c r="BB53" i="76"/>
  <c r="BC53" i="76"/>
  <c r="AN100" i="76"/>
  <c r="AN97" i="76"/>
  <c r="E69" i="76"/>
  <c r="AN93" i="76"/>
  <c r="AN98" i="76"/>
  <c r="E83" i="76"/>
  <c r="BI121" i="76"/>
  <c r="AN54" i="76"/>
  <c r="BB54" i="76"/>
  <c r="BC54" i="76"/>
  <c r="X55" i="76"/>
  <c r="BB55" i="76"/>
  <c r="BC55" i="76"/>
  <c r="BB56" i="76"/>
  <c r="BC56" i="76"/>
  <c r="AN57" i="76"/>
  <c r="BB57" i="76"/>
  <c r="BC57" i="76"/>
  <c r="BB58" i="76"/>
  <c r="BC58" i="76"/>
  <c r="BB59" i="76"/>
  <c r="BC59" i="76"/>
  <c r="BB60" i="76"/>
  <c r="BC60" i="76"/>
  <c r="BB61" i="76"/>
  <c r="BC61" i="76"/>
  <c r="BB62" i="76"/>
  <c r="BC62" i="76"/>
  <c r="BB63" i="76"/>
  <c r="BC63" i="76"/>
  <c r="BB64" i="76"/>
  <c r="BC64" i="76"/>
  <c r="BH121" i="76"/>
  <c r="AH72" i="76" a="1"/>
  <c r="AH65" i="76"/>
  <c r="AJ65" i="76"/>
  <c r="BB65" i="76"/>
  <c r="BC65" i="76"/>
  <c r="BB66" i="76"/>
  <c r="BC66" i="76"/>
  <c r="AN67" i="76" a="1"/>
  <c r="AN67" i="76"/>
  <c r="AN70" i="76"/>
  <c r="BB67" i="76"/>
  <c r="BC67" i="76"/>
  <c r="E68" i="76"/>
  <c r="F68" i="76"/>
  <c r="AY121" i="76"/>
  <c r="AH68" i="76"/>
  <c r="AJ68" i="76"/>
  <c r="BB68" i="76"/>
  <c r="BC68" i="76"/>
  <c r="BB69" i="76"/>
  <c r="BC69" i="76"/>
  <c r="BB70" i="76"/>
  <c r="BC70" i="76"/>
  <c r="BB71" i="76"/>
  <c r="BC71" i="76"/>
  <c r="BB72" i="76"/>
  <c r="BC72" i="76"/>
  <c r="AN73" i="76"/>
  <c r="BB73" i="76"/>
  <c r="BC73" i="76"/>
  <c r="K74" i="76"/>
  <c r="M74" i="76"/>
  <c r="BB74" i="76"/>
  <c r="BC74" i="76"/>
  <c r="BB75" i="76"/>
  <c r="BC75" i="76"/>
  <c r="M76" i="76"/>
  <c r="AN76" i="76"/>
  <c r="BB76" i="76"/>
  <c r="BC76" i="76"/>
  <c r="L77" i="76"/>
  <c r="M77" i="76"/>
  <c r="BB77" i="76"/>
  <c r="BC77" i="76"/>
  <c r="K78" i="76"/>
  <c r="M78" i="76"/>
  <c r="BB78" i="76"/>
  <c r="BC78" i="76"/>
  <c r="K79" i="76"/>
  <c r="L79" i="76"/>
  <c r="M79" i="76"/>
  <c r="AN79" i="76"/>
  <c r="AY79" i="76"/>
  <c r="BB79" i="76"/>
  <c r="BC79" i="76"/>
  <c r="K80" i="76"/>
  <c r="M80" i="76"/>
  <c r="BC80" i="76"/>
  <c r="B120" i="76"/>
  <c r="C120" i="76"/>
  <c r="BF80" i="76"/>
  <c r="BG80" i="76"/>
  <c r="BH80" i="76"/>
  <c r="BI80" i="76"/>
  <c r="BJ80" i="76"/>
  <c r="K81" i="76"/>
  <c r="E82" i="76"/>
  <c r="K82" i="76"/>
  <c r="K83" i="76"/>
  <c r="M82" i="76"/>
  <c r="BF82" i="76"/>
  <c r="BG82" i="76"/>
  <c r="BH82" i="76"/>
  <c r="BI82" i="76"/>
  <c r="BJ82" i="76"/>
  <c r="L83" i="76"/>
  <c r="M83" i="76"/>
  <c r="C91" i="76"/>
  <c r="D91" i="76"/>
  <c r="B91" i="76"/>
  <c r="E91" i="76"/>
  <c r="BA83" i="76"/>
  <c r="BC83" i="76"/>
  <c r="BB83" i="76"/>
  <c r="BF83" i="76"/>
  <c r="BG83" i="76"/>
  <c r="BH83" i="76"/>
  <c r="BI83" i="76"/>
  <c r="BJ83" i="76"/>
  <c r="BA84" i="76"/>
  <c r="BB84" i="76"/>
  <c r="X85" i="76"/>
  <c r="Y85" i="76"/>
  <c r="AF85" i="76"/>
  <c r="AZ85" i="76"/>
  <c r="BA85" i="76"/>
  <c r="BB85" i="76"/>
  <c r="BE85" i="76"/>
  <c r="BF85" i="76"/>
  <c r="BG85" i="76"/>
  <c r="T86" i="76"/>
  <c r="X86" i="76"/>
  <c r="Y86" i="76"/>
  <c r="AF86" i="76"/>
  <c r="AZ86" i="76"/>
  <c r="BA86" i="76"/>
  <c r="BB86" i="76"/>
  <c r="BE86" i="76"/>
  <c r="BF86" i="76"/>
  <c r="BG86" i="76"/>
  <c r="A91" i="76"/>
  <c r="K91" i="76"/>
  <c r="L91" i="76"/>
  <c r="M91" i="76"/>
  <c r="BJ91" i="76"/>
  <c r="N91" i="76"/>
  <c r="P91" i="76"/>
  <c r="Q91" i="76"/>
  <c r="R91" i="76"/>
  <c r="S91" i="76"/>
  <c r="U91" i="76"/>
  <c r="W91" i="76"/>
  <c r="X91" i="76"/>
  <c r="Y91" i="76"/>
  <c r="Z91" i="76"/>
  <c r="AA91" i="76"/>
  <c r="AC91" i="76"/>
  <c r="AD91" i="76"/>
  <c r="AF91" i="76"/>
  <c r="AT123" i="76"/>
  <c r="AK91" i="76"/>
  <c r="AM91" i="76"/>
  <c r="AO91" i="76"/>
  <c r="AR91" i="76"/>
  <c r="AZ91" i="76"/>
  <c r="BB91" i="76"/>
  <c r="BF91" i="76"/>
  <c r="BG91" i="76"/>
  <c r="A92" i="76"/>
  <c r="B92" i="76"/>
  <c r="E92" i="76"/>
  <c r="C92" i="76"/>
  <c r="D92" i="76"/>
  <c r="H92" i="76"/>
  <c r="K92" i="76"/>
  <c r="L92" i="76"/>
  <c r="BJ92" i="76"/>
  <c r="N92" i="76"/>
  <c r="O92" i="76"/>
  <c r="P92" i="76"/>
  <c r="Q92" i="76"/>
  <c r="S92" i="76"/>
  <c r="U92" i="76"/>
  <c r="W92" i="76"/>
  <c r="X92" i="76"/>
  <c r="Y92" i="76"/>
  <c r="Z92" i="76"/>
  <c r="AC92" i="76"/>
  <c r="AD92" i="76"/>
  <c r="AF92" i="76"/>
  <c r="AK92" i="76"/>
  <c r="AM92" i="76"/>
  <c r="AO92" i="76"/>
  <c r="AR92" i="76"/>
  <c r="AZ92" i="76"/>
  <c r="BA92" i="76"/>
  <c r="BF92" i="76"/>
  <c r="BG92" i="76"/>
  <c r="A93" i="76"/>
  <c r="B93" i="76"/>
  <c r="C93" i="76"/>
  <c r="D93" i="76"/>
  <c r="E93" i="76"/>
  <c r="H93" i="76"/>
  <c r="K93" i="76"/>
  <c r="L93" i="76"/>
  <c r="M93" i="76"/>
  <c r="BJ93" i="76"/>
  <c r="N93" i="76"/>
  <c r="P93" i="76"/>
  <c r="Q93" i="76"/>
  <c r="R93" i="76"/>
  <c r="S93" i="76"/>
  <c r="U93" i="76"/>
  <c r="W93" i="76"/>
  <c r="X93" i="76"/>
  <c r="Y93" i="76"/>
  <c r="Z93" i="76"/>
  <c r="AD93" i="76"/>
  <c r="AF93" i="76"/>
  <c r="AK93" i="76"/>
  <c r="AM93" i="76"/>
  <c r="AO93" i="76"/>
  <c r="AR93" i="76"/>
  <c r="AZ93" i="76"/>
  <c r="BB93" i="76"/>
  <c r="BF93" i="76"/>
  <c r="BG93" i="76"/>
  <c r="A94" i="76"/>
  <c r="B94" i="76"/>
  <c r="E94" i="76"/>
  <c r="C94" i="76"/>
  <c r="D94" i="76"/>
  <c r="H94" i="76"/>
  <c r="K94" i="76"/>
  <c r="L94" i="76"/>
  <c r="BJ94" i="76"/>
  <c r="N94" i="76"/>
  <c r="O94" i="76"/>
  <c r="P94" i="76"/>
  <c r="Q94" i="76"/>
  <c r="S94" i="76"/>
  <c r="U94" i="76"/>
  <c r="W94" i="76"/>
  <c r="X94" i="76"/>
  <c r="Y94" i="76"/>
  <c r="Z94" i="76"/>
  <c r="AC94" i="76"/>
  <c r="AD94" i="76"/>
  <c r="AF94" i="76"/>
  <c r="AS94" i="76"/>
  <c r="AK94" i="76"/>
  <c r="AM94" i="76"/>
  <c r="AO94" i="76"/>
  <c r="AR94" i="76"/>
  <c r="AZ94" i="76"/>
  <c r="BF94" i="76"/>
  <c r="BG94" i="76"/>
  <c r="A95" i="76"/>
  <c r="B95" i="76"/>
  <c r="C95" i="76"/>
  <c r="D95" i="76"/>
  <c r="H95" i="76"/>
  <c r="K95" i="76"/>
  <c r="L95" i="76"/>
  <c r="M95" i="76"/>
  <c r="BJ95" i="76"/>
  <c r="N95" i="76"/>
  <c r="P95" i="76"/>
  <c r="Q95" i="76"/>
  <c r="R95" i="76"/>
  <c r="S95" i="76"/>
  <c r="U95" i="76"/>
  <c r="W95" i="76"/>
  <c r="X95" i="76"/>
  <c r="Y95" i="76"/>
  <c r="Z95" i="76"/>
  <c r="AD95" i="76"/>
  <c r="AF95" i="76"/>
  <c r="AK95" i="76"/>
  <c r="AM95" i="76"/>
  <c r="AO95" i="76"/>
  <c r="AR95" i="76"/>
  <c r="AZ95" i="76"/>
  <c r="BB95" i="76"/>
  <c r="BF95" i="76"/>
  <c r="BG95" i="76"/>
  <c r="A96" i="76"/>
  <c r="B96" i="76"/>
  <c r="E96" i="76"/>
  <c r="C96" i="76"/>
  <c r="D96" i="76"/>
  <c r="H96" i="76"/>
  <c r="K96" i="76"/>
  <c r="L96" i="76"/>
  <c r="BJ96" i="76"/>
  <c r="N96" i="76"/>
  <c r="O96" i="76"/>
  <c r="P96" i="76"/>
  <c r="Q96" i="76"/>
  <c r="S96" i="76"/>
  <c r="U96" i="76"/>
  <c r="W96" i="76"/>
  <c r="X96" i="76"/>
  <c r="Y96" i="76"/>
  <c r="Z96" i="76"/>
  <c r="AC96" i="76"/>
  <c r="AD96" i="76"/>
  <c r="AF96" i="76"/>
  <c r="AK96" i="76"/>
  <c r="AM96" i="76"/>
  <c r="AO96" i="76"/>
  <c r="AR96" i="76"/>
  <c r="AZ96" i="76"/>
  <c r="BA96" i="76"/>
  <c r="BF96" i="76"/>
  <c r="BG96" i="76"/>
  <c r="A97" i="76"/>
  <c r="B97" i="76"/>
  <c r="C97" i="76"/>
  <c r="D97" i="76"/>
  <c r="E97" i="76"/>
  <c r="H97" i="76"/>
  <c r="K97" i="76"/>
  <c r="L97" i="76"/>
  <c r="M97" i="76"/>
  <c r="BJ97" i="76"/>
  <c r="N97" i="76"/>
  <c r="P97" i="76"/>
  <c r="Q97" i="76"/>
  <c r="R97" i="76"/>
  <c r="S97" i="76"/>
  <c r="U97" i="76"/>
  <c r="W97" i="76"/>
  <c r="X97" i="76"/>
  <c r="Y97" i="76"/>
  <c r="Z97" i="76"/>
  <c r="AD97" i="76"/>
  <c r="AF97" i="76"/>
  <c r="AK97" i="76"/>
  <c r="AM97" i="76"/>
  <c r="AO97" i="76"/>
  <c r="AR97" i="76"/>
  <c r="AZ97" i="76"/>
  <c r="BB97" i="76"/>
  <c r="BF97" i="76"/>
  <c r="BG97" i="76"/>
  <c r="A98" i="76"/>
  <c r="B98" i="76"/>
  <c r="E98" i="76"/>
  <c r="C98" i="76"/>
  <c r="D98" i="76"/>
  <c r="H98" i="76"/>
  <c r="I98" i="76"/>
  <c r="K98" i="76"/>
  <c r="L98" i="76"/>
  <c r="M98" i="76"/>
  <c r="BJ98" i="76"/>
  <c r="N98" i="76"/>
  <c r="P98" i="76"/>
  <c r="Q98" i="76"/>
  <c r="R98" i="76"/>
  <c r="S98" i="76"/>
  <c r="U98" i="76"/>
  <c r="W98" i="76"/>
  <c r="X98" i="76"/>
  <c r="Y98" i="76"/>
  <c r="Z98" i="76"/>
  <c r="AD98" i="76"/>
  <c r="AF98" i="76"/>
  <c r="AK98" i="76"/>
  <c r="AM98" i="76"/>
  <c r="AO98" i="76"/>
  <c r="AR98" i="76"/>
  <c r="AZ98" i="76"/>
  <c r="BB98" i="76"/>
  <c r="BF98" i="76"/>
  <c r="BG98" i="76"/>
  <c r="A99" i="76"/>
  <c r="B99" i="76"/>
  <c r="E99" i="76"/>
  <c r="C99" i="76"/>
  <c r="D99" i="76"/>
  <c r="H99" i="76"/>
  <c r="I99" i="76"/>
  <c r="K99" i="76"/>
  <c r="L99" i="76"/>
  <c r="M99" i="76"/>
  <c r="BJ99" i="76"/>
  <c r="N99" i="76"/>
  <c r="P99" i="76"/>
  <c r="Q99" i="76"/>
  <c r="R99" i="76"/>
  <c r="S99" i="76"/>
  <c r="U99" i="76"/>
  <c r="W99" i="76"/>
  <c r="X99" i="76"/>
  <c r="Y99" i="76"/>
  <c r="Z99" i="76"/>
  <c r="AD99" i="76"/>
  <c r="AF99" i="76"/>
  <c r="AK99" i="76"/>
  <c r="AM99" i="76"/>
  <c r="AN99" i="76"/>
  <c r="AO99" i="76"/>
  <c r="AR99" i="76"/>
  <c r="AZ99" i="76"/>
  <c r="BF99" i="76"/>
  <c r="BG99" i="76"/>
  <c r="A100" i="76"/>
  <c r="B100" i="76"/>
  <c r="C100" i="76"/>
  <c r="D100" i="76"/>
  <c r="H100" i="76"/>
  <c r="I100" i="76"/>
  <c r="K100" i="76"/>
  <c r="L100" i="76"/>
  <c r="BJ100" i="76"/>
  <c r="N100" i="76"/>
  <c r="O100" i="76"/>
  <c r="P100" i="76"/>
  <c r="Q100" i="76"/>
  <c r="S100" i="76"/>
  <c r="U100" i="76"/>
  <c r="W100" i="76"/>
  <c r="X100" i="76"/>
  <c r="Y100" i="76"/>
  <c r="Z100" i="76"/>
  <c r="AC100" i="76"/>
  <c r="AD100" i="76"/>
  <c r="AF100" i="76"/>
  <c r="AS100" i="76"/>
  <c r="AK100" i="76"/>
  <c r="AM100" i="76"/>
  <c r="AO100" i="76"/>
  <c r="AR100" i="76"/>
  <c r="AZ100" i="76"/>
  <c r="BF100" i="76"/>
  <c r="BG100" i="76"/>
  <c r="A101" i="76"/>
  <c r="B101" i="76"/>
  <c r="C101" i="76"/>
  <c r="D101" i="76"/>
  <c r="H101" i="76"/>
  <c r="I101" i="76"/>
  <c r="K101" i="76"/>
  <c r="L101" i="76"/>
  <c r="BJ101" i="76"/>
  <c r="N101" i="76"/>
  <c r="O101" i="76"/>
  <c r="P101" i="76"/>
  <c r="Q101" i="76"/>
  <c r="S101" i="76"/>
  <c r="U101" i="76"/>
  <c r="W101" i="76"/>
  <c r="X101" i="76"/>
  <c r="Y101" i="76"/>
  <c r="Z101" i="76"/>
  <c r="AC101" i="76"/>
  <c r="AD101" i="76"/>
  <c r="AF101" i="76"/>
  <c r="AS101" i="76"/>
  <c r="AK101" i="76"/>
  <c r="AM101" i="76"/>
  <c r="AO101" i="76"/>
  <c r="AR101" i="76"/>
  <c r="AZ101" i="76"/>
  <c r="BF101" i="76"/>
  <c r="BG101" i="76"/>
  <c r="A102" i="76"/>
  <c r="B102" i="76"/>
  <c r="C102" i="76"/>
  <c r="D102" i="76"/>
  <c r="H102" i="76"/>
  <c r="I102" i="76"/>
  <c r="K102" i="76"/>
  <c r="L102" i="76"/>
  <c r="BJ102" i="76"/>
  <c r="N102" i="76"/>
  <c r="O102" i="76"/>
  <c r="P102" i="76"/>
  <c r="Q102" i="76"/>
  <c r="S102" i="76"/>
  <c r="U102" i="76"/>
  <c r="W102" i="76"/>
  <c r="X102" i="76"/>
  <c r="Y102" i="76"/>
  <c r="Z102" i="76"/>
  <c r="AC102" i="76"/>
  <c r="AD102" i="76"/>
  <c r="AF102" i="76"/>
  <c r="AS102" i="76"/>
  <c r="AK102" i="76"/>
  <c r="AM102" i="76"/>
  <c r="AN102" i="76" a="1"/>
  <c r="AN102" i="76"/>
  <c r="AO102" i="76"/>
  <c r="AR102" i="76"/>
  <c r="AZ102" i="76"/>
  <c r="BF102" i="76"/>
  <c r="BG102" i="76"/>
  <c r="A103" i="76"/>
  <c r="B103" i="76"/>
  <c r="C103" i="76"/>
  <c r="D103" i="76"/>
  <c r="H103" i="76"/>
  <c r="I103" i="76"/>
  <c r="K103" i="76"/>
  <c r="L103" i="76"/>
  <c r="BJ103" i="76"/>
  <c r="N103" i="76"/>
  <c r="O103" i="76"/>
  <c r="P103" i="76"/>
  <c r="Q103" i="76"/>
  <c r="S103" i="76"/>
  <c r="U103" i="76"/>
  <c r="W103" i="76"/>
  <c r="X103" i="76"/>
  <c r="Y103" i="76"/>
  <c r="Z103" i="76"/>
  <c r="AC103" i="76"/>
  <c r="AD103" i="76"/>
  <c r="AF103" i="76"/>
  <c r="AS103" i="76"/>
  <c r="AK103" i="76"/>
  <c r="AM103" i="76"/>
  <c r="AN103" i="76"/>
  <c r="AO103" i="76"/>
  <c r="AR103" i="76"/>
  <c r="AZ103" i="76"/>
  <c r="BB103" i="76"/>
  <c r="BF103" i="76"/>
  <c r="BG103" i="76"/>
  <c r="A104" i="76"/>
  <c r="B104" i="76"/>
  <c r="E104" i="76"/>
  <c r="C104" i="76"/>
  <c r="D104" i="76"/>
  <c r="H104" i="76"/>
  <c r="I104" i="76"/>
  <c r="K104" i="76"/>
  <c r="L104" i="76"/>
  <c r="M104" i="76"/>
  <c r="BJ104" i="76"/>
  <c r="N104" i="76"/>
  <c r="P104" i="76"/>
  <c r="Q104" i="76"/>
  <c r="R104" i="76"/>
  <c r="S104" i="76"/>
  <c r="U104" i="76"/>
  <c r="W104" i="76"/>
  <c r="X104" i="76"/>
  <c r="Y104" i="76"/>
  <c r="Z104" i="76"/>
  <c r="AC104" i="76"/>
  <c r="AD104" i="76"/>
  <c r="AF104" i="76"/>
  <c r="AK104" i="76"/>
  <c r="AM104" i="76"/>
  <c r="AN104" i="76"/>
  <c r="AO104" i="76"/>
  <c r="AR104" i="76"/>
  <c r="AZ104" i="76"/>
  <c r="BF104" i="76"/>
  <c r="BG104" i="76"/>
  <c r="A105" i="76"/>
  <c r="B105" i="76"/>
  <c r="C105" i="76"/>
  <c r="D105" i="76"/>
  <c r="H105" i="76"/>
  <c r="I105" i="76"/>
  <c r="K105" i="76"/>
  <c r="L105" i="76"/>
  <c r="BJ105" i="76"/>
  <c r="N105" i="76"/>
  <c r="O105" i="76"/>
  <c r="P105" i="76"/>
  <c r="Q105" i="76"/>
  <c r="S105" i="76"/>
  <c r="U105" i="76"/>
  <c r="W105" i="76"/>
  <c r="X105" i="76"/>
  <c r="Y105" i="76"/>
  <c r="Z105" i="76"/>
  <c r="AC105" i="76"/>
  <c r="AD105" i="76"/>
  <c r="AF105" i="76"/>
  <c r="AS105" i="76"/>
  <c r="AK105" i="76"/>
  <c r="AM105" i="76"/>
  <c r="AO105" i="76"/>
  <c r="AR105" i="76"/>
  <c r="AZ105" i="76"/>
  <c r="BA105" i="76"/>
  <c r="BF105" i="76"/>
  <c r="BG105" i="76"/>
  <c r="A106" i="76"/>
  <c r="B106" i="76"/>
  <c r="C106" i="76"/>
  <c r="D106" i="76"/>
  <c r="E106" i="76"/>
  <c r="H106" i="76"/>
  <c r="I106" i="76"/>
  <c r="K106" i="76"/>
  <c r="L106" i="76"/>
  <c r="BJ106" i="76"/>
  <c r="N106" i="76"/>
  <c r="O106" i="76"/>
  <c r="P106" i="76"/>
  <c r="Q106" i="76"/>
  <c r="S106" i="76"/>
  <c r="U106" i="76"/>
  <c r="W106" i="76"/>
  <c r="X106" i="76"/>
  <c r="Y106" i="76"/>
  <c r="Z106" i="76"/>
  <c r="AC106" i="76"/>
  <c r="AD106" i="76"/>
  <c r="AF106" i="76"/>
  <c r="AK106" i="76"/>
  <c r="AM106" i="76"/>
  <c r="AN106" i="76"/>
  <c r="AO106" i="76"/>
  <c r="AR106" i="76"/>
  <c r="AZ106" i="76"/>
  <c r="BF106" i="76"/>
  <c r="BG106" i="76"/>
  <c r="A107" i="76"/>
  <c r="B107" i="76"/>
  <c r="C107" i="76"/>
  <c r="D107" i="76"/>
  <c r="H107" i="76"/>
  <c r="I107" i="76"/>
  <c r="K107" i="76"/>
  <c r="L107" i="76"/>
  <c r="BJ107" i="76"/>
  <c r="N107" i="76"/>
  <c r="O107" i="76"/>
  <c r="P107" i="76"/>
  <c r="Q107" i="76"/>
  <c r="S107" i="76"/>
  <c r="U107" i="76"/>
  <c r="W107" i="76"/>
  <c r="X107" i="76"/>
  <c r="Y107" i="76"/>
  <c r="Z107" i="76"/>
  <c r="AC107" i="76"/>
  <c r="AD107" i="76"/>
  <c r="AF107" i="76"/>
  <c r="AS107" i="76"/>
  <c r="AK107" i="76"/>
  <c r="AM107" i="76"/>
  <c r="AO107" i="76"/>
  <c r="AR107" i="76"/>
  <c r="AZ107" i="76"/>
  <c r="BA107" i="76"/>
  <c r="BF107" i="76"/>
  <c r="BG107" i="76"/>
  <c r="A108" i="76"/>
  <c r="B108" i="76"/>
  <c r="C108" i="76"/>
  <c r="D108" i="76"/>
  <c r="H108" i="76"/>
  <c r="I108" i="76"/>
  <c r="K108" i="76"/>
  <c r="L108" i="76"/>
  <c r="BJ108" i="76"/>
  <c r="N108" i="76"/>
  <c r="O108" i="76"/>
  <c r="P108" i="76"/>
  <c r="Q108" i="76"/>
  <c r="S108" i="76"/>
  <c r="U108" i="76"/>
  <c r="W108" i="76"/>
  <c r="X108" i="76"/>
  <c r="Y108" i="76"/>
  <c r="Z108" i="76"/>
  <c r="AC108" i="76"/>
  <c r="AD108" i="76"/>
  <c r="AF108" i="76"/>
  <c r="AS108" i="76"/>
  <c r="AK108" i="76"/>
  <c r="AM108" i="76"/>
  <c r="AN108" i="76" a="1"/>
  <c r="AN108" i="76"/>
  <c r="AO108" i="76"/>
  <c r="AR108" i="76"/>
  <c r="AZ108" i="76"/>
  <c r="BA108" i="76"/>
  <c r="BF108" i="76"/>
  <c r="BG108" i="76"/>
  <c r="A109" i="76"/>
  <c r="B109" i="76"/>
  <c r="C109" i="76"/>
  <c r="D109" i="76"/>
  <c r="H109" i="76"/>
  <c r="I109" i="76"/>
  <c r="K109" i="76"/>
  <c r="L109" i="76"/>
  <c r="BJ109" i="76"/>
  <c r="N109" i="76"/>
  <c r="O109" i="76"/>
  <c r="P109" i="76"/>
  <c r="Q109" i="76"/>
  <c r="S109" i="76"/>
  <c r="U109" i="76"/>
  <c r="W109" i="76"/>
  <c r="X109" i="76"/>
  <c r="Y109" i="76"/>
  <c r="Z109" i="76"/>
  <c r="AC109" i="76"/>
  <c r="AD109" i="76"/>
  <c r="AF109" i="76"/>
  <c r="AS109" i="76"/>
  <c r="AK109" i="76"/>
  <c r="AM109" i="76"/>
  <c r="AO109" i="76"/>
  <c r="AQ109" i="76"/>
  <c r="AR109" i="76"/>
  <c r="AZ109" i="76"/>
  <c r="BB109" i="76"/>
  <c r="BF109" i="76"/>
  <c r="BG109" i="76"/>
  <c r="A110" i="76"/>
  <c r="B110" i="76"/>
  <c r="E110" i="76"/>
  <c r="C110" i="76"/>
  <c r="D110" i="76"/>
  <c r="H110" i="76"/>
  <c r="I110" i="76"/>
  <c r="K110" i="76"/>
  <c r="L110" i="76"/>
  <c r="M110" i="76"/>
  <c r="BJ110" i="76"/>
  <c r="N110" i="76"/>
  <c r="P110" i="76"/>
  <c r="Q110" i="76"/>
  <c r="R110" i="76"/>
  <c r="S110" i="76"/>
  <c r="U110" i="76"/>
  <c r="W110" i="76"/>
  <c r="X110" i="76"/>
  <c r="Y110" i="76"/>
  <c r="Z110" i="76"/>
  <c r="AC110" i="76"/>
  <c r="AD110" i="76"/>
  <c r="AF110" i="76"/>
  <c r="AK110" i="76"/>
  <c r="AM110" i="76"/>
  <c r="AO110" i="76"/>
  <c r="AR110" i="76"/>
  <c r="AZ110" i="76"/>
  <c r="BB110" i="76"/>
  <c r="BF110" i="76"/>
  <c r="BG110" i="76"/>
  <c r="A111" i="76"/>
  <c r="B111" i="76"/>
  <c r="E111" i="76"/>
  <c r="C111" i="76"/>
  <c r="D111" i="76"/>
  <c r="H111" i="76"/>
  <c r="I111" i="76"/>
  <c r="K111" i="76"/>
  <c r="L111" i="76"/>
  <c r="M111" i="76"/>
  <c r="BJ111" i="76"/>
  <c r="N111" i="76"/>
  <c r="P111" i="76"/>
  <c r="Q111" i="76"/>
  <c r="R111" i="76"/>
  <c r="S111" i="76"/>
  <c r="U111" i="76"/>
  <c r="W111" i="76"/>
  <c r="X111" i="76"/>
  <c r="Y111" i="76"/>
  <c r="Z111" i="76"/>
  <c r="AC111" i="76"/>
  <c r="AD111" i="76"/>
  <c r="AF111" i="76"/>
  <c r="AK111" i="76"/>
  <c r="AM111" i="76"/>
  <c r="AO111" i="76"/>
  <c r="AQ111" i="76"/>
  <c r="AR111" i="76"/>
  <c r="AZ111" i="76"/>
  <c r="BA111" i="76"/>
  <c r="BF111" i="76"/>
  <c r="BG111" i="76"/>
  <c r="A112" i="76"/>
  <c r="B112" i="76"/>
  <c r="C112" i="76"/>
  <c r="D112" i="76"/>
  <c r="H112" i="76"/>
  <c r="I112" i="76"/>
  <c r="K112" i="76"/>
  <c r="L112" i="76"/>
  <c r="BJ112" i="76"/>
  <c r="N112" i="76"/>
  <c r="O112" i="76"/>
  <c r="P112" i="76"/>
  <c r="Q112" i="76"/>
  <c r="S112" i="76"/>
  <c r="U112" i="76"/>
  <c r="W112" i="76"/>
  <c r="X112" i="76"/>
  <c r="Y112" i="76"/>
  <c r="Z112" i="76"/>
  <c r="AC112" i="76"/>
  <c r="AD112" i="76"/>
  <c r="AF112" i="76"/>
  <c r="AS112" i="76"/>
  <c r="AK112" i="76"/>
  <c r="AM112" i="76"/>
  <c r="AO112" i="76"/>
  <c r="AR112" i="76"/>
  <c r="AZ112" i="76"/>
  <c r="BA112" i="76"/>
  <c r="BF112" i="76"/>
  <c r="BG112" i="76"/>
  <c r="A113" i="76"/>
  <c r="B113" i="76"/>
  <c r="C113" i="76"/>
  <c r="D113" i="76"/>
  <c r="H113" i="76"/>
  <c r="I113" i="76"/>
  <c r="K113" i="76"/>
  <c r="L113" i="76"/>
  <c r="BJ113" i="76"/>
  <c r="N113" i="76"/>
  <c r="O113" i="76"/>
  <c r="P113" i="76"/>
  <c r="Q113" i="76"/>
  <c r="S113" i="76"/>
  <c r="U113" i="76"/>
  <c r="W113" i="76"/>
  <c r="X113" i="76"/>
  <c r="Y113" i="76"/>
  <c r="Z113" i="76"/>
  <c r="AC113" i="76"/>
  <c r="AD113" i="76"/>
  <c r="AF113" i="76"/>
  <c r="AS113" i="76"/>
  <c r="AK113" i="76"/>
  <c r="AM113" i="76"/>
  <c r="AO113" i="76"/>
  <c r="AR113" i="76"/>
  <c r="AZ113" i="76"/>
  <c r="BA113" i="76"/>
  <c r="BF113" i="76"/>
  <c r="BG113" i="76"/>
  <c r="A114" i="76"/>
  <c r="B114" i="76"/>
  <c r="C114" i="76"/>
  <c r="D114" i="76"/>
  <c r="H114" i="76"/>
  <c r="I114" i="76"/>
  <c r="K114" i="76"/>
  <c r="L114" i="76"/>
  <c r="BJ114" i="76"/>
  <c r="N114" i="76"/>
  <c r="O114" i="76"/>
  <c r="P114" i="76"/>
  <c r="Q114" i="76"/>
  <c r="S114" i="76"/>
  <c r="U114" i="76"/>
  <c r="W114" i="76"/>
  <c r="X114" i="76"/>
  <c r="Y114" i="76"/>
  <c r="Z114" i="76"/>
  <c r="AC114" i="76"/>
  <c r="AD114" i="76"/>
  <c r="AF114" i="76"/>
  <c r="AS114" i="76"/>
  <c r="AK114" i="76"/>
  <c r="AM114" i="76"/>
  <c r="AO114" i="76"/>
  <c r="AR114" i="76"/>
  <c r="AZ114" i="76"/>
  <c r="BA114" i="76"/>
  <c r="BF114" i="76"/>
  <c r="BG114" i="76"/>
  <c r="A115" i="76"/>
  <c r="B115" i="76"/>
  <c r="C115" i="76"/>
  <c r="D115" i="76"/>
  <c r="H115" i="76"/>
  <c r="I115" i="76"/>
  <c r="K115" i="76"/>
  <c r="L115" i="76"/>
  <c r="BJ115" i="76"/>
  <c r="N115" i="76"/>
  <c r="O115" i="76"/>
  <c r="P115" i="76"/>
  <c r="Q115" i="76"/>
  <c r="S115" i="76"/>
  <c r="U115" i="76"/>
  <c r="W115" i="76"/>
  <c r="X115" i="76"/>
  <c r="Y115" i="76"/>
  <c r="Z115" i="76"/>
  <c r="AC115" i="76"/>
  <c r="AD115" i="76"/>
  <c r="AF115" i="76"/>
  <c r="AS115" i="76"/>
  <c r="AK115" i="76"/>
  <c r="AM115" i="76"/>
  <c r="AO115" i="76"/>
  <c r="AR115" i="76"/>
  <c r="AZ115" i="76"/>
  <c r="BA115" i="76"/>
  <c r="BF115" i="76"/>
  <c r="BG115" i="76"/>
  <c r="A116" i="76"/>
  <c r="B116" i="76"/>
  <c r="C116" i="76"/>
  <c r="D116" i="76"/>
  <c r="H116" i="76"/>
  <c r="I116" i="76"/>
  <c r="K116" i="76"/>
  <c r="L116" i="76"/>
  <c r="BJ116" i="76"/>
  <c r="N116" i="76"/>
  <c r="O116" i="76"/>
  <c r="P116" i="76"/>
  <c r="Q116" i="76"/>
  <c r="S116" i="76"/>
  <c r="U116" i="76"/>
  <c r="W116" i="76"/>
  <c r="X116" i="76"/>
  <c r="Y116" i="76"/>
  <c r="Z116" i="76"/>
  <c r="AC116" i="76"/>
  <c r="AD116" i="76"/>
  <c r="AF116" i="76"/>
  <c r="AS116" i="76"/>
  <c r="AK116" i="76"/>
  <c r="AM116" i="76"/>
  <c r="AO116" i="76"/>
  <c r="AR116" i="76"/>
  <c r="AZ116" i="76"/>
  <c r="BA116" i="76"/>
  <c r="BF116" i="76"/>
  <c r="BG116" i="76"/>
  <c r="A117" i="76"/>
  <c r="B117" i="76"/>
  <c r="C117" i="76"/>
  <c r="D117" i="76"/>
  <c r="H117" i="76"/>
  <c r="I117" i="76"/>
  <c r="K117" i="76"/>
  <c r="L117" i="76"/>
  <c r="BJ117" i="76"/>
  <c r="N117" i="76"/>
  <c r="O117" i="76"/>
  <c r="P117" i="76"/>
  <c r="Q117" i="76"/>
  <c r="S117" i="76"/>
  <c r="U117" i="76"/>
  <c r="W117" i="76"/>
  <c r="X117" i="76"/>
  <c r="Y117" i="76"/>
  <c r="Z117" i="76"/>
  <c r="AC117" i="76"/>
  <c r="AD117" i="76"/>
  <c r="AF117" i="76"/>
  <c r="AS117" i="76"/>
  <c r="AK117" i="76"/>
  <c r="AM117" i="76"/>
  <c r="AO117" i="76"/>
  <c r="AR117" i="76"/>
  <c r="AZ117" i="76"/>
  <c r="BA117" i="76"/>
  <c r="BF117" i="76"/>
  <c r="BG117" i="76"/>
  <c r="A118" i="76"/>
  <c r="B118" i="76"/>
  <c r="C118" i="76"/>
  <c r="D118" i="76"/>
  <c r="H118" i="76"/>
  <c r="I118" i="76"/>
  <c r="K118" i="76"/>
  <c r="L118" i="76"/>
  <c r="BJ118" i="76"/>
  <c r="N118" i="76"/>
  <c r="O118" i="76"/>
  <c r="P118" i="76"/>
  <c r="Q118" i="76"/>
  <c r="S118" i="76"/>
  <c r="U118" i="76"/>
  <c r="W118" i="76"/>
  <c r="X118" i="76"/>
  <c r="Y118" i="76"/>
  <c r="Z118" i="76"/>
  <c r="AC118" i="76"/>
  <c r="AD118" i="76"/>
  <c r="AF118" i="76"/>
  <c r="AS118" i="76"/>
  <c r="AK118" i="76"/>
  <c r="AM118" i="76"/>
  <c r="AO118" i="76"/>
  <c r="AR118" i="76"/>
  <c r="AZ118" i="76"/>
  <c r="BA118" i="76"/>
  <c r="BF118" i="76"/>
  <c r="BG118" i="76"/>
  <c r="A119" i="76"/>
  <c r="B119" i="76"/>
  <c r="C119" i="76"/>
  <c r="D119" i="76"/>
  <c r="H119" i="76"/>
  <c r="I119" i="76"/>
  <c r="K119" i="76"/>
  <c r="L119" i="76"/>
  <c r="BJ119" i="76"/>
  <c r="N119" i="76"/>
  <c r="O119" i="76"/>
  <c r="P119" i="76"/>
  <c r="Q119" i="76"/>
  <c r="S119" i="76"/>
  <c r="U119" i="76"/>
  <c r="W119" i="76"/>
  <c r="X119" i="76"/>
  <c r="Y119" i="76"/>
  <c r="Z119" i="76"/>
  <c r="AC119" i="76"/>
  <c r="AD119" i="76"/>
  <c r="AF119" i="76"/>
  <c r="AS119" i="76"/>
  <c r="AK119" i="76"/>
  <c r="AM119" i="76"/>
  <c r="AO119" i="76"/>
  <c r="AR119" i="76"/>
  <c r="AZ119" i="76"/>
  <c r="BA119" i="76"/>
  <c r="BF119" i="76"/>
  <c r="BG119" i="76"/>
  <c r="A120" i="76"/>
  <c r="H120" i="76"/>
  <c r="I120" i="76"/>
  <c r="K120" i="76"/>
  <c r="L120" i="76"/>
  <c r="M120" i="76"/>
  <c r="BJ120" i="76"/>
  <c r="N120" i="76"/>
  <c r="P120" i="76"/>
  <c r="Q120" i="76"/>
  <c r="R120" i="76"/>
  <c r="S120" i="76"/>
  <c r="U120" i="76"/>
  <c r="W120" i="76"/>
  <c r="X120" i="76"/>
  <c r="Y120" i="76"/>
  <c r="Z120" i="76"/>
  <c r="AC120" i="76"/>
  <c r="AD120" i="76"/>
  <c r="AF120" i="76"/>
  <c r="AK120" i="76"/>
  <c r="AM120" i="76"/>
  <c r="AO120" i="76"/>
  <c r="AR120" i="76"/>
  <c r="AZ120" i="76"/>
  <c r="BB120" i="76"/>
  <c r="BF120" i="76"/>
  <c r="BG120" i="76"/>
  <c r="A121" i="76"/>
  <c r="B121" i="76"/>
  <c r="E121" i="76"/>
  <c r="C121" i="76"/>
  <c r="D121" i="76"/>
  <c r="K121" i="76"/>
  <c r="L121" i="76"/>
  <c r="M121" i="76"/>
  <c r="N121" i="76"/>
  <c r="O121" i="76"/>
  <c r="P121" i="76"/>
  <c r="Q121" i="76"/>
  <c r="R121" i="76"/>
  <c r="S121" i="76"/>
  <c r="U121" i="76"/>
  <c r="W121" i="76"/>
  <c r="X121" i="76"/>
  <c r="Y121" i="76"/>
  <c r="Z121" i="76"/>
  <c r="AA121" i="76"/>
  <c r="AB121" i="76"/>
  <c r="AC121" i="76"/>
  <c r="AD121" i="76"/>
  <c r="AF121" i="76"/>
  <c r="AK121" i="76"/>
  <c r="AL121" i="76"/>
  <c r="AM121" i="76"/>
  <c r="AO121" i="76"/>
  <c r="AR121" i="76"/>
  <c r="AZ121" i="76"/>
  <c r="BB121" i="76"/>
  <c r="BF121" i="76"/>
  <c r="BG121" i="76"/>
  <c r="BJ121" i="76"/>
  <c r="W123" i="76"/>
  <c r="X123" i="76"/>
  <c r="AB91" i="93"/>
  <c r="BI4" i="93"/>
  <c r="AG91" i="93"/>
  <c r="AB92" i="93"/>
  <c r="AG92" i="93"/>
  <c r="AB93" i="93"/>
  <c r="AG93" i="93"/>
  <c r="AB94" i="93"/>
  <c r="AG94" i="93"/>
  <c r="AB95" i="93"/>
  <c r="AG95" i="93"/>
  <c r="AB96" i="93"/>
  <c r="AG96" i="93"/>
  <c r="AB97" i="93"/>
  <c r="AG97" i="93"/>
  <c r="AB98" i="93"/>
  <c r="AG98" i="93"/>
  <c r="AB99" i="93"/>
  <c r="AG99" i="93"/>
  <c r="AB100" i="93"/>
  <c r="AG100" i="93"/>
  <c r="AB101" i="93"/>
  <c r="AG101" i="93"/>
  <c r="AB102" i="93"/>
  <c r="AG102" i="93"/>
  <c r="AB103" i="93"/>
  <c r="AG103" i="93"/>
  <c r="AB104" i="93"/>
  <c r="AG104" i="93"/>
  <c r="AB105" i="93"/>
  <c r="AG105" i="93"/>
  <c r="AB106" i="93"/>
  <c r="AG106" i="93"/>
  <c r="AB107" i="93"/>
  <c r="AG107" i="93"/>
  <c r="AB108" i="93"/>
  <c r="AG108" i="93"/>
  <c r="AB109" i="93"/>
  <c r="AG109" i="93"/>
  <c r="AB110" i="93"/>
  <c r="AG110" i="93"/>
  <c r="AB111" i="93"/>
  <c r="AG111" i="93"/>
  <c r="AB112" i="93"/>
  <c r="AG112" i="93"/>
  <c r="AB113" i="93"/>
  <c r="AG113" i="93"/>
  <c r="AB114" i="93"/>
  <c r="AG114" i="93"/>
  <c r="AB115" i="93"/>
  <c r="AB116" i="93"/>
  <c r="AB117" i="93"/>
  <c r="AB118" i="93"/>
  <c r="AB119" i="93"/>
  <c r="AB120" i="93"/>
  <c r="AB121" i="93"/>
  <c r="AU4" i="93"/>
  <c r="AV4" i="93"/>
  <c r="AW4" i="93"/>
  <c r="AX4" i="93"/>
  <c r="AY4" i="93"/>
  <c r="AU5" i="93"/>
  <c r="AV5" i="93"/>
  <c r="AW5" i="93"/>
  <c r="AX5" i="93"/>
  <c r="AY5" i="93"/>
  <c r="AU6" i="93"/>
  <c r="AV6" i="93"/>
  <c r="AW6" i="93"/>
  <c r="AX6" i="93"/>
  <c r="AY6" i="93"/>
  <c r="AU7" i="93"/>
  <c r="AV7" i="93"/>
  <c r="AW7" i="93"/>
  <c r="AX7" i="93"/>
  <c r="AY7" i="93"/>
  <c r="AU8" i="93"/>
  <c r="AV8" i="93"/>
  <c r="AW8" i="93"/>
  <c r="AX8" i="93"/>
  <c r="AY8" i="93"/>
  <c r="AU9" i="93"/>
  <c r="AV9" i="93"/>
  <c r="AW9" i="93"/>
  <c r="AX9" i="93"/>
  <c r="AY9" i="93"/>
  <c r="AU10" i="93"/>
  <c r="AV10" i="93"/>
  <c r="AW10" i="93"/>
  <c r="AX10" i="93"/>
  <c r="AY10" i="93"/>
  <c r="AU11" i="93"/>
  <c r="AV11" i="93"/>
  <c r="AW11" i="93"/>
  <c r="AX11" i="93"/>
  <c r="AY11" i="93"/>
  <c r="AU12" i="93"/>
  <c r="AV12" i="93"/>
  <c r="AW12" i="93"/>
  <c r="AX12" i="93"/>
  <c r="AY12" i="93"/>
  <c r="AU13" i="93"/>
  <c r="AV13" i="93"/>
  <c r="AW13" i="93"/>
  <c r="AX13" i="93"/>
  <c r="AY13" i="93"/>
  <c r="AU14" i="93"/>
  <c r="AV14" i="93"/>
  <c r="AW14" i="93"/>
  <c r="AX14" i="93"/>
  <c r="AY14" i="93"/>
  <c r="AU15" i="93"/>
  <c r="AV15" i="93"/>
  <c r="AW15" i="93"/>
  <c r="AX15" i="93"/>
  <c r="AY15" i="93"/>
  <c r="AU16" i="93"/>
  <c r="AV16" i="93"/>
  <c r="AW16" i="93"/>
  <c r="AX16" i="93"/>
  <c r="AY16" i="93"/>
  <c r="AU17" i="93"/>
  <c r="AV17" i="93"/>
  <c r="AW17" i="93"/>
  <c r="AX17" i="93"/>
  <c r="AY17" i="93"/>
  <c r="AU18" i="93"/>
  <c r="AV18" i="93"/>
  <c r="AW18" i="93"/>
  <c r="AX18" i="93"/>
  <c r="AY18" i="93"/>
  <c r="AU19" i="93"/>
  <c r="AV19" i="93"/>
  <c r="AW19" i="93"/>
  <c r="AX19" i="93"/>
  <c r="AY19" i="93"/>
  <c r="AU20" i="93"/>
  <c r="AV20" i="93"/>
  <c r="AW20" i="93"/>
  <c r="AX20" i="93"/>
  <c r="AY20" i="93"/>
  <c r="AU21" i="93"/>
  <c r="AV21" i="93"/>
  <c r="AW21" i="93"/>
  <c r="AX21" i="93"/>
  <c r="AY21" i="93"/>
  <c r="AU22" i="93"/>
  <c r="AV22" i="93"/>
  <c r="AW22" i="93"/>
  <c r="AX22" i="93"/>
  <c r="AY22" i="93"/>
  <c r="AU23" i="93"/>
  <c r="AV23" i="93"/>
  <c r="AW23" i="93"/>
  <c r="AX23" i="93"/>
  <c r="AY23" i="93"/>
  <c r="AU24" i="93"/>
  <c r="AV24" i="93"/>
  <c r="AW24" i="93"/>
  <c r="AX24" i="93"/>
  <c r="AY24" i="93"/>
  <c r="AU25" i="93"/>
  <c r="AV25" i="93"/>
  <c r="AW25" i="93"/>
  <c r="AX25" i="93"/>
  <c r="AY25" i="93"/>
  <c r="AU26" i="93"/>
  <c r="AV26" i="93"/>
  <c r="AW26" i="93"/>
  <c r="AX26" i="93"/>
  <c r="AY26" i="93"/>
  <c r="AU27" i="93"/>
  <c r="AV27" i="93"/>
  <c r="AW27" i="93"/>
  <c r="AX27" i="93"/>
  <c r="AY27" i="93"/>
  <c r="AU28" i="93"/>
  <c r="AV28" i="93"/>
  <c r="AW28" i="93"/>
  <c r="AX28" i="93"/>
  <c r="AY28" i="93"/>
  <c r="AU29" i="93"/>
  <c r="AV29" i="93"/>
  <c r="AW29" i="93"/>
  <c r="AX29" i="93"/>
  <c r="AY29" i="93"/>
  <c r="AU30" i="93"/>
  <c r="AV30" i="93"/>
  <c r="AW30" i="93"/>
  <c r="AX30" i="93"/>
  <c r="AY30" i="93"/>
  <c r="AU31" i="93"/>
  <c r="AV31" i="93"/>
  <c r="AW31" i="93"/>
  <c r="AX31" i="93"/>
  <c r="AY31" i="93"/>
  <c r="AU32" i="93"/>
  <c r="AV32" i="93"/>
  <c r="AW32" i="93"/>
  <c r="AX32" i="93"/>
  <c r="AY32" i="93"/>
  <c r="AU33" i="93"/>
  <c r="AV33" i="93"/>
  <c r="AW33" i="93"/>
  <c r="AX33" i="93"/>
  <c r="AY33" i="93"/>
  <c r="AU34" i="93"/>
  <c r="AV34" i="93"/>
  <c r="AW34" i="93"/>
  <c r="AX34" i="93"/>
  <c r="AY34" i="93"/>
  <c r="H38" i="93"/>
  <c r="K38" i="93"/>
  <c r="L38" i="93"/>
  <c r="M38" i="93"/>
  <c r="N38" i="93"/>
  <c r="P38" i="93"/>
  <c r="Q38" i="93"/>
  <c r="R38" i="93"/>
  <c r="S38" i="93"/>
  <c r="V38" i="93"/>
  <c r="W38" i="93"/>
  <c r="AL121" i="93"/>
  <c r="AL120" i="93"/>
  <c r="AL119" i="93"/>
  <c r="AL118" i="93"/>
  <c r="AL117" i="93"/>
  <c r="AL116" i="93"/>
  <c r="AL115" i="93"/>
  <c r="AL114" i="93"/>
  <c r="AL113" i="93"/>
  <c r="AL112" i="93"/>
  <c r="AL111" i="93"/>
  <c r="AL110" i="93"/>
  <c r="AL109" i="93"/>
  <c r="AL108" i="93"/>
  <c r="AL107" i="93"/>
  <c r="AL106" i="93"/>
  <c r="AL105" i="93"/>
  <c r="AL104" i="93"/>
  <c r="AL103" i="93"/>
  <c r="AL102" i="93"/>
  <c r="AL101" i="93"/>
  <c r="AL100" i="93"/>
  <c r="AL99" i="93"/>
  <c r="AL98" i="93"/>
  <c r="AL97" i="93"/>
  <c r="AL96" i="93"/>
  <c r="AL95" i="93"/>
  <c r="AL94" i="93"/>
  <c r="AL93" i="93"/>
  <c r="AL92" i="93"/>
  <c r="AL91" i="93"/>
  <c r="AN38" i="93"/>
  <c r="AB38" i="93"/>
  <c r="AD38" i="93"/>
  <c r="AG38" i="93"/>
  <c r="AH38" i="93"/>
  <c r="AI38" i="93"/>
  <c r="AJ38" i="93"/>
  <c r="AS38" i="93"/>
  <c r="AU38" i="93"/>
  <c r="AV38" i="93"/>
  <c r="AV40" i="93"/>
  <c r="AW38" i="93"/>
  <c r="AX38" i="93"/>
  <c r="AY38" i="93"/>
  <c r="BA38" i="93"/>
  <c r="BA40" i="93"/>
  <c r="BC38" i="93"/>
  <c r="I39" i="93"/>
  <c r="I40" i="93"/>
  <c r="AD39" i="93"/>
  <c r="F40" i="93"/>
  <c r="G40" i="93"/>
  <c r="H40" i="93"/>
  <c r="M40" i="93"/>
  <c r="R40" i="93"/>
  <c r="U40" i="93"/>
  <c r="V40" i="93"/>
  <c r="W40" i="93"/>
  <c r="X40" i="93"/>
  <c r="AB47" i="93"/>
  <c r="Z40" i="93"/>
  <c r="AA40" i="93"/>
  <c r="AD40" i="93"/>
  <c r="AN40" i="93"/>
  <c r="AP47" i="93"/>
  <c r="AP40" i="93"/>
  <c r="AQ47" i="93"/>
  <c r="AQ40" i="93"/>
  <c r="AT40" i="93"/>
  <c r="AU40" i="93"/>
  <c r="F86" i="93"/>
  <c r="F85" i="93"/>
  <c r="G86" i="93"/>
  <c r="AN106" i="93" a="1"/>
  <c r="G85" i="93"/>
  <c r="G42" i="93"/>
  <c r="BA42" i="93"/>
  <c r="H86" i="93"/>
  <c r="H85" i="93"/>
  <c r="H42" i="93"/>
  <c r="I86" i="93"/>
  <c r="I85" i="93"/>
  <c r="I42" i="93"/>
  <c r="K86" i="93"/>
  <c r="K85" i="93"/>
  <c r="K42" i="93"/>
  <c r="L86" i="93"/>
  <c r="L85" i="93"/>
  <c r="L42" i="93"/>
  <c r="M86" i="93"/>
  <c r="M85" i="93"/>
  <c r="M42" i="93"/>
  <c r="N86" i="93"/>
  <c r="N85" i="93"/>
  <c r="N42" i="93"/>
  <c r="P86" i="93"/>
  <c r="P85" i="93"/>
  <c r="P42" i="93"/>
  <c r="Q86" i="93"/>
  <c r="Q85" i="93"/>
  <c r="Q42" i="93"/>
  <c r="R86" i="93"/>
  <c r="R85" i="93"/>
  <c r="R42" i="93"/>
  <c r="S86" i="93"/>
  <c r="S85" i="93"/>
  <c r="S42" i="93"/>
  <c r="V86" i="93"/>
  <c r="V85" i="93"/>
  <c r="V42" i="93"/>
  <c r="W86" i="93"/>
  <c r="W85" i="93"/>
  <c r="W42" i="93"/>
  <c r="Z86" i="93"/>
  <c r="Z85" i="93"/>
  <c r="Z42" i="93"/>
  <c r="AA86" i="93"/>
  <c r="AA85" i="93"/>
  <c r="AA42" i="93"/>
  <c r="AB86" i="93"/>
  <c r="AB85" i="93"/>
  <c r="AB42" i="93"/>
  <c r="AC86" i="93"/>
  <c r="AC85" i="93"/>
  <c r="AC42" i="93"/>
  <c r="AE86" i="93"/>
  <c r="AE85" i="93"/>
  <c r="AD42" i="93"/>
  <c r="AD86" i="93"/>
  <c r="AD85" i="93"/>
  <c r="AE42" i="93"/>
  <c r="AG86" i="93"/>
  <c r="AG85" i="93"/>
  <c r="AG42" i="93"/>
  <c r="AH86" i="93"/>
  <c r="AH85" i="93"/>
  <c r="AH42" i="93"/>
  <c r="AI86" i="93"/>
  <c r="AI85" i="93"/>
  <c r="AI42" i="93"/>
  <c r="AJ86" i="93"/>
  <c r="AJ85" i="93"/>
  <c r="AJ42" i="93"/>
  <c r="AQ85" i="93"/>
  <c r="AQ42" i="93"/>
  <c r="AS86" i="93"/>
  <c r="AS85" i="93"/>
  <c r="AS42" i="93"/>
  <c r="AT86" i="93"/>
  <c r="AT85" i="93"/>
  <c r="AT42" i="93"/>
  <c r="BG42" i="93"/>
  <c r="AU85" i="93"/>
  <c r="AV86" i="93"/>
  <c r="AW85" i="93"/>
  <c r="AX86" i="93"/>
  <c r="AY85" i="93"/>
  <c r="BB42" i="93"/>
  <c r="BC42" i="93"/>
  <c r="BF42" i="93"/>
  <c r="F43" i="93"/>
  <c r="G43" i="93"/>
  <c r="H43" i="93"/>
  <c r="I43" i="93"/>
  <c r="K43" i="93"/>
  <c r="L43" i="93"/>
  <c r="M43" i="93"/>
  <c r="N43" i="93"/>
  <c r="P43" i="93"/>
  <c r="Q43" i="93"/>
  <c r="R43" i="93"/>
  <c r="S43" i="93"/>
  <c r="U43" i="93"/>
  <c r="V43" i="93"/>
  <c r="W43" i="93"/>
  <c r="Z43" i="93"/>
  <c r="AA43" i="93"/>
  <c r="AB43" i="93"/>
  <c r="AC43" i="93"/>
  <c r="AE43" i="93"/>
  <c r="AG43" i="93"/>
  <c r="AH43" i="93"/>
  <c r="AI43" i="93"/>
  <c r="AJ43" i="93"/>
  <c r="AN91" i="93"/>
  <c r="AN43" i="93"/>
  <c r="AP43" i="93"/>
  <c r="AQ43" i="93"/>
  <c r="AS43" i="93"/>
  <c r="AT43" i="93"/>
  <c r="AU43" i="93"/>
  <c r="AV43" i="93"/>
  <c r="AW43" i="93"/>
  <c r="AX43" i="93"/>
  <c r="AY43" i="93"/>
  <c r="BA43" i="93"/>
  <c r="BF43" i="93"/>
  <c r="BG43" i="93"/>
  <c r="F46" i="93"/>
  <c r="G46" i="93"/>
  <c r="AY80" i="93"/>
  <c r="AY81" i="93"/>
  <c r="AY82" i="93"/>
  <c r="H46" i="93"/>
  <c r="I46" i="93"/>
  <c r="K46" i="93"/>
  <c r="L46" i="93"/>
  <c r="M46" i="93"/>
  <c r="N46" i="93"/>
  <c r="R46" i="93"/>
  <c r="S46" i="93"/>
  <c r="U46" i="93"/>
  <c r="AG46" i="93"/>
  <c r="AH46" i="93"/>
  <c r="AI46" i="93"/>
  <c r="AJ46" i="93"/>
  <c r="AP46" i="93"/>
  <c r="AQ46" i="93"/>
  <c r="F47" i="93"/>
  <c r="G47" i="93"/>
  <c r="H47" i="93"/>
  <c r="I47" i="93"/>
  <c r="R47" i="93"/>
  <c r="M54" i="93"/>
  <c r="AC47" i="93"/>
  <c r="BB49" i="93"/>
  <c r="BC49" i="93"/>
  <c r="AH50" i="93"/>
  <c r="AJ50" i="93"/>
  <c r="BB50" i="93"/>
  <c r="BC50" i="93"/>
  <c r="BB51" i="93"/>
  <c r="BC51" i="93"/>
  <c r="AA52" i="93"/>
  <c r="BB52" i="93"/>
  <c r="BC52" i="93"/>
  <c r="AD53" i="93"/>
  <c r="AH53" i="93"/>
  <c r="AJ53" i="93"/>
  <c r="BB53" i="93"/>
  <c r="BC53" i="93"/>
  <c r="AN100" i="93"/>
  <c r="AN97" i="93"/>
  <c r="E69" i="93"/>
  <c r="AN93" i="93"/>
  <c r="AN98" i="93"/>
  <c r="E83" i="93"/>
  <c r="AA54" i="93"/>
  <c r="BB54" i="93"/>
  <c r="BC54" i="93"/>
  <c r="X55" i="93"/>
  <c r="BB55" i="93"/>
  <c r="BC55" i="93"/>
  <c r="BB56" i="93"/>
  <c r="BC56" i="93"/>
  <c r="BB57" i="93"/>
  <c r="BC57" i="93"/>
  <c r="BB58" i="93"/>
  <c r="BC58" i="93"/>
  <c r="BB59" i="93"/>
  <c r="BC59" i="93"/>
  <c r="BB60" i="93"/>
  <c r="BC60" i="93"/>
  <c r="BB61" i="93"/>
  <c r="BC61" i="93"/>
  <c r="BB62" i="93"/>
  <c r="BC62" i="93"/>
  <c r="BB63" i="93"/>
  <c r="BC63" i="93"/>
  <c r="BB64" i="93"/>
  <c r="BC64" i="93"/>
  <c r="BH91" i="93"/>
  <c r="BH92" i="93"/>
  <c r="BH93" i="93"/>
  <c r="BH94" i="93"/>
  <c r="BH95" i="93"/>
  <c r="BH96" i="93"/>
  <c r="BH97" i="93"/>
  <c r="BH98" i="93"/>
  <c r="BH99" i="93"/>
  <c r="BH100" i="93"/>
  <c r="BH101" i="93"/>
  <c r="BH102" i="93"/>
  <c r="BH103" i="93"/>
  <c r="BH104" i="93"/>
  <c r="BH105" i="93"/>
  <c r="BH106" i="93"/>
  <c r="BH107" i="93"/>
  <c r="BH108" i="93"/>
  <c r="BH109" i="93"/>
  <c r="BH110" i="93"/>
  <c r="BH111" i="93"/>
  <c r="BH112" i="93"/>
  <c r="BH113" i="93"/>
  <c r="BH114" i="93"/>
  <c r="BH115" i="93"/>
  <c r="BH116" i="93"/>
  <c r="BH117" i="93"/>
  <c r="BH118" i="93"/>
  <c r="BH119" i="93"/>
  <c r="BH120" i="93"/>
  <c r="BH121" i="93"/>
  <c r="BB65" i="93"/>
  <c r="BC65" i="93"/>
  <c r="BB66" i="93"/>
  <c r="BC66" i="93"/>
  <c r="BB67" i="93"/>
  <c r="BC67" i="93"/>
  <c r="E68" i="93"/>
  <c r="F68" i="93"/>
  <c r="AY91" i="93"/>
  <c r="AY92" i="93"/>
  <c r="AY93" i="93"/>
  <c r="AY94" i="93"/>
  <c r="AY95" i="93"/>
  <c r="AY96" i="93"/>
  <c r="AY97" i="93"/>
  <c r="AY98" i="93"/>
  <c r="AY99" i="93"/>
  <c r="AY100" i="93"/>
  <c r="AY101" i="93"/>
  <c r="AY102" i="93"/>
  <c r="AY103" i="93"/>
  <c r="AY104" i="93"/>
  <c r="AY105" i="93"/>
  <c r="AY106" i="93"/>
  <c r="AY107" i="93"/>
  <c r="AY108" i="93"/>
  <c r="AY109" i="93"/>
  <c r="AY110" i="93"/>
  <c r="AY111" i="93"/>
  <c r="AY112" i="93"/>
  <c r="AY113" i="93"/>
  <c r="AY114" i="93"/>
  <c r="AY115" i="93"/>
  <c r="AY116" i="93"/>
  <c r="AY117" i="93"/>
  <c r="AY118" i="93"/>
  <c r="AY119" i="93"/>
  <c r="AY120" i="93"/>
  <c r="AY121" i="93"/>
  <c r="AH68" i="93"/>
  <c r="AJ68" i="93"/>
  <c r="BB68" i="93"/>
  <c r="BC68" i="93"/>
  <c r="BB69" i="93"/>
  <c r="BC69" i="93"/>
  <c r="BB70" i="93"/>
  <c r="BC70" i="93"/>
  <c r="BB71" i="93"/>
  <c r="BC71" i="93"/>
  <c r="BB72" i="93"/>
  <c r="BC72" i="93"/>
  <c r="AN67" i="93" a="1"/>
  <c r="BB73" i="93"/>
  <c r="BC73" i="93"/>
  <c r="K74" i="93"/>
  <c r="L74" i="93"/>
  <c r="M74" i="93"/>
  <c r="BB74" i="93"/>
  <c r="BC74" i="93"/>
  <c r="L75" i="93"/>
  <c r="M75" i="93"/>
  <c r="BB75" i="93"/>
  <c r="BC75" i="93"/>
  <c r="L76" i="93"/>
  <c r="M76" i="93"/>
  <c r="AN76" i="93"/>
  <c r="BB76" i="93"/>
  <c r="BC76" i="93"/>
  <c r="L77" i="93"/>
  <c r="M77" i="93"/>
  <c r="BB77" i="93"/>
  <c r="BC77" i="93"/>
  <c r="K78" i="93"/>
  <c r="L78" i="93"/>
  <c r="M78" i="93"/>
  <c r="BB78" i="93"/>
  <c r="BC78" i="93"/>
  <c r="K79" i="93"/>
  <c r="L79" i="93"/>
  <c r="M79" i="93"/>
  <c r="BB79" i="93"/>
  <c r="BC79" i="93"/>
  <c r="K80" i="93"/>
  <c r="L80" i="93"/>
  <c r="M80" i="93"/>
  <c r="BB80" i="93"/>
  <c r="BC80" i="93"/>
  <c r="B120" i="93"/>
  <c r="C120" i="93"/>
  <c r="D120" i="93"/>
  <c r="BD80" i="93"/>
  <c r="BF80" i="93"/>
  <c r="BG80" i="93"/>
  <c r="BH80" i="93"/>
  <c r="BI80" i="93"/>
  <c r="BJ80" i="93"/>
  <c r="K81" i="93"/>
  <c r="L81" i="93"/>
  <c r="M81" i="93"/>
  <c r="E82" i="93"/>
  <c r="K82" i="93"/>
  <c r="L82" i="93"/>
  <c r="M82" i="93"/>
  <c r="BF82" i="93"/>
  <c r="BG82" i="93"/>
  <c r="BH82" i="93"/>
  <c r="BI82" i="93"/>
  <c r="BJ82" i="93"/>
  <c r="K83" i="93"/>
  <c r="L83" i="93"/>
  <c r="M83" i="93"/>
  <c r="C91" i="93"/>
  <c r="D91" i="93"/>
  <c r="B91" i="93"/>
  <c r="E91" i="93"/>
  <c r="BA83" i="93"/>
  <c r="BF83" i="93"/>
  <c r="BG83" i="93"/>
  <c r="BH83" i="93"/>
  <c r="BI83" i="93"/>
  <c r="BJ83" i="93"/>
  <c r="BA84" i="93"/>
  <c r="BB84" i="93"/>
  <c r="X85" i="93"/>
  <c r="Y85" i="93"/>
  <c r="AF85" i="93"/>
  <c r="AZ85" i="93"/>
  <c r="BA85" i="93"/>
  <c r="BB85" i="93"/>
  <c r="BE85" i="93"/>
  <c r="BF85" i="93"/>
  <c r="BG85" i="93"/>
  <c r="T86" i="93"/>
  <c r="X86" i="93"/>
  <c r="Y86" i="93"/>
  <c r="AF86" i="93"/>
  <c r="AZ86" i="93"/>
  <c r="BA86" i="93"/>
  <c r="BB86" i="93"/>
  <c r="BE86" i="93"/>
  <c r="BF86" i="93"/>
  <c r="BG86" i="93"/>
  <c r="A91" i="93"/>
  <c r="K91" i="93"/>
  <c r="L91" i="93"/>
  <c r="M91" i="93"/>
  <c r="BJ91" i="93"/>
  <c r="N91" i="93"/>
  <c r="O91" i="93"/>
  <c r="P91" i="93"/>
  <c r="Q91" i="93"/>
  <c r="R91" i="93"/>
  <c r="S91" i="93"/>
  <c r="U91" i="93"/>
  <c r="W91" i="93"/>
  <c r="X91" i="93"/>
  <c r="Y91" i="93"/>
  <c r="Z91" i="93"/>
  <c r="AC91" i="93"/>
  <c r="AD91" i="93"/>
  <c r="AF91" i="93"/>
  <c r="AT123" i="93"/>
  <c r="AS91" i="93"/>
  <c r="AK91" i="93"/>
  <c r="AM91" i="93"/>
  <c r="AO91" i="93"/>
  <c r="AR91" i="93"/>
  <c r="AV91" i="93"/>
  <c r="AZ91" i="93"/>
  <c r="BF91" i="93"/>
  <c r="BG91" i="93"/>
  <c r="A92" i="93"/>
  <c r="B92" i="93"/>
  <c r="E92" i="93"/>
  <c r="C92" i="93"/>
  <c r="D92" i="93"/>
  <c r="H92" i="93"/>
  <c r="K92" i="93"/>
  <c r="L92" i="93"/>
  <c r="M92" i="93"/>
  <c r="BJ92" i="93"/>
  <c r="N92" i="93"/>
  <c r="O92" i="93"/>
  <c r="P92" i="93"/>
  <c r="Q92" i="93"/>
  <c r="R92" i="93"/>
  <c r="S92" i="93"/>
  <c r="U92" i="93"/>
  <c r="W92" i="93"/>
  <c r="X92" i="93"/>
  <c r="Y92" i="93"/>
  <c r="Z92" i="93"/>
  <c r="AD92" i="93"/>
  <c r="AF92" i="93"/>
  <c r="AS92" i="93"/>
  <c r="AH100" i="93"/>
  <c r="AK92" i="93"/>
  <c r="AM92" i="93"/>
  <c r="AO92" i="93"/>
  <c r="AR92" i="93"/>
  <c r="AV92" i="93"/>
  <c r="AZ92" i="93"/>
  <c r="BF92" i="93"/>
  <c r="BG92" i="93"/>
  <c r="A93" i="93"/>
  <c r="B93" i="93"/>
  <c r="E93" i="93"/>
  <c r="C93" i="93"/>
  <c r="D93" i="93"/>
  <c r="H93" i="93"/>
  <c r="K93" i="93"/>
  <c r="L93" i="93"/>
  <c r="M93" i="93"/>
  <c r="BJ93" i="93"/>
  <c r="N93" i="93"/>
  <c r="O93" i="93"/>
  <c r="P93" i="93"/>
  <c r="Q93" i="93"/>
  <c r="R93" i="93"/>
  <c r="S93" i="93"/>
  <c r="U93" i="93"/>
  <c r="W93" i="93"/>
  <c r="X93" i="93"/>
  <c r="Y93" i="93"/>
  <c r="Z93" i="93"/>
  <c r="AD93" i="93"/>
  <c r="AF93" i="93"/>
  <c r="AS93" i="93"/>
  <c r="AK93" i="93"/>
  <c r="AM93" i="93"/>
  <c r="AO93" i="93"/>
  <c r="AR93" i="93"/>
  <c r="AV93" i="93"/>
  <c r="AZ93" i="93"/>
  <c r="BF93" i="93"/>
  <c r="BG93" i="93"/>
  <c r="A94" i="93"/>
  <c r="B94" i="93"/>
  <c r="E94" i="93"/>
  <c r="C94" i="93"/>
  <c r="D94" i="93"/>
  <c r="H94" i="93"/>
  <c r="K94" i="93"/>
  <c r="L94" i="93"/>
  <c r="M94" i="93"/>
  <c r="BJ94" i="93"/>
  <c r="N94" i="93"/>
  <c r="O94" i="93"/>
  <c r="P94" i="93"/>
  <c r="Q94" i="93"/>
  <c r="R94" i="93"/>
  <c r="S94" i="93"/>
  <c r="U94" i="93"/>
  <c r="W94" i="93"/>
  <c r="X94" i="93"/>
  <c r="Y94" i="93"/>
  <c r="Z94" i="93"/>
  <c r="AD94" i="93"/>
  <c r="AF94" i="93"/>
  <c r="AS94" i="93"/>
  <c r="AH102" i="93"/>
  <c r="AK94" i="93"/>
  <c r="AM94" i="93"/>
  <c r="AO94" i="93"/>
  <c r="AR94" i="93"/>
  <c r="AV94" i="93"/>
  <c r="AZ94" i="93"/>
  <c r="BF94" i="93"/>
  <c r="BG94" i="93"/>
  <c r="A95" i="93"/>
  <c r="B95" i="93"/>
  <c r="E95" i="93"/>
  <c r="C95" i="93"/>
  <c r="D95" i="93"/>
  <c r="H95" i="93"/>
  <c r="K95" i="93"/>
  <c r="L95" i="93"/>
  <c r="M95" i="93"/>
  <c r="BJ95" i="93"/>
  <c r="N95" i="93"/>
  <c r="O95" i="93"/>
  <c r="P95" i="93"/>
  <c r="Q95" i="93"/>
  <c r="R95" i="93"/>
  <c r="S95" i="93"/>
  <c r="U95" i="93"/>
  <c r="W95" i="93"/>
  <c r="X95" i="93"/>
  <c r="Y95" i="93"/>
  <c r="Z95" i="93"/>
  <c r="AD95" i="93"/>
  <c r="AF95" i="93"/>
  <c r="AS95" i="93"/>
  <c r="AK95" i="93"/>
  <c r="AM95" i="93"/>
  <c r="AO95" i="93"/>
  <c r="AR95" i="93"/>
  <c r="AV95" i="93"/>
  <c r="AZ95" i="93"/>
  <c r="BF95" i="93"/>
  <c r="BG95" i="93"/>
  <c r="A96" i="93"/>
  <c r="B96" i="93"/>
  <c r="E96" i="93"/>
  <c r="C96" i="93"/>
  <c r="D96" i="93"/>
  <c r="H96" i="93"/>
  <c r="K96" i="93"/>
  <c r="L96" i="93"/>
  <c r="M96" i="93"/>
  <c r="BJ96" i="93"/>
  <c r="N96" i="93"/>
  <c r="O96" i="93"/>
  <c r="P96" i="93"/>
  <c r="Q96" i="93"/>
  <c r="R96" i="93"/>
  <c r="S96" i="93"/>
  <c r="U96" i="93"/>
  <c r="W96" i="93"/>
  <c r="X96" i="93"/>
  <c r="Y96" i="93"/>
  <c r="Z96" i="93"/>
  <c r="AD96" i="93"/>
  <c r="AF96" i="93"/>
  <c r="AS96" i="93"/>
  <c r="AK96" i="93"/>
  <c r="AM96" i="93"/>
  <c r="AO96" i="93"/>
  <c r="AR96" i="93"/>
  <c r="AV96" i="93"/>
  <c r="AZ96" i="93"/>
  <c r="BF96" i="93"/>
  <c r="BG96" i="93"/>
  <c r="A97" i="93"/>
  <c r="B97" i="93"/>
  <c r="E97" i="93"/>
  <c r="C97" i="93"/>
  <c r="D97" i="93"/>
  <c r="H97" i="93"/>
  <c r="K97" i="93"/>
  <c r="L97" i="93"/>
  <c r="M97" i="93"/>
  <c r="BJ97" i="93"/>
  <c r="N97" i="93"/>
  <c r="O97" i="93"/>
  <c r="P97" i="93"/>
  <c r="Q97" i="93"/>
  <c r="R97" i="93"/>
  <c r="S97" i="93"/>
  <c r="U97" i="93"/>
  <c r="W97" i="93"/>
  <c r="X97" i="93"/>
  <c r="Y97" i="93"/>
  <c r="Z97" i="93"/>
  <c r="AD97" i="93"/>
  <c r="AF97" i="93"/>
  <c r="AS97" i="93"/>
  <c r="AK97" i="93"/>
  <c r="AM97" i="93"/>
  <c r="AO97" i="93"/>
  <c r="AR97" i="93"/>
  <c r="AV97" i="93"/>
  <c r="AZ97" i="93"/>
  <c r="BF97" i="93"/>
  <c r="BG97" i="93"/>
  <c r="A98" i="93"/>
  <c r="B98" i="93"/>
  <c r="E98" i="93"/>
  <c r="C98" i="93"/>
  <c r="D98" i="93"/>
  <c r="H98" i="93"/>
  <c r="I98" i="93"/>
  <c r="K98" i="93"/>
  <c r="L98" i="93"/>
  <c r="M98" i="93"/>
  <c r="BJ98" i="93"/>
  <c r="N98" i="93"/>
  <c r="O98" i="93"/>
  <c r="P98" i="93"/>
  <c r="Q98" i="93"/>
  <c r="R98" i="93"/>
  <c r="S98" i="93"/>
  <c r="U98" i="93"/>
  <c r="W98" i="93"/>
  <c r="X98" i="93"/>
  <c r="Y98" i="93"/>
  <c r="Z98" i="93"/>
  <c r="AD98" i="93"/>
  <c r="AF98" i="93"/>
  <c r="AS98" i="93"/>
  <c r="AH98" i="93"/>
  <c r="AE98" i="93"/>
  <c r="AK98" i="93"/>
  <c r="AM98" i="93"/>
  <c r="AO98" i="93"/>
  <c r="AR98" i="93"/>
  <c r="AV98" i="93"/>
  <c r="AZ98" i="93"/>
  <c r="BF98" i="93"/>
  <c r="BG98" i="93"/>
  <c r="A99" i="93"/>
  <c r="B99" i="93"/>
  <c r="C99" i="93"/>
  <c r="D99" i="93"/>
  <c r="E99" i="93"/>
  <c r="H99" i="93"/>
  <c r="I99" i="93"/>
  <c r="K99" i="93"/>
  <c r="L99" i="93"/>
  <c r="M99" i="93"/>
  <c r="BJ99" i="93"/>
  <c r="N99" i="93"/>
  <c r="O99" i="93"/>
  <c r="P99" i="93"/>
  <c r="Q99" i="93"/>
  <c r="R99" i="93"/>
  <c r="S99" i="93"/>
  <c r="U99" i="93"/>
  <c r="W99" i="93"/>
  <c r="X99" i="93"/>
  <c r="Y99" i="93"/>
  <c r="Z99" i="93"/>
  <c r="AD99" i="93"/>
  <c r="AF99" i="93"/>
  <c r="AS99" i="93"/>
  <c r="AK99" i="93"/>
  <c r="AM99" i="93"/>
  <c r="AN99" i="93"/>
  <c r="AO99" i="93"/>
  <c r="AR99" i="93"/>
  <c r="AV99" i="93"/>
  <c r="AZ99" i="93"/>
  <c r="BF99" i="93"/>
  <c r="BG99" i="93"/>
  <c r="A100" i="93"/>
  <c r="B100" i="93"/>
  <c r="C100" i="93"/>
  <c r="D100" i="93"/>
  <c r="E100" i="93"/>
  <c r="H100" i="93"/>
  <c r="I100" i="93"/>
  <c r="K100" i="93"/>
  <c r="L100" i="93"/>
  <c r="M100" i="93"/>
  <c r="BJ100" i="93"/>
  <c r="N100" i="93"/>
  <c r="O100" i="93"/>
  <c r="P100" i="93"/>
  <c r="Q100" i="93"/>
  <c r="R100" i="93"/>
  <c r="S100" i="93"/>
  <c r="U100" i="93"/>
  <c r="W100" i="93"/>
  <c r="X100" i="93"/>
  <c r="Y100" i="93"/>
  <c r="Z100" i="93"/>
  <c r="AD100" i="93"/>
  <c r="AF100" i="93"/>
  <c r="AS100" i="93"/>
  <c r="AK100" i="93"/>
  <c r="AM100" i="93"/>
  <c r="AO100" i="93"/>
  <c r="AR100" i="93"/>
  <c r="AV100" i="93"/>
  <c r="AZ100" i="93"/>
  <c r="BF100" i="93"/>
  <c r="BG100" i="93"/>
  <c r="A101" i="93"/>
  <c r="B101" i="93"/>
  <c r="E101" i="93"/>
  <c r="C101" i="93"/>
  <c r="D101" i="93"/>
  <c r="H101" i="93"/>
  <c r="I101" i="93"/>
  <c r="K101" i="93"/>
  <c r="L101" i="93"/>
  <c r="M101" i="93"/>
  <c r="BJ101" i="93"/>
  <c r="N101" i="93"/>
  <c r="O101" i="93"/>
  <c r="P101" i="93"/>
  <c r="Q101" i="93"/>
  <c r="R101" i="93"/>
  <c r="S101" i="93"/>
  <c r="U101" i="93"/>
  <c r="W101" i="93"/>
  <c r="X101" i="93"/>
  <c r="Y101" i="93"/>
  <c r="Z101" i="93"/>
  <c r="AD101" i="93"/>
  <c r="AF101" i="93"/>
  <c r="AS101" i="93"/>
  <c r="AH101" i="93"/>
  <c r="AE101" i="93"/>
  <c r="AK101" i="93"/>
  <c r="AM101" i="93"/>
  <c r="AO101" i="93"/>
  <c r="AR101" i="93"/>
  <c r="AV101" i="93"/>
  <c r="AZ101" i="93"/>
  <c r="BF101" i="93"/>
  <c r="BG101" i="93"/>
  <c r="A102" i="93"/>
  <c r="B102" i="93"/>
  <c r="C102" i="93"/>
  <c r="D102" i="93"/>
  <c r="E102" i="93"/>
  <c r="H102" i="93"/>
  <c r="I102" i="93"/>
  <c r="K102" i="93"/>
  <c r="L102" i="93"/>
  <c r="M102" i="93"/>
  <c r="BJ102" i="93"/>
  <c r="N102" i="93"/>
  <c r="O102" i="93"/>
  <c r="P102" i="93"/>
  <c r="Q102" i="93"/>
  <c r="R102" i="93"/>
  <c r="S102" i="93"/>
  <c r="U102" i="93"/>
  <c r="W102" i="93"/>
  <c r="X102" i="93"/>
  <c r="Y102" i="93"/>
  <c r="Z102" i="93"/>
  <c r="AD102" i="93"/>
  <c r="AF102" i="93"/>
  <c r="AS102" i="93"/>
  <c r="AK102" i="93"/>
  <c r="AM102" i="93"/>
  <c r="AN102" i="93" a="1"/>
  <c r="AN102" i="93"/>
  <c r="AO102" i="93"/>
  <c r="AR102" i="93"/>
  <c r="AV102" i="93"/>
  <c r="AZ102" i="93"/>
  <c r="BF102" i="93"/>
  <c r="BG102" i="93"/>
  <c r="A103" i="93"/>
  <c r="B103" i="93"/>
  <c r="E103" i="93"/>
  <c r="C103" i="93"/>
  <c r="D103" i="93"/>
  <c r="H103" i="93"/>
  <c r="I103" i="93"/>
  <c r="K103" i="93"/>
  <c r="L103" i="93"/>
  <c r="M103" i="93"/>
  <c r="BJ103" i="93"/>
  <c r="N103" i="93"/>
  <c r="O103" i="93"/>
  <c r="P103" i="93"/>
  <c r="Q103" i="93"/>
  <c r="R103" i="93"/>
  <c r="S103" i="93"/>
  <c r="U103" i="93"/>
  <c r="W103" i="93"/>
  <c r="X103" i="93"/>
  <c r="Y103" i="93"/>
  <c r="Z103" i="93"/>
  <c r="AD103" i="93"/>
  <c r="AF103" i="93"/>
  <c r="AS103" i="93"/>
  <c r="AH103" i="93"/>
  <c r="BJ16" i="93"/>
  <c r="AK103" i="93"/>
  <c r="AM103" i="93"/>
  <c r="AN103" i="93"/>
  <c r="AO103" i="93"/>
  <c r="AR103" i="93"/>
  <c r="AV103" i="93"/>
  <c r="AZ103" i="93"/>
  <c r="BF103" i="93"/>
  <c r="BG103" i="93"/>
  <c r="A104" i="93"/>
  <c r="B104" i="93"/>
  <c r="E104" i="93"/>
  <c r="C104" i="93"/>
  <c r="D104" i="93"/>
  <c r="H104" i="93"/>
  <c r="I104" i="93"/>
  <c r="K104" i="93"/>
  <c r="L104" i="93"/>
  <c r="M104" i="93"/>
  <c r="BJ104" i="93"/>
  <c r="N104" i="93"/>
  <c r="O104" i="93"/>
  <c r="P104" i="93"/>
  <c r="Q104" i="93"/>
  <c r="R104" i="93"/>
  <c r="S104" i="93"/>
  <c r="U104" i="93"/>
  <c r="W104" i="93"/>
  <c r="X104" i="93"/>
  <c r="Y104" i="93"/>
  <c r="Z104" i="93"/>
  <c r="AD104" i="93"/>
  <c r="AF104" i="93"/>
  <c r="AS104" i="93"/>
  <c r="AH104" i="93"/>
  <c r="AE104" i="93"/>
  <c r="AK104" i="93"/>
  <c r="AM104" i="93"/>
  <c r="AN104" i="93"/>
  <c r="AO104" i="93"/>
  <c r="AR104" i="93"/>
  <c r="AV104" i="93"/>
  <c r="AZ104" i="93"/>
  <c r="BF104" i="93"/>
  <c r="BG104" i="93"/>
  <c r="A105" i="93"/>
  <c r="B105" i="93"/>
  <c r="E105" i="93"/>
  <c r="C105" i="93"/>
  <c r="D105" i="93"/>
  <c r="H105" i="93"/>
  <c r="I105" i="93"/>
  <c r="K105" i="93"/>
  <c r="L105" i="93"/>
  <c r="M105" i="93"/>
  <c r="BJ105" i="93"/>
  <c r="N105" i="93"/>
  <c r="O105" i="93"/>
  <c r="P105" i="93"/>
  <c r="Q105" i="93"/>
  <c r="R105" i="93"/>
  <c r="S105" i="93"/>
  <c r="U105" i="93"/>
  <c r="W105" i="93"/>
  <c r="X105" i="93"/>
  <c r="Y105" i="93"/>
  <c r="Z105" i="93"/>
  <c r="AD105" i="93"/>
  <c r="AF105" i="93"/>
  <c r="AS105" i="93"/>
  <c r="AH105" i="93"/>
  <c r="AE105" i="93"/>
  <c r="AK105" i="93"/>
  <c r="AM105" i="93"/>
  <c r="AO105" i="93"/>
  <c r="AR105" i="93"/>
  <c r="AV105" i="93"/>
  <c r="AZ105" i="93"/>
  <c r="BF105" i="93"/>
  <c r="BG105" i="93"/>
  <c r="A106" i="93"/>
  <c r="B106" i="93"/>
  <c r="E106" i="93"/>
  <c r="C106" i="93"/>
  <c r="D106" i="93"/>
  <c r="H106" i="93"/>
  <c r="I106" i="93"/>
  <c r="K106" i="93"/>
  <c r="L106" i="93"/>
  <c r="M106" i="93"/>
  <c r="BJ106" i="93"/>
  <c r="N106" i="93"/>
  <c r="O106" i="93"/>
  <c r="P106" i="93"/>
  <c r="Q106" i="93"/>
  <c r="R106" i="93"/>
  <c r="S106" i="93"/>
  <c r="U106" i="93"/>
  <c r="W106" i="93"/>
  <c r="X106" i="93"/>
  <c r="Y106" i="93"/>
  <c r="Z106" i="93"/>
  <c r="AD106" i="93"/>
  <c r="AF106" i="93"/>
  <c r="AS106" i="93"/>
  <c r="AH106" i="93"/>
  <c r="AE106" i="93"/>
  <c r="AK106" i="93"/>
  <c r="AM106" i="93"/>
  <c r="AN106" i="93"/>
  <c r="AO106" i="93"/>
  <c r="AR106" i="93"/>
  <c r="AV106" i="93"/>
  <c r="AZ106" i="93"/>
  <c r="BF106" i="93"/>
  <c r="BG106" i="93"/>
  <c r="A107" i="93"/>
  <c r="B107" i="93"/>
  <c r="E107" i="93"/>
  <c r="C107" i="93"/>
  <c r="D107" i="93"/>
  <c r="H107" i="93"/>
  <c r="I107" i="93"/>
  <c r="K107" i="93"/>
  <c r="L107" i="93"/>
  <c r="M107" i="93"/>
  <c r="BJ107" i="93"/>
  <c r="N107" i="93"/>
  <c r="O107" i="93"/>
  <c r="P107" i="93"/>
  <c r="Q107" i="93"/>
  <c r="R107" i="93"/>
  <c r="S107" i="93"/>
  <c r="U107" i="93"/>
  <c r="W107" i="93"/>
  <c r="X107" i="93"/>
  <c r="Y107" i="93"/>
  <c r="Z107" i="93"/>
  <c r="AD107" i="93"/>
  <c r="AF107" i="93"/>
  <c r="AS107" i="93"/>
  <c r="AH107" i="93"/>
  <c r="BJ20" i="93"/>
  <c r="AK107" i="93"/>
  <c r="AM107" i="93"/>
  <c r="AO107" i="93"/>
  <c r="AR107" i="93"/>
  <c r="AV107" i="93"/>
  <c r="AZ107" i="93"/>
  <c r="BF107" i="93"/>
  <c r="BG107" i="93"/>
  <c r="A108" i="93"/>
  <c r="B108" i="93"/>
  <c r="C108" i="93"/>
  <c r="D108" i="93"/>
  <c r="E108" i="93"/>
  <c r="H108" i="93"/>
  <c r="I108" i="93"/>
  <c r="K108" i="93"/>
  <c r="L108" i="93"/>
  <c r="M108" i="93"/>
  <c r="BJ108" i="93"/>
  <c r="N108" i="93"/>
  <c r="O108" i="93"/>
  <c r="P108" i="93"/>
  <c r="Q108" i="93"/>
  <c r="R108" i="93"/>
  <c r="S108" i="93"/>
  <c r="U108" i="93"/>
  <c r="W108" i="93"/>
  <c r="X108" i="93"/>
  <c r="Y108" i="93"/>
  <c r="Z108" i="93"/>
  <c r="AD108" i="93"/>
  <c r="AF108" i="93"/>
  <c r="AS108" i="93"/>
  <c r="AH108" i="93"/>
  <c r="AK108" i="93"/>
  <c r="AM108" i="93"/>
  <c r="AN108" i="93" a="1"/>
  <c r="AN108" i="93"/>
  <c r="AO108" i="93"/>
  <c r="AR108" i="93"/>
  <c r="AV108" i="93"/>
  <c r="AZ108" i="93"/>
  <c r="BF108" i="93"/>
  <c r="BG108" i="93"/>
  <c r="A109" i="93"/>
  <c r="B109" i="93"/>
  <c r="E109" i="93"/>
  <c r="C109" i="93"/>
  <c r="D109" i="93"/>
  <c r="H109" i="93"/>
  <c r="I109" i="93"/>
  <c r="K109" i="93"/>
  <c r="L109" i="93"/>
  <c r="M109" i="93"/>
  <c r="BJ109" i="93"/>
  <c r="N109" i="93"/>
  <c r="O109" i="93"/>
  <c r="P109" i="93"/>
  <c r="Q109" i="93"/>
  <c r="R109" i="93"/>
  <c r="S109" i="93"/>
  <c r="U109" i="93"/>
  <c r="W109" i="93"/>
  <c r="X109" i="93"/>
  <c r="Y109" i="93"/>
  <c r="Z109" i="93"/>
  <c r="AD109" i="93"/>
  <c r="AF109" i="93"/>
  <c r="AS109" i="93"/>
  <c r="AH109" i="93"/>
  <c r="AE109" i="93"/>
  <c r="AK109" i="93"/>
  <c r="AM109" i="93"/>
  <c r="AO109" i="93"/>
  <c r="AQ109" i="93"/>
  <c r="AR109" i="93"/>
  <c r="AV109" i="93"/>
  <c r="AZ109" i="93"/>
  <c r="BF109" i="93"/>
  <c r="BG109" i="93"/>
  <c r="A110" i="93"/>
  <c r="B110" i="93"/>
  <c r="E110" i="93"/>
  <c r="C110" i="93"/>
  <c r="D110" i="93"/>
  <c r="H110" i="93"/>
  <c r="I110" i="93"/>
  <c r="K110" i="93"/>
  <c r="L110" i="93"/>
  <c r="M110" i="93"/>
  <c r="BJ110" i="93"/>
  <c r="N110" i="93"/>
  <c r="O110" i="93"/>
  <c r="P110" i="93"/>
  <c r="Q110" i="93"/>
  <c r="R110" i="93"/>
  <c r="S110" i="93"/>
  <c r="U110" i="93"/>
  <c r="W110" i="93"/>
  <c r="X110" i="93"/>
  <c r="Y110" i="93"/>
  <c r="Z110" i="93"/>
  <c r="AD110" i="93"/>
  <c r="AF110" i="93"/>
  <c r="AS110" i="93"/>
  <c r="AH110" i="93"/>
  <c r="AE110" i="93"/>
  <c r="AK110" i="93"/>
  <c r="AM110" i="93"/>
  <c r="AO110" i="93"/>
  <c r="AR110" i="93"/>
  <c r="AV110" i="93"/>
  <c r="AZ110" i="93"/>
  <c r="BF110" i="93"/>
  <c r="BG110" i="93"/>
  <c r="A111" i="93"/>
  <c r="B111" i="93"/>
  <c r="C111" i="93"/>
  <c r="D111" i="93"/>
  <c r="E111" i="93"/>
  <c r="H111" i="93"/>
  <c r="I111" i="93"/>
  <c r="K111" i="93"/>
  <c r="L111" i="93"/>
  <c r="M111" i="93"/>
  <c r="BJ111" i="93"/>
  <c r="N111" i="93"/>
  <c r="O111" i="93"/>
  <c r="P111" i="93"/>
  <c r="Q111" i="93"/>
  <c r="R111" i="93"/>
  <c r="S111" i="93"/>
  <c r="U111" i="93"/>
  <c r="W111" i="93"/>
  <c r="X111" i="93"/>
  <c r="Y111" i="93"/>
  <c r="Z111" i="93"/>
  <c r="AD111" i="93"/>
  <c r="AF111" i="93"/>
  <c r="AS111" i="93"/>
  <c r="AK111" i="93"/>
  <c r="AM111" i="93"/>
  <c r="AO111" i="93"/>
  <c r="AQ111" i="93"/>
  <c r="AR111" i="93"/>
  <c r="AV111" i="93"/>
  <c r="AZ111" i="93"/>
  <c r="BF111" i="93"/>
  <c r="BG111" i="93"/>
  <c r="A112" i="93"/>
  <c r="B112" i="93"/>
  <c r="C112" i="93"/>
  <c r="D112" i="93"/>
  <c r="E112" i="93"/>
  <c r="H112" i="93"/>
  <c r="I112" i="93"/>
  <c r="K112" i="93"/>
  <c r="L112" i="93"/>
  <c r="M112" i="93"/>
  <c r="BJ112" i="93"/>
  <c r="N112" i="93"/>
  <c r="O112" i="93"/>
  <c r="P112" i="93"/>
  <c r="Q112" i="93"/>
  <c r="R112" i="93"/>
  <c r="S112" i="93"/>
  <c r="U112" i="93"/>
  <c r="W112" i="93"/>
  <c r="X112" i="93"/>
  <c r="Y112" i="93"/>
  <c r="Z112" i="93"/>
  <c r="AD112" i="93"/>
  <c r="AF112" i="93"/>
  <c r="AS112" i="93"/>
  <c r="AK112" i="93"/>
  <c r="AM112" i="93"/>
  <c r="AO112" i="93"/>
  <c r="AR112" i="93"/>
  <c r="AV112" i="93"/>
  <c r="AZ112" i="93"/>
  <c r="BF112" i="93"/>
  <c r="BG112" i="93"/>
  <c r="A113" i="93"/>
  <c r="B113" i="93"/>
  <c r="E113" i="93"/>
  <c r="C113" i="93"/>
  <c r="D113" i="93"/>
  <c r="H113" i="93"/>
  <c r="I113" i="93"/>
  <c r="K113" i="93"/>
  <c r="L113" i="93"/>
  <c r="M113" i="93"/>
  <c r="BJ113" i="93"/>
  <c r="N113" i="93"/>
  <c r="O113" i="93"/>
  <c r="P113" i="93"/>
  <c r="Q113" i="93"/>
  <c r="R113" i="93"/>
  <c r="S113" i="93"/>
  <c r="U113" i="93"/>
  <c r="W113" i="93"/>
  <c r="X113" i="93"/>
  <c r="Y113" i="93"/>
  <c r="Z113" i="93"/>
  <c r="AD113" i="93"/>
  <c r="AF113" i="93"/>
  <c r="AS113" i="93"/>
  <c r="AH113" i="93"/>
  <c r="AE113" i="93"/>
  <c r="AK113" i="93"/>
  <c r="AM113" i="93"/>
  <c r="AO113" i="93"/>
  <c r="AR113" i="93"/>
  <c r="AV113" i="93"/>
  <c r="AZ113" i="93"/>
  <c r="BF113" i="93"/>
  <c r="BG113" i="93"/>
  <c r="A114" i="93"/>
  <c r="B114" i="93"/>
  <c r="C114" i="93"/>
  <c r="D114" i="93"/>
  <c r="E114" i="93"/>
  <c r="H114" i="93"/>
  <c r="I114" i="93"/>
  <c r="K114" i="93"/>
  <c r="L114" i="93"/>
  <c r="M114" i="93"/>
  <c r="BJ114" i="93"/>
  <c r="N114" i="93"/>
  <c r="O114" i="93"/>
  <c r="P114" i="93"/>
  <c r="Q114" i="93"/>
  <c r="R114" i="93"/>
  <c r="S114" i="93"/>
  <c r="U114" i="93"/>
  <c r="W114" i="93"/>
  <c r="X114" i="93"/>
  <c r="Y114" i="93"/>
  <c r="Z114" i="93"/>
  <c r="AD114" i="93"/>
  <c r="AF114" i="93"/>
  <c r="AS114" i="93"/>
  <c r="AH116" i="93"/>
  <c r="AK114" i="93"/>
  <c r="AM114" i="93"/>
  <c r="AO114" i="93"/>
  <c r="AR114" i="93"/>
  <c r="AV114" i="93"/>
  <c r="AZ114" i="93"/>
  <c r="BF114" i="93"/>
  <c r="BG114" i="93"/>
  <c r="A115" i="93"/>
  <c r="B115" i="93"/>
  <c r="E115" i="93"/>
  <c r="C115" i="93"/>
  <c r="D115" i="93"/>
  <c r="H115" i="93"/>
  <c r="I115" i="93"/>
  <c r="K115" i="93"/>
  <c r="L115" i="93"/>
  <c r="M115" i="93"/>
  <c r="BJ115" i="93"/>
  <c r="N115" i="93"/>
  <c r="O115" i="93"/>
  <c r="P115" i="93"/>
  <c r="Q115" i="93"/>
  <c r="R115" i="93"/>
  <c r="S115" i="93"/>
  <c r="U115" i="93"/>
  <c r="W115" i="93"/>
  <c r="X115" i="93"/>
  <c r="Y115" i="93"/>
  <c r="Z115" i="93"/>
  <c r="AD115" i="93"/>
  <c r="AF115" i="93"/>
  <c r="AS115" i="93"/>
  <c r="AH115" i="93"/>
  <c r="BJ28" i="93"/>
  <c r="AK115" i="93"/>
  <c r="AM115" i="93"/>
  <c r="AO115" i="93"/>
  <c r="AR115" i="93"/>
  <c r="AV115" i="93"/>
  <c r="AZ115" i="93"/>
  <c r="BF115" i="93"/>
  <c r="BG115" i="93"/>
  <c r="A116" i="93"/>
  <c r="B116" i="93"/>
  <c r="C116" i="93"/>
  <c r="D116" i="93"/>
  <c r="E116" i="93"/>
  <c r="H116" i="93"/>
  <c r="I116" i="93"/>
  <c r="K116" i="93"/>
  <c r="L116" i="93"/>
  <c r="M116" i="93"/>
  <c r="BJ116" i="93"/>
  <c r="N116" i="93"/>
  <c r="O116" i="93"/>
  <c r="P116" i="93"/>
  <c r="Q116" i="93"/>
  <c r="R116" i="93"/>
  <c r="S116" i="93"/>
  <c r="U116" i="93"/>
  <c r="W116" i="93"/>
  <c r="X116" i="93"/>
  <c r="Y116" i="93"/>
  <c r="Z116" i="93"/>
  <c r="AD116" i="93"/>
  <c r="AF116" i="93"/>
  <c r="AS116" i="93"/>
  <c r="AH118" i="93"/>
  <c r="AK116" i="93"/>
  <c r="AM116" i="93"/>
  <c r="AO116" i="93"/>
  <c r="AR116" i="93"/>
  <c r="AV116" i="93"/>
  <c r="AZ116" i="93"/>
  <c r="BF116" i="93"/>
  <c r="BG116" i="93"/>
  <c r="A117" i="93"/>
  <c r="B117" i="93"/>
  <c r="E117" i="93"/>
  <c r="C117" i="93"/>
  <c r="D117" i="93"/>
  <c r="H117" i="93"/>
  <c r="I117" i="93"/>
  <c r="K117" i="93"/>
  <c r="L117" i="93"/>
  <c r="M117" i="93"/>
  <c r="BJ117" i="93"/>
  <c r="N117" i="93"/>
  <c r="O117" i="93"/>
  <c r="P117" i="93"/>
  <c r="Q117" i="93"/>
  <c r="R117" i="93"/>
  <c r="S117" i="93"/>
  <c r="U117" i="93"/>
  <c r="W117" i="93"/>
  <c r="X117" i="93"/>
  <c r="Y117" i="93"/>
  <c r="Z117" i="93"/>
  <c r="AD117" i="93"/>
  <c r="AF117" i="93"/>
  <c r="AS117" i="93"/>
  <c r="AH117" i="93"/>
  <c r="BJ30" i="93"/>
  <c r="AK117" i="93"/>
  <c r="AM117" i="93"/>
  <c r="AO117" i="93"/>
  <c r="AR117" i="93"/>
  <c r="AV117" i="93"/>
  <c r="AZ117" i="93"/>
  <c r="BF117" i="93"/>
  <c r="BG117" i="93"/>
  <c r="A118" i="93"/>
  <c r="B118" i="93"/>
  <c r="C118" i="93"/>
  <c r="D118" i="93"/>
  <c r="E118" i="93"/>
  <c r="H118" i="93"/>
  <c r="I118" i="93"/>
  <c r="K118" i="93"/>
  <c r="L118" i="93"/>
  <c r="M118" i="93"/>
  <c r="BJ118" i="93"/>
  <c r="N118" i="93"/>
  <c r="O118" i="93"/>
  <c r="P118" i="93"/>
  <c r="Q118" i="93"/>
  <c r="R118" i="93"/>
  <c r="S118" i="93"/>
  <c r="U118" i="93"/>
  <c r="W118" i="93"/>
  <c r="X118" i="93"/>
  <c r="Y118" i="93"/>
  <c r="Z118" i="93"/>
  <c r="AD118" i="93"/>
  <c r="AF118" i="93"/>
  <c r="AS118" i="93"/>
  <c r="AH121" i="93"/>
  <c r="AK118" i="93"/>
  <c r="AM118" i="93"/>
  <c r="AO118" i="93"/>
  <c r="AR118" i="93"/>
  <c r="AV118" i="93"/>
  <c r="AZ118" i="93"/>
  <c r="BF118" i="93"/>
  <c r="BG118" i="93"/>
  <c r="A119" i="93"/>
  <c r="B119" i="93"/>
  <c r="E119" i="93"/>
  <c r="C119" i="93"/>
  <c r="D119" i="93"/>
  <c r="H119" i="93"/>
  <c r="I119" i="93"/>
  <c r="K119" i="93"/>
  <c r="L119" i="93"/>
  <c r="M119" i="93"/>
  <c r="BJ119" i="93"/>
  <c r="N119" i="93"/>
  <c r="O119" i="93"/>
  <c r="P119" i="93"/>
  <c r="Q119" i="93"/>
  <c r="R119" i="93"/>
  <c r="S119" i="93"/>
  <c r="U119" i="93"/>
  <c r="W119" i="93"/>
  <c r="X119" i="93"/>
  <c r="Y119" i="93"/>
  <c r="Z119" i="93"/>
  <c r="AD119" i="93"/>
  <c r="AF119" i="93"/>
  <c r="AS119" i="93"/>
  <c r="AH119" i="93"/>
  <c r="BJ32" i="93"/>
  <c r="AK119" i="93"/>
  <c r="AM119" i="93"/>
  <c r="AO119" i="93"/>
  <c r="AR119" i="93"/>
  <c r="AV119" i="93"/>
  <c r="AZ119" i="93"/>
  <c r="BF119" i="93"/>
  <c r="BG119" i="93"/>
  <c r="A120" i="93"/>
  <c r="E120" i="93"/>
  <c r="H120" i="93"/>
  <c r="I120" i="93"/>
  <c r="K120" i="93"/>
  <c r="L120" i="93"/>
  <c r="M120" i="93"/>
  <c r="BJ120" i="93"/>
  <c r="N120" i="93"/>
  <c r="O120" i="93"/>
  <c r="P120" i="93"/>
  <c r="Q120" i="93"/>
  <c r="R120" i="93"/>
  <c r="S120" i="93"/>
  <c r="U120" i="93"/>
  <c r="W120" i="93"/>
  <c r="X120" i="93"/>
  <c r="Y120" i="93"/>
  <c r="Z120" i="93"/>
  <c r="AD120" i="93"/>
  <c r="AF120" i="93"/>
  <c r="AS120" i="93"/>
  <c r="AH120" i="93"/>
  <c r="BJ33" i="93"/>
  <c r="AK120" i="93"/>
  <c r="AM120" i="93"/>
  <c r="AO120" i="93"/>
  <c r="AR120" i="93"/>
  <c r="AV120" i="93"/>
  <c r="AZ120" i="93"/>
  <c r="BF120" i="93"/>
  <c r="BG120" i="93"/>
  <c r="A121" i="93"/>
  <c r="B121" i="93"/>
  <c r="C121" i="93"/>
  <c r="D121" i="93"/>
  <c r="E121" i="93"/>
  <c r="H121" i="93"/>
  <c r="I121" i="93"/>
  <c r="K121" i="93"/>
  <c r="L121" i="93"/>
  <c r="M121" i="93"/>
  <c r="BJ121" i="93"/>
  <c r="N121" i="93"/>
  <c r="O121" i="93"/>
  <c r="P121" i="93"/>
  <c r="Q121" i="93"/>
  <c r="R121" i="93"/>
  <c r="S121" i="93"/>
  <c r="U121" i="93"/>
  <c r="W121" i="93"/>
  <c r="X121" i="93"/>
  <c r="Y121" i="93"/>
  <c r="Z121" i="93"/>
  <c r="AD121" i="93"/>
  <c r="AF121" i="93"/>
  <c r="AS121" i="93"/>
  <c r="AK121" i="93"/>
  <c r="AM121" i="93"/>
  <c r="AO121" i="93"/>
  <c r="AR121" i="93"/>
  <c r="AV121" i="93"/>
  <c r="AZ121" i="93"/>
  <c r="BF121" i="93"/>
  <c r="BG121" i="93"/>
  <c r="W123" i="93"/>
  <c r="X123" i="93"/>
  <c r="AB91" i="92"/>
  <c r="AA91" i="92"/>
  <c r="BI4" i="92"/>
  <c r="AG91" i="92"/>
  <c r="AB92" i="92"/>
  <c r="AA92" i="92"/>
  <c r="BI5" i="92"/>
  <c r="AG92" i="92"/>
  <c r="AB93" i="92"/>
  <c r="AA93" i="92"/>
  <c r="BI6" i="92"/>
  <c r="AG93" i="92"/>
  <c r="AB94" i="92"/>
  <c r="AA94" i="92"/>
  <c r="BI7" i="92"/>
  <c r="AG94" i="92"/>
  <c r="AB95" i="92"/>
  <c r="AA95" i="92"/>
  <c r="BI8" i="92"/>
  <c r="AG95" i="92"/>
  <c r="AB96" i="92"/>
  <c r="AA96" i="92"/>
  <c r="BI9" i="92"/>
  <c r="AG96" i="92"/>
  <c r="AB97" i="92"/>
  <c r="AA97" i="92"/>
  <c r="BI10" i="92"/>
  <c r="AG97" i="92"/>
  <c r="AB98" i="92"/>
  <c r="AA98" i="92"/>
  <c r="BI11" i="92"/>
  <c r="AG98" i="92"/>
  <c r="AB99" i="92"/>
  <c r="AA99" i="92"/>
  <c r="BI12" i="92"/>
  <c r="AG99" i="92"/>
  <c r="AB100" i="92"/>
  <c r="AA100" i="92"/>
  <c r="BI13" i="92"/>
  <c r="AG100" i="92"/>
  <c r="AB101" i="92"/>
  <c r="AA101" i="92"/>
  <c r="BI14" i="92"/>
  <c r="AG101" i="92"/>
  <c r="AB102" i="92"/>
  <c r="AA102" i="92"/>
  <c r="BI15" i="92"/>
  <c r="AG102" i="92"/>
  <c r="AB103" i="92"/>
  <c r="AA103" i="92"/>
  <c r="BI16" i="92"/>
  <c r="AG103" i="92"/>
  <c r="AB104" i="92"/>
  <c r="AA104" i="92"/>
  <c r="BI17" i="92"/>
  <c r="AG104" i="92"/>
  <c r="AB105" i="92"/>
  <c r="AA105" i="92"/>
  <c r="BI18" i="92"/>
  <c r="AG105" i="92"/>
  <c r="AB106" i="92"/>
  <c r="AA106" i="92"/>
  <c r="BI19" i="92"/>
  <c r="AG106" i="92"/>
  <c r="AB107" i="92"/>
  <c r="AA107" i="92"/>
  <c r="BI20" i="92"/>
  <c r="AG107" i="92"/>
  <c r="AB108" i="92"/>
  <c r="AA108" i="92"/>
  <c r="BI21" i="92"/>
  <c r="AG108" i="92"/>
  <c r="AB109" i="92"/>
  <c r="AA109" i="92"/>
  <c r="BI22" i="92"/>
  <c r="AG109" i="92"/>
  <c r="AB110" i="92"/>
  <c r="BI23" i="92"/>
  <c r="AG110" i="92"/>
  <c r="AB111" i="92"/>
  <c r="BI24" i="92"/>
  <c r="AG111" i="92"/>
  <c r="AB112" i="92"/>
  <c r="BI25" i="92"/>
  <c r="AG112" i="92"/>
  <c r="AB113" i="92"/>
  <c r="BI26" i="92"/>
  <c r="AG113" i="92"/>
  <c r="AB114" i="92"/>
  <c r="BI27" i="92"/>
  <c r="AG114" i="92"/>
  <c r="AB115" i="92"/>
  <c r="BI28" i="92"/>
  <c r="AB116" i="92"/>
  <c r="BI29" i="92"/>
  <c r="AB117" i="92"/>
  <c r="BI30" i="92"/>
  <c r="AB118" i="92"/>
  <c r="BI31" i="92"/>
  <c r="AB119" i="92"/>
  <c r="BI32" i="92"/>
  <c r="AB120" i="92"/>
  <c r="BI33" i="92"/>
  <c r="AB121" i="92"/>
  <c r="AA121" i="92"/>
  <c r="BI34" i="92"/>
  <c r="AU4" i="92"/>
  <c r="AV4" i="92"/>
  <c r="AW4" i="92"/>
  <c r="AX4" i="92"/>
  <c r="AY4" i="92"/>
  <c r="AU5" i="92"/>
  <c r="AV5" i="92"/>
  <c r="AW5" i="92"/>
  <c r="AX5" i="92"/>
  <c r="AY5" i="92"/>
  <c r="AU6" i="92"/>
  <c r="AV6" i="92"/>
  <c r="AW6" i="92"/>
  <c r="AX6" i="92"/>
  <c r="AY6" i="92"/>
  <c r="AU7" i="92"/>
  <c r="AV7" i="92"/>
  <c r="AW7" i="92"/>
  <c r="AX7" i="92"/>
  <c r="AY7" i="92"/>
  <c r="AU8" i="92"/>
  <c r="AV8" i="92"/>
  <c r="AW8" i="92"/>
  <c r="AX8" i="92"/>
  <c r="AY8" i="92"/>
  <c r="AU9" i="92"/>
  <c r="AV9" i="92"/>
  <c r="AW9" i="92"/>
  <c r="AX9" i="92"/>
  <c r="AY9" i="92"/>
  <c r="AU10" i="92"/>
  <c r="AV10" i="92"/>
  <c r="AW10" i="92"/>
  <c r="AX10" i="92"/>
  <c r="AY10" i="92"/>
  <c r="AU11" i="92"/>
  <c r="AV11" i="92"/>
  <c r="AW11" i="92"/>
  <c r="AX11" i="92"/>
  <c r="AY11" i="92"/>
  <c r="AU12" i="92"/>
  <c r="AV12" i="92"/>
  <c r="AW12" i="92"/>
  <c r="AX12" i="92"/>
  <c r="AY12" i="92"/>
  <c r="AU13" i="92"/>
  <c r="AV13" i="92"/>
  <c r="AW13" i="92"/>
  <c r="AX13" i="92"/>
  <c r="AY13" i="92"/>
  <c r="AU14" i="92"/>
  <c r="AV14" i="92"/>
  <c r="AW14" i="92"/>
  <c r="AX14" i="92"/>
  <c r="AY14" i="92"/>
  <c r="AU15" i="92"/>
  <c r="AV15" i="92"/>
  <c r="AW15" i="92"/>
  <c r="AX15" i="92"/>
  <c r="AY15" i="92"/>
  <c r="AU16" i="92"/>
  <c r="AV16" i="92"/>
  <c r="AW16" i="92"/>
  <c r="AX16" i="92"/>
  <c r="AY16" i="92"/>
  <c r="AU17" i="92"/>
  <c r="AV17" i="92"/>
  <c r="AW17" i="92"/>
  <c r="AX17" i="92"/>
  <c r="AY17" i="92"/>
  <c r="AU18" i="92"/>
  <c r="AV18" i="92"/>
  <c r="AW18" i="92"/>
  <c r="AX18" i="92"/>
  <c r="AY18" i="92"/>
  <c r="AU19" i="92"/>
  <c r="AV19" i="92"/>
  <c r="AW19" i="92"/>
  <c r="AX19" i="92"/>
  <c r="AY19" i="92"/>
  <c r="AU20" i="92"/>
  <c r="AV20" i="92"/>
  <c r="AW20" i="92"/>
  <c r="AX20" i="92"/>
  <c r="AY20" i="92"/>
  <c r="AU21" i="92"/>
  <c r="AV21" i="92"/>
  <c r="AW21" i="92"/>
  <c r="AX21" i="92"/>
  <c r="AY21" i="92"/>
  <c r="AU22" i="92"/>
  <c r="AV22" i="92"/>
  <c r="AW22" i="92"/>
  <c r="AX22" i="92"/>
  <c r="AY22" i="92"/>
  <c r="AU23" i="92"/>
  <c r="AV23" i="92"/>
  <c r="AW23" i="92"/>
  <c r="AX23" i="92"/>
  <c r="AY23" i="92"/>
  <c r="AU24" i="92"/>
  <c r="AV24" i="92"/>
  <c r="AW24" i="92"/>
  <c r="AX24" i="92"/>
  <c r="AY24" i="92"/>
  <c r="AU25" i="92"/>
  <c r="AV25" i="92"/>
  <c r="AW25" i="92"/>
  <c r="AX25" i="92"/>
  <c r="AY25" i="92"/>
  <c r="AU26" i="92"/>
  <c r="AV26" i="92"/>
  <c r="AW26" i="92"/>
  <c r="AX26" i="92"/>
  <c r="AY26" i="92"/>
  <c r="AU27" i="92"/>
  <c r="AV27" i="92"/>
  <c r="AW27" i="92"/>
  <c r="AX27" i="92"/>
  <c r="AY27" i="92"/>
  <c r="AU28" i="92"/>
  <c r="AV28" i="92"/>
  <c r="AW28" i="92"/>
  <c r="AX28" i="92"/>
  <c r="AY28" i="92"/>
  <c r="AU29" i="92"/>
  <c r="AV29" i="92"/>
  <c r="AW29" i="92"/>
  <c r="AX29" i="92"/>
  <c r="AY29" i="92"/>
  <c r="AU30" i="92"/>
  <c r="AV30" i="92"/>
  <c r="AW30" i="92"/>
  <c r="AX30" i="92"/>
  <c r="AY30" i="92"/>
  <c r="AU31" i="92"/>
  <c r="AV31" i="92"/>
  <c r="AW31" i="92"/>
  <c r="AX31" i="92"/>
  <c r="AY31" i="92"/>
  <c r="AU32" i="92"/>
  <c r="AV32" i="92"/>
  <c r="AW32" i="92"/>
  <c r="AX32" i="92"/>
  <c r="AY32" i="92"/>
  <c r="AU33" i="92"/>
  <c r="AV33" i="92"/>
  <c r="AW33" i="92"/>
  <c r="AX33" i="92"/>
  <c r="AY33" i="92"/>
  <c r="AU34" i="92"/>
  <c r="AV34" i="92"/>
  <c r="AW34" i="92"/>
  <c r="AX34" i="92"/>
  <c r="AY34" i="92"/>
  <c r="AS38" i="92"/>
  <c r="AU38" i="92"/>
  <c r="AV38" i="92"/>
  <c r="AW38" i="92"/>
  <c r="AX38" i="92"/>
  <c r="AY38" i="92"/>
  <c r="BA38" i="92"/>
  <c r="BA40" i="92"/>
  <c r="BC38" i="92"/>
  <c r="AT40" i="92"/>
  <c r="AU40" i="92"/>
  <c r="AV40" i="92"/>
  <c r="AS86" i="92"/>
  <c r="AS85" i="92"/>
  <c r="AS42" i="92"/>
  <c r="AT86" i="92"/>
  <c r="AT85" i="92"/>
  <c r="AT42" i="92"/>
  <c r="BG42" i="92"/>
  <c r="AU86" i="92"/>
  <c r="AU85" i="92"/>
  <c r="AU42" i="92"/>
  <c r="AV86" i="92"/>
  <c r="AV85" i="92"/>
  <c r="AV42" i="92"/>
  <c r="AW86" i="92"/>
  <c r="AW85" i="92"/>
  <c r="AW42" i="92"/>
  <c r="AX86" i="92"/>
  <c r="AX85" i="92"/>
  <c r="AX42" i="92"/>
  <c r="AY86" i="92"/>
  <c r="AY85" i="92"/>
  <c r="AY42" i="92"/>
  <c r="BA42" i="92"/>
  <c r="BB42" i="92"/>
  <c r="BF42" i="92"/>
  <c r="AS43" i="92"/>
  <c r="AT43" i="92"/>
  <c r="AU43" i="92"/>
  <c r="AV43" i="92"/>
  <c r="AW43" i="92"/>
  <c r="AX43" i="92"/>
  <c r="AY43" i="92"/>
  <c r="BA43" i="92"/>
  <c r="BF43" i="92"/>
  <c r="BG43" i="92"/>
  <c r="F46" i="92"/>
  <c r="G46" i="92"/>
  <c r="AY80" i="92"/>
  <c r="AY81" i="92"/>
  <c r="AY82" i="92"/>
  <c r="H46" i="92"/>
  <c r="K46" i="92"/>
  <c r="L46" i="92"/>
  <c r="M46" i="92"/>
  <c r="N46" i="92"/>
  <c r="R46" i="92"/>
  <c r="S46" i="92"/>
  <c r="U46" i="92"/>
  <c r="AG46" i="92"/>
  <c r="AH46" i="92"/>
  <c r="AI46" i="92"/>
  <c r="AJ46" i="92"/>
  <c r="AP46" i="92"/>
  <c r="AQ46" i="92"/>
  <c r="F47" i="92"/>
  <c r="G47" i="92"/>
  <c r="H47" i="92"/>
  <c r="R47" i="92"/>
  <c r="M54" i="92"/>
  <c r="AC47" i="92"/>
  <c r="BB49" i="92"/>
  <c r="BC49" i="92"/>
  <c r="AH50" i="92"/>
  <c r="AJ50" i="92"/>
  <c r="BB50" i="92"/>
  <c r="BC50" i="92"/>
  <c r="AN51" i="92"/>
  <c r="BB51" i="92"/>
  <c r="BC51" i="92"/>
  <c r="AA52" i="92"/>
  <c r="BB52" i="92"/>
  <c r="BC52" i="92"/>
  <c r="AD53" i="92"/>
  <c r="AH53" i="92"/>
  <c r="AJ53" i="92"/>
  <c r="AP53" i="92"/>
  <c r="BB53" i="92"/>
  <c r="BC53" i="92"/>
  <c r="AN100" i="92"/>
  <c r="AN97" i="92"/>
  <c r="E69" i="92"/>
  <c r="Q54" i="92"/>
  <c r="AN93" i="92"/>
  <c r="AN98" i="92"/>
  <c r="E83" i="92"/>
  <c r="AN96" i="92"/>
  <c r="AN101" i="92"/>
  <c r="AU63" i="92"/>
  <c r="AA54" i="92"/>
  <c r="AD54" i="92"/>
  <c r="AN54" i="92"/>
  <c r="AQ54" i="92"/>
  <c r="BB54" i="92"/>
  <c r="BC54" i="92"/>
  <c r="X55" i="92"/>
  <c r="BB55" i="92"/>
  <c r="BC55" i="92"/>
  <c r="BB56" i="92"/>
  <c r="BC56" i="92"/>
  <c r="AN57" i="92"/>
  <c r="BB57" i="92"/>
  <c r="BC57" i="92"/>
  <c r="BB58" i="92"/>
  <c r="BC58" i="92"/>
  <c r="BB59" i="92"/>
  <c r="BC59" i="92"/>
  <c r="BB60" i="92"/>
  <c r="BC60" i="92"/>
  <c r="BB61" i="92"/>
  <c r="BC61" i="92"/>
  <c r="AU62" i="92"/>
  <c r="AV62" i="92"/>
  <c r="BB62" i="92"/>
  <c r="BC62" i="92"/>
  <c r="BB63" i="92"/>
  <c r="BC63" i="92"/>
  <c r="BB64" i="92"/>
  <c r="BC64" i="92"/>
  <c r="BH91" i="92"/>
  <c r="BH92" i="92"/>
  <c r="BH93" i="92"/>
  <c r="BH94" i="92"/>
  <c r="BH95" i="92"/>
  <c r="BH96" i="92"/>
  <c r="BH97" i="92"/>
  <c r="BH98" i="92"/>
  <c r="BH99" i="92"/>
  <c r="BH100" i="92"/>
  <c r="BH101" i="92"/>
  <c r="BH102" i="92"/>
  <c r="BH103" i="92"/>
  <c r="BH104" i="92"/>
  <c r="BH105" i="92"/>
  <c r="BH106" i="92"/>
  <c r="BH107" i="92"/>
  <c r="BH108" i="92"/>
  <c r="BH109" i="92"/>
  <c r="BH110" i="92"/>
  <c r="BH111" i="92"/>
  <c r="BH112" i="92"/>
  <c r="BH113" i="92"/>
  <c r="BH114" i="92"/>
  <c r="BH115" i="92"/>
  <c r="BH116" i="92"/>
  <c r="BH117" i="92"/>
  <c r="BH118" i="92"/>
  <c r="BH119" i="92"/>
  <c r="BH120" i="92"/>
  <c r="BH121" i="92"/>
  <c r="AH65" i="92"/>
  <c r="AJ65" i="92"/>
  <c r="BB65" i="92"/>
  <c r="BC65" i="92"/>
  <c r="BB66" i="92"/>
  <c r="BC66" i="92"/>
  <c r="BB67" i="92"/>
  <c r="BC67" i="92"/>
  <c r="E68" i="92"/>
  <c r="F68" i="92"/>
  <c r="AY91" i="92"/>
  <c r="AH68" i="92"/>
  <c r="AJ68" i="92"/>
  <c r="AY92" i="92"/>
  <c r="AY93" i="92"/>
  <c r="AY94" i="92"/>
  <c r="AY95" i="92"/>
  <c r="AY96" i="92"/>
  <c r="AY97" i="92"/>
  <c r="AY98" i="92"/>
  <c r="AY99" i="92"/>
  <c r="AY100" i="92"/>
  <c r="AY101" i="92"/>
  <c r="AY102" i="92"/>
  <c r="AY103" i="92"/>
  <c r="AY104" i="92"/>
  <c r="AY105" i="92"/>
  <c r="AY106" i="92"/>
  <c r="AY107" i="92"/>
  <c r="AY108" i="92"/>
  <c r="AY109" i="92"/>
  <c r="AY110" i="92"/>
  <c r="AY111" i="92"/>
  <c r="AY112" i="92"/>
  <c r="AY113" i="92"/>
  <c r="AY114" i="92"/>
  <c r="AY115" i="92"/>
  <c r="AY116" i="92"/>
  <c r="AY117" i="92"/>
  <c r="AY118" i="92"/>
  <c r="AY119" i="92"/>
  <c r="AY120" i="92"/>
  <c r="AY121" i="92"/>
  <c r="BB68" i="92"/>
  <c r="BC68" i="92"/>
  <c r="BB69" i="92"/>
  <c r="BC69" i="92"/>
  <c r="BB70" i="92"/>
  <c r="BC70" i="92"/>
  <c r="BB71" i="92"/>
  <c r="BC71" i="92"/>
  <c r="BB72" i="92"/>
  <c r="BC72" i="92"/>
  <c r="AN67" i="92" a="1"/>
  <c r="AT73" i="92"/>
  <c r="BB73" i="92"/>
  <c r="BB80" i="92"/>
  <c r="BC73" i="92"/>
  <c r="K74" i="92"/>
  <c r="L74" i="92"/>
  <c r="M74" i="92"/>
  <c r="BB74" i="92"/>
  <c r="BC74" i="92"/>
  <c r="L75" i="92"/>
  <c r="M75" i="92"/>
  <c r="BB75" i="92"/>
  <c r="BC75" i="92"/>
  <c r="L76" i="92"/>
  <c r="M76" i="92"/>
  <c r="AN76" i="92"/>
  <c r="BB76" i="92"/>
  <c r="BC76" i="92"/>
  <c r="L77" i="92"/>
  <c r="M77" i="92"/>
  <c r="BB77" i="92"/>
  <c r="BC77" i="92"/>
  <c r="K78" i="92"/>
  <c r="L78" i="92"/>
  <c r="M78" i="92"/>
  <c r="BB78" i="92"/>
  <c r="BC78" i="92"/>
  <c r="K79" i="92"/>
  <c r="L79" i="92"/>
  <c r="M79" i="92"/>
  <c r="BB79" i="92"/>
  <c r="BC79" i="92"/>
  <c r="K80" i="92"/>
  <c r="L80" i="92"/>
  <c r="M80" i="92"/>
  <c r="BC80" i="92"/>
  <c r="B120" i="92"/>
  <c r="C120" i="92"/>
  <c r="D120" i="92"/>
  <c r="BD80" i="92"/>
  <c r="BF80" i="92"/>
  <c r="BG80" i="92"/>
  <c r="BH80" i="92"/>
  <c r="BI80" i="92"/>
  <c r="BJ80" i="92"/>
  <c r="K81" i="92"/>
  <c r="E82" i="92"/>
  <c r="K82" i="92"/>
  <c r="L82" i="92"/>
  <c r="M82" i="92"/>
  <c r="BF82" i="92"/>
  <c r="BG82" i="92"/>
  <c r="BH82" i="92"/>
  <c r="BI82" i="92"/>
  <c r="BJ82" i="92"/>
  <c r="K83" i="92"/>
  <c r="L83" i="92"/>
  <c r="M83" i="92"/>
  <c r="C91" i="92"/>
  <c r="B91" i="92"/>
  <c r="E91" i="92"/>
  <c r="BA83" i="92"/>
  <c r="BF83" i="92"/>
  <c r="BG83" i="92"/>
  <c r="BH83" i="92"/>
  <c r="BI83" i="92"/>
  <c r="BJ83" i="92"/>
  <c r="BA84" i="92"/>
  <c r="BB84" i="92"/>
  <c r="C85" i="92"/>
  <c r="X85" i="92"/>
  <c r="Y85" i="92"/>
  <c r="AF85" i="92"/>
  <c r="AZ85" i="92"/>
  <c r="BA85" i="92"/>
  <c r="BB85" i="92"/>
  <c r="BE85" i="92"/>
  <c r="BF85" i="92"/>
  <c r="BG85" i="92"/>
  <c r="B86" i="92"/>
  <c r="T86" i="92"/>
  <c r="X86" i="92"/>
  <c r="Y86" i="92"/>
  <c r="AF86" i="92"/>
  <c r="AZ86" i="92"/>
  <c r="BA86" i="92"/>
  <c r="BB86" i="92"/>
  <c r="BE86" i="92"/>
  <c r="BF86" i="92"/>
  <c r="BG86" i="92"/>
  <c r="A91" i="92"/>
  <c r="D91" i="92"/>
  <c r="H91" i="92"/>
  <c r="K91" i="92"/>
  <c r="L91" i="92"/>
  <c r="M91" i="92"/>
  <c r="BJ91" i="92"/>
  <c r="N91" i="92"/>
  <c r="O91" i="92"/>
  <c r="P91" i="92"/>
  <c r="Q91" i="92"/>
  <c r="R91" i="92"/>
  <c r="S91" i="92"/>
  <c r="U91" i="92"/>
  <c r="W91" i="92"/>
  <c r="X91" i="92"/>
  <c r="Y91" i="92"/>
  <c r="Z91" i="92"/>
  <c r="AC91" i="92"/>
  <c r="AD91" i="92"/>
  <c r="AF91" i="92"/>
  <c r="AT123" i="92"/>
  <c r="AK91" i="92"/>
  <c r="AM91" i="92"/>
  <c r="AO91" i="92"/>
  <c r="AR91" i="92"/>
  <c r="AV91" i="92"/>
  <c r="AZ91" i="92"/>
  <c r="BF91" i="92"/>
  <c r="BG91" i="92"/>
  <c r="A92" i="92"/>
  <c r="B92" i="92"/>
  <c r="E92" i="92"/>
  <c r="C92" i="92"/>
  <c r="D92" i="92"/>
  <c r="H92" i="92"/>
  <c r="K92" i="92"/>
  <c r="L92" i="92"/>
  <c r="M92" i="92"/>
  <c r="BJ92" i="92"/>
  <c r="N92" i="92"/>
  <c r="O92" i="92"/>
  <c r="P92" i="92"/>
  <c r="Q92" i="92"/>
  <c r="R92" i="92"/>
  <c r="S92" i="92"/>
  <c r="U92" i="92"/>
  <c r="W92" i="92"/>
  <c r="X92" i="92"/>
  <c r="Y92" i="92"/>
  <c r="Z92" i="92"/>
  <c r="AC92" i="92"/>
  <c r="AD92" i="92"/>
  <c r="AF92" i="92"/>
  <c r="AK92" i="92"/>
  <c r="AM92" i="92"/>
  <c r="AO92" i="92"/>
  <c r="AR92" i="92"/>
  <c r="AV92" i="92"/>
  <c r="AZ92" i="92"/>
  <c r="BF92" i="92"/>
  <c r="BG92" i="92"/>
  <c r="A93" i="92"/>
  <c r="B93" i="92"/>
  <c r="E93" i="92"/>
  <c r="C93" i="92"/>
  <c r="D93" i="92"/>
  <c r="H93" i="92"/>
  <c r="K93" i="92"/>
  <c r="L93" i="92"/>
  <c r="M93" i="92"/>
  <c r="BJ93" i="92"/>
  <c r="N93" i="92"/>
  <c r="O93" i="92"/>
  <c r="P93" i="92"/>
  <c r="Q93" i="92"/>
  <c r="R93" i="92"/>
  <c r="S93" i="92"/>
  <c r="U93" i="92"/>
  <c r="W93" i="92"/>
  <c r="X93" i="92"/>
  <c r="Y93" i="92"/>
  <c r="Z93" i="92"/>
  <c r="AC93" i="92"/>
  <c r="AD93" i="92"/>
  <c r="AF93" i="92"/>
  <c r="AK93" i="92"/>
  <c r="AM93" i="92"/>
  <c r="AO93" i="92"/>
  <c r="AR93" i="92"/>
  <c r="AV93" i="92"/>
  <c r="AZ93" i="92"/>
  <c r="BF93" i="92"/>
  <c r="BG93" i="92"/>
  <c r="A94" i="92"/>
  <c r="B94" i="92"/>
  <c r="E94" i="92"/>
  <c r="C94" i="92"/>
  <c r="D94" i="92"/>
  <c r="H94" i="92"/>
  <c r="K94" i="92"/>
  <c r="L94" i="92"/>
  <c r="M94" i="92"/>
  <c r="BJ94" i="92"/>
  <c r="N94" i="92"/>
  <c r="O94" i="92"/>
  <c r="P94" i="92"/>
  <c r="Q94" i="92"/>
  <c r="R94" i="92"/>
  <c r="S94" i="92"/>
  <c r="U94" i="92"/>
  <c r="W94" i="92"/>
  <c r="X94" i="92"/>
  <c r="Y94" i="92"/>
  <c r="Z94" i="92"/>
  <c r="AC94" i="92"/>
  <c r="AD94" i="92"/>
  <c r="AF94" i="92"/>
  <c r="AK94" i="92"/>
  <c r="AM94" i="92"/>
  <c r="AO94" i="92"/>
  <c r="AR94" i="92"/>
  <c r="AV94" i="92"/>
  <c r="AZ94" i="92"/>
  <c r="BF94" i="92"/>
  <c r="BG94" i="92"/>
  <c r="A95" i="92"/>
  <c r="B95" i="92"/>
  <c r="E95" i="92"/>
  <c r="C95" i="92"/>
  <c r="D95" i="92"/>
  <c r="H95" i="92"/>
  <c r="K95" i="92"/>
  <c r="L95" i="92"/>
  <c r="M95" i="92"/>
  <c r="BJ95" i="92"/>
  <c r="N95" i="92"/>
  <c r="O95" i="92"/>
  <c r="P95" i="92"/>
  <c r="Q95" i="92"/>
  <c r="R95" i="92"/>
  <c r="S95" i="92"/>
  <c r="U95" i="92"/>
  <c r="W95" i="92"/>
  <c r="X95" i="92"/>
  <c r="Y95" i="92"/>
  <c r="Z95" i="92"/>
  <c r="AC95" i="92"/>
  <c r="AD95" i="92"/>
  <c r="AF95" i="92"/>
  <c r="AK95" i="92"/>
  <c r="AM95" i="92"/>
  <c r="AO95" i="92"/>
  <c r="AR95" i="92"/>
  <c r="AV95" i="92"/>
  <c r="AZ95" i="92"/>
  <c r="BF95" i="92"/>
  <c r="BG95" i="92"/>
  <c r="A96" i="92"/>
  <c r="B96" i="92"/>
  <c r="E96" i="92"/>
  <c r="C96" i="92"/>
  <c r="D96" i="92"/>
  <c r="H96" i="92"/>
  <c r="K96" i="92"/>
  <c r="L96" i="92"/>
  <c r="M96" i="92"/>
  <c r="BJ96" i="92"/>
  <c r="N96" i="92"/>
  <c r="O96" i="92"/>
  <c r="P96" i="92"/>
  <c r="Q96" i="92"/>
  <c r="R96" i="92"/>
  <c r="S96" i="92"/>
  <c r="U96" i="92"/>
  <c r="W96" i="92"/>
  <c r="X96" i="92"/>
  <c r="Y96" i="92"/>
  <c r="Z96" i="92"/>
  <c r="AC96" i="92"/>
  <c r="AD96" i="92"/>
  <c r="AF96" i="92"/>
  <c r="AK96" i="92"/>
  <c r="AM96" i="92"/>
  <c r="AO96" i="92"/>
  <c r="AR96" i="92"/>
  <c r="AV96" i="92"/>
  <c r="AZ96" i="92"/>
  <c r="BF96" i="92"/>
  <c r="BG96" i="92"/>
  <c r="A97" i="92"/>
  <c r="B97" i="92"/>
  <c r="E97" i="92"/>
  <c r="C97" i="92"/>
  <c r="D97" i="92"/>
  <c r="H97" i="92"/>
  <c r="K97" i="92"/>
  <c r="L97" i="92"/>
  <c r="M97" i="92"/>
  <c r="BJ97" i="92"/>
  <c r="N97" i="92"/>
  <c r="O97" i="92"/>
  <c r="P97" i="92"/>
  <c r="Q97" i="92"/>
  <c r="R97" i="92"/>
  <c r="S97" i="92"/>
  <c r="U97" i="92"/>
  <c r="W97" i="92"/>
  <c r="X97" i="92"/>
  <c r="Y97" i="92"/>
  <c r="Z97" i="92"/>
  <c r="AC97" i="92"/>
  <c r="AD97" i="92"/>
  <c r="AF97" i="92"/>
  <c r="AK97" i="92"/>
  <c r="AM97" i="92"/>
  <c r="AO97" i="92"/>
  <c r="AR97" i="92"/>
  <c r="AV97" i="92"/>
  <c r="AZ97" i="92"/>
  <c r="BF97" i="92"/>
  <c r="BG97" i="92"/>
  <c r="A98" i="92"/>
  <c r="B98" i="92"/>
  <c r="E98" i="92"/>
  <c r="C98" i="92"/>
  <c r="D98" i="92"/>
  <c r="H98" i="92"/>
  <c r="I98" i="92"/>
  <c r="K98" i="92"/>
  <c r="L98" i="92"/>
  <c r="M98" i="92"/>
  <c r="BJ98" i="92"/>
  <c r="N98" i="92"/>
  <c r="O98" i="92"/>
  <c r="P98" i="92"/>
  <c r="Q98" i="92"/>
  <c r="R98" i="92"/>
  <c r="S98" i="92"/>
  <c r="U98" i="92"/>
  <c r="W98" i="92"/>
  <c r="X98" i="92"/>
  <c r="Y98" i="92"/>
  <c r="Z98" i="92"/>
  <c r="AC98" i="92"/>
  <c r="AD98" i="92"/>
  <c r="AF98" i="92"/>
  <c r="AK98" i="92"/>
  <c r="AM98" i="92"/>
  <c r="AO98" i="92"/>
  <c r="AR98" i="92"/>
  <c r="AV98" i="92"/>
  <c r="AZ98" i="92"/>
  <c r="BF98" i="92"/>
  <c r="BG98" i="92"/>
  <c r="A99" i="92"/>
  <c r="B99" i="92"/>
  <c r="C99" i="92"/>
  <c r="D99" i="92"/>
  <c r="E99" i="92"/>
  <c r="H99" i="92"/>
  <c r="I99" i="92"/>
  <c r="K99" i="92"/>
  <c r="L99" i="92"/>
  <c r="M99" i="92"/>
  <c r="BJ99" i="92"/>
  <c r="N99" i="92"/>
  <c r="O99" i="92"/>
  <c r="P99" i="92"/>
  <c r="Q99" i="92"/>
  <c r="R99" i="92"/>
  <c r="S99" i="92"/>
  <c r="U99" i="92"/>
  <c r="W99" i="92"/>
  <c r="X99" i="92"/>
  <c r="Y99" i="92"/>
  <c r="Z99" i="92"/>
  <c r="AC99" i="92"/>
  <c r="AD99" i="92"/>
  <c r="AF99" i="92"/>
  <c r="AK99" i="92"/>
  <c r="AM99" i="92"/>
  <c r="AN99" i="92"/>
  <c r="AO99" i="92"/>
  <c r="AR99" i="92"/>
  <c r="AV99" i="92"/>
  <c r="AZ99" i="92"/>
  <c r="BF99" i="92"/>
  <c r="BG99" i="92"/>
  <c r="A100" i="92"/>
  <c r="B100" i="92"/>
  <c r="C100" i="92"/>
  <c r="D100" i="92"/>
  <c r="E100" i="92"/>
  <c r="H100" i="92"/>
  <c r="I100" i="92"/>
  <c r="K100" i="92"/>
  <c r="L100" i="92"/>
  <c r="M100" i="92"/>
  <c r="BJ100" i="92"/>
  <c r="N100" i="92"/>
  <c r="O100" i="92"/>
  <c r="P100" i="92"/>
  <c r="Q100" i="92"/>
  <c r="R100" i="92"/>
  <c r="S100" i="92"/>
  <c r="U100" i="92"/>
  <c r="W100" i="92"/>
  <c r="X100" i="92"/>
  <c r="Y100" i="92"/>
  <c r="Z100" i="92"/>
  <c r="AC100" i="92"/>
  <c r="AD100" i="92"/>
  <c r="AF100" i="92"/>
  <c r="AK100" i="92"/>
  <c r="AM100" i="92"/>
  <c r="AO100" i="92"/>
  <c r="AR100" i="92"/>
  <c r="AV100" i="92"/>
  <c r="AZ100" i="92"/>
  <c r="BF100" i="92"/>
  <c r="BG100" i="92"/>
  <c r="A101" i="92"/>
  <c r="B101" i="92"/>
  <c r="E101" i="92"/>
  <c r="C101" i="92"/>
  <c r="D101" i="92"/>
  <c r="H101" i="92"/>
  <c r="I101" i="92"/>
  <c r="K101" i="92"/>
  <c r="L101" i="92"/>
  <c r="M101" i="92"/>
  <c r="BJ101" i="92"/>
  <c r="N101" i="92"/>
  <c r="O101" i="92"/>
  <c r="P101" i="92"/>
  <c r="Q101" i="92"/>
  <c r="R101" i="92"/>
  <c r="S101" i="92"/>
  <c r="U101" i="92"/>
  <c r="W101" i="92"/>
  <c r="X101" i="92"/>
  <c r="Y101" i="92"/>
  <c r="Z101" i="92"/>
  <c r="AC101" i="92"/>
  <c r="AD101" i="92"/>
  <c r="AF101" i="92"/>
  <c r="AK101" i="92"/>
  <c r="AM101" i="92"/>
  <c r="AO101" i="92"/>
  <c r="AR101" i="92"/>
  <c r="AV101" i="92"/>
  <c r="AZ101" i="92"/>
  <c r="BF101" i="92"/>
  <c r="BG101" i="92"/>
  <c r="A102" i="92"/>
  <c r="B102" i="92"/>
  <c r="C102" i="92"/>
  <c r="D102" i="92"/>
  <c r="E102" i="92"/>
  <c r="H102" i="92"/>
  <c r="I102" i="92"/>
  <c r="K102" i="92"/>
  <c r="L102" i="92"/>
  <c r="M102" i="92"/>
  <c r="BJ102" i="92"/>
  <c r="N102" i="92"/>
  <c r="O102" i="92"/>
  <c r="P102" i="92"/>
  <c r="Q102" i="92"/>
  <c r="R102" i="92"/>
  <c r="S102" i="92"/>
  <c r="U102" i="92"/>
  <c r="W102" i="92"/>
  <c r="X102" i="92"/>
  <c r="Y102" i="92"/>
  <c r="Z102" i="92"/>
  <c r="AC102" i="92"/>
  <c r="AD102" i="92"/>
  <c r="AF102" i="92"/>
  <c r="AK102" i="92"/>
  <c r="AM102" i="92"/>
  <c r="AN102" i="92" a="1"/>
  <c r="AN102" i="92"/>
  <c r="AO102" i="92"/>
  <c r="AR102" i="92"/>
  <c r="AV102" i="92"/>
  <c r="AZ102" i="92"/>
  <c r="BF102" i="92"/>
  <c r="BG102" i="92"/>
  <c r="A103" i="92"/>
  <c r="B103" i="92"/>
  <c r="C103" i="92"/>
  <c r="D103" i="92"/>
  <c r="E103" i="92"/>
  <c r="H103" i="92"/>
  <c r="I103" i="92"/>
  <c r="K103" i="92"/>
  <c r="L103" i="92"/>
  <c r="M103" i="92"/>
  <c r="BJ103" i="92"/>
  <c r="N103" i="92"/>
  <c r="O103" i="92"/>
  <c r="P103" i="92"/>
  <c r="Q103" i="92"/>
  <c r="R103" i="92"/>
  <c r="S103" i="92"/>
  <c r="U103" i="92"/>
  <c r="W103" i="92"/>
  <c r="X103" i="92"/>
  <c r="Y103" i="92"/>
  <c r="Z103" i="92"/>
  <c r="AC103" i="92"/>
  <c r="AD103" i="92"/>
  <c r="AF103" i="92"/>
  <c r="AK103" i="92"/>
  <c r="AM103" i="92"/>
  <c r="AN103" i="92"/>
  <c r="AO103" i="92"/>
  <c r="AR103" i="92"/>
  <c r="AV103" i="92"/>
  <c r="AZ103" i="92"/>
  <c r="BF103" i="92"/>
  <c r="BG103" i="92"/>
  <c r="A104" i="92"/>
  <c r="B104" i="92"/>
  <c r="C104" i="92"/>
  <c r="D104" i="92"/>
  <c r="E104" i="92"/>
  <c r="H104" i="92"/>
  <c r="I104" i="92"/>
  <c r="K104" i="92"/>
  <c r="L104" i="92"/>
  <c r="M104" i="92"/>
  <c r="BJ104" i="92"/>
  <c r="N104" i="92"/>
  <c r="O104" i="92"/>
  <c r="P104" i="92"/>
  <c r="Q104" i="92"/>
  <c r="R104" i="92"/>
  <c r="S104" i="92"/>
  <c r="U104" i="92"/>
  <c r="W104" i="92"/>
  <c r="X104" i="92"/>
  <c r="Y104" i="92"/>
  <c r="Z104" i="92"/>
  <c r="AC104" i="92"/>
  <c r="AD104" i="92"/>
  <c r="AF104" i="92"/>
  <c r="AK104" i="92"/>
  <c r="AM104" i="92"/>
  <c r="AN104" i="92"/>
  <c r="AO104" i="92"/>
  <c r="AR104" i="92"/>
  <c r="AV104" i="92"/>
  <c r="AZ104" i="92"/>
  <c r="BF104" i="92"/>
  <c r="BG104" i="92"/>
  <c r="A105" i="92"/>
  <c r="B105" i="92"/>
  <c r="C105" i="92"/>
  <c r="D105" i="92"/>
  <c r="E105" i="92"/>
  <c r="H105" i="92"/>
  <c r="I105" i="92"/>
  <c r="K105" i="92"/>
  <c r="L105" i="92"/>
  <c r="M105" i="92"/>
  <c r="BJ105" i="92"/>
  <c r="N105" i="92"/>
  <c r="O105" i="92"/>
  <c r="P105" i="92"/>
  <c r="Q105" i="92"/>
  <c r="R105" i="92"/>
  <c r="S105" i="92"/>
  <c r="U105" i="92"/>
  <c r="W105" i="92"/>
  <c r="X105" i="92"/>
  <c r="Y105" i="92"/>
  <c r="Z105" i="92"/>
  <c r="AC105" i="92"/>
  <c r="AD105" i="92"/>
  <c r="AF105" i="92"/>
  <c r="AK105" i="92"/>
  <c r="AM105" i="92"/>
  <c r="AN105" i="92" a="1"/>
  <c r="AN105" i="92"/>
  <c r="AO105" i="92"/>
  <c r="AR105" i="92"/>
  <c r="AV105" i="92"/>
  <c r="AZ105" i="92"/>
  <c r="BF105" i="92"/>
  <c r="BG105" i="92"/>
  <c r="A106" i="92"/>
  <c r="B106" i="92"/>
  <c r="C106" i="92"/>
  <c r="D106" i="92"/>
  <c r="E106" i="92"/>
  <c r="H106" i="92"/>
  <c r="I106" i="92"/>
  <c r="K106" i="92"/>
  <c r="L106" i="92"/>
  <c r="M106" i="92"/>
  <c r="BJ106" i="92"/>
  <c r="N106" i="92"/>
  <c r="O106" i="92"/>
  <c r="P106" i="92"/>
  <c r="Q106" i="92"/>
  <c r="R106" i="92"/>
  <c r="S106" i="92"/>
  <c r="U106" i="92"/>
  <c r="W106" i="92"/>
  <c r="X106" i="92"/>
  <c r="Y106" i="92"/>
  <c r="Z106" i="92"/>
  <c r="AC106" i="92"/>
  <c r="AD106" i="92"/>
  <c r="AF106" i="92"/>
  <c r="AK106" i="92"/>
  <c r="AM106" i="92"/>
  <c r="AN106" i="92" a="1"/>
  <c r="AN106" i="92"/>
  <c r="AO106" i="92"/>
  <c r="AR106" i="92"/>
  <c r="AV106" i="92"/>
  <c r="AZ106" i="92"/>
  <c r="BF106" i="92"/>
  <c r="BG106" i="92"/>
  <c r="A107" i="92"/>
  <c r="B107" i="92"/>
  <c r="C107" i="92"/>
  <c r="D107" i="92"/>
  <c r="E107" i="92"/>
  <c r="H107" i="92"/>
  <c r="I107" i="92"/>
  <c r="K107" i="92"/>
  <c r="L107" i="92"/>
  <c r="M107" i="92"/>
  <c r="BJ107" i="92"/>
  <c r="N107" i="92"/>
  <c r="O107" i="92"/>
  <c r="P107" i="92"/>
  <c r="Q107" i="92"/>
  <c r="R107" i="92"/>
  <c r="S107" i="92"/>
  <c r="U107" i="92"/>
  <c r="W107" i="92"/>
  <c r="X107" i="92"/>
  <c r="Y107" i="92"/>
  <c r="Z107" i="92"/>
  <c r="AC107" i="92"/>
  <c r="AD107" i="92"/>
  <c r="AF107" i="92"/>
  <c r="AK107" i="92"/>
  <c r="AM107" i="92"/>
  <c r="AN107" i="92"/>
  <c r="AO107" i="92"/>
  <c r="AR107" i="92"/>
  <c r="AV107" i="92"/>
  <c r="AZ107" i="92"/>
  <c r="BF107" i="92"/>
  <c r="BG107" i="92"/>
  <c r="A108" i="92"/>
  <c r="B108" i="92"/>
  <c r="C108" i="92"/>
  <c r="D108" i="92"/>
  <c r="E108" i="92"/>
  <c r="H108" i="92"/>
  <c r="I108" i="92"/>
  <c r="K108" i="92"/>
  <c r="L108" i="92"/>
  <c r="M108" i="92"/>
  <c r="BJ108" i="92"/>
  <c r="N108" i="92"/>
  <c r="O108" i="92"/>
  <c r="P108" i="92"/>
  <c r="Q108" i="92"/>
  <c r="R108" i="92"/>
  <c r="S108" i="92"/>
  <c r="U108" i="92"/>
  <c r="W108" i="92"/>
  <c r="X108" i="92"/>
  <c r="Y108" i="92"/>
  <c r="Z108" i="92"/>
  <c r="AC108" i="92"/>
  <c r="AD108" i="92"/>
  <c r="AF108" i="92"/>
  <c r="AK108" i="92"/>
  <c r="AM108" i="92"/>
  <c r="AN108" i="92" a="1"/>
  <c r="AN108" i="92"/>
  <c r="AO108" i="92"/>
  <c r="AR108" i="92"/>
  <c r="AV108" i="92"/>
  <c r="AZ108" i="92"/>
  <c r="BF108" i="92"/>
  <c r="BG108" i="92"/>
  <c r="A109" i="92"/>
  <c r="B109" i="92"/>
  <c r="C109" i="92"/>
  <c r="D109" i="92"/>
  <c r="E109" i="92"/>
  <c r="H109" i="92"/>
  <c r="I109" i="92"/>
  <c r="K109" i="92"/>
  <c r="L109" i="92"/>
  <c r="M109" i="92"/>
  <c r="BJ109" i="92"/>
  <c r="N109" i="92"/>
  <c r="O109" i="92"/>
  <c r="P109" i="92"/>
  <c r="Q109" i="92"/>
  <c r="R109" i="92"/>
  <c r="S109" i="92"/>
  <c r="U109" i="92"/>
  <c r="W109" i="92"/>
  <c r="X109" i="92"/>
  <c r="Y109" i="92"/>
  <c r="Z109" i="92"/>
  <c r="AC109" i="92"/>
  <c r="AD109" i="92"/>
  <c r="AF109" i="92"/>
  <c r="AK109" i="92"/>
  <c r="AM109" i="92"/>
  <c r="AO109" i="92"/>
  <c r="AQ109" i="92"/>
  <c r="AR109" i="92"/>
  <c r="AV109" i="92"/>
  <c r="AZ109" i="92"/>
  <c r="BF109" i="92"/>
  <c r="BG109" i="92"/>
  <c r="A110" i="92"/>
  <c r="B110" i="92"/>
  <c r="C110" i="92"/>
  <c r="D110" i="92"/>
  <c r="E110" i="92"/>
  <c r="H110" i="92"/>
  <c r="I110" i="92"/>
  <c r="K110" i="92"/>
  <c r="L110" i="92"/>
  <c r="M110" i="92"/>
  <c r="BJ110" i="92"/>
  <c r="N110" i="92"/>
  <c r="O110" i="92"/>
  <c r="P110" i="92"/>
  <c r="Q110" i="92"/>
  <c r="R110" i="92"/>
  <c r="S110" i="92"/>
  <c r="U110" i="92"/>
  <c r="W110" i="92"/>
  <c r="X110" i="92"/>
  <c r="Y110" i="92"/>
  <c r="Z110" i="92"/>
  <c r="AA110" i="92"/>
  <c r="AC110" i="92"/>
  <c r="AD110" i="92"/>
  <c r="AF110" i="92"/>
  <c r="AK110" i="92"/>
  <c r="AM110" i="92"/>
  <c r="AO110" i="92"/>
  <c r="AR110" i="92"/>
  <c r="AV110" i="92"/>
  <c r="AZ110" i="92"/>
  <c r="BF110" i="92"/>
  <c r="BG110" i="92"/>
  <c r="A111" i="92"/>
  <c r="B111" i="92"/>
  <c r="E111" i="92"/>
  <c r="C111" i="92"/>
  <c r="D111" i="92"/>
  <c r="H111" i="92"/>
  <c r="I111" i="92"/>
  <c r="K111" i="92"/>
  <c r="L111" i="92"/>
  <c r="M111" i="92"/>
  <c r="BJ111" i="92"/>
  <c r="N111" i="92"/>
  <c r="O111" i="92"/>
  <c r="P111" i="92"/>
  <c r="Q111" i="92"/>
  <c r="R111" i="92"/>
  <c r="S111" i="92"/>
  <c r="U111" i="92"/>
  <c r="W111" i="92"/>
  <c r="X111" i="92"/>
  <c r="Y111" i="92"/>
  <c r="Z111" i="92"/>
  <c r="AA111" i="92"/>
  <c r="AC111" i="92"/>
  <c r="AD111" i="92"/>
  <c r="AF111" i="92"/>
  <c r="AK111" i="92"/>
  <c r="AM111" i="92"/>
  <c r="AO111" i="92"/>
  <c r="AQ111" i="92"/>
  <c r="AR111" i="92"/>
  <c r="AV111" i="92"/>
  <c r="AZ111" i="92"/>
  <c r="BF111" i="92"/>
  <c r="BG111" i="92"/>
  <c r="A112" i="92"/>
  <c r="B112" i="92"/>
  <c r="E112" i="92"/>
  <c r="C112" i="92"/>
  <c r="D112" i="92"/>
  <c r="H112" i="92"/>
  <c r="I112" i="92"/>
  <c r="K112" i="92"/>
  <c r="L112" i="92"/>
  <c r="M112" i="92"/>
  <c r="BJ112" i="92"/>
  <c r="N112" i="92"/>
  <c r="O112" i="92"/>
  <c r="P112" i="92"/>
  <c r="Q112" i="92"/>
  <c r="R112" i="92"/>
  <c r="S112" i="92"/>
  <c r="U112" i="92"/>
  <c r="W112" i="92"/>
  <c r="X112" i="92"/>
  <c r="Y112" i="92"/>
  <c r="Z112" i="92"/>
  <c r="AA112" i="92"/>
  <c r="AC112" i="92"/>
  <c r="AD112" i="92"/>
  <c r="AF112" i="92"/>
  <c r="AK112" i="92"/>
  <c r="AM112" i="92"/>
  <c r="AO112" i="92"/>
  <c r="AR112" i="92"/>
  <c r="AV112" i="92"/>
  <c r="AZ112" i="92"/>
  <c r="BF112" i="92"/>
  <c r="BG112" i="92"/>
  <c r="A113" i="92"/>
  <c r="B113" i="92"/>
  <c r="C113" i="92"/>
  <c r="D113" i="92"/>
  <c r="E113" i="92"/>
  <c r="H113" i="92"/>
  <c r="I113" i="92"/>
  <c r="K113" i="92"/>
  <c r="L113" i="92"/>
  <c r="M113" i="92"/>
  <c r="BJ113" i="92"/>
  <c r="N113" i="92"/>
  <c r="O113" i="92"/>
  <c r="P113" i="92"/>
  <c r="Q113" i="92"/>
  <c r="R113" i="92"/>
  <c r="S113" i="92"/>
  <c r="U113" i="92"/>
  <c r="W113" i="92"/>
  <c r="X113" i="92"/>
  <c r="Y113" i="92"/>
  <c r="Z113" i="92"/>
  <c r="AA113" i="92"/>
  <c r="AC113" i="92"/>
  <c r="AD113" i="92"/>
  <c r="AF113" i="92"/>
  <c r="AK113" i="92"/>
  <c r="AM113" i="92"/>
  <c r="AO113" i="92"/>
  <c r="AR113" i="92"/>
  <c r="AV113" i="92"/>
  <c r="AZ113" i="92"/>
  <c r="BF113" i="92"/>
  <c r="BG113" i="92"/>
  <c r="A114" i="92"/>
  <c r="B114" i="92"/>
  <c r="E114" i="92"/>
  <c r="C114" i="92"/>
  <c r="D114" i="92"/>
  <c r="H114" i="92"/>
  <c r="I114" i="92"/>
  <c r="K114" i="92"/>
  <c r="L114" i="92"/>
  <c r="M114" i="92"/>
  <c r="BJ114" i="92"/>
  <c r="N114" i="92"/>
  <c r="O114" i="92"/>
  <c r="P114" i="92"/>
  <c r="Q114" i="92"/>
  <c r="R114" i="92"/>
  <c r="S114" i="92"/>
  <c r="U114" i="92"/>
  <c r="W114" i="92"/>
  <c r="X114" i="92"/>
  <c r="Y114" i="92"/>
  <c r="Z114" i="92"/>
  <c r="AA114" i="92"/>
  <c r="AC114" i="92"/>
  <c r="AD114" i="92"/>
  <c r="AF114" i="92"/>
  <c r="AK114" i="92"/>
  <c r="AM114" i="92"/>
  <c r="AO114" i="92"/>
  <c r="AR114" i="92"/>
  <c r="AV114" i="92"/>
  <c r="AZ114" i="92"/>
  <c r="BF114" i="92"/>
  <c r="BG114" i="92"/>
  <c r="A115" i="92"/>
  <c r="B115" i="92"/>
  <c r="C115" i="92"/>
  <c r="D115" i="92"/>
  <c r="E115" i="92"/>
  <c r="H115" i="92"/>
  <c r="I115" i="92"/>
  <c r="K115" i="92"/>
  <c r="L115" i="92"/>
  <c r="M115" i="92"/>
  <c r="BJ115" i="92"/>
  <c r="N115" i="92"/>
  <c r="O115" i="92"/>
  <c r="P115" i="92"/>
  <c r="Q115" i="92"/>
  <c r="R115" i="92"/>
  <c r="S115" i="92"/>
  <c r="U115" i="92"/>
  <c r="W115" i="92"/>
  <c r="X115" i="92"/>
  <c r="Y115" i="92"/>
  <c r="Z115" i="92"/>
  <c r="AA115" i="92"/>
  <c r="AC115" i="92"/>
  <c r="AD115" i="92"/>
  <c r="AF115" i="92"/>
  <c r="AK115" i="92"/>
  <c r="AM115" i="92"/>
  <c r="AO115" i="92"/>
  <c r="AR115" i="92"/>
  <c r="AV115" i="92"/>
  <c r="AZ115" i="92"/>
  <c r="BF115" i="92"/>
  <c r="BG115" i="92"/>
  <c r="A116" i="92"/>
  <c r="B116" i="92"/>
  <c r="E116" i="92"/>
  <c r="C116" i="92"/>
  <c r="D116" i="92"/>
  <c r="H116" i="92"/>
  <c r="I116" i="92"/>
  <c r="K116" i="92"/>
  <c r="L116" i="92"/>
  <c r="M116" i="92"/>
  <c r="BJ116" i="92"/>
  <c r="N116" i="92"/>
  <c r="O116" i="92"/>
  <c r="P116" i="92"/>
  <c r="Q116" i="92"/>
  <c r="R116" i="92"/>
  <c r="S116" i="92"/>
  <c r="U116" i="92"/>
  <c r="W116" i="92"/>
  <c r="X116" i="92"/>
  <c r="Y116" i="92"/>
  <c r="Z116" i="92"/>
  <c r="AA116" i="92"/>
  <c r="AC116" i="92"/>
  <c r="AD116" i="92"/>
  <c r="AF116" i="92"/>
  <c r="AK116" i="92"/>
  <c r="AM116" i="92"/>
  <c r="AO116" i="92"/>
  <c r="AR116" i="92"/>
  <c r="AV116" i="92"/>
  <c r="AZ116" i="92"/>
  <c r="BF116" i="92"/>
  <c r="BG116" i="92"/>
  <c r="A117" i="92"/>
  <c r="B117" i="92"/>
  <c r="C117" i="92"/>
  <c r="D117" i="92"/>
  <c r="E117" i="92"/>
  <c r="H117" i="92"/>
  <c r="I117" i="92"/>
  <c r="K117" i="92"/>
  <c r="L117" i="92"/>
  <c r="M117" i="92"/>
  <c r="BJ117" i="92"/>
  <c r="N117" i="92"/>
  <c r="O117" i="92"/>
  <c r="P117" i="92"/>
  <c r="Q117" i="92"/>
  <c r="R117" i="92"/>
  <c r="S117" i="92"/>
  <c r="U117" i="92"/>
  <c r="W117" i="92"/>
  <c r="X117" i="92"/>
  <c r="Y117" i="92"/>
  <c r="Z117" i="92"/>
  <c r="AA117" i="92"/>
  <c r="AC117" i="92"/>
  <c r="AD117" i="92"/>
  <c r="AF117" i="92"/>
  <c r="AK117" i="92"/>
  <c r="AM117" i="92"/>
  <c r="AO117" i="92"/>
  <c r="AR117" i="92"/>
  <c r="AV117" i="92"/>
  <c r="AZ117" i="92"/>
  <c r="BF117" i="92"/>
  <c r="BG117" i="92"/>
  <c r="A118" i="92"/>
  <c r="B118" i="92"/>
  <c r="E118" i="92"/>
  <c r="C118" i="92"/>
  <c r="D118" i="92"/>
  <c r="H118" i="92"/>
  <c r="I118" i="92"/>
  <c r="K118" i="92"/>
  <c r="L118" i="92"/>
  <c r="M118" i="92"/>
  <c r="BJ118" i="92"/>
  <c r="N118" i="92"/>
  <c r="O118" i="92"/>
  <c r="P118" i="92"/>
  <c r="Q118" i="92"/>
  <c r="R118" i="92"/>
  <c r="S118" i="92"/>
  <c r="U118" i="92"/>
  <c r="W118" i="92"/>
  <c r="X118" i="92"/>
  <c r="Y118" i="92"/>
  <c r="Z118" i="92"/>
  <c r="AA118" i="92"/>
  <c r="AC118" i="92"/>
  <c r="AD118" i="92"/>
  <c r="AF118" i="92"/>
  <c r="AK118" i="92"/>
  <c r="AM118" i="92"/>
  <c r="AO118" i="92"/>
  <c r="AR118" i="92"/>
  <c r="AV118" i="92"/>
  <c r="AZ118" i="92"/>
  <c r="BF118" i="92"/>
  <c r="BG118" i="92"/>
  <c r="A119" i="92"/>
  <c r="B119" i="92"/>
  <c r="C119" i="92"/>
  <c r="D119" i="92"/>
  <c r="E119" i="92"/>
  <c r="H119" i="92"/>
  <c r="I119" i="92"/>
  <c r="K119" i="92"/>
  <c r="L119" i="92"/>
  <c r="M119" i="92"/>
  <c r="BJ119" i="92"/>
  <c r="N119" i="92"/>
  <c r="O119" i="92"/>
  <c r="P119" i="92"/>
  <c r="Q119" i="92"/>
  <c r="R119" i="92"/>
  <c r="S119" i="92"/>
  <c r="U119" i="92"/>
  <c r="W119" i="92"/>
  <c r="X119" i="92"/>
  <c r="Y119" i="92"/>
  <c r="Z119" i="92"/>
  <c r="AA119" i="92"/>
  <c r="AC119" i="92"/>
  <c r="AD119" i="92"/>
  <c r="AF119" i="92"/>
  <c r="AK119" i="92"/>
  <c r="AM119" i="92"/>
  <c r="AO119" i="92"/>
  <c r="AR119" i="92"/>
  <c r="AV119" i="92"/>
  <c r="AZ119" i="92"/>
  <c r="BF119" i="92"/>
  <c r="BG119" i="92"/>
  <c r="A120" i="92"/>
  <c r="E120" i="92"/>
  <c r="H120" i="92"/>
  <c r="I120" i="92"/>
  <c r="K120" i="92"/>
  <c r="L120" i="92"/>
  <c r="M120" i="92"/>
  <c r="BJ120" i="92"/>
  <c r="N120" i="92"/>
  <c r="O120" i="92"/>
  <c r="P120" i="92"/>
  <c r="Q120" i="92"/>
  <c r="R120" i="92"/>
  <c r="S120" i="92"/>
  <c r="U120" i="92"/>
  <c r="W120" i="92"/>
  <c r="X120" i="92"/>
  <c r="Y120" i="92"/>
  <c r="Z120" i="92"/>
  <c r="AA120" i="92"/>
  <c r="AC120" i="92"/>
  <c r="AD120" i="92"/>
  <c r="AF120" i="92"/>
  <c r="AK120" i="92"/>
  <c r="AM120" i="92"/>
  <c r="AO120" i="92"/>
  <c r="AR120" i="92"/>
  <c r="AV120" i="92"/>
  <c r="AZ120" i="92"/>
  <c r="BF120" i="92"/>
  <c r="BG120" i="92"/>
  <c r="A121" i="92"/>
  <c r="B121" i="92"/>
  <c r="E121" i="92"/>
  <c r="C121" i="92"/>
  <c r="D121" i="92"/>
  <c r="H121" i="92"/>
  <c r="I121" i="92"/>
  <c r="K121" i="92"/>
  <c r="L121" i="92"/>
  <c r="M121" i="92"/>
  <c r="BJ121" i="92"/>
  <c r="N121" i="92"/>
  <c r="O121" i="92"/>
  <c r="P121" i="92"/>
  <c r="Q121" i="92"/>
  <c r="R121" i="92"/>
  <c r="S121" i="92"/>
  <c r="U121" i="92"/>
  <c r="W121" i="92"/>
  <c r="X121" i="92"/>
  <c r="Y121" i="92"/>
  <c r="Z121" i="92"/>
  <c r="AC121" i="92"/>
  <c r="AD121" i="92"/>
  <c r="AF121" i="92"/>
  <c r="AK121" i="92"/>
  <c r="AM121" i="92"/>
  <c r="AO121" i="92"/>
  <c r="AR121" i="92"/>
  <c r="AV121" i="92"/>
  <c r="AZ121" i="92"/>
  <c r="BF121" i="92"/>
  <c r="BG121" i="92"/>
  <c r="W123" i="92"/>
  <c r="X123" i="92"/>
  <c r="AV91" i="91"/>
  <c r="AV92" i="91"/>
  <c r="AV93" i="91"/>
  <c r="AV94" i="91"/>
  <c r="AV95" i="91"/>
  <c r="AV96" i="91"/>
  <c r="AV97" i="91"/>
  <c r="AV98" i="91"/>
  <c r="AV99" i="91"/>
  <c r="AV100" i="91"/>
  <c r="AV101" i="91"/>
  <c r="AV102" i="91"/>
  <c r="AV103" i="91"/>
  <c r="AV104" i="91"/>
  <c r="AV105" i="91"/>
  <c r="AV106" i="91"/>
  <c r="AV107" i="91"/>
  <c r="AV108" i="91"/>
  <c r="AV109" i="91"/>
  <c r="AV110" i="91"/>
  <c r="AV111" i="91"/>
  <c r="AN79" i="91" a="1"/>
  <c r="AN79" i="91"/>
  <c r="AV112" i="91"/>
  <c r="AV113" i="91"/>
  <c r="AV114" i="91"/>
  <c r="AV115" i="91"/>
  <c r="AV116" i="91"/>
  <c r="AV117" i="91"/>
  <c r="AV118" i="91"/>
  <c r="AV119" i="91"/>
  <c r="AV120" i="91"/>
  <c r="AV121" i="91"/>
  <c r="AN82" i="91" a="1"/>
  <c r="AB91" i="91"/>
  <c r="AB48" i="91"/>
  <c r="AA91" i="91"/>
  <c r="AG91" i="91"/>
  <c r="AB92" i="91"/>
  <c r="AA92" i="91"/>
  <c r="BI5" i="91"/>
  <c r="AG92" i="91"/>
  <c r="BJ5" i="91"/>
  <c r="AB93" i="91"/>
  <c r="AG93" i="91"/>
  <c r="AB94" i="91"/>
  <c r="AA94" i="91"/>
  <c r="BI7" i="91"/>
  <c r="AG94" i="91"/>
  <c r="BJ7" i="91"/>
  <c r="AB95" i="91"/>
  <c r="AA95" i="91"/>
  <c r="BI8" i="91"/>
  <c r="AG95" i="91"/>
  <c r="AB96" i="91"/>
  <c r="AA96" i="91"/>
  <c r="BI9" i="91"/>
  <c r="AG96" i="91"/>
  <c r="BJ9" i="91"/>
  <c r="AB97" i="91"/>
  <c r="AA97" i="91"/>
  <c r="BI10" i="91"/>
  <c r="AG97" i="91"/>
  <c r="AB98" i="91"/>
  <c r="AA98" i="91"/>
  <c r="BI11" i="91"/>
  <c r="AG98" i="91"/>
  <c r="AB99" i="91"/>
  <c r="AA99" i="91"/>
  <c r="BI12" i="91"/>
  <c r="AG99" i="91"/>
  <c r="AB100" i="91"/>
  <c r="AG100" i="91"/>
  <c r="AB101" i="91"/>
  <c r="AG101" i="91"/>
  <c r="AB102" i="91"/>
  <c r="AG102" i="91"/>
  <c r="AB103" i="91"/>
  <c r="AG103" i="91"/>
  <c r="AB104" i="91"/>
  <c r="AG104" i="91"/>
  <c r="AB105" i="91"/>
  <c r="AG105" i="91"/>
  <c r="AB106" i="91"/>
  <c r="AG106" i="91"/>
  <c r="AB107" i="91"/>
  <c r="AG107" i="91"/>
  <c r="BJ20" i="91"/>
  <c r="AB108" i="91"/>
  <c r="BI21" i="91"/>
  <c r="AG108" i="91"/>
  <c r="BJ21" i="91"/>
  <c r="AB109" i="91"/>
  <c r="BI22" i="91"/>
  <c r="AG109" i="91"/>
  <c r="AB110" i="91"/>
  <c r="BI23" i="91"/>
  <c r="AG110" i="91"/>
  <c r="AB111" i="91"/>
  <c r="BI24" i="91"/>
  <c r="AG111" i="91"/>
  <c r="BJ24" i="91"/>
  <c r="AB112" i="91"/>
  <c r="BI25" i="91"/>
  <c r="AG112" i="91"/>
  <c r="AB113" i="91"/>
  <c r="BI26" i="91"/>
  <c r="AG113" i="91"/>
  <c r="BJ26" i="91"/>
  <c r="AB114" i="91"/>
  <c r="BI27" i="91"/>
  <c r="AG114" i="91"/>
  <c r="AB115" i="91"/>
  <c r="BI28" i="91"/>
  <c r="AB116" i="91"/>
  <c r="BI29" i="91"/>
  <c r="AB117" i="91"/>
  <c r="BI30" i="91"/>
  <c r="AB118" i="91"/>
  <c r="BI31" i="91"/>
  <c r="AB119" i="91"/>
  <c r="BI32" i="91"/>
  <c r="AB120" i="91"/>
  <c r="BI33" i="91"/>
  <c r="BD38" i="91" a="1"/>
  <c r="I39" i="91"/>
  <c r="AD39" i="91"/>
  <c r="F40" i="91"/>
  <c r="G40" i="91"/>
  <c r="I40" i="91"/>
  <c r="U40" i="91"/>
  <c r="AB47" i="91"/>
  <c r="Z40" i="91"/>
  <c r="AA40" i="91"/>
  <c r="AD38" i="91"/>
  <c r="AD40" i="91"/>
  <c r="AL120" i="91"/>
  <c r="AL119" i="91"/>
  <c r="AL118" i="91"/>
  <c r="AL117" i="91"/>
  <c r="AL116" i="91"/>
  <c r="AL115" i="91"/>
  <c r="AL114" i="91"/>
  <c r="AL113" i="91"/>
  <c r="AL112" i="91"/>
  <c r="AL111" i="91"/>
  <c r="AL110" i="91"/>
  <c r="AL109" i="91"/>
  <c r="AL108" i="91"/>
  <c r="AL107" i="91"/>
  <c r="AL106" i="91"/>
  <c r="AL105" i="91"/>
  <c r="AL104" i="91"/>
  <c r="AL103" i="91"/>
  <c r="AL102" i="91"/>
  <c r="AL101" i="91"/>
  <c r="AL100" i="91"/>
  <c r="AL99" i="91"/>
  <c r="AL98" i="91"/>
  <c r="AL97" i="91"/>
  <c r="AL96" i="91"/>
  <c r="AL95" i="91"/>
  <c r="AL94" i="91"/>
  <c r="AL93" i="91"/>
  <c r="AL92" i="91"/>
  <c r="AL91" i="91"/>
  <c r="AN38" i="91"/>
  <c r="AN40" i="91"/>
  <c r="AP47" i="91"/>
  <c r="AP54" i="91"/>
  <c r="AP40" i="91"/>
  <c r="AQ47" i="91"/>
  <c r="AQ40" i="91"/>
  <c r="AT40" i="91"/>
  <c r="AU38" i="91"/>
  <c r="AU40" i="91"/>
  <c r="AV38" i="91"/>
  <c r="AV40" i="91"/>
  <c r="BA38" i="91"/>
  <c r="BA40" i="91"/>
  <c r="AY43" i="91"/>
  <c r="BA43" i="91"/>
  <c r="BF43" i="91"/>
  <c r="BG43" i="91"/>
  <c r="F46" i="91"/>
  <c r="G46" i="91"/>
  <c r="AY80" i="91"/>
  <c r="AY82" i="91"/>
  <c r="H46" i="91"/>
  <c r="I46" i="91"/>
  <c r="AP46" i="91"/>
  <c r="AQ46" i="91"/>
  <c r="M54" i="91"/>
  <c r="AC47" i="91"/>
  <c r="AH50" i="91"/>
  <c r="AJ50" i="91"/>
  <c r="AA52" i="91"/>
  <c r="AH53" i="91"/>
  <c r="AJ53" i="91"/>
  <c r="AA54" i="91"/>
  <c r="AU4" i="91"/>
  <c r="AV4" i="91"/>
  <c r="AW4" i="91"/>
  <c r="AX4" i="91"/>
  <c r="AY4" i="91"/>
  <c r="AU5" i="91"/>
  <c r="AV5" i="91"/>
  <c r="AW5" i="91"/>
  <c r="AX5" i="91"/>
  <c r="AY5" i="91"/>
  <c r="AU6" i="91"/>
  <c r="AV6" i="91"/>
  <c r="AW6" i="91"/>
  <c r="AX6" i="91"/>
  <c r="AY6" i="91"/>
  <c r="AU7" i="91"/>
  <c r="AV7" i="91"/>
  <c r="AW7" i="91"/>
  <c r="AX7" i="91"/>
  <c r="AY7" i="91"/>
  <c r="AU8" i="91"/>
  <c r="AV8" i="91"/>
  <c r="AW8" i="91"/>
  <c r="AX8" i="91"/>
  <c r="AY8" i="91"/>
  <c r="AU9" i="91"/>
  <c r="AV9" i="91"/>
  <c r="AW9" i="91"/>
  <c r="AX9" i="91"/>
  <c r="AY9" i="91"/>
  <c r="AU10" i="91"/>
  <c r="AV10" i="91"/>
  <c r="AW10" i="91"/>
  <c r="AX10" i="91"/>
  <c r="AY10" i="91"/>
  <c r="AU11" i="91"/>
  <c r="AV11" i="91"/>
  <c r="AW11" i="91"/>
  <c r="AX11" i="91"/>
  <c r="AY11" i="91"/>
  <c r="AU12" i="91"/>
  <c r="AV12" i="91"/>
  <c r="AW12" i="91"/>
  <c r="AX12" i="91"/>
  <c r="AY12" i="91"/>
  <c r="AU13" i="91"/>
  <c r="AV13" i="91"/>
  <c r="AW13" i="91"/>
  <c r="AX13" i="91"/>
  <c r="AY13" i="91"/>
  <c r="AU14" i="91"/>
  <c r="AV14" i="91"/>
  <c r="AW14" i="91"/>
  <c r="AX14" i="91"/>
  <c r="AY14" i="91"/>
  <c r="AU15" i="91"/>
  <c r="AV15" i="91"/>
  <c r="AW15" i="91"/>
  <c r="AX15" i="91"/>
  <c r="AY15" i="91"/>
  <c r="AU16" i="91"/>
  <c r="AV16" i="91"/>
  <c r="AW16" i="91"/>
  <c r="AX16" i="91"/>
  <c r="AY16" i="91"/>
  <c r="AU17" i="91"/>
  <c r="AV17" i="91"/>
  <c r="AW17" i="91"/>
  <c r="AX17" i="91"/>
  <c r="AY17" i="91"/>
  <c r="AU18" i="91"/>
  <c r="AV18" i="91"/>
  <c r="AW18" i="91"/>
  <c r="AX18" i="91"/>
  <c r="AY18" i="91"/>
  <c r="AU19" i="91"/>
  <c r="AV19" i="91"/>
  <c r="AW19" i="91"/>
  <c r="AX19" i="91"/>
  <c r="AY19" i="91"/>
  <c r="AU20" i="91"/>
  <c r="AV20" i="91"/>
  <c r="AW20" i="91"/>
  <c r="AX20" i="91"/>
  <c r="AY20" i="91"/>
  <c r="AU21" i="91"/>
  <c r="AV21" i="91"/>
  <c r="AW21" i="91"/>
  <c r="AX21" i="91"/>
  <c r="AY21" i="91"/>
  <c r="AU22" i="91"/>
  <c r="AV22" i="91"/>
  <c r="AW22" i="91"/>
  <c r="AX22" i="91"/>
  <c r="AY22" i="91"/>
  <c r="AU23" i="91"/>
  <c r="AV23" i="91"/>
  <c r="AW23" i="91"/>
  <c r="AX23" i="91"/>
  <c r="AY23" i="91"/>
  <c r="AU24" i="91"/>
  <c r="AV24" i="91"/>
  <c r="AW24" i="91"/>
  <c r="AX24" i="91"/>
  <c r="AY24" i="91"/>
  <c r="AU25" i="91"/>
  <c r="AV25" i="91"/>
  <c r="AW25" i="91"/>
  <c r="AX25" i="91"/>
  <c r="AY25" i="91"/>
  <c r="AU26" i="91"/>
  <c r="AV26" i="91"/>
  <c r="AW26" i="91"/>
  <c r="AX26" i="91"/>
  <c r="AY26" i="91"/>
  <c r="AU27" i="91"/>
  <c r="AV27" i="91"/>
  <c r="AW27" i="91"/>
  <c r="AX27" i="91"/>
  <c r="AY27" i="91"/>
  <c r="AU28" i="91"/>
  <c r="AV28" i="91"/>
  <c r="AW28" i="91"/>
  <c r="AX28" i="91"/>
  <c r="AY28" i="91"/>
  <c r="AU29" i="91"/>
  <c r="AV29" i="91"/>
  <c r="AV86" i="91"/>
  <c r="AV42" i="91"/>
  <c r="AW29" i="91"/>
  <c r="AX29" i="91"/>
  <c r="AX86" i="91"/>
  <c r="AX42" i="91"/>
  <c r="AY29" i="91"/>
  <c r="AU30" i="91"/>
  <c r="AU85" i="91"/>
  <c r="AU42" i="91"/>
  <c r="AV30" i="91"/>
  <c r="AW30" i="91"/>
  <c r="AW85" i="91"/>
  <c r="AW42" i="91"/>
  <c r="AX30" i="91"/>
  <c r="AY30" i="91"/>
  <c r="AY85" i="91"/>
  <c r="AY42" i="91"/>
  <c r="AU31" i="91"/>
  <c r="AV31" i="91"/>
  <c r="AW31" i="91"/>
  <c r="AX31" i="91"/>
  <c r="AY31" i="91"/>
  <c r="AU32" i="91"/>
  <c r="AV32" i="91"/>
  <c r="AW32" i="91"/>
  <c r="AX32" i="91"/>
  <c r="AY32" i="91"/>
  <c r="AU33" i="91"/>
  <c r="AV33" i="91"/>
  <c r="AW33" i="91"/>
  <c r="AX33" i="91"/>
  <c r="AY33" i="91"/>
  <c r="Y34" i="91"/>
  <c r="G72" i="91"/>
  <c r="H38" i="91"/>
  <c r="K38" i="91"/>
  <c r="L38" i="91"/>
  <c r="M38" i="91"/>
  <c r="N38" i="91"/>
  <c r="P38" i="91"/>
  <c r="Q38" i="91"/>
  <c r="R38" i="91"/>
  <c r="R40" i="91"/>
  <c r="R46" i="91"/>
  <c r="S38" i="91"/>
  <c r="V38" i="91"/>
  <c r="W38" i="91"/>
  <c r="AA38" i="91"/>
  <c r="AE38" i="91"/>
  <c r="AG38" i="91"/>
  <c r="AH38" i="91"/>
  <c r="AI38" i="91"/>
  <c r="AJ38" i="91"/>
  <c r="AS38" i="91"/>
  <c r="AW38" i="91"/>
  <c r="AX38" i="91"/>
  <c r="AY38" i="91"/>
  <c r="BC38" i="91"/>
  <c r="BD38" i="91"/>
  <c r="H40" i="91"/>
  <c r="M40" i="91"/>
  <c r="V40" i="91"/>
  <c r="W40" i="91"/>
  <c r="X40" i="91"/>
  <c r="AE40" i="91"/>
  <c r="F86" i="91"/>
  <c r="F85" i="91"/>
  <c r="F42" i="91"/>
  <c r="G86" i="91"/>
  <c r="G85" i="91"/>
  <c r="G42" i="91"/>
  <c r="BA42" i="91"/>
  <c r="H86" i="91"/>
  <c r="H85" i="91"/>
  <c r="H42" i="91"/>
  <c r="I86" i="91"/>
  <c r="I85" i="91"/>
  <c r="I42" i="91"/>
  <c r="BC42" i="91"/>
  <c r="K86" i="91"/>
  <c r="K85" i="91"/>
  <c r="K42" i="91"/>
  <c r="L86" i="91"/>
  <c r="L85" i="91"/>
  <c r="L42" i="91"/>
  <c r="M86" i="91"/>
  <c r="M85" i="91"/>
  <c r="M42" i="91"/>
  <c r="N86" i="91"/>
  <c r="N85" i="91"/>
  <c r="N42" i="91"/>
  <c r="P86" i="91"/>
  <c r="P85" i="91"/>
  <c r="P42" i="91"/>
  <c r="Q86" i="91"/>
  <c r="Q85" i="91"/>
  <c r="Q42" i="91"/>
  <c r="R86" i="91"/>
  <c r="R85" i="91"/>
  <c r="R42" i="91"/>
  <c r="S86" i="91"/>
  <c r="S85" i="91"/>
  <c r="S42" i="91"/>
  <c r="V86" i="91"/>
  <c r="V85" i="91"/>
  <c r="V42" i="91"/>
  <c r="W86" i="91"/>
  <c r="W85" i="91"/>
  <c r="W42" i="91"/>
  <c r="Z86" i="91"/>
  <c r="Z85" i="91"/>
  <c r="Z42" i="91"/>
  <c r="AA86" i="91"/>
  <c r="AA85" i="91"/>
  <c r="AA42" i="91"/>
  <c r="AB86" i="91"/>
  <c r="AB43" i="91"/>
  <c r="AB85" i="91"/>
  <c r="AB42" i="91"/>
  <c r="AE86" i="91"/>
  <c r="AD43" i="91"/>
  <c r="AE85" i="91"/>
  <c r="AD42" i="91"/>
  <c r="AD86" i="91"/>
  <c r="AD85" i="91"/>
  <c r="AE42" i="91"/>
  <c r="AG86" i="91"/>
  <c r="AG85" i="91"/>
  <c r="AG42" i="91"/>
  <c r="AH86" i="91"/>
  <c r="AH85" i="91"/>
  <c r="AH42" i="91"/>
  <c r="AI86" i="91"/>
  <c r="AI85" i="91"/>
  <c r="AI42" i="91"/>
  <c r="AJ86" i="91"/>
  <c r="AJ85" i="91"/>
  <c r="AJ42" i="91"/>
  <c r="AQ85" i="91"/>
  <c r="AQ42" i="91"/>
  <c r="AS86" i="91"/>
  <c r="AS85" i="91"/>
  <c r="AS42" i="91"/>
  <c r="AT86" i="91"/>
  <c r="AT85" i="91"/>
  <c r="AT42" i="91"/>
  <c r="BG42" i="91"/>
  <c r="AU86" i="91"/>
  <c r="AV85" i="91"/>
  <c r="AW86" i="91"/>
  <c r="AX85" i="91"/>
  <c r="AY86" i="91"/>
  <c r="BB42" i="91"/>
  <c r="BF42" i="91"/>
  <c r="F43" i="91"/>
  <c r="G43" i="91"/>
  <c r="H43" i="91"/>
  <c r="I43" i="91"/>
  <c r="K43" i="91"/>
  <c r="L43" i="91"/>
  <c r="M43" i="91"/>
  <c r="N43" i="91"/>
  <c r="P43" i="91"/>
  <c r="Q43" i="91"/>
  <c r="R43" i="91"/>
  <c r="S43" i="91"/>
  <c r="U43" i="91"/>
  <c r="V43" i="91"/>
  <c r="W43" i="91"/>
  <c r="Z43" i="91"/>
  <c r="AA43" i="91"/>
  <c r="AE43" i="91"/>
  <c r="AG43" i="91"/>
  <c r="AH43" i="91"/>
  <c r="AI43" i="91"/>
  <c r="AJ43" i="91"/>
  <c r="AN91" i="91"/>
  <c r="AN43" i="91"/>
  <c r="AP43" i="91"/>
  <c r="AQ43" i="91"/>
  <c r="AS43" i="91"/>
  <c r="AT43" i="91"/>
  <c r="AU43" i="91"/>
  <c r="AV43" i="91"/>
  <c r="AW43" i="91"/>
  <c r="AX43" i="91"/>
  <c r="K46" i="91"/>
  <c r="L46" i="91"/>
  <c r="M46" i="91"/>
  <c r="N46" i="91"/>
  <c r="S46" i="91"/>
  <c r="U46" i="91"/>
  <c r="AG46" i="91"/>
  <c r="AH46" i="91"/>
  <c r="AI46" i="91"/>
  <c r="AJ46" i="91"/>
  <c r="F47" i="91"/>
  <c r="G47" i="91"/>
  <c r="H47" i="91"/>
  <c r="I47" i="91"/>
  <c r="R47" i="91"/>
  <c r="BB49" i="91"/>
  <c r="BC49" i="91"/>
  <c r="BB50" i="91"/>
  <c r="BC50" i="91"/>
  <c r="AN51" i="91"/>
  <c r="BB51" i="91"/>
  <c r="BC51" i="91"/>
  <c r="BB52" i="91"/>
  <c r="BC52" i="91"/>
  <c r="AD53" i="91"/>
  <c r="BB53" i="91"/>
  <c r="BC53" i="91"/>
  <c r="BI121" i="91"/>
  <c r="AN54" i="91"/>
  <c r="BB54" i="91"/>
  <c r="BB80" i="91"/>
  <c r="BC54" i="91"/>
  <c r="X55" i="91"/>
  <c r="BB55" i="91"/>
  <c r="BC55" i="91"/>
  <c r="BB56" i="91"/>
  <c r="BC56" i="91"/>
  <c r="AN57" i="91"/>
  <c r="BB57" i="91"/>
  <c r="BC57" i="91"/>
  <c r="BB58" i="91"/>
  <c r="BC58" i="91"/>
  <c r="BB59" i="91"/>
  <c r="BC59" i="91"/>
  <c r="BB60" i="91"/>
  <c r="BC60" i="91"/>
  <c r="BB61" i="91"/>
  <c r="BC61" i="91"/>
  <c r="BB62" i="91"/>
  <c r="BC62" i="91"/>
  <c r="BB63" i="91"/>
  <c r="BC63" i="91"/>
  <c r="BB64" i="91"/>
  <c r="BC64" i="91"/>
  <c r="BH91" i="91"/>
  <c r="AH65" i="91"/>
  <c r="AJ65" i="91"/>
  <c r="BH92" i="91"/>
  <c r="BH93" i="91"/>
  <c r="BH94" i="91"/>
  <c r="BH95" i="91"/>
  <c r="BH96" i="91"/>
  <c r="BH97" i="91"/>
  <c r="BH98" i="91"/>
  <c r="BH99" i="91"/>
  <c r="BH100" i="91"/>
  <c r="BH101" i="91"/>
  <c r="BH102" i="91"/>
  <c r="BH103" i="91"/>
  <c r="BH104" i="91"/>
  <c r="BH105" i="91"/>
  <c r="BH106" i="91"/>
  <c r="BH107" i="91"/>
  <c r="BH108" i="91"/>
  <c r="BH109" i="91"/>
  <c r="BH110" i="91"/>
  <c r="BH111" i="91"/>
  <c r="BH112" i="91"/>
  <c r="BH113" i="91"/>
  <c r="BH114" i="91"/>
  <c r="BH115" i="91"/>
  <c r="BH116" i="91"/>
  <c r="BH117" i="91"/>
  <c r="BH118" i="91"/>
  <c r="BH119" i="91"/>
  <c r="BH120" i="91"/>
  <c r="BH121" i="91"/>
  <c r="BB65" i="91"/>
  <c r="BC65" i="91"/>
  <c r="BB66" i="91"/>
  <c r="BC66" i="91"/>
  <c r="AN67" i="91" a="1"/>
  <c r="AN67" i="91"/>
  <c r="AN73" i="91"/>
  <c r="BB67" i="91"/>
  <c r="BC67" i="91"/>
  <c r="AY91" i="91"/>
  <c r="AY92" i="91"/>
  <c r="AY93" i="91"/>
  <c r="AY94" i="91"/>
  <c r="AY95" i="91"/>
  <c r="AY96" i="91"/>
  <c r="AY97" i="91"/>
  <c r="AY98" i="91"/>
  <c r="AY99" i="91"/>
  <c r="AY100" i="91"/>
  <c r="AY101" i="91"/>
  <c r="AY102" i="91"/>
  <c r="AY103" i="91"/>
  <c r="AY104" i="91"/>
  <c r="AY105" i="91"/>
  <c r="AY106" i="91"/>
  <c r="AY107" i="91"/>
  <c r="AY108" i="91"/>
  <c r="AY109" i="91"/>
  <c r="AY110" i="91"/>
  <c r="AY111" i="91"/>
  <c r="AY112" i="91"/>
  <c r="AY113" i="91"/>
  <c r="AY114" i="91"/>
  <c r="AY115" i="91"/>
  <c r="AY116" i="91"/>
  <c r="AY117" i="91"/>
  <c r="AY118" i="91"/>
  <c r="AY119" i="91"/>
  <c r="AY120" i="91"/>
  <c r="AY121" i="91"/>
  <c r="AH68" i="91"/>
  <c r="AJ68" i="91"/>
  <c r="BB68" i="91"/>
  <c r="BC68" i="91"/>
  <c r="BB69" i="91"/>
  <c r="BC69" i="91"/>
  <c r="AN70" i="91"/>
  <c r="BB70" i="91"/>
  <c r="BC70" i="91"/>
  <c r="BB71" i="91"/>
  <c r="BC71" i="91"/>
  <c r="BB72" i="91"/>
  <c r="BC72" i="91"/>
  <c r="BB73" i="91"/>
  <c r="BC73" i="91"/>
  <c r="K74" i="91"/>
  <c r="L74" i="91"/>
  <c r="M74" i="91"/>
  <c r="BB74" i="91"/>
  <c r="BC74" i="91"/>
  <c r="L75" i="91"/>
  <c r="M75" i="91"/>
  <c r="BB75" i="91"/>
  <c r="BC75" i="91"/>
  <c r="L76" i="91"/>
  <c r="M76" i="91"/>
  <c r="AN76" i="91"/>
  <c r="BB76" i="91"/>
  <c r="BC76" i="91"/>
  <c r="L77" i="91"/>
  <c r="M77" i="91"/>
  <c r="BB77" i="91"/>
  <c r="BC77" i="91"/>
  <c r="AY81" i="91"/>
  <c r="K78" i="91"/>
  <c r="L78" i="91"/>
  <c r="M78" i="91"/>
  <c r="BB78" i="91"/>
  <c r="BC78" i="91"/>
  <c r="K79" i="91"/>
  <c r="L79" i="91"/>
  <c r="M79" i="91"/>
  <c r="AY79" i="91"/>
  <c r="BB79" i="91"/>
  <c r="BC79" i="91"/>
  <c r="K80" i="91"/>
  <c r="L80" i="91"/>
  <c r="M80" i="91"/>
  <c r="BC80" i="91"/>
  <c r="BD80" i="91"/>
  <c r="BF80" i="91"/>
  <c r="BG80" i="91"/>
  <c r="BH80" i="91"/>
  <c r="BI80" i="91"/>
  <c r="BJ80" i="91"/>
  <c r="K81" i="91"/>
  <c r="L81" i="91"/>
  <c r="M81" i="91"/>
  <c r="K82" i="91"/>
  <c r="L82" i="91"/>
  <c r="M82" i="91"/>
  <c r="AN82" i="91"/>
  <c r="BF82" i="91"/>
  <c r="BG82" i="91"/>
  <c r="BH82" i="91"/>
  <c r="BI82" i="91"/>
  <c r="BJ82" i="91"/>
  <c r="K83" i="91"/>
  <c r="L83" i="91"/>
  <c r="M83" i="91"/>
  <c r="C91" i="91"/>
  <c r="B91" i="91"/>
  <c r="E91" i="91"/>
  <c r="BA83" i="91"/>
  <c r="BF83" i="91"/>
  <c r="BG83" i="91"/>
  <c r="BH83" i="91"/>
  <c r="BI83" i="91"/>
  <c r="BJ83" i="91"/>
  <c r="BA84" i="91"/>
  <c r="BB84" i="91"/>
  <c r="C85" i="91"/>
  <c r="X85" i="91"/>
  <c r="Y85" i="91"/>
  <c r="AF85" i="91"/>
  <c r="AZ85" i="91"/>
  <c r="BA85" i="91"/>
  <c r="BB85" i="91"/>
  <c r="BE85" i="91"/>
  <c r="BF85" i="91"/>
  <c r="BG85" i="91"/>
  <c r="B86" i="91"/>
  <c r="T86" i="91"/>
  <c r="X86" i="91"/>
  <c r="Y86" i="91"/>
  <c r="AF86" i="91"/>
  <c r="AZ86" i="91"/>
  <c r="BA86" i="91"/>
  <c r="BB86" i="91"/>
  <c r="BE86" i="91"/>
  <c r="BF86" i="91"/>
  <c r="BG86" i="91"/>
  <c r="A91" i="91"/>
  <c r="D91" i="91"/>
  <c r="H91" i="91"/>
  <c r="K91" i="91"/>
  <c r="L91" i="91"/>
  <c r="M91" i="91"/>
  <c r="BJ91" i="91"/>
  <c r="N91" i="91"/>
  <c r="O91" i="91"/>
  <c r="P91" i="91"/>
  <c r="Q91" i="91"/>
  <c r="R91" i="91"/>
  <c r="S91" i="91"/>
  <c r="U91" i="91"/>
  <c r="W91" i="91"/>
  <c r="X91" i="91"/>
  <c r="Y91" i="91"/>
  <c r="Z91" i="91"/>
  <c r="AD91" i="91"/>
  <c r="AF91" i="91"/>
  <c r="AT123" i="91"/>
  <c r="AS91" i="91"/>
  <c r="AH91" i="91"/>
  <c r="AK91" i="91"/>
  <c r="AM91" i="91"/>
  <c r="AO91" i="91"/>
  <c r="AR91" i="91"/>
  <c r="AZ91" i="91"/>
  <c r="BF91" i="91"/>
  <c r="BG91" i="91"/>
  <c r="A92" i="91"/>
  <c r="B92" i="91"/>
  <c r="C92" i="91"/>
  <c r="D92" i="91"/>
  <c r="E92" i="91"/>
  <c r="H92" i="91"/>
  <c r="K92" i="91"/>
  <c r="L92" i="91"/>
  <c r="M92" i="91"/>
  <c r="BJ92" i="91"/>
  <c r="N92" i="91"/>
  <c r="O92" i="91"/>
  <c r="P92" i="91"/>
  <c r="Q92" i="91"/>
  <c r="R92" i="91"/>
  <c r="S92" i="91"/>
  <c r="U92" i="91"/>
  <c r="W92" i="91"/>
  <c r="X92" i="91"/>
  <c r="Y92" i="91"/>
  <c r="Z92" i="91"/>
  <c r="AC92" i="91"/>
  <c r="AD92" i="91"/>
  <c r="AF92" i="91"/>
  <c r="AS92" i="91"/>
  <c r="AH92" i="91"/>
  <c r="AE92" i="91"/>
  <c r="AK92" i="91"/>
  <c r="AM92" i="91"/>
  <c r="AO92" i="91"/>
  <c r="AR92" i="91"/>
  <c r="AZ92" i="91"/>
  <c r="BF92" i="91"/>
  <c r="BG92" i="91"/>
  <c r="A93" i="91"/>
  <c r="B93" i="91"/>
  <c r="E93" i="91"/>
  <c r="C93" i="91"/>
  <c r="D93" i="91"/>
  <c r="H93" i="91"/>
  <c r="K93" i="91"/>
  <c r="L93" i="91"/>
  <c r="M93" i="91"/>
  <c r="BJ93" i="91"/>
  <c r="N93" i="91"/>
  <c r="O93" i="91"/>
  <c r="P93" i="91"/>
  <c r="Q93" i="91"/>
  <c r="R93" i="91"/>
  <c r="S93" i="91"/>
  <c r="U93" i="91"/>
  <c r="W93" i="91"/>
  <c r="X93" i="91"/>
  <c r="Y93" i="91"/>
  <c r="Z93" i="91"/>
  <c r="AD93" i="91"/>
  <c r="AF93" i="91"/>
  <c r="AS93" i="91"/>
  <c r="AH98" i="91"/>
  <c r="AK93" i="91"/>
  <c r="AM93" i="91"/>
  <c r="AO93" i="91"/>
  <c r="AR93" i="91"/>
  <c r="AZ93" i="91"/>
  <c r="BF93" i="91"/>
  <c r="BG93" i="91"/>
  <c r="A94" i="91"/>
  <c r="B94" i="91"/>
  <c r="C94" i="91"/>
  <c r="D94" i="91"/>
  <c r="E94" i="91"/>
  <c r="H94" i="91"/>
  <c r="K94" i="91"/>
  <c r="L94" i="91"/>
  <c r="M94" i="91"/>
  <c r="BJ94" i="91"/>
  <c r="N94" i="91"/>
  <c r="O94" i="91"/>
  <c r="P94" i="91"/>
  <c r="Q94" i="91"/>
  <c r="R94" i="91"/>
  <c r="S94" i="91"/>
  <c r="U94" i="91"/>
  <c r="W94" i="91"/>
  <c r="X94" i="91"/>
  <c r="Y94" i="91"/>
  <c r="Z94" i="91"/>
  <c r="AC94" i="91"/>
  <c r="AD94" i="91"/>
  <c r="AF94" i="91"/>
  <c r="AS94" i="91"/>
  <c r="AH94" i="91"/>
  <c r="AE94" i="91"/>
  <c r="AK94" i="91"/>
  <c r="AM94" i="91"/>
  <c r="AO94" i="91"/>
  <c r="AR94" i="91"/>
  <c r="AZ94" i="91"/>
  <c r="BF94" i="91"/>
  <c r="BG94" i="91"/>
  <c r="A95" i="91"/>
  <c r="B95" i="91"/>
  <c r="E95" i="91"/>
  <c r="C95" i="91"/>
  <c r="D95" i="91"/>
  <c r="H95" i="91"/>
  <c r="K95" i="91"/>
  <c r="L95" i="91"/>
  <c r="M95" i="91"/>
  <c r="BJ95" i="91"/>
  <c r="N95" i="91"/>
  <c r="O95" i="91"/>
  <c r="P95" i="91"/>
  <c r="Q95" i="91"/>
  <c r="R95" i="91"/>
  <c r="S95" i="91"/>
  <c r="U95" i="91"/>
  <c r="W95" i="91"/>
  <c r="X95" i="91"/>
  <c r="Y95" i="91"/>
  <c r="Z95" i="91"/>
  <c r="AC95" i="91"/>
  <c r="AD95" i="91"/>
  <c r="AF95" i="91"/>
  <c r="AS95" i="91"/>
  <c r="AH100" i="91"/>
  <c r="AK95" i="91"/>
  <c r="AM95" i="91"/>
  <c r="AO95" i="91"/>
  <c r="AR95" i="91"/>
  <c r="AZ95" i="91"/>
  <c r="BF95" i="91"/>
  <c r="BG95" i="91"/>
  <c r="A96" i="91"/>
  <c r="B96" i="91"/>
  <c r="C96" i="91"/>
  <c r="D96" i="91"/>
  <c r="E96" i="91"/>
  <c r="H96" i="91"/>
  <c r="K96" i="91"/>
  <c r="L96" i="91"/>
  <c r="M96" i="91"/>
  <c r="BJ96" i="91"/>
  <c r="N96" i="91"/>
  <c r="O96" i="91"/>
  <c r="P96" i="91"/>
  <c r="Q96" i="91"/>
  <c r="R96" i="91"/>
  <c r="S96" i="91"/>
  <c r="U96" i="91"/>
  <c r="W96" i="91"/>
  <c r="X96" i="91"/>
  <c r="Y96" i="91"/>
  <c r="Z96" i="91"/>
  <c r="AC96" i="91"/>
  <c r="AD96" i="91"/>
  <c r="AF96" i="91"/>
  <c r="AS96" i="91"/>
  <c r="AH96" i="91"/>
  <c r="AE96" i="91"/>
  <c r="AK96" i="91"/>
  <c r="AM96" i="91"/>
  <c r="AO96" i="91"/>
  <c r="AR96" i="91"/>
  <c r="AZ96" i="91"/>
  <c r="BF96" i="91"/>
  <c r="BG96" i="91"/>
  <c r="A97" i="91"/>
  <c r="B97" i="91"/>
  <c r="E97" i="91"/>
  <c r="C97" i="91"/>
  <c r="D97" i="91"/>
  <c r="H97" i="91"/>
  <c r="K97" i="91"/>
  <c r="L97" i="91"/>
  <c r="M97" i="91"/>
  <c r="BJ97" i="91"/>
  <c r="N97" i="91"/>
  <c r="O97" i="91"/>
  <c r="P97" i="91"/>
  <c r="Q97" i="91"/>
  <c r="R97" i="91"/>
  <c r="S97" i="91"/>
  <c r="U97" i="91"/>
  <c r="W97" i="91"/>
  <c r="X97" i="91"/>
  <c r="Y97" i="91"/>
  <c r="Z97" i="91"/>
  <c r="AC97" i="91"/>
  <c r="AD97" i="91"/>
  <c r="AF97" i="91"/>
  <c r="AS97" i="91"/>
  <c r="AH102" i="91"/>
  <c r="AK97" i="91"/>
  <c r="AM97" i="91"/>
  <c r="AO97" i="91"/>
  <c r="AR97" i="91"/>
  <c r="AZ97" i="91"/>
  <c r="BF97" i="91"/>
  <c r="BG97" i="91"/>
  <c r="A98" i="91"/>
  <c r="B98" i="91"/>
  <c r="C98" i="91"/>
  <c r="D98" i="91"/>
  <c r="E98" i="91"/>
  <c r="H98" i="91"/>
  <c r="I98" i="91"/>
  <c r="K98" i="91"/>
  <c r="L98" i="91"/>
  <c r="M98" i="91"/>
  <c r="BJ98" i="91"/>
  <c r="N98" i="91"/>
  <c r="O98" i="91"/>
  <c r="P98" i="91"/>
  <c r="Q98" i="91"/>
  <c r="R98" i="91"/>
  <c r="S98" i="91"/>
  <c r="U98" i="91"/>
  <c r="W98" i="91"/>
  <c r="X98" i="91"/>
  <c r="Y98" i="91"/>
  <c r="Z98" i="91"/>
  <c r="AC98" i="91"/>
  <c r="AD98" i="91"/>
  <c r="AF98" i="91"/>
  <c r="AS98" i="91"/>
  <c r="AK98" i="91"/>
  <c r="AM98" i="91"/>
  <c r="AO98" i="91"/>
  <c r="AR98" i="91"/>
  <c r="AZ98" i="91"/>
  <c r="BF98" i="91"/>
  <c r="BG98" i="91"/>
  <c r="A99" i="91"/>
  <c r="B99" i="91"/>
  <c r="C99" i="91"/>
  <c r="D99" i="91"/>
  <c r="E99" i="91"/>
  <c r="H99" i="91"/>
  <c r="I99" i="91"/>
  <c r="K99" i="91"/>
  <c r="L99" i="91"/>
  <c r="M99" i="91"/>
  <c r="BJ99" i="91"/>
  <c r="N99" i="91"/>
  <c r="O99" i="91"/>
  <c r="P99" i="91"/>
  <c r="Q99" i="91"/>
  <c r="R99" i="91"/>
  <c r="S99" i="91"/>
  <c r="U99" i="91"/>
  <c r="W99" i="91"/>
  <c r="X99" i="91"/>
  <c r="Y99" i="91"/>
  <c r="Z99" i="91"/>
  <c r="AC99" i="91"/>
  <c r="AD99" i="91"/>
  <c r="AF99" i="91"/>
  <c r="AS99" i="91"/>
  <c r="AK99" i="91"/>
  <c r="AM99" i="91"/>
  <c r="AN99" i="91"/>
  <c r="AO99" i="91"/>
  <c r="AR99" i="91"/>
  <c r="AZ99" i="91"/>
  <c r="BF99" i="91"/>
  <c r="BG99" i="91"/>
  <c r="A100" i="91"/>
  <c r="B100" i="91"/>
  <c r="E100" i="91"/>
  <c r="C100" i="91"/>
  <c r="D100" i="91"/>
  <c r="H100" i="91"/>
  <c r="I100" i="91"/>
  <c r="K100" i="91"/>
  <c r="L100" i="91"/>
  <c r="M100" i="91"/>
  <c r="BJ100" i="91"/>
  <c r="N100" i="91"/>
  <c r="O100" i="91"/>
  <c r="P100" i="91"/>
  <c r="Q100" i="91"/>
  <c r="R100" i="91"/>
  <c r="S100" i="91"/>
  <c r="U100" i="91"/>
  <c r="W100" i="91"/>
  <c r="X100" i="91"/>
  <c r="Y100" i="91"/>
  <c r="Z100" i="91"/>
  <c r="AA100" i="91"/>
  <c r="BI13" i="91"/>
  <c r="AC100" i="91"/>
  <c r="AD100" i="91"/>
  <c r="AF100" i="91"/>
  <c r="AS100" i="91"/>
  <c r="AH106" i="91"/>
  <c r="AK100" i="91"/>
  <c r="AM100" i="91"/>
  <c r="AO100" i="91"/>
  <c r="AR100" i="91"/>
  <c r="AZ100" i="91"/>
  <c r="BF100" i="91"/>
  <c r="BG100" i="91"/>
  <c r="A101" i="91"/>
  <c r="B101" i="91"/>
  <c r="C101" i="91"/>
  <c r="D101" i="91"/>
  <c r="E101" i="91"/>
  <c r="H101" i="91"/>
  <c r="I101" i="91"/>
  <c r="K101" i="91"/>
  <c r="L101" i="91"/>
  <c r="M101" i="91"/>
  <c r="BJ101" i="91"/>
  <c r="N101" i="91"/>
  <c r="O101" i="91"/>
  <c r="P101" i="91"/>
  <c r="Q101" i="91"/>
  <c r="R101" i="91"/>
  <c r="S101" i="91"/>
  <c r="U101" i="91"/>
  <c r="W101" i="91"/>
  <c r="X101" i="91"/>
  <c r="Y101" i="91"/>
  <c r="Z101" i="91"/>
  <c r="AA101" i="91"/>
  <c r="BI14" i="91"/>
  <c r="AD101" i="91"/>
  <c r="AF101" i="91"/>
  <c r="AS101" i="91"/>
  <c r="AH101" i="91"/>
  <c r="BJ14" i="91"/>
  <c r="AK101" i="91"/>
  <c r="AM101" i="91"/>
  <c r="AO101" i="91"/>
  <c r="AR101" i="91"/>
  <c r="AZ101" i="91"/>
  <c r="BF101" i="91"/>
  <c r="BG101" i="91"/>
  <c r="A102" i="91"/>
  <c r="B102" i="91"/>
  <c r="E102" i="91"/>
  <c r="C102" i="91"/>
  <c r="D102" i="91"/>
  <c r="H102" i="91"/>
  <c r="I102" i="91"/>
  <c r="K102" i="91"/>
  <c r="L102" i="91"/>
  <c r="M102" i="91"/>
  <c r="BJ102" i="91"/>
  <c r="N102" i="91"/>
  <c r="O102" i="91"/>
  <c r="P102" i="91"/>
  <c r="Q102" i="91"/>
  <c r="R102" i="91"/>
  <c r="S102" i="91"/>
  <c r="U102" i="91"/>
  <c r="W102" i="91"/>
  <c r="X102" i="91"/>
  <c r="Y102" i="91"/>
  <c r="Z102" i="91"/>
  <c r="AA102" i="91"/>
  <c r="BI15" i="91"/>
  <c r="AC102" i="91"/>
  <c r="AD102" i="91"/>
  <c r="AF102" i="91"/>
  <c r="AS102" i="91"/>
  <c r="AK102" i="91"/>
  <c r="AM102" i="91"/>
  <c r="AN102" i="91" a="1"/>
  <c r="AN102" i="91"/>
  <c r="AO102" i="91"/>
  <c r="AR102" i="91"/>
  <c r="AZ102" i="91"/>
  <c r="BF102" i="91"/>
  <c r="BG102" i="91"/>
  <c r="A103" i="91"/>
  <c r="B103" i="91"/>
  <c r="C103" i="91"/>
  <c r="D103" i="91"/>
  <c r="E103" i="91"/>
  <c r="H103" i="91"/>
  <c r="I103" i="91"/>
  <c r="K103" i="91"/>
  <c r="L103" i="91"/>
  <c r="M103" i="91"/>
  <c r="BJ103" i="91"/>
  <c r="N103" i="91"/>
  <c r="O103" i="91"/>
  <c r="P103" i="91"/>
  <c r="Q103" i="91"/>
  <c r="R103" i="91"/>
  <c r="S103" i="91"/>
  <c r="U103" i="91"/>
  <c r="W103" i="91"/>
  <c r="X103" i="91"/>
  <c r="Y103" i="91"/>
  <c r="Z103" i="91"/>
  <c r="AA103" i="91"/>
  <c r="BI16" i="91"/>
  <c r="AD103" i="91"/>
  <c r="AF103" i="91"/>
  <c r="AS103" i="91"/>
  <c r="AH103" i="91"/>
  <c r="BJ16" i="91"/>
  <c r="AK103" i="91"/>
  <c r="AM103" i="91"/>
  <c r="AN103" i="91"/>
  <c r="AO103" i="91"/>
  <c r="AR103" i="91"/>
  <c r="AZ103" i="91"/>
  <c r="BF103" i="91"/>
  <c r="BG103" i="91"/>
  <c r="A104" i="91"/>
  <c r="B104" i="91"/>
  <c r="C104" i="91"/>
  <c r="D104" i="91"/>
  <c r="E104" i="91"/>
  <c r="H104" i="91"/>
  <c r="I104" i="91"/>
  <c r="K104" i="91"/>
  <c r="L104" i="91"/>
  <c r="M104" i="91"/>
  <c r="BJ104" i="91"/>
  <c r="N104" i="91"/>
  <c r="O104" i="91"/>
  <c r="P104" i="91"/>
  <c r="Q104" i="91"/>
  <c r="R104" i="91"/>
  <c r="S104" i="91"/>
  <c r="U104" i="91"/>
  <c r="W104" i="91"/>
  <c r="X104" i="91"/>
  <c r="Y104" i="91"/>
  <c r="Z104" i="91"/>
  <c r="AA104" i="91"/>
  <c r="BI17" i="91"/>
  <c r="AD104" i="91"/>
  <c r="AF104" i="91"/>
  <c r="AS104" i="91"/>
  <c r="AH104" i="91"/>
  <c r="BJ17" i="91"/>
  <c r="AK104" i="91"/>
  <c r="AM104" i="91"/>
  <c r="AN104" i="91"/>
  <c r="AO104" i="91"/>
  <c r="AR104" i="91"/>
  <c r="AZ104" i="91"/>
  <c r="BF104" i="91"/>
  <c r="BG104" i="91"/>
  <c r="A105" i="91"/>
  <c r="B105" i="91"/>
  <c r="C105" i="91"/>
  <c r="D105" i="91"/>
  <c r="E105" i="91"/>
  <c r="H105" i="91"/>
  <c r="I105" i="91"/>
  <c r="K105" i="91"/>
  <c r="L105" i="91"/>
  <c r="M105" i="91"/>
  <c r="BJ105" i="91"/>
  <c r="N105" i="91"/>
  <c r="O105" i="91"/>
  <c r="P105" i="91"/>
  <c r="Q105" i="91"/>
  <c r="R105" i="91"/>
  <c r="S105" i="91"/>
  <c r="U105" i="91"/>
  <c r="W105" i="91"/>
  <c r="X105" i="91"/>
  <c r="Y105" i="91"/>
  <c r="Z105" i="91"/>
  <c r="AA105" i="91"/>
  <c r="BI18" i="91"/>
  <c r="AD105" i="91"/>
  <c r="AF105" i="91"/>
  <c r="AS105" i="91"/>
  <c r="AH105" i="91"/>
  <c r="BJ18" i="91"/>
  <c r="AK105" i="91"/>
  <c r="AM105" i="91"/>
  <c r="AN105" i="91" a="1"/>
  <c r="AN105" i="91"/>
  <c r="AO105" i="91"/>
  <c r="AR105" i="91"/>
  <c r="AZ105" i="91"/>
  <c r="BF105" i="91"/>
  <c r="BG105" i="91"/>
  <c r="A106" i="91"/>
  <c r="B106" i="91"/>
  <c r="E106" i="91"/>
  <c r="C106" i="91"/>
  <c r="D106" i="91"/>
  <c r="H106" i="91"/>
  <c r="I106" i="91"/>
  <c r="K106" i="91"/>
  <c r="L106" i="91"/>
  <c r="M106" i="91"/>
  <c r="BJ106" i="91"/>
  <c r="N106" i="91"/>
  <c r="O106" i="91"/>
  <c r="P106" i="91"/>
  <c r="Q106" i="91"/>
  <c r="R106" i="91"/>
  <c r="S106" i="91"/>
  <c r="U106" i="91"/>
  <c r="W106" i="91"/>
  <c r="X106" i="91"/>
  <c r="Y106" i="91"/>
  <c r="Z106" i="91"/>
  <c r="AA106" i="91"/>
  <c r="BI19" i="91"/>
  <c r="AC106" i="91"/>
  <c r="AD106" i="91"/>
  <c r="AF106" i="91"/>
  <c r="AS106" i="91"/>
  <c r="AH109" i="91"/>
  <c r="AK106" i="91"/>
  <c r="AM106" i="91"/>
  <c r="AN106" i="91" a="1"/>
  <c r="AN106" i="91"/>
  <c r="AO106" i="91"/>
  <c r="AR106" i="91"/>
  <c r="AZ106" i="91"/>
  <c r="BF106" i="91"/>
  <c r="BG106" i="91"/>
  <c r="A107" i="91"/>
  <c r="B107" i="91"/>
  <c r="C107" i="91"/>
  <c r="D107" i="91"/>
  <c r="E107" i="91"/>
  <c r="H107" i="91"/>
  <c r="I107" i="91"/>
  <c r="K107" i="91"/>
  <c r="L107" i="91"/>
  <c r="M107" i="91"/>
  <c r="BJ107" i="91"/>
  <c r="N107" i="91"/>
  <c r="O107" i="91"/>
  <c r="P107" i="91"/>
  <c r="Q107" i="91"/>
  <c r="R107" i="91"/>
  <c r="S107" i="91"/>
  <c r="U107" i="91"/>
  <c r="W107" i="91"/>
  <c r="X107" i="91"/>
  <c r="Y107" i="91"/>
  <c r="Z107" i="91"/>
  <c r="AA107" i="91"/>
  <c r="BI20" i="91"/>
  <c r="AD107" i="91"/>
  <c r="AF107" i="91"/>
  <c r="AS107" i="91"/>
  <c r="AH107" i="91"/>
  <c r="AE107" i="91"/>
  <c r="AK107" i="91"/>
  <c r="AM107" i="91"/>
  <c r="AN107" i="91"/>
  <c r="AO107" i="91"/>
  <c r="AR107" i="91"/>
  <c r="AZ107" i="91"/>
  <c r="BF107" i="91"/>
  <c r="BG107" i="91"/>
  <c r="A108" i="91"/>
  <c r="B108" i="91"/>
  <c r="C108" i="91"/>
  <c r="D108" i="91"/>
  <c r="E108" i="91"/>
  <c r="H108" i="91"/>
  <c r="I108" i="91"/>
  <c r="K108" i="91"/>
  <c r="L108" i="91"/>
  <c r="M108" i="91"/>
  <c r="BJ108" i="91"/>
  <c r="N108" i="91"/>
  <c r="O108" i="91"/>
  <c r="P108" i="91"/>
  <c r="Q108" i="91"/>
  <c r="R108" i="91"/>
  <c r="S108" i="91"/>
  <c r="U108" i="91"/>
  <c r="W108" i="91"/>
  <c r="X108" i="91"/>
  <c r="Y108" i="91"/>
  <c r="Z108" i="91"/>
  <c r="AA108" i="91"/>
  <c r="AC108" i="91"/>
  <c r="AD108" i="91"/>
  <c r="AF108" i="91"/>
  <c r="AS108" i="91"/>
  <c r="AH108" i="91"/>
  <c r="AE108" i="91"/>
  <c r="AK108" i="91"/>
  <c r="AM108" i="91"/>
  <c r="AN108" i="91" a="1"/>
  <c r="AN108" i="91"/>
  <c r="AO108" i="91"/>
  <c r="AR108" i="91"/>
  <c r="AZ108" i="91"/>
  <c r="BF108" i="91"/>
  <c r="BG108" i="91"/>
  <c r="A109" i="91"/>
  <c r="B109" i="91"/>
  <c r="E109" i="91"/>
  <c r="C109" i="91"/>
  <c r="D109" i="91"/>
  <c r="H109" i="91"/>
  <c r="I109" i="91"/>
  <c r="K109" i="91"/>
  <c r="L109" i="91"/>
  <c r="M109" i="91"/>
  <c r="BJ109" i="91"/>
  <c r="N109" i="91"/>
  <c r="O109" i="91"/>
  <c r="P109" i="91"/>
  <c r="Q109" i="91"/>
  <c r="R109" i="91"/>
  <c r="S109" i="91"/>
  <c r="U109" i="91"/>
  <c r="W109" i="91"/>
  <c r="X109" i="91"/>
  <c r="Y109" i="91"/>
  <c r="Z109" i="91"/>
  <c r="AA109" i="91"/>
  <c r="AC109" i="91"/>
  <c r="AD109" i="91"/>
  <c r="AF109" i="91"/>
  <c r="AS109" i="91"/>
  <c r="AH114" i="91"/>
  <c r="AK109" i="91"/>
  <c r="AM109" i="91"/>
  <c r="AO109" i="91"/>
  <c r="AQ109" i="91"/>
  <c r="AR109" i="91"/>
  <c r="AZ109" i="91"/>
  <c r="BF109" i="91"/>
  <c r="BG109" i="91"/>
  <c r="A110" i="91"/>
  <c r="B110" i="91"/>
  <c r="E110" i="91"/>
  <c r="C110" i="91"/>
  <c r="D110" i="91"/>
  <c r="H110" i="91"/>
  <c r="I110" i="91"/>
  <c r="K110" i="91"/>
  <c r="L110" i="91"/>
  <c r="M110" i="91"/>
  <c r="BJ110" i="91"/>
  <c r="N110" i="91"/>
  <c r="O110" i="91"/>
  <c r="P110" i="91"/>
  <c r="Q110" i="91"/>
  <c r="R110" i="91"/>
  <c r="S110" i="91"/>
  <c r="U110" i="91"/>
  <c r="W110" i="91"/>
  <c r="X110" i="91"/>
  <c r="Y110" i="91"/>
  <c r="Z110" i="91"/>
  <c r="AA110" i="91"/>
  <c r="AC110" i="91"/>
  <c r="AD110" i="91"/>
  <c r="AF110" i="91"/>
  <c r="AS110" i="91"/>
  <c r="AK110" i="91"/>
  <c r="AM110" i="91"/>
  <c r="AO110" i="91"/>
  <c r="AR110" i="91"/>
  <c r="AZ110" i="91"/>
  <c r="BF110" i="91"/>
  <c r="BG110" i="91"/>
  <c r="A111" i="91"/>
  <c r="B111" i="91"/>
  <c r="C111" i="91"/>
  <c r="D111" i="91"/>
  <c r="E111" i="91"/>
  <c r="H111" i="91"/>
  <c r="I111" i="91"/>
  <c r="K111" i="91"/>
  <c r="L111" i="91"/>
  <c r="M111" i="91"/>
  <c r="BJ111" i="91"/>
  <c r="N111" i="91"/>
  <c r="O111" i="91"/>
  <c r="P111" i="91"/>
  <c r="Q111" i="91"/>
  <c r="R111" i="91"/>
  <c r="S111" i="91"/>
  <c r="U111" i="91"/>
  <c r="W111" i="91"/>
  <c r="X111" i="91"/>
  <c r="Y111" i="91"/>
  <c r="Z111" i="91"/>
  <c r="AA111" i="91"/>
  <c r="AC111" i="91"/>
  <c r="AD111" i="91"/>
  <c r="AF111" i="91"/>
  <c r="AS111" i="91"/>
  <c r="AH111" i="91"/>
  <c r="AE111" i="91"/>
  <c r="AK111" i="91"/>
  <c r="AM111" i="91"/>
  <c r="AO111" i="91"/>
  <c r="AR111" i="91"/>
  <c r="AZ111" i="91"/>
  <c r="BF111" i="91"/>
  <c r="BG111" i="91"/>
  <c r="A112" i="91"/>
  <c r="B112" i="91"/>
  <c r="E112" i="91"/>
  <c r="C112" i="91"/>
  <c r="D112" i="91"/>
  <c r="H112" i="91"/>
  <c r="I112" i="91"/>
  <c r="K112" i="91"/>
  <c r="L112" i="91"/>
  <c r="M112" i="91"/>
  <c r="BJ112" i="91"/>
  <c r="N112" i="91"/>
  <c r="O112" i="91"/>
  <c r="P112" i="91"/>
  <c r="Q112" i="91"/>
  <c r="R112" i="91"/>
  <c r="S112" i="91"/>
  <c r="U112" i="91"/>
  <c r="W112" i="91"/>
  <c r="X112" i="91"/>
  <c r="Y112" i="91"/>
  <c r="Z112" i="91"/>
  <c r="AA112" i="91"/>
  <c r="AC112" i="91"/>
  <c r="AD112" i="91"/>
  <c r="AF112" i="91"/>
  <c r="AS112" i="91"/>
  <c r="AH118" i="91"/>
  <c r="AK112" i="91"/>
  <c r="AM112" i="91"/>
  <c r="AO112" i="91"/>
  <c r="AR112" i="91"/>
  <c r="AZ112" i="91"/>
  <c r="BF112" i="91"/>
  <c r="BG112" i="91"/>
  <c r="A113" i="91"/>
  <c r="B113" i="91"/>
  <c r="C113" i="91"/>
  <c r="D113" i="91"/>
  <c r="E113" i="91"/>
  <c r="H113" i="91"/>
  <c r="I113" i="91"/>
  <c r="K113" i="91"/>
  <c r="L113" i="91"/>
  <c r="M113" i="91"/>
  <c r="BJ113" i="91"/>
  <c r="N113" i="91"/>
  <c r="O113" i="91"/>
  <c r="P113" i="91"/>
  <c r="Q113" i="91"/>
  <c r="R113" i="91"/>
  <c r="S113" i="91"/>
  <c r="U113" i="91"/>
  <c r="W113" i="91"/>
  <c r="X113" i="91"/>
  <c r="Y113" i="91"/>
  <c r="Z113" i="91"/>
  <c r="AA113" i="91"/>
  <c r="AC113" i="91"/>
  <c r="AD113" i="91"/>
  <c r="AF113" i="91"/>
  <c r="AS113" i="91"/>
  <c r="AH113" i="91"/>
  <c r="AE113" i="91"/>
  <c r="AK113" i="91"/>
  <c r="AM113" i="91"/>
  <c r="AO113" i="91"/>
  <c r="AR113" i="91"/>
  <c r="AZ113" i="91"/>
  <c r="BF113" i="91"/>
  <c r="BG113" i="91"/>
  <c r="A114" i="91"/>
  <c r="B114" i="91"/>
  <c r="E114" i="91"/>
  <c r="C114" i="91"/>
  <c r="D114" i="91"/>
  <c r="H114" i="91"/>
  <c r="I114" i="91"/>
  <c r="K114" i="91"/>
  <c r="L114" i="91"/>
  <c r="M114" i="91"/>
  <c r="BJ114" i="91"/>
  <c r="N114" i="91"/>
  <c r="O114" i="91"/>
  <c r="P114" i="91"/>
  <c r="Q114" i="91"/>
  <c r="R114" i="91"/>
  <c r="S114" i="91"/>
  <c r="U114" i="91"/>
  <c r="W114" i="91"/>
  <c r="X114" i="91"/>
  <c r="Y114" i="91"/>
  <c r="Z114" i="91"/>
  <c r="AA114" i="91"/>
  <c r="AC114" i="91"/>
  <c r="AD114" i="91"/>
  <c r="AF114" i="91"/>
  <c r="AS114" i="91"/>
  <c r="AH120" i="91"/>
  <c r="AK114" i="91"/>
  <c r="AM114" i="91"/>
  <c r="AO114" i="91"/>
  <c r="AR114" i="91"/>
  <c r="AZ114" i="91"/>
  <c r="BF114" i="91"/>
  <c r="BG114" i="91"/>
  <c r="A115" i="91"/>
  <c r="B115" i="91"/>
  <c r="C115" i="91"/>
  <c r="D115" i="91"/>
  <c r="E115" i="91"/>
  <c r="H115" i="91"/>
  <c r="I115" i="91"/>
  <c r="K115" i="91"/>
  <c r="L115" i="91"/>
  <c r="M115" i="91"/>
  <c r="BJ115" i="91"/>
  <c r="N115" i="91"/>
  <c r="O115" i="91"/>
  <c r="P115" i="91"/>
  <c r="Q115" i="91"/>
  <c r="R115" i="91"/>
  <c r="S115" i="91"/>
  <c r="U115" i="91"/>
  <c r="W115" i="91"/>
  <c r="X115" i="91"/>
  <c r="Y115" i="91"/>
  <c r="Z115" i="91"/>
  <c r="AA115" i="91"/>
  <c r="AC115" i="91"/>
  <c r="AD115" i="91"/>
  <c r="AF115" i="91"/>
  <c r="AS115" i="91"/>
  <c r="AH115" i="91"/>
  <c r="AE115" i="91"/>
  <c r="AK115" i="91"/>
  <c r="AM115" i="91"/>
  <c r="AO115" i="91"/>
  <c r="AR115" i="91"/>
  <c r="AZ115" i="91"/>
  <c r="BF115" i="91"/>
  <c r="BG115" i="91"/>
  <c r="A116" i="91"/>
  <c r="B116" i="91"/>
  <c r="E116" i="91"/>
  <c r="C116" i="91"/>
  <c r="D116" i="91"/>
  <c r="H116" i="91"/>
  <c r="I116" i="91"/>
  <c r="K116" i="91"/>
  <c r="L116" i="91"/>
  <c r="M116" i="91"/>
  <c r="BJ116" i="91"/>
  <c r="N116" i="91"/>
  <c r="O116" i="91"/>
  <c r="P116" i="91"/>
  <c r="Q116" i="91"/>
  <c r="R116" i="91"/>
  <c r="S116" i="91"/>
  <c r="U116" i="91"/>
  <c r="W116" i="91"/>
  <c r="X116" i="91"/>
  <c r="Y116" i="91"/>
  <c r="Z116" i="91"/>
  <c r="AA116" i="91"/>
  <c r="AC116" i="91"/>
  <c r="AD116" i="91"/>
  <c r="AF116" i="91"/>
  <c r="AS116" i="91"/>
  <c r="AK116" i="91"/>
  <c r="AM116" i="91"/>
  <c r="AO116" i="91"/>
  <c r="AR116" i="91"/>
  <c r="AZ116" i="91"/>
  <c r="BF116" i="91"/>
  <c r="BG116" i="91"/>
  <c r="A117" i="91"/>
  <c r="B117" i="91"/>
  <c r="C117" i="91"/>
  <c r="D117" i="91"/>
  <c r="E117" i="91"/>
  <c r="H117" i="91"/>
  <c r="I117" i="91"/>
  <c r="K117" i="91"/>
  <c r="L117" i="91"/>
  <c r="M117" i="91"/>
  <c r="BJ117" i="91"/>
  <c r="N117" i="91"/>
  <c r="O117" i="91"/>
  <c r="P117" i="91"/>
  <c r="Q117" i="91"/>
  <c r="R117" i="91"/>
  <c r="S117" i="91"/>
  <c r="U117" i="91"/>
  <c r="W117" i="91"/>
  <c r="X117" i="91"/>
  <c r="Y117" i="91"/>
  <c r="Z117" i="91"/>
  <c r="AA117" i="91"/>
  <c r="AC117" i="91"/>
  <c r="AD117" i="91"/>
  <c r="AF117" i="91"/>
  <c r="AS117" i="91"/>
  <c r="AH117" i="91"/>
  <c r="AE117" i="91"/>
  <c r="AK117" i="91"/>
  <c r="AM117" i="91"/>
  <c r="AO117" i="91"/>
  <c r="AR117" i="91"/>
  <c r="AZ117" i="91"/>
  <c r="BF117" i="91"/>
  <c r="BG117" i="91"/>
  <c r="A118" i="91"/>
  <c r="B118" i="91"/>
  <c r="E118" i="91"/>
  <c r="C118" i="91"/>
  <c r="D118" i="91"/>
  <c r="H118" i="91"/>
  <c r="I118" i="91"/>
  <c r="K118" i="91"/>
  <c r="L118" i="91"/>
  <c r="M118" i="91"/>
  <c r="BJ118" i="91"/>
  <c r="N118" i="91"/>
  <c r="O118" i="91"/>
  <c r="P118" i="91"/>
  <c r="Q118" i="91"/>
  <c r="R118" i="91"/>
  <c r="S118" i="91"/>
  <c r="U118" i="91"/>
  <c r="W118" i="91"/>
  <c r="X118" i="91"/>
  <c r="Y118" i="91"/>
  <c r="Z118" i="91"/>
  <c r="AA118" i="91"/>
  <c r="AC118" i="91"/>
  <c r="AD118" i="91"/>
  <c r="AF118" i="91"/>
  <c r="AS118" i="91"/>
  <c r="AK118" i="91"/>
  <c r="AM118" i="91"/>
  <c r="AO118" i="91"/>
  <c r="AR118" i="91"/>
  <c r="AZ118" i="91"/>
  <c r="BF118" i="91"/>
  <c r="BG118" i="91"/>
  <c r="A119" i="91"/>
  <c r="B119" i="91"/>
  <c r="C119" i="91"/>
  <c r="D119" i="91"/>
  <c r="E119" i="91"/>
  <c r="H119" i="91"/>
  <c r="I119" i="91"/>
  <c r="K119" i="91"/>
  <c r="L119" i="91"/>
  <c r="M119" i="91"/>
  <c r="BJ119" i="91"/>
  <c r="N119" i="91"/>
  <c r="O119" i="91"/>
  <c r="P119" i="91"/>
  <c r="Q119" i="91"/>
  <c r="R119" i="91"/>
  <c r="S119" i="91"/>
  <c r="U119" i="91"/>
  <c r="W119" i="91"/>
  <c r="X119" i="91"/>
  <c r="Y119" i="91"/>
  <c r="Z119" i="91"/>
  <c r="AA119" i="91"/>
  <c r="AC119" i="91"/>
  <c r="AD119" i="91"/>
  <c r="AF119" i="91"/>
  <c r="AS119" i="91"/>
  <c r="AH119" i="91"/>
  <c r="AE119" i="91"/>
  <c r="AK119" i="91"/>
  <c r="AM119" i="91"/>
  <c r="AO119" i="91"/>
  <c r="AR119" i="91"/>
  <c r="AZ119" i="91"/>
  <c r="BF119" i="91"/>
  <c r="BG119" i="91"/>
  <c r="A120" i="91"/>
  <c r="B120" i="91"/>
  <c r="E120" i="91"/>
  <c r="C120" i="91"/>
  <c r="D120" i="91"/>
  <c r="H120" i="91"/>
  <c r="I120" i="91"/>
  <c r="K120" i="91"/>
  <c r="L120" i="91"/>
  <c r="M120" i="91"/>
  <c r="BJ120" i="91"/>
  <c r="N120" i="91"/>
  <c r="O120" i="91"/>
  <c r="P120" i="91"/>
  <c r="Q120" i="91"/>
  <c r="R120" i="91"/>
  <c r="S120" i="91"/>
  <c r="U120" i="91"/>
  <c r="W120" i="91"/>
  <c r="X120" i="91"/>
  <c r="Y120" i="91"/>
  <c r="Z120" i="91"/>
  <c r="AA120" i="91"/>
  <c r="AC120" i="91"/>
  <c r="AD120" i="91"/>
  <c r="AF120" i="91"/>
  <c r="AS120" i="91"/>
  <c r="AK120" i="91"/>
  <c r="AM120" i="91"/>
  <c r="AO120" i="91"/>
  <c r="AR120" i="91"/>
  <c r="AZ120" i="91"/>
  <c r="BF120" i="91"/>
  <c r="BG120" i="91"/>
  <c r="A121" i="91"/>
  <c r="B121" i="91"/>
  <c r="C121" i="91"/>
  <c r="D121" i="91"/>
  <c r="E121" i="91"/>
  <c r="K121" i="91"/>
  <c r="L121" i="91"/>
  <c r="M121" i="91"/>
  <c r="N121" i="91"/>
  <c r="O121" i="91"/>
  <c r="P121" i="91"/>
  <c r="Q121" i="91"/>
  <c r="R121" i="91"/>
  <c r="S121" i="91"/>
  <c r="U121" i="91"/>
  <c r="W121" i="91"/>
  <c r="X121" i="91"/>
  <c r="Y121" i="91"/>
  <c r="Z121" i="91"/>
  <c r="AA121" i="91"/>
  <c r="AB121" i="91"/>
  <c r="AC121" i="91"/>
  <c r="AD121" i="91"/>
  <c r="AG121" i="91"/>
  <c r="AE121" i="91"/>
  <c r="AF121" i="91"/>
  <c r="AS121" i="91"/>
  <c r="AI121" i="91"/>
  <c r="AK121" i="91"/>
  <c r="AL121" i="91"/>
  <c r="AM121" i="91"/>
  <c r="AO121" i="91"/>
  <c r="AR121" i="91"/>
  <c r="AZ121" i="91"/>
  <c r="BF121" i="91"/>
  <c r="BG121" i="91"/>
  <c r="BJ121" i="91"/>
  <c r="W123" i="91"/>
  <c r="X123" i="91"/>
  <c r="AS123" i="91"/>
  <c r="AB91" i="88"/>
  <c r="AG91" i="88"/>
  <c r="AB92" i="88"/>
  <c r="AG92" i="88"/>
  <c r="AB93" i="88"/>
  <c r="AG93" i="88"/>
  <c r="AB94" i="88"/>
  <c r="AG94" i="88"/>
  <c r="AB95" i="88"/>
  <c r="AG95" i="88"/>
  <c r="AB96" i="88"/>
  <c r="AG96" i="88"/>
  <c r="AB97" i="88"/>
  <c r="AG97" i="88"/>
  <c r="AB98" i="88"/>
  <c r="AG98" i="88"/>
  <c r="AB99" i="88"/>
  <c r="AG99" i="88"/>
  <c r="AB100" i="88"/>
  <c r="AG100" i="88"/>
  <c r="AB101" i="88"/>
  <c r="AG101" i="88"/>
  <c r="AB102" i="88"/>
  <c r="AG102" i="88"/>
  <c r="AB103" i="88"/>
  <c r="AG103" i="88"/>
  <c r="AB104" i="88"/>
  <c r="AG104" i="88"/>
  <c r="AB105" i="88"/>
  <c r="AG105" i="88"/>
  <c r="AB106" i="88"/>
  <c r="AG106" i="88"/>
  <c r="AB107" i="88"/>
  <c r="AG107" i="88"/>
  <c r="AB108" i="88"/>
  <c r="AG108" i="88"/>
  <c r="AB109" i="88"/>
  <c r="AG109" i="88"/>
  <c r="AB110" i="88"/>
  <c r="AG110" i="88"/>
  <c r="AB111" i="88"/>
  <c r="AG111" i="88"/>
  <c r="AB112" i="88"/>
  <c r="AG112" i="88"/>
  <c r="AB113" i="88"/>
  <c r="AG113" i="88"/>
  <c r="AB114" i="88"/>
  <c r="AG114" i="88"/>
  <c r="AB115" i="88"/>
  <c r="AB116" i="88"/>
  <c r="AB117" i="88"/>
  <c r="AB118" i="88"/>
  <c r="AB119" i="88"/>
  <c r="AB120" i="88"/>
  <c r="AB121" i="88"/>
  <c r="AU4" i="88"/>
  <c r="AV4" i="88"/>
  <c r="AW4" i="88"/>
  <c r="AX4" i="88"/>
  <c r="AY4" i="88"/>
  <c r="A5" i="88"/>
  <c r="A6" i="88"/>
  <c r="A7" i="88"/>
  <c r="A8" i="88"/>
  <c r="A9" i="88"/>
  <c r="A10" i="88"/>
  <c r="A11" i="88"/>
  <c r="A12" i="88"/>
  <c r="A13" i="88"/>
  <c r="A14" i="88"/>
  <c r="A15" i="88"/>
  <c r="A16" i="88"/>
  <c r="A17" i="88"/>
  <c r="A18" i="88"/>
  <c r="A19" i="88"/>
  <c r="A20" i="88"/>
  <c r="A21" i="88"/>
  <c r="A22" i="88"/>
  <c r="A23" i="88"/>
  <c r="A24" i="88"/>
  <c r="A25" i="88"/>
  <c r="A26" i="88"/>
  <c r="A27" i="88"/>
  <c r="A28" i="88"/>
  <c r="A29" i="88"/>
  <c r="A30" i="88"/>
  <c r="A31" i="88"/>
  <c r="A32" i="88"/>
  <c r="A33" i="88"/>
  <c r="E5" i="88"/>
  <c r="AU5" i="88"/>
  <c r="AV5" i="88"/>
  <c r="AW5" i="88"/>
  <c r="AX5" i="88"/>
  <c r="AY5" i="88"/>
  <c r="E6" i="88"/>
  <c r="E7" i="88"/>
  <c r="AU6" i="88"/>
  <c r="AV6" i="88"/>
  <c r="AW6" i="88"/>
  <c r="AX6" i="88"/>
  <c r="AY6" i="88"/>
  <c r="AU7" i="88"/>
  <c r="AV7" i="88"/>
  <c r="AW7" i="88"/>
  <c r="AX7" i="88"/>
  <c r="AY7" i="88"/>
  <c r="AU8" i="88"/>
  <c r="AV8" i="88"/>
  <c r="AW8" i="88"/>
  <c r="AX8" i="88"/>
  <c r="AY8" i="88"/>
  <c r="AU9" i="88"/>
  <c r="AV9" i="88"/>
  <c r="AW9" i="88"/>
  <c r="AX9" i="88"/>
  <c r="AY9" i="88"/>
  <c r="AU10" i="88"/>
  <c r="AV10" i="88"/>
  <c r="AW10" i="88"/>
  <c r="AX10" i="88"/>
  <c r="AY10" i="88"/>
  <c r="AU11" i="88"/>
  <c r="AV11" i="88"/>
  <c r="AW11" i="88"/>
  <c r="AX11" i="88"/>
  <c r="AY11" i="88"/>
  <c r="AU12" i="88"/>
  <c r="AV12" i="88"/>
  <c r="AW12" i="88"/>
  <c r="AX12" i="88"/>
  <c r="AY12" i="88"/>
  <c r="AU13" i="88"/>
  <c r="AV13" i="88"/>
  <c r="AW13" i="88"/>
  <c r="AX13" i="88"/>
  <c r="AY13" i="88"/>
  <c r="AU14" i="88"/>
  <c r="AV14" i="88"/>
  <c r="AW14" i="88"/>
  <c r="AX14" i="88"/>
  <c r="AY14" i="88"/>
  <c r="AU15" i="88"/>
  <c r="AV15" i="88"/>
  <c r="AW15" i="88"/>
  <c r="AX15" i="88"/>
  <c r="AY15" i="88"/>
  <c r="AU16" i="88"/>
  <c r="AV16" i="88"/>
  <c r="AW16" i="88"/>
  <c r="AX16" i="88"/>
  <c r="AY16" i="88"/>
  <c r="AU17" i="88"/>
  <c r="AV17" i="88"/>
  <c r="AW17" i="88"/>
  <c r="AX17" i="88"/>
  <c r="AY17" i="88"/>
  <c r="AU18" i="88"/>
  <c r="AV18" i="88"/>
  <c r="AW18" i="88"/>
  <c r="AX18" i="88"/>
  <c r="AY18" i="88"/>
  <c r="AU19" i="88"/>
  <c r="AV19" i="88"/>
  <c r="AW19" i="88"/>
  <c r="AX19" i="88"/>
  <c r="AY19" i="88"/>
  <c r="AU20" i="88"/>
  <c r="AV20" i="88"/>
  <c r="AW20" i="88"/>
  <c r="AX20" i="88"/>
  <c r="AY20" i="88"/>
  <c r="AU21" i="88"/>
  <c r="AV21" i="88"/>
  <c r="AW21" i="88"/>
  <c r="AX21" i="88"/>
  <c r="AY21" i="88"/>
  <c r="AU22" i="88"/>
  <c r="AV22" i="88"/>
  <c r="AW22" i="88"/>
  <c r="AX22" i="88"/>
  <c r="AY22" i="88"/>
  <c r="AU23" i="88"/>
  <c r="AV23" i="88"/>
  <c r="AW23" i="88"/>
  <c r="AX23" i="88"/>
  <c r="AY23" i="88"/>
  <c r="AU24" i="88"/>
  <c r="AV24" i="88"/>
  <c r="AW24" i="88"/>
  <c r="AX24" i="88"/>
  <c r="AY24" i="88"/>
  <c r="AU25" i="88"/>
  <c r="AV25" i="88"/>
  <c r="AW25" i="88"/>
  <c r="AX25" i="88"/>
  <c r="AY25" i="88"/>
  <c r="AU26" i="88"/>
  <c r="AV26" i="88"/>
  <c r="AW26" i="88"/>
  <c r="AX26" i="88"/>
  <c r="AY26" i="88"/>
  <c r="AU27" i="88"/>
  <c r="AV27" i="88"/>
  <c r="AW27" i="88"/>
  <c r="AX27" i="88"/>
  <c r="AY27" i="88"/>
  <c r="AU28" i="88"/>
  <c r="AV28" i="88"/>
  <c r="AW28" i="88"/>
  <c r="AX28" i="88"/>
  <c r="AY28" i="88"/>
  <c r="AU29" i="88"/>
  <c r="AV29" i="88"/>
  <c r="AW29" i="88"/>
  <c r="AX29" i="88"/>
  <c r="AY29" i="88"/>
  <c r="AU30" i="88"/>
  <c r="AV30" i="88"/>
  <c r="AW30" i="88"/>
  <c r="AX30" i="88"/>
  <c r="AY30" i="88"/>
  <c r="AU31" i="88"/>
  <c r="AV31" i="88"/>
  <c r="AW31" i="88"/>
  <c r="AX31" i="88"/>
  <c r="AY31" i="88"/>
  <c r="AU32" i="88"/>
  <c r="AV32" i="88"/>
  <c r="AW32" i="88"/>
  <c r="AX32" i="88"/>
  <c r="AY32" i="88"/>
  <c r="AU33" i="88"/>
  <c r="AV33" i="88"/>
  <c r="AW33" i="88"/>
  <c r="AX33" i="88"/>
  <c r="AY33" i="88"/>
  <c r="AU34" i="88"/>
  <c r="AV34" i="88"/>
  <c r="AW34" i="88"/>
  <c r="AX34" i="88"/>
  <c r="AY34" i="88"/>
  <c r="H38" i="88"/>
  <c r="K38" i="88"/>
  <c r="L38" i="88"/>
  <c r="M38" i="88"/>
  <c r="N38" i="88"/>
  <c r="P38" i="88"/>
  <c r="Q38" i="88"/>
  <c r="R38" i="88"/>
  <c r="S38" i="88"/>
  <c r="V38" i="88"/>
  <c r="W38" i="88"/>
  <c r="AL121" i="88"/>
  <c r="AL120" i="88"/>
  <c r="AL119" i="88"/>
  <c r="AL118" i="88"/>
  <c r="AL117" i="88"/>
  <c r="AL116" i="88"/>
  <c r="AL115" i="88"/>
  <c r="AL114" i="88"/>
  <c r="AL113" i="88"/>
  <c r="AL112" i="88"/>
  <c r="AL111" i="88"/>
  <c r="AL110" i="88"/>
  <c r="AL109" i="88"/>
  <c r="AL108" i="88"/>
  <c r="AL107" i="88"/>
  <c r="AL106" i="88"/>
  <c r="AL105" i="88"/>
  <c r="AL104" i="88"/>
  <c r="AL103" i="88"/>
  <c r="AL102" i="88"/>
  <c r="AL101" i="88"/>
  <c r="AL100" i="88"/>
  <c r="AL99" i="88"/>
  <c r="AL98" i="88"/>
  <c r="AL97" i="88"/>
  <c r="AL96" i="88"/>
  <c r="AL95" i="88"/>
  <c r="AL94" i="88"/>
  <c r="AL93" i="88"/>
  <c r="AL92" i="88"/>
  <c r="AL91" i="88"/>
  <c r="AN38" i="88"/>
  <c r="AA38" i="88"/>
  <c r="AB38" i="88"/>
  <c r="AD38" i="88"/>
  <c r="AG38" i="88"/>
  <c r="AH38" i="88"/>
  <c r="AI38" i="88"/>
  <c r="AJ38" i="88"/>
  <c r="AS38" i="88"/>
  <c r="AU38" i="88"/>
  <c r="AV38" i="88"/>
  <c r="AW38" i="88"/>
  <c r="AX38" i="88"/>
  <c r="AY38" i="88"/>
  <c r="BA38" i="88"/>
  <c r="BA40" i="88"/>
  <c r="BC38" i="88"/>
  <c r="B39" i="88"/>
  <c r="C39" i="88"/>
  <c r="I39" i="88"/>
  <c r="I40" i="88"/>
  <c r="I46" i="88"/>
  <c r="AD39" i="88"/>
  <c r="B40" i="88"/>
  <c r="C40" i="88"/>
  <c r="F40" i="88"/>
  <c r="G40" i="88"/>
  <c r="H40" i="88"/>
  <c r="M40" i="88"/>
  <c r="R40" i="88"/>
  <c r="U40" i="88"/>
  <c r="V40" i="88"/>
  <c r="W40" i="88"/>
  <c r="X40" i="88"/>
  <c r="AB47" i="88"/>
  <c r="Z40" i="88"/>
  <c r="AA40" i="88"/>
  <c r="AD40" i="88"/>
  <c r="AE40" i="88"/>
  <c r="AN40" i="88"/>
  <c r="AP47" i="88"/>
  <c r="AP40" i="88"/>
  <c r="AQ47" i="88"/>
  <c r="AQ40" i="88"/>
  <c r="AT40" i="88"/>
  <c r="AU40" i="88"/>
  <c r="AV40" i="88"/>
  <c r="F86" i="88"/>
  <c r="F85" i="88"/>
  <c r="F42" i="88"/>
  <c r="G86" i="88"/>
  <c r="G85" i="88"/>
  <c r="G42" i="88"/>
  <c r="BA42" i="88"/>
  <c r="H86" i="88"/>
  <c r="H85" i="88"/>
  <c r="H42" i="88"/>
  <c r="I86" i="88"/>
  <c r="I85" i="88"/>
  <c r="I42" i="88"/>
  <c r="BC42" i="88"/>
  <c r="K86" i="88"/>
  <c r="K85" i="88"/>
  <c r="K42" i="88"/>
  <c r="L86" i="88"/>
  <c r="L85" i="88"/>
  <c r="L42" i="88"/>
  <c r="M86" i="88"/>
  <c r="M85" i="88"/>
  <c r="M42" i="88"/>
  <c r="N86" i="88"/>
  <c r="N85" i="88"/>
  <c r="N42" i="88"/>
  <c r="P86" i="88"/>
  <c r="P85" i="88"/>
  <c r="P42" i="88"/>
  <c r="Q86" i="88"/>
  <c r="Q85" i="88"/>
  <c r="Q42" i="88"/>
  <c r="R86" i="88"/>
  <c r="R85" i="88"/>
  <c r="R42" i="88"/>
  <c r="S86" i="88"/>
  <c r="S85" i="88"/>
  <c r="S42" i="88"/>
  <c r="V86" i="88"/>
  <c r="V85" i="88"/>
  <c r="V42" i="88"/>
  <c r="W86" i="88"/>
  <c r="W85" i="88"/>
  <c r="W42" i="88"/>
  <c r="Z86" i="88"/>
  <c r="Z85" i="88"/>
  <c r="Z42" i="88"/>
  <c r="AA86" i="88"/>
  <c r="AA85" i="88"/>
  <c r="AA42" i="88"/>
  <c r="AB86" i="88"/>
  <c r="AB85" i="88"/>
  <c r="AB42" i="88"/>
  <c r="AC86" i="88"/>
  <c r="AC85" i="88"/>
  <c r="AC42" i="88"/>
  <c r="AE86" i="88"/>
  <c r="AE85" i="88"/>
  <c r="AD42" i="88"/>
  <c r="AD86" i="88"/>
  <c r="AD85" i="88"/>
  <c r="AE42" i="88"/>
  <c r="AG86" i="88"/>
  <c r="AG85" i="88"/>
  <c r="AG42" i="88"/>
  <c r="AH86" i="88"/>
  <c r="AH85" i="88"/>
  <c r="AH42" i="88"/>
  <c r="AI86" i="88"/>
  <c r="AI85" i="88"/>
  <c r="AI42" i="88"/>
  <c r="AJ86" i="88"/>
  <c r="AJ85" i="88"/>
  <c r="AJ42" i="88"/>
  <c r="AQ85" i="88"/>
  <c r="AQ42" i="88"/>
  <c r="AS86" i="88"/>
  <c r="AS85" i="88"/>
  <c r="AS42" i="88"/>
  <c r="AT86" i="88"/>
  <c r="AT85" i="88"/>
  <c r="AT42" i="88"/>
  <c r="BG42" i="88"/>
  <c r="AU86" i="88"/>
  <c r="AU85" i="88"/>
  <c r="AU42" i="88"/>
  <c r="AV86" i="88"/>
  <c r="AV85" i="88"/>
  <c r="AV42" i="88"/>
  <c r="AW86" i="88"/>
  <c r="AW85" i="88"/>
  <c r="AW42" i="88"/>
  <c r="AX86" i="88"/>
  <c r="AX85" i="88"/>
  <c r="AX42" i="88"/>
  <c r="AY86" i="88"/>
  <c r="AY85" i="88"/>
  <c r="AY42" i="88"/>
  <c r="BB42" i="88"/>
  <c r="BF42" i="88"/>
  <c r="B43" i="88"/>
  <c r="C43" i="88"/>
  <c r="F43" i="88"/>
  <c r="G43" i="88"/>
  <c r="H43" i="88"/>
  <c r="I43" i="88"/>
  <c r="K43" i="88"/>
  <c r="L43" i="88"/>
  <c r="M43" i="88"/>
  <c r="N43" i="88"/>
  <c r="P43" i="88"/>
  <c r="Q43" i="88"/>
  <c r="R43" i="88"/>
  <c r="S43" i="88"/>
  <c r="U43" i="88"/>
  <c r="V43" i="88"/>
  <c r="W43" i="88"/>
  <c r="Z43" i="88"/>
  <c r="AB43" i="88"/>
  <c r="AD43" i="88"/>
  <c r="AG43" i="88"/>
  <c r="AH43" i="88"/>
  <c r="AI43" i="88"/>
  <c r="AJ43" i="88"/>
  <c r="AN91" i="88"/>
  <c r="AN43" i="88"/>
  <c r="AP43" i="88"/>
  <c r="AQ43" i="88"/>
  <c r="AS43" i="88"/>
  <c r="AT43" i="88"/>
  <c r="AU43" i="88"/>
  <c r="AV43" i="88"/>
  <c r="AW43" i="88"/>
  <c r="AX43" i="88"/>
  <c r="AY43" i="88"/>
  <c r="BA43" i="88"/>
  <c r="BF43" i="88"/>
  <c r="BG43" i="88"/>
  <c r="F46" i="88"/>
  <c r="G46" i="88"/>
  <c r="AY80" i="88"/>
  <c r="K46" i="88"/>
  <c r="L46" i="88"/>
  <c r="M46" i="88"/>
  <c r="N46" i="88"/>
  <c r="R46" i="88"/>
  <c r="S46" i="88"/>
  <c r="U46" i="88"/>
  <c r="AG46" i="88"/>
  <c r="AH46" i="88"/>
  <c r="AI46" i="88"/>
  <c r="AJ46" i="88"/>
  <c r="AP46" i="88"/>
  <c r="AQ46" i="88"/>
  <c r="F47" i="88"/>
  <c r="G47" i="88"/>
  <c r="H47" i="88"/>
  <c r="I47" i="88"/>
  <c r="R47" i="88"/>
  <c r="AB48" i="88"/>
  <c r="M54" i="88"/>
  <c r="AC47" i="88"/>
  <c r="BB49" i="88"/>
  <c r="BC49" i="88"/>
  <c r="AH50" i="88"/>
  <c r="AJ50" i="88"/>
  <c r="BB50" i="88"/>
  <c r="BC50" i="88"/>
  <c r="AN51" i="88"/>
  <c r="BB51" i="88"/>
  <c r="BC51" i="88"/>
  <c r="AA52" i="88"/>
  <c r="BB52" i="88"/>
  <c r="BC52" i="88"/>
  <c r="AD53" i="88"/>
  <c r="AH53" i="88"/>
  <c r="AJ53" i="88"/>
  <c r="BB53" i="88"/>
  <c r="BC53" i="88"/>
  <c r="AN100" i="88"/>
  <c r="AN97" i="88"/>
  <c r="E69" i="88"/>
  <c r="AN93" i="88"/>
  <c r="AN98" i="88"/>
  <c r="E83" i="88"/>
  <c r="AA54" i="88"/>
  <c r="AD54" i="88"/>
  <c r="AN54" i="88"/>
  <c r="AP54" i="88"/>
  <c r="AQ54" i="88"/>
  <c r="BB54" i="88"/>
  <c r="BC54" i="88"/>
  <c r="X55" i="88"/>
  <c r="BB55" i="88"/>
  <c r="BC55" i="88"/>
  <c r="BB56" i="88"/>
  <c r="BC56" i="88"/>
  <c r="AN57" i="88"/>
  <c r="BB57" i="88"/>
  <c r="BC57" i="88"/>
  <c r="BB58" i="88"/>
  <c r="BC58" i="88"/>
  <c r="BB59" i="88"/>
  <c r="BC59" i="88"/>
  <c r="BB60" i="88"/>
  <c r="BC60" i="88"/>
  <c r="BB61" i="88"/>
  <c r="BC61" i="88"/>
  <c r="BB62" i="88"/>
  <c r="BC62" i="88"/>
  <c r="BB63" i="88"/>
  <c r="BC63" i="88"/>
  <c r="BB64" i="88"/>
  <c r="BC64" i="88"/>
  <c r="BH91" i="88"/>
  <c r="BH92" i="88"/>
  <c r="BH93" i="88"/>
  <c r="BH94" i="88"/>
  <c r="BH95" i="88"/>
  <c r="BH96" i="88"/>
  <c r="BH97" i="88"/>
  <c r="BH98" i="88"/>
  <c r="BH99" i="88"/>
  <c r="BH100" i="88"/>
  <c r="BH101" i="88"/>
  <c r="BH102" i="88"/>
  <c r="BH103" i="88"/>
  <c r="BH104" i="88"/>
  <c r="BH105" i="88"/>
  <c r="BH106" i="88"/>
  <c r="BH107" i="88"/>
  <c r="BH108" i="88"/>
  <c r="BH109" i="88"/>
  <c r="BH110" i="88"/>
  <c r="BH111" i="88"/>
  <c r="BH112" i="88"/>
  <c r="BH113" i="88"/>
  <c r="BH114" i="88"/>
  <c r="BH115" i="88"/>
  <c r="BH116" i="88"/>
  <c r="BH117" i="88"/>
  <c r="BH118" i="88"/>
  <c r="BH119" i="88"/>
  <c r="BH120" i="88"/>
  <c r="BH121" i="88"/>
  <c r="AH65" i="88"/>
  <c r="AJ65" i="88"/>
  <c r="BB65" i="88"/>
  <c r="BC65" i="88"/>
  <c r="BB66" i="88"/>
  <c r="BC66" i="88"/>
  <c r="BB67" i="88"/>
  <c r="BC67" i="88"/>
  <c r="E68" i="88"/>
  <c r="F68" i="88"/>
  <c r="AY91" i="88"/>
  <c r="AH68" i="88"/>
  <c r="AJ68" i="88"/>
  <c r="AY92" i="88"/>
  <c r="AY93" i="88"/>
  <c r="AY94" i="88"/>
  <c r="AY95" i="88"/>
  <c r="AY96" i="88"/>
  <c r="AY97" i="88"/>
  <c r="AY98" i="88"/>
  <c r="AY99" i="88"/>
  <c r="AY100" i="88"/>
  <c r="AY101" i="88"/>
  <c r="AY102" i="88"/>
  <c r="AY103" i="88"/>
  <c r="AY104" i="88"/>
  <c r="AY105" i="88"/>
  <c r="AY106" i="88"/>
  <c r="AY107" i="88"/>
  <c r="AY108" i="88"/>
  <c r="AY109" i="88"/>
  <c r="AY110" i="88"/>
  <c r="AY111" i="88"/>
  <c r="AY112" i="88"/>
  <c r="AY113" i="88"/>
  <c r="AY114" i="88"/>
  <c r="AY115" i="88"/>
  <c r="AY116" i="88"/>
  <c r="AY117" i="88"/>
  <c r="AY118" i="88"/>
  <c r="AY119" i="88"/>
  <c r="AY120" i="88"/>
  <c r="AY121" i="88"/>
  <c r="BB68" i="88"/>
  <c r="BC68" i="88"/>
  <c r="BB69" i="88"/>
  <c r="BC69" i="88"/>
  <c r="BB70" i="88"/>
  <c r="BC70" i="88"/>
  <c r="BB71" i="88"/>
  <c r="BC71" i="88"/>
  <c r="BB72" i="88"/>
  <c r="BC72" i="88"/>
  <c r="AN67" i="88" a="1"/>
  <c r="AT73" i="88"/>
  <c r="BB73" i="88"/>
  <c r="BC73" i="88"/>
  <c r="K74" i="88"/>
  <c r="K80" i="88"/>
  <c r="M74" i="88"/>
  <c r="BB74" i="88"/>
  <c r="BC74" i="88"/>
  <c r="BB75" i="88"/>
  <c r="BC75" i="88"/>
  <c r="M76" i="88"/>
  <c r="AN76" i="88"/>
  <c r="BB76" i="88"/>
  <c r="BC76" i="88"/>
  <c r="L77" i="88"/>
  <c r="M77" i="88"/>
  <c r="BB77" i="88"/>
  <c r="BC77" i="88"/>
  <c r="AY81" i="88"/>
  <c r="AY82" i="88"/>
  <c r="H46" i="88"/>
  <c r="L78" i="88"/>
  <c r="M78" i="88"/>
  <c r="BB78" i="88"/>
  <c r="BC78" i="88"/>
  <c r="K79" i="88"/>
  <c r="L79" i="88"/>
  <c r="M79" i="88"/>
  <c r="BB79" i="88"/>
  <c r="BC79" i="88"/>
  <c r="L80" i="88"/>
  <c r="M80" i="88"/>
  <c r="BB80" i="88"/>
  <c r="BC80" i="88"/>
  <c r="BF80" i="88"/>
  <c r="BG80" i="88"/>
  <c r="BH80" i="88"/>
  <c r="BI80" i="88"/>
  <c r="BJ80" i="88"/>
  <c r="K81" i="88"/>
  <c r="L81" i="88"/>
  <c r="M81" i="88"/>
  <c r="E82" i="88"/>
  <c r="K82" i="88"/>
  <c r="L82" i="88"/>
  <c r="M82" i="88"/>
  <c r="BF82" i="88"/>
  <c r="BG82" i="88"/>
  <c r="BH82" i="88"/>
  <c r="BI82" i="88"/>
  <c r="BJ82" i="88"/>
  <c r="K83" i="88"/>
  <c r="L83" i="88"/>
  <c r="M83" i="88"/>
  <c r="C91" i="88"/>
  <c r="B91" i="88"/>
  <c r="E91" i="88"/>
  <c r="BA83" i="88"/>
  <c r="BC83" i="88"/>
  <c r="BF83" i="88"/>
  <c r="BG83" i="88"/>
  <c r="BH83" i="88"/>
  <c r="BI83" i="88"/>
  <c r="BJ83" i="88"/>
  <c r="BA84" i="88"/>
  <c r="BB84" i="88"/>
  <c r="C85" i="88"/>
  <c r="X85" i="88"/>
  <c r="Y85" i="88"/>
  <c r="AF85" i="88"/>
  <c r="AZ85" i="88"/>
  <c r="BA85" i="88"/>
  <c r="BB85" i="88"/>
  <c r="BE85" i="88"/>
  <c r="BF85" i="88"/>
  <c r="BG85" i="88"/>
  <c r="B86" i="88"/>
  <c r="T86" i="88"/>
  <c r="X86" i="88"/>
  <c r="Y86" i="88"/>
  <c r="AF86" i="88"/>
  <c r="AZ86" i="88"/>
  <c r="BA86" i="88"/>
  <c r="BB86" i="88"/>
  <c r="BE86" i="88"/>
  <c r="BF86" i="88"/>
  <c r="BG86" i="88"/>
  <c r="A91" i="88"/>
  <c r="D91" i="88"/>
  <c r="H91" i="88"/>
  <c r="K91" i="88"/>
  <c r="L91" i="88"/>
  <c r="M91" i="88"/>
  <c r="BJ91" i="88"/>
  <c r="N91" i="88"/>
  <c r="O91" i="88"/>
  <c r="P91" i="88"/>
  <c r="Q91" i="88"/>
  <c r="R91" i="88"/>
  <c r="S91" i="88"/>
  <c r="U91" i="88"/>
  <c r="W91" i="88"/>
  <c r="X91" i="88"/>
  <c r="Y91" i="88"/>
  <c r="Z91" i="88"/>
  <c r="AA91" i="88"/>
  <c r="BI4" i="88"/>
  <c r="AC91" i="88"/>
  <c r="AD91" i="88"/>
  <c r="AF91" i="88"/>
  <c r="AT123" i="88"/>
  <c r="AS91" i="88"/>
  <c r="AK91" i="88"/>
  <c r="AM91" i="88"/>
  <c r="AO91" i="88"/>
  <c r="AR91" i="88"/>
  <c r="AV91" i="88"/>
  <c r="AZ91" i="88"/>
  <c r="BF91" i="88"/>
  <c r="BG91" i="88"/>
  <c r="A92" i="88"/>
  <c r="B92" i="88"/>
  <c r="C92" i="88"/>
  <c r="D92" i="88"/>
  <c r="E92" i="88"/>
  <c r="H92" i="88"/>
  <c r="K92" i="88"/>
  <c r="L92" i="88"/>
  <c r="M92" i="88"/>
  <c r="BJ92" i="88"/>
  <c r="N92" i="88"/>
  <c r="O92" i="88"/>
  <c r="P92" i="88"/>
  <c r="Q92" i="88"/>
  <c r="R92" i="88"/>
  <c r="S92" i="88"/>
  <c r="U92" i="88"/>
  <c r="W92" i="88"/>
  <c r="X92" i="88"/>
  <c r="Y92" i="88"/>
  <c r="Z92" i="88"/>
  <c r="AA92" i="88"/>
  <c r="BI5" i="88"/>
  <c r="AC92" i="88"/>
  <c r="AD92" i="88"/>
  <c r="AF92" i="88"/>
  <c r="AS92" i="88"/>
  <c r="AK92" i="88"/>
  <c r="AM92" i="88"/>
  <c r="AO92" i="88"/>
  <c r="AR92" i="88"/>
  <c r="AV92" i="88"/>
  <c r="AZ92" i="88"/>
  <c r="BF92" i="88"/>
  <c r="BG92" i="88"/>
  <c r="A93" i="88"/>
  <c r="B93" i="88"/>
  <c r="E93" i="88"/>
  <c r="C93" i="88"/>
  <c r="D93" i="88"/>
  <c r="H93" i="88"/>
  <c r="K93" i="88"/>
  <c r="L93" i="88"/>
  <c r="M93" i="88"/>
  <c r="BJ93" i="88"/>
  <c r="N93" i="88"/>
  <c r="O93" i="88"/>
  <c r="P93" i="88"/>
  <c r="Q93" i="88"/>
  <c r="R93" i="88"/>
  <c r="S93" i="88"/>
  <c r="U93" i="88"/>
  <c r="W93" i="88"/>
  <c r="X93" i="88"/>
  <c r="Y93" i="88"/>
  <c r="Z93" i="88"/>
  <c r="AA93" i="88"/>
  <c r="BI6" i="88"/>
  <c r="AD93" i="88"/>
  <c r="AF93" i="88"/>
  <c r="AK93" i="88"/>
  <c r="AM93" i="88"/>
  <c r="AO93" i="88"/>
  <c r="AR93" i="88"/>
  <c r="AV93" i="88"/>
  <c r="AZ93" i="88"/>
  <c r="BF93" i="88"/>
  <c r="BG93" i="88"/>
  <c r="A94" i="88"/>
  <c r="B94" i="88"/>
  <c r="C94" i="88"/>
  <c r="D94" i="88"/>
  <c r="E94" i="88"/>
  <c r="H94" i="88"/>
  <c r="K94" i="88"/>
  <c r="L94" i="88"/>
  <c r="M94" i="88"/>
  <c r="BJ94" i="88"/>
  <c r="N94" i="88"/>
  <c r="O94" i="88"/>
  <c r="P94" i="88"/>
  <c r="Q94" i="88"/>
  <c r="R94" i="88"/>
  <c r="S94" i="88"/>
  <c r="U94" i="88"/>
  <c r="W94" i="88"/>
  <c r="X94" i="88"/>
  <c r="Y94" i="88"/>
  <c r="Z94" i="88"/>
  <c r="AD94" i="88"/>
  <c r="AF94" i="88"/>
  <c r="AS94" i="88"/>
  <c r="AK94" i="88"/>
  <c r="AM94" i="88"/>
  <c r="AO94" i="88"/>
  <c r="AR94" i="88"/>
  <c r="AV94" i="88"/>
  <c r="AZ94" i="88"/>
  <c r="BF94" i="88"/>
  <c r="BG94" i="88"/>
  <c r="A95" i="88"/>
  <c r="B95" i="88"/>
  <c r="E95" i="88"/>
  <c r="C95" i="88"/>
  <c r="D95" i="88"/>
  <c r="H95" i="88"/>
  <c r="K95" i="88"/>
  <c r="L95" i="88"/>
  <c r="M95" i="88"/>
  <c r="BJ95" i="88"/>
  <c r="N95" i="88"/>
  <c r="O95" i="88"/>
  <c r="P95" i="88"/>
  <c r="Q95" i="88"/>
  <c r="R95" i="88"/>
  <c r="S95" i="88"/>
  <c r="U95" i="88"/>
  <c r="W95" i="88"/>
  <c r="X95" i="88"/>
  <c r="Y95" i="88"/>
  <c r="Z95" i="88"/>
  <c r="AD95" i="88"/>
  <c r="AF95" i="88"/>
  <c r="AK95" i="88"/>
  <c r="AM95" i="88"/>
  <c r="AO95" i="88"/>
  <c r="AR95" i="88"/>
  <c r="AV95" i="88"/>
  <c r="AZ95" i="88"/>
  <c r="BF95" i="88"/>
  <c r="BG95" i="88"/>
  <c r="A96" i="88"/>
  <c r="B96" i="88"/>
  <c r="C96" i="88"/>
  <c r="D96" i="88"/>
  <c r="E96" i="88"/>
  <c r="H96" i="88"/>
  <c r="K96" i="88"/>
  <c r="L96" i="88"/>
  <c r="M96" i="88"/>
  <c r="BJ96" i="88"/>
  <c r="N96" i="88"/>
  <c r="O96" i="88"/>
  <c r="P96" i="88"/>
  <c r="Q96" i="88"/>
  <c r="R96" i="88"/>
  <c r="S96" i="88"/>
  <c r="U96" i="88"/>
  <c r="W96" i="88"/>
  <c r="X96" i="88"/>
  <c r="Y96" i="88"/>
  <c r="Z96" i="88"/>
  <c r="AD96" i="88"/>
  <c r="AF96" i="88"/>
  <c r="AS96" i="88"/>
  <c r="AK96" i="88"/>
  <c r="AM96" i="88"/>
  <c r="AO96" i="88"/>
  <c r="AR96" i="88"/>
  <c r="AV96" i="88"/>
  <c r="AZ96" i="88"/>
  <c r="BF96" i="88"/>
  <c r="BG96" i="88"/>
  <c r="A97" i="88"/>
  <c r="B97" i="88"/>
  <c r="E97" i="88"/>
  <c r="C97" i="88"/>
  <c r="D97" i="88"/>
  <c r="H97" i="88"/>
  <c r="K97" i="88"/>
  <c r="L97" i="88"/>
  <c r="M97" i="88"/>
  <c r="BJ97" i="88"/>
  <c r="N97" i="88"/>
  <c r="O97" i="88"/>
  <c r="P97" i="88"/>
  <c r="Q97" i="88"/>
  <c r="R97" i="88"/>
  <c r="S97" i="88"/>
  <c r="U97" i="88"/>
  <c r="W97" i="88"/>
  <c r="X97" i="88"/>
  <c r="Y97" i="88"/>
  <c r="Z97" i="88"/>
  <c r="AD97" i="88"/>
  <c r="AF97" i="88"/>
  <c r="AK97" i="88"/>
  <c r="AM97" i="88"/>
  <c r="AO97" i="88"/>
  <c r="AR97" i="88"/>
  <c r="AV97" i="88"/>
  <c r="AZ97" i="88"/>
  <c r="BF97" i="88"/>
  <c r="BG97" i="88"/>
  <c r="A98" i="88"/>
  <c r="B98" i="88"/>
  <c r="C98" i="88"/>
  <c r="D98" i="88"/>
  <c r="E98" i="88"/>
  <c r="H98" i="88"/>
  <c r="I98" i="88"/>
  <c r="K98" i="88"/>
  <c r="L98" i="88"/>
  <c r="M98" i="88"/>
  <c r="BJ98" i="88"/>
  <c r="N98" i="88"/>
  <c r="O98" i="88"/>
  <c r="P98" i="88"/>
  <c r="Q98" i="88"/>
  <c r="R98" i="88"/>
  <c r="S98" i="88"/>
  <c r="U98" i="88"/>
  <c r="W98" i="88"/>
  <c r="X98" i="88"/>
  <c r="Y98" i="88"/>
  <c r="Z98" i="88"/>
  <c r="AD98" i="88"/>
  <c r="AF98" i="88"/>
  <c r="AS98" i="88"/>
  <c r="AK98" i="88"/>
  <c r="AM98" i="88"/>
  <c r="AO98" i="88"/>
  <c r="AR98" i="88"/>
  <c r="AV98" i="88"/>
  <c r="AZ98" i="88"/>
  <c r="BF98" i="88"/>
  <c r="BG98" i="88"/>
  <c r="A99" i="88"/>
  <c r="B99" i="88"/>
  <c r="C99" i="88"/>
  <c r="D99" i="88"/>
  <c r="E99" i="88"/>
  <c r="H99" i="88"/>
  <c r="I99" i="88"/>
  <c r="K99" i="88"/>
  <c r="L99" i="88"/>
  <c r="M99" i="88"/>
  <c r="BJ99" i="88"/>
  <c r="N99" i="88"/>
  <c r="O99" i="88"/>
  <c r="P99" i="88"/>
  <c r="Q99" i="88"/>
  <c r="R99" i="88"/>
  <c r="S99" i="88"/>
  <c r="U99" i="88"/>
  <c r="W99" i="88"/>
  <c r="X99" i="88"/>
  <c r="Y99" i="88"/>
  <c r="Z99" i="88"/>
  <c r="AD99" i="88"/>
  <c r="AF99" i="88"/>
  <c r="AS99" i="88"/>
  <c r="AK99" i="88"/>
  <c r="AM99" i="88"/>
  <c r="AN99" i="88"/>
  <c r="AO99" i="88"/>
  <c r="AR99" i="88"/>
  <c r="AV99" i="88"/>
  <c r="AZ99" i="88"/>
  <c r="BF99" i="88"/>
  <c r="BG99" i="88"/>
  <c r="A100" i="88"/>
  <c r="B100" i="88"/>
  <c r="E100" i="88"/>
  <c r="C100" i="88"/>
  <c r="D100" i="88"/>
  <c r="H100" i="88"/>
  <c r="I100" i="88"/>
  <c r="K100" i="88"/>
  <c r="L100" i="88"/>
  <c r="M100" i="88"/>
  <c r="BJ100" i="88"/>
  <c r="N100" i="88"/>
  <c r="O100" i="88"/>
  <c r="P100" i="88"/>
  <c r="Q100" i="88"/>
  <c r="R100" i="88"/>
  <c r="S100" i="88"/>
  <c r="U100" i="88"/>
  <c r="W100" i="88"/>
  <c r="X100" i="88"/>
  <c r="Y100" i="88"/>
  <c r="Z100" i="88"/>
  <c r="AD100" i="88"/>
  <c r="AF100" i="88"/>
  <c r="AS100" i="88"/>
  <c r="AK100" i="88"/>
  <c r="AM100" i="88"/>
  <c r="AO100" i="88"/>
  <c r="AR100" i="88"/>
  <c r="AV100" i="88"/>
  <c r="AZ100" i="88"/>
  <c r="BF100" i="88"/>
  <c r="BG100" i="88"/>
  <c r="A101" i="88"/>
  <c r="B101" i="88"/>
  <c r="E101" i="88"/>
  <c r="C101" i="88"/>
  <c r="D101" i="88"/>
  <c r="H101" i="88"/>
  <c r="I101" i="88"/>
  <c r="K101" i="88"/>
  <c r="L101" i="88"/>
  <c r="M101" i="88"/>
  <c r="BJ101" i="88"/>
  <c r="N101" i="88"/>
  <c r="O101" i="88"/>
  <c r="P101" i="88"/>
  <c r="Q101" i="88"/>
  <c r="R101" i="88"/>
  <c r="S101" i="88"/>
  <c r="U101" i="88"/>
  <c r="W101" i="88"/>
  <c r="X101" i="88"/>
  <c r="Y101" i="88"/>
  <c r="Z101" i="88"/>
  <c r="AD101" i="88"/>
  <c r="AF101" i="88"/>
  <c r="AS101" i="88"/>
  <c r="AK101" i="88"/>
  <c r="AM101" i="88"/>
  <c r="AO101" i="88"/>
  <c r="AR101" i="88"/>
  <c r="AV101" i="88"/>
  <c r="AZ101" i="88"/>
  <c r="BF101" i="88"/>
  <c r="BG101" i="88"/>
  <c r="A102" i="88"/>
  <c r="B102" i="88"/>
  <c r="E102" i="88"/>
  <c r="C102" i="88"/>
  <c r="D102" i="88"/>
  <c r="H102" i="88"/>
  <c r="I102" i="88"/>
  <c r="K102" i="88"/>
  <c r="L102" i="88"/>
  <c r="M102" i="88"/>
  <c r="BJ102" i="88"/>
  <c r="N102" i="88"/>
  <c r="O102" i="88"/>
  <c r="P102" i="88"/>
  <c r="Q102" i="88"/>
  <c r="R102" i="88"/>
  <c r="S102" i="88"/>
  <c r="U102" i="88"/>
  <c r="W102" i="88"/>
  <c r="X102" i="88"/>
  <c r="Y102" i="88"/>
  <c r="Z102" i="88"/>
  <c r="AD102" i="88"/>
  <c r="AF102" i="88"/>
  <c r="AS102" i="88"/>
  <c r="AK102" i="88"/>
  <c r="AM102" i="88"/>
  <c r="AN102" i="88" a="1"/>
  <c r="AN102" i="88"/>
  <c r="AO102" i="88"/>
  <c r="AR102" i="88"/>
  <c r="AV102" i="88"/>
  <c r="AZ102" i="88"/>
  <c r="BF102" i="88"/>
  <c r="BG102" i="88"/>
  <c r="A103" i="88"/>
  <c r="B103" i="88"/>
  <c r="E103" i="88"/>
  <c r="C103" i="88"/>
  <c r="D103" i="88"/>
  <c r="H103" i="88"/>
  <c r="I103" i="88"/>
  <c r="K103" i="88"/>
  <c r="L103" i="88"/>
  <c r="M103" i="88"/>
  <c r="BJ103" i="88"/>
  <c r="N103" i="88"/>
  <c r="O103" i="88"/>
  <c r="P103" i="88"/>
  <c r="Q103" i="88"/>
  <c r="R103" i="88"/>
  <c r="S103" i="88"/>
  <c r="U103" i="88"/>
  <c r="W103" i="88"/>
  <c r="X103" i="88"/>
  <c r="Y103" i="88"/>
  <c r="Z103" i="88"/>
  <c r="AD103" i="88"/>
  <c r="AF103" i="88"/>
  <c r="AS103" i="88"/>
  <c r="AK103" i="88"/>
  <c r="AM103" i="88"/>
  <c r="AN103" i="88"/>
  <c r="AO103" i="88"/>
  <c r="AR103" i="88"/>
  <c r="AV103" i="88"/>
  <c r="AZ103" i="88"/>
  <c r="BF103" i="88"/>
  <c r="BG103" i="88"/>
  <c r="A104" i="88"/>
  <c r="B104" i="88"/>
  <c r="C104" i="88"/>
  <c r="D104" i="88"/>
  <c r="E104" i="88"/>
  <c r="H104" i="88"/>
  <c r="I104" i="88"/>
  <c r="K104" i="88"/>
  <c r="L104" i="88"/>
  <c r="M104" i="88"/>
  <c r="BJ104" i="88"/>
  <c r="N104" i="88"/>
  <c r="O104" i="88"/>
  <c r="P104" i="88"/>
  <c r="Q104" i="88"/>
  <c r="R104" i="88"/>
  <c r="S104" i="88"/>
  <c r="U104" i="88"/>
  <c r="W104" i="88"/>
  <c r="X104" i="88"/>
  <c r="Y104" i="88"/>
  <c r="Z104" i="88"/>
  <c r="AD104" i="88"/>
  <c r="AF104" i="88"/>
  <c r="AS104" i="88"/>
  <c r="AK104" i="88"/>
  <c r="AM104" i="88"/>
  <c r="AN104" i="88"/>
  <c r="AO104" i="88"/>
  <c r="AR104" i="88"/>
  <c r="AV104" i="88"/>
  <c r="AZ104" i="88"/>
  <c r="BF104" i="88"/>
  <c r="BG104" i="88"/>
  <c r="A105" i="88"/>
  <c r="B105" i="88"/>
  <c r="E105" i="88"/>
  <c r="C105" i="88"/>
  <c r="D105" i="88"/>
  <c r="H105" i="88"/>
  <c r="I105" i="88"/>
  <c r="K105" i="88"/>
  <c r="L105" i="88"/>
  <c r="M105" i="88"/>
  <c r="BJ105" i="88"/>
  <c r="N105" i="88"/>
  <c r="O105" i="88"/>
  <c r="P105" i="88"/>
  <c r="Q105" i="88"/>
  <c r="R105" i="88"/>
  <c r="S105" i="88"/>
  <c r="U105" i="88"/>
  <c r="W105" i="88"/>
  <c r="X105" i="88"/>
  <c r="Y105" i="88"/>
  <c r="Z105" i="88"/>
  <c r="AD105" i="88"/>
  <c r="AF105" i="88"/>
  <c r="AS105" i="88"/>
  <c r="AK105" i="88"/>
  <c r="AM105" i="88"/>
  <c r="AO105" i="88"/>
  <c r="AR105" i="88"/>
  <c r="AV105" i="88"/>
  <c r="AZ105" i="88"/>
  <c r="BF105" i="88"/>
  <c r="BG105" i="88"/>
  <c r="A106" i="88"/>
  <c r="B106" i="88"/>
  <c r="E106" i="88"/>
  <c r="C106" i="88"/>
  <c r="D106" i="88"/>
  <c r="H106" i="88"/>
  <c r="I106" i="88"/>
  <c r="K106" i="88"/>
  <c r="L106" i="88"/>
  <c r="M106" i="88"/>
  <c r="BJ106" i="88"/>
  <c r="N106" i="88"/>
  <c r="O106" i="88"/>
  <c r="P106" i="88"/>
  <c r="Q106" i="88"/>
  <c r="R106" i="88"/>
  <c r="S106" i="88"/>
  <c r="U106" i="88"/>
  <c r="W106" i="88"/>
  <c r="X106" i="88"/>
  <c r="Y106" i="88"/>
  <c r="Z106" i="88"/>
  <c r="AD106" i="88"/>
  <c r="AF106" i="88"/>
  <c r="AS106" i="88"/>
  <c r="AK106" i="88"/>
  <c r="AM106" i="88"/>
  <c r="AO106" i="88"/>
  <c r="AR106" i="88"/>
  <c r="AV106" i="88"/>
  <c r="AZ106" i="88"/>
  <c r="BF106" i="88"/>
  <c r="BG106" i="88"/>
  <c r="A107" i="88"/>
  <c r="B107" i="88"/>
  <c r="E107" i="88"/>
  <c r="C107" i="88"/>
  <c r="D107" i="88"/>
  <c r="H107" i="88"/>
  <c r="I107" i="88"/>
  <c r="K107" i="88"/>
  <c r="L107" i="88"/>
  <c r="M107" i="88"/>
  <c r="BJ107" i="88"/>
  <c r="N107" i="88"/>
  <c r="O107" i="88"/>
  <c r="P107" i="88"/>
  <c r="Q107" i="88"/>
  <c r="R107" i="88"/>
  <c r="S107" i="88"/>
  <c r="U107" i="88"/>
  <c r="W107" i="88"/>
  <c r="X107" i="88"/>
  <c r="Y107" i="88"/>
  <c r="Z107" i="88"/>
  <c r="AD107" i="88"/>
  <c r="AF107" i="88"/>
  <c r="AS107" i="88"/>
  <c r="AK107" i="88"/>
  <c r="AM107" i="88"/>
  <c r="AN107" i="88"/>
  <c r="AO107" i="88"/>
  <c r="AR107" i="88"/>
  <c r="AV107" i="88"/>
  <c r="AZ107" i="88"/>
  <c r="BF107" i="88"/>
  <c r="BG107" i="88"/>
  <c r="A108" i="88"/>
  <c r="B108" i="88"/>
  <c r="C108" i="88"/>
  <c r="D108" i="88"/>
  <c r="E108" i="88"/>
  <c r="H108" i="88"/>
  <c r="I108" i="88"/>
  <c r="K108" i="88"/>
  <c r="L108" i="88"/>
  <c r="M108" i="88"/>
  <c r="BJ108" i="88"/>
  <c r="N108" i="88"/>
  <c r="O108" i="88"/>
  <c r="P108" i="88"/>
  <c r="Q108" i="88"/>
  <c r="R108" i="88"/>
  <c r="S108" i="88"/>
  <c r="U108" i="88"/>
  <c r="W108" i="88"/>
  <c r="X108" i="88"/>
  <c r="Y108" i="88"/>
  <c r="Z108" i="88"/>
  <c r="AD108" i="88"/>
  <c r="AF108" i="88"/>
  <c r="AS108" i="88"/>
  <c r="AK108" i="88"/>
  <c r="AM108" i="88"/>
  <c r="AN108" i="88" a="1"/>
  <c r="AN108" i="88"/>
  <c r="AO108" i="88"/>
  <c r="AR108" i="88"/>
  <c r="AV108" i="88"/>
  <c r="AZ108" i="88"/>
  <c r="BF108" i="88"/>
  <c r="BG108" i="88"/>
  <c r="A109" i="88"/>
  <c r="B109" i="88"/>
  <c r="C109" i="88"/>
  <c r="D109" i="88"/>
  <c r="E109" i="88"/>
  <c r="H109" i="88"/>
  <c r="I109" i="88"/>
  <c r="K109" i="88"/>
  <c r="L109" i="88"/>
  <c r="M109" i="88"/>
  <c r="BJ109" i="88"/>
  <c r="N109" i="88"/>
  <c r="O109" i="88"/>
  <c r="P109" i="88"/>
  <c r="Q109" i="88"/>
  <c r="R109" i="88"/>
  <c r="S109" i="88"/>
  <c r="U109" i="88"/>
  <c r="W109" i="88"/>
  <c r="X109" i="88"/>
  <c r="Y109" i="88"/>
  <c r="Z109" i="88"/>
  <c r="AD109" i="88"/>
  <c r="AF109" i="88"/>
  <c r="AS109" i="88"/>
  <c r="AK109" i="88"/>
  <c r="AM109" i="88"/>
  <c r="AO109" i="88"/>
  <c r="AQ109" i="88"/>
  <c r="AR109" i="88"/>
  <c r="AV109" i="88"/>
  <c r="AZ109" i="88"/>
  <c r="BF109" i="88"/>
  <c r="BG109" i="88"/>
  <c r="A110" i="88"/>
  <c r="B110" i="88"/>
  <c r="E110" i="88"/>
  <c r="C110" i="88"/>
  <c r="D110" i="88"/>
  <c r="H110" i="88"/>
  <c r="I110" i="88"/>
  <c r="K110" i="88"/>
  <c r="L110" i="88"/>
  <c r="M110" i="88"/>
  <c r="BJ110" i="88"/>
  <c r="N110" i="88"/>
  <c r="O110" i="88"/>
  <c r="P110" i="88"/>
  <c r="Q110" i="88"/>
  <c r="R110" i="88"/>
  <c r="S110" i="88"/>
  <c r="U110" i="88"/>
  <c r="W110" i="88"/>
  <c r="X110" i="88"/>
  <c r="Y110" i="88"/>
  <c r="Z110" i="88"/>
  <c r="AD110" i="88"/>
  <c r="AF110" i="88"/>
  <c r="AS110" i="88"/>
  <c r="AK110" i="88"/>
  <c r="AM110" i="88"/>
  <c r="AO110" i="88"/>
  <c r="AR110" i="88"/>
  <c r="AV110" i="88"/>
  <c r="AZ110" i="88"/>
  <c r="BF110" i="88"/>
  <c r="BG110" i="88"/>
  <c r="A111" i="88"/>
  <c r="B111" i="88"/>
  <c r="E111" i="88"/>
  <c r="C111" i="88"/>
  <c r="D111" i="88"/>
  <c r="H111" i="88"/>
  <c r="I111" i="88"/>
  <c r="K111" i="88"/>
  <c r="L111" i="88"/>
  <c r="M111" i="88"/>
  <c r="BJ111" i="88"/>
  <c r="N111" i="88"/>
  <c r="O111" i="88"/>
  <c r="P111" i="88"/>
  <c r="Q111" i="88"/>
  <c r="R111" i="88"/>
  <c r="S111" i="88"/>
  <c r="U111" i="88"/>
  <c r="W111" i="88"/>
  <c r="X111" i="88"/>
  <c r="Y111" i="88"/>
  <c r="Z111" i="88"/>
  <c r="AD111" i="88"/>
  <c r="AF111" i="88"/>
  <c r="AS111" i="88"/>
  <c r="AK111" i="88"/>
  <c r="AM111" i="88"/>
  <c r="AO111" i="88"/>
  <c r="AR111" i="88"/>
  <c r="AV111" i="88"/>
  <c r="AZ111" i="88"/>
  <c r="BF111" i="88"/>
  <c r="BG111" i="88"/>
  <c r="A112" i="88"/>
  <c r="B112" i="88"/>
  <c r="E112" i="88"/>
  <c r="C112" i="88"/>
  <c r="D112" i="88"/>
  <c r="H112" i="88"/>
  <c r="I112" i="88"/>
  <c r="K112" i="88"/>
  <c r="L112" i="88"/>
  <c r="M112" i="88"/>
  <c r="BJ112" i="88"/>
  <c r="N112" i="88"/>
  <c r="O112" i="88"/>
  <c r="P112" i="88"/>
  <c r="Q112" i="88"/>
  <c r="R112" i="88"/>
  <c r="S112" i="88"/>
  <c r="U112" i="88"/>
  <c r="W112" i="88"/>
  <c r="X112" i="88"/>
  <c r="Y112" i="88"/>
  <c r="Z112" i="88"/>
  <c r="AD112" i="88"/>
  <c r="AF112" i="88"/>
  <c r="AS112" i="88"/>
  <c r="AK112" i="88"/>
  <c r="AM112" i="88"/>
  <c r="AO112" i="88"/>
  <c r="AR112" i="88"/>
  <c r="AV112" i="88"/>
  <c r="AZ112" i="88"/>
  <c r="BF112" i="88"/>
  <c r="BG112" i="88"/>
  <c r="A113" i="88"/>
  <c r="B113" i="88"/>
  <c r="E113" i="88"/>
  <c r="C113" i="88"/>
  <c r="D113" i="88"/>
  <c r="H113" i="88"/>
  <c r="I113" i="88"/>
  <c r="K113" i="88"/>
  <c r="L113" i="88"/>
  <c r="M113" i="88"/>
  <c r="BJ113" i="88"/>
  <c r="N113" i="88"/>
  <c r="O113" i="88"/>
  <c r="P113" i="88"/>
  <c r="Q113" i="88"/>
  <c r="R113" i="88"/>
  <c r="S113" i="88"/>
  <c r="U113" i="88"/>
  <c r="W113" i="88"/>
  <c r="X113" i="88"/>
  <c r="Y113" i="88"/>
  <c r="Z113" i="88"/>
  <c r="AD113" i="88"/>
  <c r="AF113" i="88"/>
  <c r="AS113" i="88"/>
  <c r="AK113" i="88"/>
  <c r="AM113" i="88"/>
  <c r="AO113" i="88"/>
  <c r="AR113" i="88"/>
  <c r="AV113" i="88"/>
  <c r="AZ113" i="88"/>
  <c r="BF113" i="88"/>
  <c r="BG113" i="88"/>
  <c r="A114" i="88"/>
  <c r="B114" i="88"/>
  <c r="E114" i="88"/>
  <c r="C114" i="88"/>
  <c r="D114" i="88"/>
  <c r="H114" i="88"/>
  <c r="I114" i="88"/>
  <c r="K114" i="88"/>
  <c r="L114" i="88"/>
  <c r="M114" i="88"/>
  <c r="BJ114" i="88"/>
  <c r="N114" i="88"/>
  <c r="O114" i="88"/>
  <c r="P114" i="88"/>
  <c r="Q114" i="88"/>
  <c r="R114" i="88"/>
  <c r="S114" i="88"/>
  <c r="U114" i="88"/>
  <c r="W114" i="88"/>
  <c r="X114" i="88"/>
  <c r="Y114" i="88"/>
  <c r="Z114" i="88"/>
  <c r="AD114" i="88"/>
  <c r="AF114" i="88"/>
  <c r="AS114" i="88"/>
  <c r="AK114" i="88"/>
  <c r="AM114" i="88"/>
  <c r="AO114" i="88"/>
  <c r="AR114" i="88"/>
  <c r="AV114" i="88"/>
  <c r="AZ114" i="88"/>
  <c r="BF114" i="88"/>
  <c r="BG114" i="88"/>
  <c r="A115" i="88"/>
  <c r="B115" i="88"/>
  <c r="E115" i="88"/>
  <c r="C115" i="88"/>
  <c r="D115" i="88"/>
  <c r="H115" i="88"/>
  <c r="I115" i="88"/>
  <c r="K115" i="88"/>
  <c r="L115" i="88"/>
  <c r="M115" i="88"/>
  <c r="BJ115" i="88"/>
  <c r="N115" i="88"/>
  <c r="O115" i="88"/>
  <c r="P115" i="88"/>
  <c r="Q115" i="88"/>
  <c r="R115" i="88"/>
  <c r="S115" i="88"/>
  <c r="U115" i="88"/>
  <c r="W115" i="88"/>
  <c r="X115" i="88"/>
  <c r="Y115" i="88"/>
  <c r="Z115" i="88"/>
  <c r="AD115" i="88"/>
  <c r="AF115" i="88"/>
  <c r="AS115" i="88"/>
  <c r="AK115" i="88"/>
  <c r="AM115" i="88"/>
  <c r="AO115" i="88"/>
  <c r="AR115" i="88"/>
  <c r="AV115" i="88"/>
  <c r="AZ115" i="88"/>
  <c r="BF115" i="88"/>
  <c r="BG115" i="88"/>
  <c r="A116" i="88"/>
  <c r="B116" i="88"/>
  <c r="E116" i="88"/>
  <c r="C116" i="88"/>
  <c r="D116" i="88"/>
  <c r="H116" i="88"/>
  <c r="I116" i="88"/>
  <c r="K116" i="88"/>
  <c r="L116" i="88"/>
  <c r="M116" i="88"/>
  <c r="BJ116" i="88"/>
  <c r="N116" i="88"/>
  <c r="O116" i="88"/>
  <c r="P116" i="88"/>
  <c r="Q116" i="88"/>
  <c r="R116" i="88"/>
  <c r="S116" i="88"/>
  <c r="U116" i="88"/>
  <c r="W116" i="88"/>
  <c r="X116" i="88"/>
  <c r="Y116" i="88"/>
  <c r="Z116" i="88"/>
  <c r="AD116" i="88"/>
  <c r="AF116" i="88"/>
  <c r="AS116" i="88"/>
  <c r="AK116" i="88"/>
  <c r="AM116" i="88"/>
  <c r="AO116" i="88"/>
  <c r="AR116" i="88"/>
  <c r="AV116" i="88"/>
  <c r="AZ116" i="88"/>
  <c r="BF116" i="88"/>
  <c r="BG116" i="88"/>
  <c r="A117" i="88"/>
  <c r="B117" i="88"/>
  <c r="E117" i="88"/>
  <c r="C117" i="88"/>
  <c r="D117" i="88"/>
  <c r="H117" i="88"/>
  <c r="I117" i="88"/>
  <c r="K117" i="88"/>
  <c r="L117" i="88"/>
  <c r="M117" i="88"/>
  <c r="BJ117" i="88"/>
  <c r="N117" i="88"/>
  <c r="O117" i="88"/>
  <c r="P117" i="88"/>
  <c r="Q117" i="88"/>
  <c r="R117" i="88"/>
  <c r="S117" i="88"/>
  <c r="U117" i="88"/>
  <c r="W117" i="88"/>
  <c r="X117" i="88"/>
  <c r="Y117" i="88"/>
  <c r="Z117" i="88"/>
  <c r="AD117" i="88"/>
  <c r="AF117" i="88"/>
  <c r="AS117" i="88"/>
  <c r="AK117" i="88"/>
  <c r="AM117" i="88"/>
  <c r="AO117" i="88"/>
  <c r="AR117" i="88"/>
  <c r="AV117" i="88"/>
  <c r="AZ117" i="88"/>
  <c r="BF117" i="88"/>
  <c r="BG117" i="88"/>
  <c r="A118" i="88"/>
  <c r="B118" i="88"/>
  <c r="E118" i="88"/>
  <c r="C118" i="88"/>
  <c r="D118" i="88"/>
  <c r="H118" i="88"/>
  <c r="I118" i="88"/>
  <c r="K118" i="88"/>
  <c r="L118" i="88"/>
  <c r="M118" i="88"/>
  <c r="BJ118" i="88"/>
  <c r="N118" i="88"/>
  <c r="O118" i="88"/>
  <c r="P118" i="88"/>
  <c r="Q118" i="88"/>
  <c r="R118" i="88"/>
  <c r="S118" i="88"/>
  <c r="U118" i="88"/>
  <c r="W118" i="88"/>
  <c r="X118" i="88"/>
  <c r="Y118" i="88"/>
  <c r="Z118" i="88"/>
  <c r="AD118" i="88"/>
  <c r="AF118" i="88"/>
  <c r="AS118" i="88"/>
  <c r="AK118" i="88"/>
  <c r="AM118" i="88"/>
  <c r="AO118" i="88"/>
  <c r="AR118" i="88"/>
  <c r="AV118" i="88"/>
  <c r="AZ118" i="88"/>
  <c r="BF118" i="88"/>
  <c r="BG118" i="88"/>
  <c r="A119" i="88"/>
  <c r="B119" i="88"/>
  <c r="E119" i="88"/>
  <c r="C119" i="88"/>
  <c r="D119" i="88"/>
  <c r="H119" i="88"/>
  <c r="I119" i="88"/>
  <c r="K119" i="88"/>
  <c r="L119" i="88"/>
  <c r="M119" i="88"/>
  <c r="BJ119" i="88"/>
  <c r="N119" i="88"/>
  <c r="O119" i="88"/>
  <c r="P119" i="88"/>
  <c r="Q119" i="88"/>
  <c r="R119" i="88"/>
  <c r="S119" i="88"/>
  <c r="U119" i="88"/>
  <c r="W119" i="88"/>
  <c r="X119" i="88"/>
  <c r="Y119" i="88"/>
  <c r="Z119" i="88"/>
  <c r="AD119" i="88"/>
  <c r="AF119" i="88"/>
  <c r="AS119" i="88"/>
  <c r="AK119" i="88"/>
  <c r="AM119" i="88"/>
  <c r="AO119" i="88"/>
  <c r="AR119" i="88"/>
  <c r="AV119" i="88"/>
  <c r="AZ119" i="88"/>
  <c r="BF119" i="88"/>
  <c r="BG119" i="88"/>
  <c r="A120" i="88"/>
  <c r="B120" i="88"/>
  <c r="E120" i="88"/>
  <c r="C120" i="88"/>
  <c r="D120" i="88"/>
  <c r="BD80" i="88"/>
  <c r="H120" i="88"/>
  <c r="I120" i="88"/>
  <c r="K120" i="88"/>
  <c r="L120" i="88"/>
  <c r="M120" i="88"/>
  <c r="BJ120" i="88"/>
  <c r="N120" i="88"/>
  <c r="O120" i="88"/>
  <c r="P120" i="88"/>
  <c r="Q120" i="88"/>
  <c r="R120" i="88"/>
  <c r="S120" i="88"/>
  <c r="U120" i="88"/>
  <c r="W120" i="88"/>
  <c r="X120" i="88"/>
  <c r="Y120" i="88"/>
  <c r="Z120" i="88"/>
  <c r="AD120" i="88"/>
  <c r="AF120" i="88"/>
  <c r="AS120" i="88"/>
  <c r="AK120" i="88"/>
  <c r="AM120" i="88"/>
  <c r="AO120" i="88"/>
  <c r="AR120" i="88"/>
  <c r="AV120" i="88"/>
  <c r="AZ120" i="88"/>
  <c r="BF120" i="88"/>
  <c r="BG120" i="88"/>
  <c r="A121" i="88"/>
  <c r="B121" i="88"/>
  <c r="E121" i="88"/>
  <c r="C121" i="88"/>
  <c r="D121" i="88"/>
  <c r="H121" i="88"/>
  <c r="I121" i="88"/>
  <c r="K121" i="88"/>
  <c r="L121" i="88"/>
  <c r="M121" i="88"/>
  <c r="BJ121" i="88"/>
  <c r="N121" i="88"/>
  <c r="O121" i="88"/>
  <c r="P121" i="88"/>
  <c r="Q121" i="88"/>
  <c r="R121" i="88"/>
  <c r="S121" i="88"/>
  <c r="U121" i="88"/>
  <c r="W121" i="88"/>
  <c r="X121" i="88"/>
  <c r="Y121" i="88"/>
  <c r="Z121" i="88"/>
  <c r="AA121" i="88"/>
  <c r="BI34" i="88"/>
  <c r="AC121" i="88"/>
  <c r="AD121" i="88"/>
  <c r="AF121" i="88"/>
  <c r="AS121" i="88"/>
  <c r="AK121" i="88"/>
  <c r="AM121" i="88"/>
  <c r="AO121" i="88"/>
  <c r="AR121" i="88"/>
  <c r="AV121" i="88"/>
  <c r="AZ121" i="88"/>
  <c r="BF121" i="88"/>
  <c r="BG121" i="88"/>
  <c r="W123" i="88"/>
  <c r="X123" i="88"/>
  <c r="AV91" i="89"/>
  <c r="AN79" i="89" a="1"/>
  <c r="AN79" i="89"/>
  <c r="AV92" i="89"/>
  <c r="AV93" i="89"/>
  <c r="AV94" i="89"/>
  <c r="AV95" i="89"/>
  <c r="AV96" i="89"/>
  <c r="AV97" i="89"/>
  <c r="AV98" i="89"/>
  <c r="AV99" i="89"/>
  <c r="AV100" i="89"/>
  <c r="AV101" i="89"/>
  <c r="AV102" i="89"/>
  <c r="AV103" i="89"/>
  <c r="AV104" i="89"/>
  <c r="AV105" i="89"/>
  <c r="AV106" i="89"/>
  <c r="AV107" i="89"/>
  <c r="AV108" i="89"/>
  <c r="AV109" i="89"/>
  <c r="AV110" i="89"/>
  <c r="AV111" i="89"/>
  <c r="AV112" i="89"/>
  <c r="AV113" i="89"/>
  <c r="AV114" i="89"/>
  <c r="AV115" i="89"/>
  <c r="AV116" i="89"/>
  <c r="AV117" i="89"/>
  <c r="AV118" i="89"/>
  <c r="AV119" i="89"/>
  <c r="AV120" i="89"/>
  <c r="AV121" i="89"/>
  <c r="AN82" i="89" a="1"/>
  <c r="AB91" i="89"/>
  <c r="AB48" i="89"/>
  <c r="AA91" i="89"/>
  <c r="AG91" i="89"/>
  <c r="AB92" i="89"/>
  <c r="AA92" i="89"/>
  <c r="BI5" i="89"/>
  <c r="AG92" i="89"/>
  <c r="AB93" i="89"/>
  <c r="AG93" i="89"/>
  <c r="AB94" i="89"/>
  <c r="AA94" i="89"/>
  <c r="BI7" i="89"/>
  <c r="AG94" i="89"/>
  <c r="AB95" i="89"/>
  <c r="AG95" i="89"/>
  <c r="AB96" i="89"/>
  <c r="AA96" i="89"/>
  <c r="BI9" i="89"/>
  <c r="AG96" i="89"/>
  <c r="AB97" i="89"/>
  <c r="AG97" i="89"/>
  <c r="AB98" i="89"/>
  <c r="AA98" i="89"/>
  <c r="BI11" i="89"/>
  <c r="AG98" i="89"/>
  <c r="AB99" i="89"/>
  <c r="AG99" i="89"/>
  <c r="AB100" i="89"/>
  <c r="AA100" i="89"/>
  <c r="BI13" i="89"/>
  <c r="AG100" i="89"/>
  <c r="AB101" i="89"/>
  <c r="AG101" i="89"/>
  <c r="AB102" i="89"/>
  <c r="AA102" i="89"/>
  <c r="BI15" i="89"/>
  <c r="AG102" i="89"/>
  <c r="AB103" i="89"/>
  <c r="BI16" i="89"/>
  <c r="AG103" i="89"/>
  <c r="AB104" i="89"/>
  <c r="BI17" i="89"/>
  <c r="AG104" i="89"/>
  <c r="AB105" i="89"/>
  <c r="BI18" i="89"/>
  <c r="AG105" i="89"/>
  <c r="AB106" i="89"/>
  <c r="BI19" i="89"/>
  <c r="AG106" i="89"/>
  <c r="AB107" i="89"/>
  <c r="BI20" i="89"/>
  <c r="AG107" i="89"/>
  <c r="AB108" i="89"/>
  <c r="BI21" i="89"/>
  <c r="AG108" i="89"/>
  <c r="AB109" i="89"/>
  <c r="BI22" i="89"/>
  <c r="AG109" i="89"/>
  <c r="AB110" i="89"/>
  <c r="BI23" i="89"/>
  <c r="AG110" i="89"/>
  <c r="AB111" i="89"/>
  <c r="BI24" i="89"/>
  <c r="AG111" i="89"/>
  <c r="AB112" i="89"/>
  <c r="BI25" i="89"/>
  <c r="AG112" i="89"/>
  <c r="AB113" i="89"/>
  <c r="BI26" i="89"/>
  <c r="AG113" i="89"/>
  <c r="AB114" i="89"/>
  <c r="BI27" i="89"/>
  <c r="AG114" i="89"/>
  <c r="AB115" i="89"/>
  <c r="BI28" i="89"/>
  <c r="AB116" i="89"/>
  <c r="BI29" i="89"/>
  <c r="AB117" i="89"/>
  <c r="BI30" i="89"/>
  <c r="AB118" i="89"/>
  <c r="BI31" i="89"/>
  <c r="AB119" i="89"/>
  <c r="BI32" i="89"/>
  <c r="AB120" i="89"/>
  <c r="BI33" i="89"/>
  <c r="BD38" i="89" a="1"/>
  <c r="BD38" i="89"/>
  <c r="I39" i="89"/>
  <c r="AD39" i="89"/>
  <c r="F40" i="89"/>
  <c r="G40" i="89"/>
  <c r="G46" i="89"/>
  <c r="I40" i="89"/>
  <c r="U40" i="89"/>
  <c r="AB47" i="89"/>
  <c r="Z40" i="89"/>
  <c r="AA40" i="89"/>
  <c r="AD40" i="89"/>
  <c r="AN40" i="89"/>
  <c r="AP47" i="89"/>
  <c r="AP54" i="89"/>
  <c r="AP40" i="89"/>
  <c r="AQ47" i="89"/>
  <c r="AQ40" i="89"/>
  <c r="AT40" i="89"/>
  <c r="AU38" i="89"/>
  <c r="AU40" i="89"/>
  <c r="AV38" i="89"/>
  <c r="AV40" i="89"/>
  <c r="BA38" i="89"/>
  <c r="BA40" i="89"/>
  <c r="AY43" i="89"/>
  <c r="BA43" i="89"/>
  <c r="BF43" i="89"/>
  <c r="BG43" i="89"/>
  <c r="F46" i="89"/>
  <c r="AY80" i="89"/>
  <c r="AY82" i="89"/>
  <c r="H46" i="89"/>
  <c r="I46" i="89"/>
  <c r="AP46" i="89"/>
  <c r="AQ46" i="89"/>
  <c r="M54" i="89"/>
  <c r="AP53" i="89"/>
  <c r="AH50" i="89"/>
  <c r="AJ50" i="89"/>
  <c r="AA52" i="89"/>
  <c r="AH53" i="89"/>
  <c r="AJ53" i="89"/>
  <c r="AQ54" i="89"/>
  <c r="AU4" i="89"/>
  <c r="AV4" i="89"/>
  <c r="AV43" i="89"/>
  <c r="AW4" i="89"/>
  <c r="AX4" i="89"/>
  <c r="AX43" i="89"/>
  <c r="AY4" i="89"/>
  <c r="AU5" i="89"/>
  <c r="AV5" i="89"/>
  <c r="AW5" i="89"/>
  <c r="AX5" i="89"/>
  <c r="AY5" i="89"/>
  <c r="AU6" i="89"/>
  <c r="AV6" i="89"/>
  <c r="AW6" i="89"/>
  <c r="AX6" i="89"/>
  <c r="AY6" i="89"/>
  <c r="AU7" i="89"/>
  <c r="AV7" i="89"/>
  <c r="AW7" i="89"/>
  <c r="AX7" i="89"/>
  <c r="AY7" i="89"/>
  <c r="AU8" i="89"/>
  <c r="AV8" i="89"/>
  <c r="AV85" i="89"/>
  <c r="AV42" i="89"/>
  <c r="AW8" i="89"/>
  <c r="AX8" i="89"/>
  <c r="AX85" i="89"/>
  <c r="AX42" i="89"/>
  <c r="AY8" i="89"/>
  <c r="AU9" i="89"/>
  <c r="AU86" i="89"/>
  <c r="AU42" i="89"/>
  <c r="AV9" i="89"/>
  <c r="AW9" i="89"/>
  <c r="AW86" i="89"/>
  <c r="AW42" i="89"/>
  <c r="AX9" i="89"/>
  <c r="AY9" i="89"/>
  <c r="AY86" i="89"/>
  <c r="AY42" i="89"/>
  <c r="AU10" i="89"/>
  <c r="AV10" i="89"/>
  <c r="AW10" i="89"/>
  <c r="AX10" i="89"/>
  <c r="AY10" i="89"/>
  <c r="AU11" i="89"/>
  <c r="AV11" i="89"/>
  <c r="AW11" i="89"/>
  <c r="AX11" i="89"/>
  <c r="AY11" i="89"/>
  <c r="AU12" i="89"/>
  <c r="AV12" i="89"/>
  <c r="AW12" i="89"/>
  <c r="AX12" i="89"/>
  <c r="AY12" i="89"/>
  <c r="AU13" i="89"/>
  <c r="AV13" i="89"/>
  <c r="AW13" i="89"/>
  <c r="AX13" i="89"/>
  <c r="AY13" i="89"/>
  <c r="AU14" i="89"/>
  <c r="AV14" i="89"/>
  <c r="AW14" i="89"/>
  <c r="AX14" i="89"/>
  <c r="AY14" i="89"/>
  <c r="AU15" i="89"/>
  <c r="AV15" i="89"/>
  <c r="AW15" i="89"/>
  <c r="AX15" i="89"/>
  <c r="AY15" i="89"/>
  <c r="AU16" i="89"/>
  <c r="AV16" i="89"/>
  <c r="AW16" i="89"/>
  <c r="AX16" i="89"/>
  <c r="AY16" i="89"/>
  <c r="AU17" i="89"/>
  <c r="AV17" i="89"/>
  <c r="AW17" i="89"/>
  <c r="AX17" i="89"/>
  <c r="AY17" i="89"/>
  <c r="AU18" i="89"/>
  <c r="AV18" i="89"/>
  <c r="AW18" i="89"/>
  <c r="AX18" i="89"/>
  <c r="AY18" i="89"/>
  <c r="AU19" i="89"/>
  <c r="AV19" i="89"/>
  <c r="AW19" i="89"/>
  <c r="AX19" i="89"/>
  <c r="AY19" i="89"/>
  <c r="AU20" i="89"/>
  <c r="AV20" i="89"/>
  <c r="AW20" i="89"/>
  <c r="AX20" i="89"/>
  <c r="AY20" i="89"/>
  <c r="AU21" i="89"/>
  <c r="AV21" i="89"/>
  <c r="AW21" i="89"/>
  <c r="AX21" i="89"/>
  <c r="AY21" i="89"/>
  <c r="AU22" i="89"/>
  <c r="AV22" i="89"/>
  <c r="AW22" i="89"/>
  <c r="AX22" i="89"/>
  <c r="AY22" i="89"/>
  <c r="AU23" i="89"/>
  <c r="AV23" i="89"/>
  <c r="AW23" i="89"/>
  <c r="AX23" i="89"/>
  <c r="AY23" i="89"/>
  <c r="AU24" i="89"/>
  <c r="AV24" i="89"/>
  <c r="AW24" i="89"/>
  <c r="AX24" i="89"/>
  <c r="AY24" i="89"/>
  <c r="AU25" i="89"/>
  <c r="AV25" i="89"/>
  <c r="AW25" i="89"/>
  <c r="AX25" i="89"/>
  <c r="AY25" i="89"/>
  <c r="AU26" i="89"/>
  <c r="AV26" i="89"/>
  <c r="AW26" i="89"/>
  <c r="AX26" i="89"/>
  <c r="AY26" i="89"/>
  <c r="AU27" i="89"/>
  <c r="AV27" i="89"/>
  <c r="AW27" i="89"/>
  <c r="AX27" i="89"/>
  <c r="AY27" i="89"/>
  <c r="AU28" i="89"/>
  <c r="AV28" i="89"/>
  <c r="AW28" i="89"/>
  <c r="AX28" i="89"/>
  <c r="AY28" i="89"/>
  <c r="AU29" i="89"/>
  <c r="AV29" i="89"/>
  <c r="AW29" i="89"/>
  <c r="AX29" i="89"/>
  <c r="AY29" i="89"/>
  <c r="AU30" i="89"/>
  <c r="AV30" i="89"/>
  <c r="AW30" i="89"/>
  <c r="AX30" i="89"/>
  <c r="AY30" i="89"/>
  <c r="AU31" i="89"/>
  <c r="AV31" i="89"/>
  <c r="AW31" i="89"/>
  <c r="AX31" i="89"/>
  <c r="AY31" i="89"/>
  <c r="AU32" i="89"/>
  <c r="AV32" i="89"/>
  <c r="AW32" i="89"/>
  <c r="AX32" i="89"/>
  <c r="AY32" i="89"/>
  <c r="AU33" i="89"/>
  <c r="AV33" i="89"/>
  <c r="AW33" i="89"/>
  <c r="AX33" i="89"/>
  <c r="AY33" i="89"/>
  <c r="Y34" i="89"/>
  <c r="G72" i="89"/>
  <c r="H38" i="89"/>
  <c r="H47" i="89"/>
  <c r="K38" i="89"/>
  <c r="L38" i="89"/>
  <c r="L46" i="89"/>
  <c r="M38" i="89"/>
  <c r="N38" i="89"/>
  <c r="N46" i="89"/>
  <c r="P38" i="89"/>
  <c r="Q38" i="89"/>
  <c r="R38" i="89"/>
  <c r="S38" i="89"/>
  <c r="S46" i="89"/>
  <c r="V38" i="89"/>
  <c r="W38" i="89"/>
  <c r="AA38" i="89"/>
  <c r="AG38" i="89"/>
  <c r="AG46" i="89"/>
  <c r="AH38" i="89"/>
  <c r="AI38" i="89"/>
  <c r="AI46" i="89"/>
  <c r="AJ38" i="89"/>
  <c r="AS38" i="89"/>
  <c r="AW38" i="89"/>
  <c r="AX38" i="89"/>
  <c r="AY38" i="89"/>
  <c r="BC38" i="89"/>
  <c r="H40" i="89"/>
  <c r="M40" i="89"/>
  <c r="R40" i="89"/>
  <c r="V40" i="89"/>
  <c r="W40" i="89"/>
  <c r="X40" i="89"/>
  <c r="AE40" i="89"/>
  <c r="F86" i="89"/>
  <c r="F85" i="89"/>
  <c r="F42" i="89"/>
  <c r="G86" i="89"/>
  <c r="G85" i="89"/>
  <c r="G42" i="89"/>
  <c r="BA42" i="89"/>
  <c r="H86" i="89"/>
  <c r="H85" i="89"/>
  <c r="H42" i="89"/>
  <c r="BB42" i="89"/>
  <c r="I86" i="89"/>
  <c r="I85" i="89"/>
  <c r="I42" i="89"/>
  <c r="BC42" i="89"/>
  <c r="K86" i="89"/>
  <c r="K85" i="89"/>
  <c r="K42" i="89"/>
  <c r="L86" i="89"/>
  <c r="L85" i="89"/>
  <c r="L42" i="89"/>
  <c r="M86" i="89"/>
  <c r="M85" i="89"/>
  <c r="M42" i="89"/>
  <c r="N86" i="89"/>
  <c r="N85" i="89"/>
  <c r="N42" i="89"/>
  <c r="P86" i="89"/>
  <c r="P85" i="89"/>
  <c r="P42" i="89"/>
  <c r="Q86" i="89"/>
  <c r="Q85" i="89"/>
  <c r="Q42" i="89"/>
  <c r="R86" i="89"/>
  <c r="R85" i="89"/>
  <c r="R42" i="89"/>
  <c r="S86" i="89"/>
  <c r="S85" i="89"/>
  <c r="S42" i="89"/>
  <c r="V86" i="89"/>
  <c r="V85" i="89"/>
  <c r="V42" i="89"/>
  <c r="W86" i="89"/>
  <c r="W85" i="89"/>
  <c r="W42" i="89"/>
  <c r="Z86" i="89"/>
  <c r="Z85" i="89"/>
  <c r="Z42" i="89"/>
  <c r="AA85" i="89"/>
  <c r="AA42" i="89"/>
  <c r="AB86" i="89"/>
  <c r="AB85" i="89"/>
  <c r="AB42" i="89"/>
  <c r="AC86" i="89"/>
  <c r="AC43" i="89"/>
  <c r="AC85" i="89"/>
  <c r="AC42" i="89"/>
  <c r="AE86" i="89"/>
  <c r="AE85" i="89"/>
  <c r="AD42" i="89"/>
  <c r="AD86" i="89"/>
  <c r="AE43" i="89"/>
  <c r="AD85" i="89"/>
  <c r="AE42" i="89"/>
  <c r="AG86" i="89"/>
  <c r="AG85" i="89"/>
  <c r="AG42" i="89"/>
  <c r="AH86" i="89"/>
  <c r="AH85" i="89"/>
  <c r="AH42" i="89"/>
  <c r="AI86" i="89"/>
  <c r="AI85" i="89"/>
  <c r="AI42" i="89"/>
  <c r="AJ86" i="89"/>
  <c r="AJ85" i="89"/>
  <c r="AJ42" i="89"/>
  <c r="AQ85" i="89"/>
  <c r="AQ42" i="89"/>
  <c r="AS86" i="89"/>
  <c r="AS85" i="89"/>
  <c r="AS42" i="89"/>
  <c r="BF42" i="89"/>
  <c r="AT86" i="89"/>
  <c r="AT85" i="89"/>
  <c r="AT42" i="89"/>
  <c r="AU85" i="89"/>
  <c r="AV86" i="89"/>
  <c r="AW85" i="89"/>
  <c r="AX86" i="89"/>
  <c r="AY85" i="89"/>
  <c r="BG42" i="89"/>
  <c r="F43" i="89"/>
  <c r="G43" i="89"/>
  <c r="H43" i="89"/>
  <c r="I43" i="89"/>
  <c r="K43" i="89"/>
  <c r="L43" i="89"/>
  <c r="M43" i="89"/>
  <c r="N43" i="89"/>
  <c r="P43" i="89"/>
  <c r="Q43" i="89"/>
  <c r="R43" i="89"/>
  <c r="S43" i="89"/>
  <c r="U43" i="89"/>
  <c r="V43" i="89"/>
  <c r="W43" i="89"/>
  <c r="Z43" i="89"/>
  <c r="AA43" i="89"/>
  <c r="AB43" i="89"/>
  <c r="AD43" i="89"/>
  <c r="AG43" i="89"/>
  <c r="AH43" i="89"/>
  <c r="AI43" i="89"/>
  <c r="AJ43" i="89"/>
  <c r="AN91" i="89"/>
  <c r="AN43" i="89"/>
  <c r="AP43" i="89"/>
  <c r="AQ43" i="89"/>
  <c r="AS43" i="89"/>
  <c r="AT43" i="89"/>
  <c r="AU43" i="89"/>
  <c r="AW43" i="89"/>
  <c r="K46" i="89"/>
  <c r="M46" i="89"/>
  <c r="R46" i="89"/>
  <c r="U46" i="89"/>
  <c r="AH46" i="89"/>
  <c r="AJ46" i="89"/>
  <c r="F47" i="89"/>
  <c r="G47" i="89"/>
  <c r="I47" i="89"/>
  <c r="R47" i="89"/>
  <c r="BB49" i="89"/>
  <c r="BC49" i="89"/>
  <c r="BB50" i="89"/>
  <c r="BC50" i="89"/>
  <c r="AN51" i="89"/>
  <c r="BB51" i="89"/>
  <c r="BC51" i="89"/>
  <c r="BB52" i="89"/>
  <c r="BC52" i="89"/>
  <c r="AD53" i="89"/>
  <c r="BB53" i="89"/>
  <c r="BC53" i="89"/>
  <c r="BI121" i="89"/>
  <c r="AT70" i="89"/>
  <c r="AT67" i="89"/>
  <c r="AD54" i="89"/>
  <c r="AN54" i="89"/>
  <c r="BB54" i="89"/>
  <c r="BC54" i="89"/>
  <c r="X55" i="89"/>
  <c r="BB55" i="89"/>
  <c r="BC55" i="89"/>
  <c r="BB56" i="89"/>
  <c r="BC56" i="89"/>
  <c r="AN57" i="89"/>
  <c r="BB57" i="89"/>
  <c r="BC57" i="89"/>
  <c r="BB58" i="89"/>
  <c r="BC58" i="89"/>
  <c r="BB59" i="89"/>
  <c r="BC59" i="89"/>
  <c r="BB60" i="89"/>
  <c r="BC60" i="89"/>
  <c r="BB61" i="89"/>
  <c r="BC61" i="89"/>
  <c r="BB62" i="89"/>
  <c r="BC62" i="89"/>
  <c r="BB63" i="89"/>
  <c r="BC63" i="89"/>
  <c r="BB64" i="89"/>
  <c r="BC64" i="89"/>
  <c r="BH91" i="89"/>
  <c r="BH92" i="89"/>
  <c r="BH93" i="89"/>
  <c r="BH94" i="89"/>
  <c r="BH95" i="89"/>
  <c r="BH96" i="89"/>
  <c r="BH97" i="89"/>
  <c r="BH98" i="89"/>
  <c r="BH99" i="89"/>
  <c r="BH100" i="89"/>
  <c r="BH101" i="89"/>
  <c r="BH102" i="89"/>
  <c r="BH103" i="89"/>
  <c r="BH104" i="89"/>
  <c r="BH105" i="89"/>
  <c r="BH106" i="89"/>
  <c r="BH107" i="89"/>
  <c r="BH108" i="89"/>
  <c r="BH109" i="89"/>
  <c r="BH110" i="89"/>
  <c r="BH111" i="89"/>
  <c r="BH112" i="89"/>
  <c r="BH113" i="89"/>
  <c r="BH114" i="89"/>
  <c r="BH115" i="89"/>
  <c r="BH116" i="89"/>
  <c r="BH117" i="89"/>
  <c r="BH118" i="89"/>
  <c r="BH119" i="89"/>
  <c r="BH120" i="89"/>
  <c r="BH121" i="89"/>
  <c r="AH65" i="89"/>
  <c r="AJ65" i="89"/>
  <c r="BB65" i="89"/>
  <c r="BC65" i="89"/>
  <c r="BB66" i="89"/>
  <c r="BC66" i="89"/>
  <c r="AN67" i="89" a="1"/>
  <c r="AN67" i="89"/>
  <c r="BB67" i="89"/>
  <c r="BC67" i="89"/>
  <c r="AY91" i="89"/>
  <c r="AH68" i="89"/>
  <c r="AJ68" i="89"/>
  <c r="AY92" i="89"/>
  <c r="AY93" i="89"/>
  <c r="AY94" i="89"/>
  <c r="AY95" i="89"/>
  <c r="AY96" i="89"/>
  <c r="AY97" i="89"/>
  <c r="AY98" i="89"/>
  <c r="AY99" i="89"/>
  <c r="AY100" i="89"/>
  <c r="AY101" i="89"/>
  <c r="AY102" i="89"/>
  <c r="AY103" i="89"/>
  <c r="AY104" i="89"/>
  <c r="AY105" i="89"/>
  <c r="AY106" i="89"/>
  <c r="AY107" i="89"/>
  <c r="AY108" i="89"/>
  <c r="AY109" i="89"/>
  <c r="AY110" i="89"/>
  <c r="AY111" i="89"/>
  <c r="AY112" i="89"/>
  <c r="AY113" i="89"/>
  <c r="AY114" i="89"/>
  <c r="AY115" i="89"/>
  <c r="AY116" i="89"/>
  <c r="AY117" i="89"/>
  <c r="AY118" i="89"/>
  <c r="AY119" i="89"/>
  <c r="AY120" i="89"/>
  <c r="AY121" i="89"/>
  <c r="BB68" i="89"/>
  <c r="BC68" i="89"/>
  <c r="BB69" i="89"/>
  <c r="BC69" i="89"/>
  <c r="BB70" i="89"/>
  <c r="BC70" i="89"/>
  <c r="BB71" i="89"/>
  <c r="BC71" i="89"/>
  <c r="BB72" i="89"/>
  <c r="BC72" i="89"/>
  <c r="BB73" i="89"/>
  <c r="BC73" i="89"/>
  <c r="K74" i="89"/>
  <c r="K80" i="89"/>
  <c r="L74" i="89"/>
  <c r="M74" i="89"/>
  <c r="BB74" i="89"/>
  <c r="BC74" i="89"/>
  <c r="L75" i="89"/>
  <c r="M75" i="89"/>
  <c r="BB75" i="89"/>
  <c r="BC75" i="89"/>
  <c r="L76" i="89"/>
  <c r="M76" i="89"/>
  <c r="AN76" i="89"/>
  <c r="BB76" i="89"/>
  <c r="BC76" i="89"/>
  <c r="L77" i="89"/>
  <c r="M77" i="89"/>
  <c r="BB77" i="89"/>
  <c r="BC77" i="89"/>
  <c r="AY81" i="89"/>
  <c r="K78" i="89"/>
  <c r="L78" i="89"/>
  <c r="M78" i="89"/>
  <c r="BB78" i="89"/>
  <c r="BC78" i="89"/>
  <c r="K79" i="89"/>
  <c r="L79" i="89"/>
  <c r="M79" i="89"/>
  <c r="AY79" i="89"/>
  <c r="BC80" i="89"/>
  <c r="BB79" i="89"/>
  <c r="BC79" i="89"/>
  <c r="L80" i="89"/>
  <c r="M80" i="89"/>
  <c r="BB80" i="89"/>
  <c r="BF80" i="89"/>
  <c r="BG80" i="89"/>
  <c r="BH80" i="89"/>
  <c r="BI80" i="89"/>
  <c r="BJ80" i="89"/>
  <c r="K81" i="89"/>
  <c r="L81" i="89"/>
  <c r="M81" i="89"/>
  <c r="K82" i="89"/>
  <c r="K83" i="89"/>
  <c r="L83" i="89"/>
  <c r="M83" i="89"/>
  <c r="L82" i="89"/>
  <c r="M82" i="89"/>
  <c r="AN82" i="89"/>
  <c r="BF82" i="89"/>
  <c r="BG82" i="89"/>
  <c r="BH82" i="89"/>
  <c r="BI82" i="89"/>
  <c r="BJ82" i="89"/>
  <c r="C91" i="89"/>
  <c r="D91" i="89"/>
  <c r="B91" i="89"/>
  <c r="E91" i="89"/>
  <c r="BA83" i="89"/>
  <c r="BB83" i="89"/>
  <c r="BF83" i="89"/>
  <c r="BG83" i="89"/>
  <c r="BH83" i="89"/>
  <c r="BI83" i="89"/>
  <c r="BJ83" i="89"/>
  <c r="BB84" i="89"/>
  <c r="C85" i="89"/>
  <c r="X85" i="89"/>
  <c r="Y85" i="89"/>
  <c r="AF85" i="89"/>
  <c r="AZ85" i="89"/>
  <c r="BA85" i="89"/>
  <c r="BB85" i="89"/>
  <c r="BE85" i="89"/>
  <c r="BF85" i="89"/>
  <c r="BG85" i="89"/>
  <c r="B86" i="89"/>
  <c r="T86" i="89"/>
  <c r="X86" i="89"/>
  <c r="Y86" i="89"/>
  <c r="AF86" i="89"/>
  <c r="AZ86" i="89"/>
  <c r="BA86" i="89"/>
  <c r="BB86" i="89"/>
  <c r="BE86" i="89"/>
  <c r="BF86" i="89"/>
  <c r="BG86" i="89"/>
  <c r="A91" i="89"/>
  <c r="H91" i="89"/>
  <c r="K91" i="89"/>
  <c r="L91" i="89"/>
  <c r="M91" i="89"/>
  <c r="BJ91" i="89"/>
  <c r="N91" i="89"/>
  <c r="O91" i="89"/>
  <c r="P91" i="89"/>
  <c r="Q91" i="89"/>
  <c r="R91" i="89"/>
  <c r="S91" i="89"/>
  <c r="U91" i="89"/>
  <c r="W91" i="89"/>
  <c r="X91" i="89"/>
  <c r="Y91" i="89"/>
  <c r="Z91" i="89"/>
  <c r="AD91" i="89"/>
  <c r="AF91" i="89"/>
  <c r="AT123" i="89"/>
  <c r="AS91" i="89"/>
  <c r="AK91" i="89"/>
  <c r="AM91" i="89"/>
  <c r="AO91" i="89"/>
  <c r="AR91" i="89"/>
  <c r="AZ91" i="89"/>
  <c r="BF91" i="89"/>
  <c r="BG91" i="89"/>
  <c r="A92" i="89"/>
  <c r="B92" i="89"/>
  <c r="E92" i="89"/>
  <c r="C92" i="89"/>
  <c r="D92" i="89"/>
  <c r="H92" i="89"/>
  <c r="K92" i="89"/>
  <c r="L92" i="89"/>
  <c r="M92" i="89"/>
  <c r="BJ92" i="89"/>
  <c r="N92" i="89"/>
  <c r="O92" i="89"/>
  <c r="P92" i="89"/>
  <c r="Q92" i="89"/>
  <c r="R92" i="89"/>
  <c r="S92" i="89"/>
  <c r="U92" i="89"/>
  <c r="W92" i="89"/>
  <c r="X92" i="89"/>
  <c r="Y92" i="89"/>
  <c r="Z92" i="89"/>
  <c r="AC92" i="89"/>
  <c r="AD92" i="89"/>
  <c r="AF92" i="89"/>
  <c r="AS92" i="89"/>
  <c r="AK92" i="89"/>
  <c r="AM92" i="89"/>
  <c r="AO92" i="89"/>
  <c r="AR92" i="89"/>
  <c r="AZ92" i="89"/>
  <c r="BF92" i="89"/>
  <c r="BG92" i="89"/>
  <c r="A93" i="89"/>
  <c r="B93" i="89"/>
  <c r="C93" i="89"/>
  <c r="D93" i="89"/>
  <c r="E93" i="89"/>
  <c r="H93" i="89"/>
  <c r="K93" i="89"/>
  <c r="L93" i="89"/>
  <c r="M93" i="89"/>
  <c r="BJ93" i="89"/>
  <c r="N93" i="89"/>
  <c r="O93" i="89"/>
  <c r="P93" i="89"/>
  <c r="Q93" i="89"/>
  <c r="R93" i="89"/>
  <c r="S93" i="89"/>
  <c r="U93" i="89"/>
  <c r="W93" i="89"/>
  <c r="X93" i="89"/>
  <c r="Y93" i="89"/>
  <c r="Z93" i="89"/>
  <c r="AD93" i="89"/>
  <c r="AF93" i="89"/>
  <c r="AK93" i="89"/>
  <c r="AM93" i="89"/>
  <c r="AO93" i="89"/>
  <c r="AR93" i="89"/>
  <c r="AZ93" i="89"/>
  <c r="BF93" i="89"/>
  <c r="BG93" i="89"/>
  <c r="A94" i="89"/>
  <c r="B94" i="89"/>
  <c r="E94" i="89"/>
  <c r="C94" i="89"/>
  <c r="D94" i="89"/>
  <c r="H94" i="89"/>
  <c r="K94" i="89"/>
  <c r="L94" i="89"/>
  <c r="M94" i="89"/>
  <c r="BJ94" i="89"/>
  <c r="N94" i="89"/>
  <c r="O94" i="89"/>
  <c r="P94" i="89"/>
  <c r="Q94" i="89"/>
  <c r="R94" i="89"/>
  <c r="S94" i="89"/>
  <c r="U94" i="89"/>
  <c r="W94" i="89"/>
  <c r="X94" i="89"/>
  <c r="Y94" i="89"/>
  <c r="Z94" i="89"/>
  <c r="AC94" i="89"/>
  <c r="AD94" i="89"/>
  <c r="AF94" i="89"/>
  <c r="AS94" i="89"/>
  <c r="AK94" i="89"/>
  <c r="AM94" i="89"/>
  <c r="AO94" i="89"/>
  <c r="AR94" i="89"/>
  <c r="AZ94" i="89"/>
  <c r="BF94" i="89"/>
  <c r="BG94" i="89"/>
  <c r="A95" i="89"/>
  <c r="B95" i="89"/>
  <c r="C95" i="89"/>
  <c r="D95" i="89"/>
  <c r="E95" i="89"/>
  <c r="H95" i="89"/>
  <c r="K95" i="89"/>
  <c r="L95" i="89"/>
  <c r="M95" i="89"/>
  <c r="BJ95" i="89"/>
  <c r="N95" i="89"/>
  <c r="O95" i="89"/>
  <c r="P95" i="89"/>
  <c r="Q95" i="89"/>
  <c r="R95" i="89"/>
  <c r="S95" i="89"/>
  <c r="U95" i="89"/>
  <c r="W95" i="89"/>
  <c r="X95" i="89"/>
  <c r="Y95" i="89"/>
  <c r="Z95" i="89"/>
  <c r="AD95" i="89"/>
  <c r="AF95" i="89"/>
  <c r="AK95" i="89"/>
  <c r="AM95" i="89"/>
  <c r="AO95" i="89"/>
  <c r="AR95" i="89"/>
  <c r="AZ95" i="89"/>
  <c r="BF95" i="89"/>
  <c r="BG95" i="89"/>
  <c r="A96" i="89"/>
  <c r="B96" i="89"/>
  <c r="E96" i="89"/>
  <c r="C96" i="89"/>
  <c r="D96" i="89"/>
  <c r="H96" i="89"/>
  <c r="K96" i="89"/>
  <c r="L96" i="89"/>
  <c r="M96" i="89"/>
  <c r="BJ96" i="89"/>
  <c r="N96" i="89"/>
  <c r="O96" i="89"/>
  <c r="P96" i="89"/>
  <c r="Q96" i="89"/>
  <c r="R96" i="89"/>
  <c r="S96" i="89"/>
  <c r="U96" i="89"/>
  <c r="W96" i="89"/>
  <c r="X96" i="89"/>
  <c r="Y96" i="89"/>
  <c r="Z96" i="89"/>
  <c r="AC96" i="89"/>
  <c r="AD96" i="89"/>
  <c r="AF96" i="89"/>
  <c r="AS96" i="89"/>
  <c r="AK96" i="89"/>
  <c r="AM96" i="89"/>
  <c r="AO96" i="89"/>
  <c r="AR96" i="89"/>
  <c r="AZ96" i="89"/>
  <c r="BF96" i="89"/>
  <c r="BG96" i="89"/>
  <c r="A97" i="89"/>
  <c r="B97" i="89"/>
  <c r="C97" i="89"/>
  <c r="D97" i="89"/>
  <c r="E97" i="89"/>
  <c r="H97" i="89"/>
  <c r="K97" i="89"/>
  <c r="L97" i="89"/>
  <c r="M97" i="89"/>
  <c r="BJ97" i="89"/>
  <c r="N97" i="89"/>
  <c r="O97" i="89"/>
  <c r="P97" i="89"/>
  <c r="Q97" i="89"/>
  <c r="R97" i="89"/>
  <c r="S97" i="89"/>
  <c r="U97" i="89"/>
  <c r="W97" i="89"/>
  <c r="X97" i="89"/>
  <c r="Y97" i="89"/>
  <c r="Z97" i="89"/>
  <c r="AD97" i="89"/>
  <c r="AF97" i="89"/>
  <c r="AK97" i="89"/>
  <c r="AM97" i="89"/>
  <c r="AO97" i="89"/>
  <c r="AR97" i="89"/>
  <c r="AZ97" i="89"/>
  <c r="BF97" i="89"/>
  <c r="BG97" i="89"/>
  <c r="A98" i="89"/>
  <c r="B98" i="89"/>
  <c r="E98" i="89"/>
  <c r="C98" i="89"/>
  <c r="D98" i="89"/>
  <c r="H98" i="89"/>
  <c r="I98" i="89"/>
  <c r="K98" i="89"/>
  <c r="L98" i="89"/>
  <c r="M98" i="89"/>
  <c r="BJ98" i="89"/>
  <c r="N98" i="89"/>
  <c r="O98" i="89"/>
  <c r="P98" i="89"/>
  <c r="Q98" i="89"/>
  <c r="R98" i="89"/>
  <c r="S98" i="89"/>
  <c r="U98" i="89"/>
  <c r="W98" i="89"/>
  <c r="X98" i="89"/>
  <c r="Y98" i="89"/>
  <c r="Z98" i="89"/>
  <c r="AC98" i="89"/>
  <c r="AD98" i="89"/>
  <c r="AF98" i="89"/>
  <c r="AK98" i="89"/>
  <c r="AM98" i="89"/>
  <c r="AO98" i="89"/>
  <c r="AR98" i="89"/>
  <c r="AZ98" i="89"/>
  <c r="BF98" i="89"/>
  <c r="BG98" i="89"/>
  <c r="A99" i="89"/>
  <c r="B99" i="89"/>
  <c r="E99" i="89"/>
  <c r="C99" i="89"/>
  <c r="D99" i="89"/>
  <c r="H99" i="89"/>
  <c r="I99" i="89"/>
  <c r="K99" i="89"/>
  <c r="L99" i="89"/>
  <c r="M99" i="89"/>
  <c r="BJ99" i="89"/>
  <c r="N99" i="89"/>
  <c r="O99" i="89"/>
  <c r="P99" i="89"/>
  <c r="Q99" i="89"/>
  <c r="R99" i="89"/>
  <c r="S99" i="89"/>
  <c r="U99" i="89"/>
  <c r="W99" i="89"/>
  <c r="X99" i="89"/>
  <c r="Y99" i="89"/>
  <c r="Z99" i="89"/>
  <c r="AD99" i="89"/>
  <c r="AF99" i="89"/>
  <c r="AK99" i="89"/>
  <c r="AM99" i="89"/>
  <c r="AN99" i="89"/>
  <c r="AO99" i="89"/>
  <c r="AR99" i="89"/>
  <c r="AZ99" i="89"/>
  <c r="BF99" i="89"/>
  <c r="BG99" i="89"/>
  <c r="A100" i="89"/>
  <c r="B100" i="89"/>
  <c r="C100" i="89"/>
  <c r="D100" i="89"/>
  <c r="E100" i="89"/>
  <c r="H100" i="89"/>
  <c r="I100" i="89"/>
  <c r="K100" i="89"/>
  <c r="L100" i="89"/>
  <c r="M100" i="89"/>
  <c r="BJ100" i="89"/>
  <c r="N100" i="89"/>
  <c r="O100" i="89"/>
  <c r="P100" i="89"/>
  <c r="Q100" i="89"/>
  <c r="R100" i="89"/>
  <c r="S100" i="89"/>
  <c r="U100" i="89"/>
  <c r="W100" i="89"/>
  <c r="X100" i="89"/>
  <c r="Y100" i="89"/>
  <c r="Z100" i="89"/>
  <c r="AC100" i="89"/>
  <c r="AD100" i="89"/>
  <c r="AF100" i="89"/>
  <c r="AS100" i="89"/>
  <c r="AK100" i="89"/>
  <c r="AM100" i="89"/>
  <c r="AO100" i="89"/>
  <c r="AR100" i="89"/>
  <c r="AZ100" i="89"/>
  <c r="BF100" i="89"/>
  <c r="BG100" i="89"/>
  <c r="A101" i="89"/>
  <c r="B101" i="89"/>
  <c r="C101" i="89"/>
  <c r="D101" i="89"/>
  <c r="E101" i="89"/>
  <c r="H101" i="89"/>
  <c r="I101" i="89"/>
  <c r="K101" i="89"/>
  <c r="L101" i="89"/>
  <c r="M101" i="89"/>
  <c r="BJ101" i="89"/>
  <c r="N101" i="89"/>
  <c r="O101" i="89"/>
  <c r="P101" i="89"/>
  <c r="Q101" i="89"/>
  <c r="R101" i="89"/>
  <c r="S101" i="89"/>
  <c r="U101" i="89"/>
  <c r="W101" i="89"/>
  <c r="X101" i="89"/>
  <c r="Y101" i="89"/>
  <c r="Z101" i="89"/>
  <c r="AD101" i="89"/>
  <c r="AF101" i="89"/>
  <c r="AS101" i="89"/>
  <c r="AK101" i="89"/>
  <c r="AM101" i="89"/>
  <c r="AO101" i="89"/>
  <c r="AR101" i="89"/>
  <c r="AZ101" i="89"/>
  <c r="BF101" i="89"/>
  <c r="BG101" i="89"/>
  <c r="A102" i="89"/>
  <c r="B102" i="89"/>
  <c r="C102" i="89"/>
  <c r="D102" i="89"/>
  <c r="E102" i="89"/>
  <c r="H102" i="89"/>
  <c r="I102" i="89"/>
  <c r="K102" i="89"/>
  <c r="L102" i="89"/>
  <c r="M102" i="89"/>
  <c r="BJ102" i="89"/>
  <c r="N102" i="89"/>
  <c r="O102" i="89"/>
  <c r="P102" i="89"/>
  <c r="Q102" i="89"/>
  <c r="R102" i="89"/>
  <c r="S102" i="89"/>
  <c r="U102" i="89"/>
  <c r="W102" i="89"/>
  <c r="X102" i="89"/>
  <c r="Y102" i="89"/>
  <c r="Z102" i="89"/>
  <c r="AC102" i="89"/>
  <c r="AD102" i="89"/>
  <c r="AF102" i="89"/>
  <c r="AS102" i="89"/>
  <c r="AK102" i="89"/>
  <c r="AM102" i="89"/>
  <c r="AN102" i="89" a="1"/>
  <c r="AN102" i="89"/>
  <c r="AO102" i="89"/>
  <c r="AR102" i="89"/>
  <c r="AZ102" i="89"/>
  <c r="BF102" i="89"/>
  <c r="BG102" i="89"/>
  <c r="A103" i="89"/>
  <c r="B103" i="89"/>
  <c r="C103" i="89"/>
  <c r="D103" i="89"/>
  <c r="E103" i="89"/>
  <c r="H103" i="89"/>
  <c r="I103" i="89"/>
  <c r="K103" i="89"/>
  <c r="L103" i="89"/>
  <c r="M103" i="89"/>
  <c r="BJ103" i="89"/>
  <c r="N103" i="89"/>
  <c r="O103" i="89"/>
  <c r="P103" i="89"/>
  <c r="Q103" i="89"/>
  <c r="R103" i="89"/>
  <c r="S103" i="89"/>
  <c r="U103" i="89"/>
  <c r="W103" i="89"/>
  <c r="X103" i="89"/>
  <c r="Y103" i="89"/>
  <c r="Z103" i="89"/>
  <c r="AA103" i="89"/>
  <c r="AC103" i="89"/>
  <c r="AD103" i="89"/>
  <c r="AF103" i="89"/>
  <c r="AK103" i="89"/>
  <c r="AM103" i="89"/>
  <c r="AN103" i="89"/>
  <c r="AO103" i="89"/>
  <c r="AR103" i="89"/>
  <c r="AZ103" i="89"/>
  <c r="BF103" i="89"/>
  <c r="BG103" i="89"/>
  <c r="A104" i="89"/>
  <c r="B104" i="89"/>
  <c r="C104" i="89"/>
  <c r="D104" i="89"/>
  <c r="E104" i="89"/>
  <c r="H104" i="89"/>
  <c r="I104" i="89"/>
  <c r="K104" i="89"/>
  <c r="L104" i="89"/>
  <c r="M104" i="89"/>
  <c r="BJ104" i="89"/>
  <c r="N104" i="89"/>
  <c r="O104" i="89"/>
  <c r="P104" i="89"/>
  <c r="Q104" i="89"/>
  <c r="R104" i="89"/>
  <c r="S104" i="89"/>
  <c r="U104" i="89"/>
  <c r="W104" i="89"/>
  <c r="X104" i="89"/>
  <c r="Y104" i="89"/>
  <c r="Z104" i="89"/>
  <c r="AA104" i="89"/>
  <c r="AC104" i="89"/>
  <c r="AD104" i="89"/>
  <c r="AF104" i="89"/>
  <c r="AK104" i="89"/>
  <c r="AM104" i="89"/>
  <c r="AN104" i="89"/>
  <c r="AO104" i="89"/>
  <c r="AR104" i="89"/>
  <c r="AZ104" i="89"/>
  <c r="BF104" i="89"/>
  <c r="BG104" i="89"/>
  <c r="A105" i="89"/>
  <c r="B105" i="89"/>
  <c r="C105" i="89"/>
  <c r="D105" i="89"/>
  <c r="E105" i="89"/>
  <c r="H105" i="89"/>
  <c r="I105" i="89"/>
  <c r="K105" i="89"/>
  <c r="L105" i="89"/>
  <c r="M105" i="89"/>
  <c r="BJ105" i="89"/>
  <c r="N105" i="89"/>
  <c r="O105" i="89"/>
  <c r="P105" i="89"/>
  <c r="Q105" i="89"/>
  <c r="R105" i="89"/>
  <c r="S105" i="89"/>
  <c r="U105" i="89"/>
  <c r="W105" i="89"/>
  <c r="X105" i="89"/>
  <c r="Y105" i="89"/>
  <c r="Z105" i="89"/>
  <c r="AA105" i="89"/>
  <c r="AC105" i="89"/>
  <c r="AD105" i="89"/>
  <c r="AF105" i="89"/>
  <c r="AK105" i="89"/>
  <c r="AM105" i="89"/>
  <c r="AN105" i="89" a="1"/>
  <c r="AN105" i="89"/>
  <c r="AO105" i="89"/>
  <c r="AR105" i="89"/>
  <c r="AZ105" i="89"/>
  <c r="BF105" i="89"/>
  <c r="BG105" i="89"/>
  <c r="A106" i="89"/>
  <c r="B106" i="89"/>
  <c r="E106" i="89"/>
  <c r="C106" i="89"/>
  <c r="D106" i="89"/>
  <c r="H106" i="89"/>
  <c r="I106" i="89"/>
  <c r="K106" i="89"/>
  <c r="L106" i="89"/>
  <c r="M106" i="89"/>
  <c r="BJ106" i="89"/>
  <c r="N106" i="89"/>
  <c r="O106" i="89"/>
  <c r="P106" i="89"/>
  <c r="Q106" i="89"/>
  <c r="R106" i="89"/>
  <c r="S106" i="89"/>
  <c r="U106" i="89"/>
  <c r="W106" i="89"/>
  <c r="X106" i="89"/>
  <c r="Y106" i="89"/>
  <c r="Z106" i="89"/>
  <c r="AA106" i="89"/>
  <c r="AC106" i="89"/>
  <c r="AD106" i="89"/>
  <c r="AF106" i="89"/>
  <c r="AS106" i="89"/>
  <c r="AK106" i="89"/>
  <c r="AM106" i="89"/>
  <c r="AN106" i="89" a="1"/>
  <c r="AN106" i="89"/>
  <c r="AO106" i="89"/>
  <c r="AR106" i="89"/>
  <c r="AZ106" i="89"/>
  <c r="BF106" i="89"/>
  <c r="BG106" i="89"/>
  <c r="A107" i="89"/>
  <c r="B107" i="89"/>
  <c r="C107" i="89"/>
  <c r="D107" i="89"/>
  <c r="E107" i="89"/>
  <c r="H107" i="89"/>
  <c r="I107" i="89"/>
  <c r="K107" i="89"/>
  <c r="L107" i="89"/>
  <c r="M107" i="89"/>
  <c r="BJ107" i="89"/>
  <c r="N107" i="89"/>
  <c r="O107" i="89"/>
  <c r="P107" i="89"/>
  <c r="Q107" i="89"/>
  <c r="R107" i="89"/>
  <c r="S107" i="89"/>
  <c r="U107" i="89"/>
  <c r="W107" i="89"/>
  <c r="X107" i="89"/>
  <c r="Y107" i="89"/>
  <c r="Z107" i="89"/>
  <c r="AA107" i="89"/>
  <c r="AC107" i="89"/>
  <c r="AD107" i="89"/>
  <c r="AF107" i="89"/>
  <c r="AK107" i="89"/>
  <c r="AM107" i="89"/>
  <c r="AN107" i="89"/>
  <c r="AO107" i="89"/>
  <c r="AR107" i="89"/>
  <c r="AZ107" i="89"/>
  <c r="BF107" i="89"/>
  <c r="BG107" i="89"/>
  <c r="A108" i="89"/>
  <c r="B108" i="89"/>
  <c r="C108" i="89"/>
  <c r="D108" i="89"/>
  <c r="E108" i="89"/>
  <c r="H108" i="89"/>
  <c r="I108" i="89"/>
  <c r="K108" i="89"/>
  <c r="L108" i="89"/>
  <c r="M108" i="89"/>
  <c r="BJ108" i="89"/>
  <c r="N108" i="89"/>
  <c r="O108" i="89"/>
  <c r="P108" i="89"/>
  <c r="Q108" i="89"/>
  <c r="R108" i="89"/>
  <c r="S108" i="89"/>
  <c r="U108" i="89"/>
  <c r="W108" i="89"/>
  <c r="X108" i="89"/>
  <c r="Y108" i="89"/>
  <c r="Z108" i="89"/>
  <c r="AA108" i="89"/>
  <c r="AC108" i="89"/>
  <c r="AD108" i="89"/>
  <c r="AF108" i="89"/>
  <c r="AK108" i="89"/>
  <c r="AM108" i="89"/>
  <c r="AN108" i="89" a="1"/>
  <c r="AN108" i="89"/>
  <c r="AO108" i="89"/>
  <c r="AR108" i="89"/>
  <c r="AZ108" i="89"/>
  <c r="BF108" i="89"/>
  <c r="BG108" i="89"/>
  <c r="A109" i="89"/>
  <c r="B109" i="89"/>
  <c r="E109" i="89"/>
  <c r="C109" i="89"/>
  <c r="D109" i="89"/>
  <c r="H109" i="89"/>
  <c r="I109" i="89"/>
  <c r="K109" i="89"/>
  <c r="L109" i="89"/>
  <c r="M109" i="89"/>
  <c r="BJ109" i="89"/>
  <c r="N109" i="89"/>
  <c r="O109" i="89"/>
  <c r="P109" i="89"/>
  <c r="Q109" i="89"/>
  <c r="R109" i="89"/>
  <c r="S109" i="89"/>
  <c r="U109" i="89"/>
  <c r="W109" i="89"/>
  <c r="X109" i="89"/>
  <c r="Y109" i="89"/>
  <c r="Z109" i="89"/>
  <c r="AA109" i="89"/>
  <c r="AC109" i="89"/>
  <c r="AD109" i="89"/>
  <c r="AF109" i="89"/>
  <c r="AS109" i="89"/>
  <c r="AK109" i="89"/>
  <c r="AM109" i="89"/>
  <c r="AO109" i="89"/>
  <c r="AQ109" i="89"/>
  <c r="AR109" i="89"/>
  <c r="AZ109" i="89"/>
  <c r="BF109" i="89"/>
  <c r="BG109" i="89"/>
  <c r="A110" i="89"/>
  <c r="B110" i="89"/>
  <c r="E110" i="89"/>
  <c r="C110" i="89"/>
  <c r="D110" i="89"/>
  <c r="H110" i="89"/>
  <c r="I110" i="89"/>
  <c r="K110" i="89"/>
  <c r="L110" i="89"/>
  <c r="M110" i="89"/>
  <c r="BJ110" i="89"/>
  <c r="N110" i="89"/>
  <c r="O110" i="89"/>
  <c r="P110" i="89"/>
  <c r="Q110" i="89"/>
  <c r="R110" i="89"/>
  <c r="S110" i="89"/>
  <c r="U110" i="89"/>
  <c r="W110" i="89"/>
  <c r="X110" i="89"/>
  <c r="Y110" i="89"/>
  <c r="Z110" i="89"/>
  <c r="AA110" i="89"/>
  <c r="AC110" i="89"/>
  <c r="AD110" i="89"/>
  <c r="AF110" i="89"/>
  <c r="AS110" i="89"/>
  <c r="AK110" i="89"/>
  <c r="AM110" i="89"/>
  <c r="AO110" i="89"/>
  <c r="AR110" i="89"/>
  <c r="AZ110" i="89"/>
  <c r="BF110" i="89"/>
  <c r="BG110" i="89"/>
  <c r="A111" i="89"/>
  <c r="B111" i="89"/>
  <c r="C111" i="89"/>
  <c r="D111" i="89"/>
  <c r="E111" i="89"/>
  <c r="H111" i="89"/>
  <c r="I111" i="89"/>
  <c r="K111" i="89"/>
  <c r="L111" i="89"/>
  <c r="M111" i="89"/>
  <c r="BJ111" i="89"/>
  <c r="N111" i="89"/>
  <c r="O111" i="89"/>
  <c r="P111" i="89"/>
  <c r="Q111" i="89"/>
  <c r="R111" i="89"/>
  <c r="S111" i="89"/>
  <c r="U111" i="89"/>
  <c r="W111" i="89"/>
  <c r="X111" i="89"/>
  <c r="Y111" i="89"/>
  <c r="Z111" i="89"/>
  <c r="AA111" i="89"/>
  <c r="AC111" i="89"/>
  <c r="AD111" i="89"/>
  <c r="AF111" i="89"/>
  <c r="AK111" i="89"/>
  <c r="AM111" i="89"/>
  <c r="AO111" i="89"/>
  <c r="AQ111" i="89"/>
  <c r="AR111" i="89"/>
  <c r="AZ111" i="89"/>
  <c r="BF111" i="89"/>
  <c r="BG111" i="89"/>
  <c r="A112" i="89"/>
  <c r="B112" i="89"/>
  <c r="C112" i="89"/>
  <c r="D112" i="89"/>
  <c r="E112" i="89"/>
  <c r="H112" i="89"/>
  <c r="I112" i="89"/>
  <c r="K112" i="89"/>
  <c r="L112" i="89"/>
  <c r="M112" i="89"/>
  <c r="BJ112" i="89"/>
  <c r="N112" i="89"/>
  <c r="O112" i="89"/>
  <c r="P112" i="89"/>
  <c r="Q112" i="89"/>
  <c r="R112" i="89"/>
  <c r="S112" i="89"/>
  <c r="U112" i="89"/>
  <c r="W112" i="89"/>
  <c r="X112" i="89"/>
  <c r="Y112" i="89"/>
  <c r="Z112" i="89"/>
  <c r="AA112" i="89"/>
  <c r="AC112" i="89"/>
  <c r="AD112" i="89"/>
  <c r="AF112" i="89"/>
  <c r="AK112" i="89"/>
  <c r="AM112" i="89"/>
  <c r="AO112" i="89"/>
  <c r="AR112" i="89"/>
  <c r="AZ112" i="89"/>
  <c r="BF112" i="89"/>
  <c r="BG112" i="89"/>
  <c r="A113" i="89"/>
  <c r="B113" i="89"/>
  <c r="E113" i="89"/>
  <c r="C113" i="89"/>
  <c r="D113" i="89"/>
  <c r="H113" i="89"/>
  <c r="I113" i="89"/>
  <c r="K113" i="89"/>
  <c r="L113" i="89"/>
  <c r="M113" i="89"/>
  <c r="BJ113" i="89"/>
  <c r="N113" i="89"/>
  <c r="O113" i="89"/>
  <c r="P113" i="89"/>
  <c r="Q113" i="89"/>
  <c r="R113" i="89"/>
  <c r="S113" i="89"/>
  <c r="U113" i="89"/>
  <c r="W113" i="89"/>
  <c r="X113" i="89"/>
  <c r="Y113" i="89"/>
  <c r="Z113" i="89"/>
  <c r="AA113" i="89"/>
  <c r="AC113" i="89"/>
  <c r="AD113" i="89"/>
  <c r="AF113" i="89"/>
  <c r="AS113" i="89"/>
  <c r="AK113" i="89"/>
  <c r="AM113" i="89"/>
  <c r="AO113" i="89"/>
  <c r="AR113" i="89"/>
  <c r="AZ113" i="89"/>
  <c r="BF113" i="89"/>
  <c r="BG113" i="89"/>
  <c r="A114" i="89"/>
  <c r="B114" i="89"/>
  <c r="C114" i="89"/>
  <c r="D114" i="89"/>
  <c r="E114" i="89"/>
  <c r="H114" i="89"/>
  <c r="I114" i="89"/>
  <c r="K114" i="89"/>
  <c r="L114" i="89"/>
  <c r="M114" i="89"/>
  <c r="BJ114" i="89"/>
  <c r="N114" i="89"/>
  <c r="O114" i="89"/>
  <c r="P114" i="89"/>
  <c r="Q114" i="89"/>
  <c r="R114" i="89"/>
  <c r="S114" i="89"/>
  <c r="U114" i="89"/>
  <c r="W114" i="89"/>
  <c r="X114" i="89"/>
  <c r="Y114" i="89"/>
  <c r="Z114" i="89"/>
  <c r="AA114" i="89"/>
  <c r="AC114" i="89"/>
  <c r="AD114" i="89"/>
  <c r="AF114" i="89"/>
  <c r="AK114" i="89"/>
  <c r="AM114" i="89"/>
  <c r="AO114" i="89"/>
  <c r="AR114" i="89"/>
  <c r="AZ114" i="89"/>
  <c r="BF114" i="89"/>
  <c r="BG114" i="89"/>
  <c r="A115" i="89"/>
  <c r="B115" i="89"/>
  <c r="E115" i="89"/>
  <c r="C115" i="89"/>
  <c r="D115" i="89"/>
  <c r="H115" i="89"/>
  <c r="I115" i="89"/>
  <c r="K115" i="89"/>
  <c r="L115" i="89"/>
  <c r="M115" i="89"/>
  <c r="BJ115" i="89"/>
  <c r="N115" i="89"/>
  <c r="O115" i="89"/>
  <c r="P115" i="89"/>
  <c r="Q115" i="89"/>
  <c r="R115" i="89"/>
  <c r="S115" i="89"/>
  <c r="U115" i="89"/>
  <c r="W115" i="89"/>
  <c r="X115" i="89"/>
  <c r="Y115" i="89"/>
  <c r="Z115" i="89"/>
  <c r="AA115" i="89"/>
  <c r="AC115" i="89"/>
  <c r="AD115" i="89"/>
  <c r="AF115" i="89"/>
  <c r="AS115" i="89"/>
  <c r="AK115" i="89"/>
  <c r="AM115" i="89"/>
  <c r="AO115" i="89"/>
  <c r="AR115" i="89"/>
  <c r="AZ115" i="89"/>
  <c r="BF115" i="89"/>
  <c r="BG115" i="89"/>
  <c r="A116" i="89"/>
  <c r="B116" i="89"/>
  <c r="C116" i="89"/>
  <c r="D116" i="89"/>
  <c r="E116" i="89"/>
  <c r="H116" i="89"/>
  <c r="I116" i="89"/>
  <c r="K116" i="89"/>
  <c r="L116" i="89"/>
  <c r="M116" i="89"/>
  <c r="BJ116" i="89"/>
  <c r="N116" i="89"/>
  <c r="O116" i="89"/>
  <c r="P116" i="89"/>
  <c r="Q116" i="89"/>
  <c r="R116" i="89"/>
  <c r="S116" i="89"/>
  <c r="U116" i="89"/>
  <c r="W116" i="89"/>
  <c r="X116" i="89"/>
  <c r="Y116" i="89"/>
  <c r="Z116" i="89"/>
  <c r="AA116" i="89"/>
  <c r="AC116" i="89"/>
  <c r="AD116" i="89"/>
  <c r="AF116" i="89"/>
  <c r="AK116" i="89"/>
  <c r="AM116" i="89"/>
  <c r="AO116" i="89"/>
  <c r="AR116" i="89"/>
  <c r="AZ116" i="89"/>
  <c r="BF116" i="89"/>
  <c r="BG116" i="89"/>
  <c r="A117" i="89"/>
  <c r="B117" i="89"/>
  <c r="E117" i="89"/>
  <c r="C117" i="89"/>
  <c r="D117" i="89"/>
  <c r="H117" i="89"/>
  <c r="I117" i="89"/>
  <c r="K117" i="89"/>
  <c r="L117" i="89"/>
  <c r="M117" i="89"/>
  <c r="BJ117" i="89"/>
  <c r="N117" i="89"/>
  <c r="O117" i="89"/>
  <c r="P117" i="89"/>
  <c r="Q117" i="89"/>
  <c r="R117" i="89"/>
  <c r="S117" i="89"/>
  <c r="U117" i="89"/>
  <c r="W117" i="89"/>
  <c r="X117" i="89"/>
  <c r="Y117" i="89"/>
  <c r="Z117" i="89"/>
  <c r="AA117" i="89"/>
  <c r="AC117" i="89"/>
  <c r="AD117" i="89"/>
  <c r="AF117" i="89"/>
  <c r="AS117" i="89"/>
  <c r="AK117" i="89"/>
  <c r="AM117" i="89"/>
  <c r="AO117" i="89"/>
  <c r="AR117" i="89"/>
  <c r="AZ117" i="89"/>
  <c r="BF117" i="89"/>
  <c r="BG117" i="89"/>
  <c r="A118" i="89"/>
  <c r="B118" i="89"/>
  <c r="C118" i="89"/>
  <c r="D118" i="89"/>
  <c r="E118" i="89"/>
  <c r="H118" i="89"/>
  <c r="I118" i="89"/>
  <c r="K118" i="89"/>
  <c r="L118" i="89"/>
  <c r="M118" i="89"/>
  <c r="BJ118" i="89"/>
  <c r="N118" i="89"/>
  <c r="O118" i="89"/>
  <c r="P118" i="89"/>
  <c r="Q118" i="89"/>
  <c r="R118" i="89"/>
  <c r="S118" i="89"/>
  <c r="U118" i="89"/>
  <c r="W118" i="89"/>
  <c r="X118" i="89"/>
  <c r="Y118" i="89"/>
  <c r="Z118" i="89"/>
  <c r="AA118" i="89"/>
  <c r="AC118" i="89"/>
  <c r="AD118" i="89"/>
  <c r="AF118" i="89"/>
  <c r="AK118" i="89"/>
  <c r="AM118" i="89"/>
  <c r="AO118" i="89"/>
  <c r="AR118" i="89"/>
  <c r="AZ118" i="89"/>
  <c r="BF118" i="89"/>
  <c r="BG118" i="89"/>
  <c r="A119" i="89"/>
  <c r="B119" i="89"/>
  <c r="E119" i="89"/>
  <c r="C119" i="89"/>
  <c r="D119" i="89"/>
  <c r="H119" i="89"/>
  <c r="I119" i="89"/>
  <c r="K119" i="89"/>
  <c r="L119" i="89"/>
  <c r="M119" i="89"/>
  <c r="BJ119" i="89"/>
  <c r="N119" i="89"/>
  <c r="O119" i="89"/>
  <c r="P119" i="89"/>
  <c r="Q119" i="89"/>
  <c r="R119" i="89"/>
  <c r="S119" i="89"/>
  <c r="U119" i="89"/>
  <c r="W119" i="89"/>
  <c r="X119" i="89"/>
  <c r="Y119" i="89"/>
  <c r="Z119" i="89"/>
  <c r="AA119" i="89"/>
  <c r="AC119" i="89"/>
  <c r="AD119" i="89"/>
  <c r="AF119" i="89"/>
  <c r="AS119" i="89"/>
  <c r="AK119" i="89"/>
  <c r="AM119" i="89"/>
  <c r="AO119" i="89"/>
  <c r="AR119" i="89"/>
  <c r="AZ119" i="89"/>
  <c r="BF119" i="89"/>
  <c r="BG119" i="89"/>
  <c r="A120" i="89"/>
  <c r="B120" i="89"/>
  <c r="C120" i="89"/>
  <c r="D120" i="89"/>
  <c r="E120" i="89"/>
  <c r="H120" i="89"/>
  <c r="I120" i="89"/>
  <c r="K120" i="89"/>
  <c r="L120" i="89"/>
  <c r="M120" i="89"/>
  <c r="BJ120" i="89"/>
  <c r="N120" i="89"/>
  <c r="O120" i="89"/>
  <c r="P120" i="89"/>
  <c r="Q120" i="89"/>
  <c r="R120" i="89"/>
  <c r="S120" i="89"/>
  <c r="U120" i="89"/>
  <c r="W120" i="89"/>
  <c r="X120" i="89"/>
  <c r="Y120" i="89"/>
  <c r="Z120" i="89"/>
  <c r="AA120" i="89"/>
  <c r="AC120" i="89"/>
  <c r="AD120" i="89"/>
  <c r="AF120" i="89"/>
  <c r="AK120" i="89"/>
  <c r="AM120" i="89"/>
  <c r="AO120" i="89"/>
  <c r="AR120" i="89"/>
  <c r="AZ120" i="89"/>
  <c r="BF120" i="89"/>
  <c r="BG120" i="89"/>
  <c r="A121" i="89"/>
  <c r="B121" i="89"/>
  <c r="E121" i="89"/>
  <c r="C121" i="89"/>
  <c r="D121" i="89"/>
  <c r="K121" i="89"/>
  <c r="L121" i="89"/>
  <c r="M121" i="89"/>
  <c r="N121" i="89"/>
  <c r="O121" i="89"/>
  <c r="P121" i="89"/>
  <c r="Q121" i="89"/>
  <c r="R121" i="89"/>
  <c r="S121" i="89"/>
  <c r="U121" i="89"/>
  <c r="W121" i="89"/>
  <c r="X121" i="89"/>
  <c r="Y121" i="89"/>
  <c r="Z121" i="89"/>
  <c r="AA121" i="89"/>
  <c r="AB121" i="89"/>
  <c r="AC121" i="89"/>
  <c r="AD121" i="89"/>
  <c r="AG121" i="89"/>
  <c r="AE121" i="89"/>
  <c r="AF121" i="89"/>
  <c r="AS121" i="89"/>
  <c r="AI121" i="89"/>
  <c r="AK121" i="89"/>
  <c r="AL121" i="89"/>
  <c r="AM121" i="89"/>
  <c r="AO121" i="89"/>
  <c r="AR121" i="89"/>
  <c r="AZ121" i="89"/>
  <c r="BF121" i="89"/>
  <c r="BG121" i="89"/>
  <c r="BJ121" i="89"/>
  <c r="W123" i="89"/>
  <c r="X123" i="89"/>
  <c r="AB91" i="87"/>
  <c r="BI4" i="87"/>
  <c r="AG91" i="87"/>
  <c r="AH91" i="87"/>
  <c r="BJ4" i="87"/>
  <c r="AB92" i="87"/>
  <c r="BI5" i="87"/>
  <c r="AG92" i="87"/>
  <c r="AH92" i="87"/>
  <c r="BJ5" i="87"/>
  <c r="AB93" i="87"/>
  <c r="AG93" i="87"/>
  <c r="AB94" i="87"/>
  <c r="AG94" i="87"/>
  <c r="AB95" i="87"/>
  <c r="AG95" i="87"/>
  <c r="AB96" i="87"/>
  <c r="AG96" i="87"/>
  <c r="AB97" i="87"/>
  <c r="AG97" i="87"/>
  <c r="C4" i="87"/>
  <c r="J4" i="87"/>
  <c r="C43" i="87"/>
  <c r="O4" i="87"/>
  <c r="Y4" i="87"/>
  <c r="AU4" i="87"/>
  <c r="R91" i="87"/>
  <c r="AV4" i="87"/>
  <c r="AW4" i="87"/>
  <c r="AX4" i="87"/>
  <c r="AY4" i="87"/>
  <c r="M91" i="87"/>
  <c r="A5" i="87"/>
  <c r="C5" i="87"/>
  <c r="E5" i="87"/>
  <c r="AA92" i="87"/>
  <c r="J5" i="87"/>
  <c r="O5" i="87"/>
  <c r="Y5" i="87"/>
  <c r="AU5" i="87"/>
  <c r="AV5" i="87"/>
  <c r="S92" i="87"/>
  <c r="AW5" i="87"/>
  <c r="AX5" i="87"/>
  <c r="AY5" i="87"/>
  <c r="A6" i="87"/>
  <c r="A7" i="87"/>
  <c r="A8" i="87"/>
  <c r="A9" i="87"/>
  <c r="A10" i="87"/>
  <c r="A11" i="87"/>
  <c r="A12" i="87"/>
  <c r="A13" i="87"/>
  <c r="A14" i="87"/>
  <c r="A15" i="87"/>
  <c r="A16" i="87"/>
  <c r="A17" i="87"/>
  <c r="A18" i="87"/>
  <c r="A19" i="87"/>
  <c r="A20" i="87"/>
  <c r="A21" i="87"/>
  <c r="A22" i="87"/>
  <c r="A23" i="87"/>
  <c r="A24" i="87"/>
  <c r="A25" i="87"/>
  <c r="A26" i="87"/>
  <c r="A27" i="87"/>
  <c r="A28" i="87"/>
  <c r="A29" i="87"/>
  <c r="A30" i="87"/>
  <c r="A31" i="87"/>
  <c r="A32" i="87"/>
  <c r="A33" i="87"/>
  <c r="C6" i="87"/>
  <c r="E6" i="87"/>
  <c r="AA93" i="87"/>
  <c r="J6" i="87"/>
  <c r="O6" i="87"/>
  <c r="Y6" i="87"/>
  <c r="AU6" i="87"/>
  <c r="R93" i="87"/>
  <c r="AV6" i="87"/>
  <c r="AW6" i="87"/>
  <c r="AX6" i="87"/>
  <c r="AY6" i="87"/>
  <c r="M93" i="87"/>
  <c r="C7" i="87"/>
  <c r="J7" i="87"/>
  <c r="O7" i="87"/>
  <c r="Y7" i="87"/>
  <c r="AU7" i="87"/>
  <c r="AV7" i="87"/>
  <c r="AW7" i="87"/>
  <c r="AX7" i="87"/>
  <c r="AD94" i="87"/>
  <c r="AY7" i="87"/>
  <c r="C8" i="87"/>
  <c r="J8" i="87"/>
  <c r="O8" i="87"/>
  <c r="Y8" i="87"/>
  <c r="AU8" i="87"/>
  <c r="R95" i="87"/>
  <c r="AV8" i="87"/>
  <c r="AW8" i="87"/>
  <c r="AX8" i="87"/>
  <c r="AY8" i="87"/>
  <c r="M95" i="87"/>
  <c r="C9" i="87"/>
  <c r="J9" i="87"/>
  <c r="O9" i="87"/>
  <c r="Y9" i="87"/>
  <c r="AU9" i="87"/>
  <c r="AV9" i="87"/>
  <c r="S96" i="87"/>
  <c r="AW9" i="87"/>
  <c r="AX9" i="87"/>
  <c r="AY9" i="87"/>
  <c r="C10" i="87"/>
  <c r="J10" i="87"/>
  <c r="O10" i="87"/>
  <c r="Y10" i="87"/>
  <c r="AV10" i="87"/>
  <c r="S97" i="87"/>
  <c r="AL97" i="87"/>
  <c r="AL96" i="87"/>
  <c r="AL95" i="87"/>
  <c r="AL94" i="87"/>
  <c r="AL93" i="87"/>
  <c r="AL92" i="87"/>
  <c r="AL91" i="87"/>
  <c r="AN38" i="87"/>
  <c r="I39" i="87"/>
  <c r="AD39" i="87"/>
  <c r="AN91" i="87" a="1"/>
  <c r="AN91" i="87"/>
  <c r="AN43" i="87"/>
  <c r="AY81" i="87"/>
  <c r="K78" i="87"/>
  <c r="AJ91" i="87"/>
  <c r="AJ92" i="87"/>
  <c r="AJ93" i="87"/>
  <c r="AJ94" i="87"/>
  <c r="AJ95" i="87"/>
  <c r="AJ96" i="87"/>
  <c r="AJ97" i="87"/>
  <c r="BB49" i="87"/>
  <c r="BC49" i="87"/>
  <c r="BB50" i="87"/>
  <c r="BC50" i="87"/>
  <c r="BB51" i="87"/>
  <c r="BC51" i="87"/>
  <c r="BB52" i="87"/>
  <c r="BC52" i="87"/>
  <c r="BB53" i="87"/>
  <c r="BC53" i="87"/>
  <c r="BI91" i="87"/>
  <c r="BI92" i="87"/>
  <c r="BI93" i="87"/>
  <c r="BI94" i="87"/>
  <c r="BI95" i="87"/>
  <c r="BI96" i="87"/>
  <c r="BI97" i="87"/>
  <c r="BB54" i="87"/>
  <c r="BC54" i="87"/>
  <c r="BC55" i="87"/>
  <c r="BH91" i="87"/>
  <c r="BH92" i="87"/>
  <c r="BH93" i="87"/>
  <c r="BH94" i="87"/>
  <c r="BH95" i="87"/>
  <c r="BH96" i="87"/>
  <c r="AY91" i="87"/>
  <c r="AY92" i="87"/>
  <c r="AY93" i="87"/>
  <c r="AY94" i="87"/>
  <c r="AY95" i="87"/>
  <c r="AY96" i="87"/>
  <c r="K74" i="87"/>
  <c r="K80" i="87"/>
  <c r="K79" i="87"/>
  <c r="L79" i="87"/>
  <c r="M79" i="87"/>
  <c r="B120" i="87"/>
  <c r="C120" i="87"/>
  <c r="D120" i="87"/>
  <c r="K81" i="87"/>
  <c r="K82" i="87"/>
  <c r="C91" i="87"/>
  <c r="B91" i="87"/>
  <c r="E91" i="87"/>
  <c r="BA83" i="87"/>
  <c r="BC83" i="87"/>
  <c r="AF85" i="87"/>
  <c r="AZ85" i="87"/>
  <c r="BE85" i="87"/>
  <c r="AF86" i="87"/>
  <c r="AZ86" i="87"/>
  <c r="BE86" i="87"/>
  <c r="A91" i="87"/>
  <c r="D91" i="87"/>
  <c r="K91" i="87"/>
  <c r="L91" i="87"/>
  <c r="BJ91" i="87"/>
  <c r="N91" i="87"/>
  <c r="O91" i="87"/>
  <c r="P91" i="87"/>
  <c r="Q91" i="87"/>
  <c r="S91" i="87"/>
  <c r="U91" i="87"/>
  <c r="W91" i="87"/>
  <c r="X91" i="87"/>
  <c r="Y91" i="87"/>
  <c r="Z91" i="87"/>
  <c r="AC91" i="87"/>
  <c r="AD91" i="87"/>
  <c r="AE91" i="87"/>
  <c r="AF91" i="87"/>
  <c r="AI91" i="87"/>
  <c r="AK91" i="87"/>
  <c r="AM91" i="87"/>
  <c r="AO91" i="87"/>
  <c r="AR91" i="87"/>
  <c r="AV91" i="87"/>
  <c r="AZ91" i="87"/>
  <c r="BF91" i="87"/>
  <c r="BG91" i="87"/>
  <c r="A92" i="87"/>
  <c r="B92" i="87"/>
  <c r="E92" i="87"/>
  <c r="C92" i="87"/>
  <c r="D92" i="87"/>
  <c r="K92" i="87"/>
  <c r="L92" i="87"/>
  <c r="M92" i="87"/>
  <c r="BJ92" i="87"/>
  <c r="N92" i="87"/>
  <c r="O92" i="87"/>
  <c r="P92" i="87"/>
  <c r="Q92" i="87"/>
  <c r="R92" i="87"/>
  <c r="U92" i="87"/>
  <c r="W92" i="87"/>
  <c r="X92" i="87"/>
  <c r="Y92" i="87"/>
  <c r="Z92" i="87"/>
  <c r="AD92" i="87"/>
  <c r="AF92" i="87"/>
  <c r="AK92" i="87"/>
  <c r="AM92" i="87"/>
  <c r="AO92" i="87"/>
  <c r="AR92" i="87"/>
  <c r="AV92" i="87"/>
  <c r="AZ92" i="87"/>
  <c r="BF92" i="87"/>
  <c r="BG92" i="87"/>
  <c r="A93" i="87"/>
  <c r="B93" i="87"/>
  <c r="C93" i="87"/>
  <c r="D93" i="87"/>
  <c r="E93" i="87"/>
  <c r="K93" i="87"/>
  <c r="L93" i="87"/>
  <c r="BJ93" i="87"/>
  <c r="N93" i="87"/>
  <c r="O93" i="87"/>
  <c r="P93" i="87"/>
  <c r="Q93" i="87"/>
  <c r="S93" i="87"/>
  <c r="U93" i="87"/>
  <c r="W93" i="87"/>
  <c r="X93" i="87"/>
  <c r="Y93" i="87"/>
  <c r="Z93" i="87"/>
  <c r="AC93" i="87"/>
  <c r="AD93" i="87"/>
  <c r="AF93" i="87"/>
  <c r="AK93" i="87"/>
  <c r="AM93" i="87"/>
  <c r="AO93" i="87"/>
  <c r="AR93" i="87"/>
  <c r="AV93" i="87"/>
  <c r="AZ93" i="87"/>
  <c r="BF93" i="87"/>
  <c r="BG93" i="87"/>
  <c r="A94" i="87"/>
  <c r="B94" i="87"/>
  <c r="E94" i="87"/>
  <c r="C94" i="87"/>
  <c r="D94" i="87"/>
  <c r="K94" i="87"/>
  <c r="L94" i="87"/>
  <c r="M94" i="87"/>
  <c r="O94" i="87"/>
  <c r="P94" i="87"/>
  <c r="Q94" i="87"/>
  <c r="R94" i="87"/>
  <c r="S94" i="87"/>
  <c r="U94" i="87"/>
  <c r="W94" i="87"/>
  <c r="X94" i="87"/>
  <c r="Y94" i="87"/>
  <c r="Z94" i="87"/>
  <c r="AF94" i="87"/>
  <c r="AK94" i="87"/>
  <c r="AM94" i="87"/>
  <c r="AO94" i="87"/>
  <c r="AR94" i="87"/>
  <c r="AV94" i="87"/>
  <c r="AZ94" i="87"/>
  <c r="BF94" i="87"/>
  <c r="BG94" i="87"/>
  <c r="BJ94" i="87"/>
  <c r="N94" i="87"/>
  <c r="A95" i="87"/>
  <c r="B95" i="87"/>
  <c r="C95" i="87"/>
  <c r="D95" i="87"/>
  <c r="E95" i="87"/>
  <c r="K95" i="87"/>
  <c r="L95" i="87"/>
  <c r="BJ95" i="87"/>
  <c r="N95" i="87"/>
  <c r="O95" i="87"/>
  <c r="P95" i="87"/>
  <c r="Q95" i="87"/>
  <c r="S95" i="87"/>
  <c r="U95" i="87"/>
  <c r="W95" i="87"/>
  <c r="X95" i="87"/>
  <c r="Y95" i="87"/>
  <c r="Z95" i="87"/>
  <c r="AD95" i="87"/>
  <c r="AF95" i="87"/>
  <c r="AK95" i="87"/>
  <c r="AM95" i="87"/>
  <c r="AO95" i="87"/>
  <c r="AR95" i="87"/>
  <c r="AV95" i="87"/>
  <c r="AZ95" i="87"/>
  <c r="BF95" i="87"/>
  <c r="BG95" i="87"/>
  <c r="A96" i="87"/>
  <c r="B96" i="87"/>
  <c r="E96" i="87"/>
  <c r="C96" i="87"/>
  <c r="D96" i="87"/>
  <c r="K96" i="87"/>
  <c r="L96" i="87"/>
  <c r="M96" i="87"/>
  <c r="BJ96" i="87"/>
  <c r="N96" i="87"/>
  <c r="O96" i="87"/>
  <c r="P96" i="87"/>
  <c r="Q96" i="87"/>
  <c r="R96" i="87"/>
  <c r="U96" i="87"/>
  <c r="W96" i="87"/>
  <c r="X96" i="87"/>
  <c r="Y96" i="87"/>
  <c r="Z96" i="87"/>
  <c r="AD96" i="87"/>
  <c r="AF96" i="87"/>
  <c r="AK96" i="87"/>
  <c r="AM96" i="87"/>
  <c r="AO96" i="87"/>
  <c r="AR96" i="87"/>
  <c r="AV96" i="87"/>
  <c r="AZ96" i="87"/>
  <c r="BF96" i="87"/>
  <c r="BG96" i="87"/>
  <c r="A97" i="87"/>
  <c r="B97" i="87"/>
  <c r="C97" i="87"/>
  <c r="D97" i="87"/>
  <c r="E97" i="87"/>
  <c r="K97" i="87"/>
  <c r="L97" i="87"/>
  <c r="M97" i="87"/>
  <c r="O97" i="87"/>
  <c r="P97" i="87"/>
  <c r="Q97" i="87"/>
  <c r="R97" i="87"/>
  <c r="U97" i="87"/>
  <c r="W97" i="87"/>
  <c r="X97" i="87"/>
  <c r="Y97" i="87"/>
  <c r="Z97" i="87"/>
  <c r="AF97" i="87"/>
  <c r="AK97" i="87"/>
  <c r="AM97" i="87"/>
  <c r="AO97" i="87"/>
  <c r="AR97" i="87"/>
  <c r="AV97" i="87"/>
  <c r="AZ97" i="87"/>
  <c r="BF97" i="87"/>
  <c r="BG97" i="87"/>
  <c r="BJ97" i="87"/>
  <c r="N97" i="87"/>
  <c r="A98" i="87"/>
  <c r="B98" i="87"/>
  <c r="E98" i="87"/>
  <c r="C98" i="87"/>
  <c r="D98" i="87"/>
  <c r="K98" i="87"/>
  <c r="L98" i="87"/>
  <c r="M98" i="87"/>
  <c r="BJ98" i="87"/>
  <c r="N98" i="87"/>
  <c r="O98" i="87"/>
  <c r="P98" i="87"/>
  <c r="Q98" i="87"/>
  <c r="R98" i="87"/>
  <c r="U98" i="87"/>
  <c r="W98" i="87"/>
  <c r="X98" i="87"/>
  <c r="Y98" i="87"/>
  <c r="Z98" i="87"/>
  <c r="AF98" i="87"/>
  <c r="AK98" i="87"/>
  <c r="AM98" i="87"/>
  <c r="AO98" i="87"/>
  <c r="AR98" i="87"/>
  <c r="AZ98" i="87"/>
  <c r="BF98" i="87"/>
  <c r="BG98" i="87"/>
  <c r="A99" i="87"/>
  <c r="B99" i="87"/>
  <c r="C99" i="87"/>
  <c r="D99" i="87"/>
  <c r="E99" i="87"/>
  <c r="K99" i="87"/>
  <c r="L99" i="87"/>
  <c r="M99" i="87"/>
  <c r="BJ99" i="87"/>
  <c r="N99" i="87"/>
  <c r="O99" i="87"/>
  <c r="P99" i="87"/>
  <c r="Q99" i="87"/>
  <c r="R99" i="87"/>
  <c r="U99" i="87"/>
  <c r="W99" i="87"/>
  <c r="X99" i="87"/>
  <c r="Y99" i="87"/>
  <c r="Z99" i="87"/>
  <c r="AF99" i="87"/>
  <c r="AK99" i="87"/>
  <c r="AM99" i="87"/>
  <c r="AN99" i="87"/>
  <c r="AO99" i="87"/>
  <c r="AR99" i="87"/>
  <c r="AZ99" i="87"/>
  <c r="BF99" i="87"/>
  <c r="BG99" i="87"/>
  <c r="A100" i="87"/>
  <c r="B100" i="87"/>
  <c r="C100" i="87"/>
  <c r="D100" i="87"/>
  <c r="E100" i="87"/>
  <c r="K100" i="87"/>
  <c r="L100" i="87"/>
  <c r="M100" i="87"/>
  <c r="BJ100" i="87"/>
  <c r="N100" i="87"/>
  <c r="O100" i="87"/>
  <c r="P100" i="87"/>
  <c r="Q100" i="87"/>
  <c r="R100" i="87"/>
  <c r="U100" i="87"/>
  <c r="W100" i="87"/>
  <c r="X100" i="87"/>
  <c r="Y100" i="87"/>
  <c r="Z100" i="87"/>
  <c r="AF100" i="87"/>
  <c r="AK100" i="87"/>
  <c r="AM100" i="87"/>
  <c r="AO100" i="87"/>
  <c r="AR100" i="87"/>
  <c r="AZ100" i="87"/>
  <c r="BF100" i="87"/>
  <c r="BG100" i="87"/>
  <c r="A101" i="87"/>
  <c r="B101" i="87"/>
  <c r="E101" i="87"/>
  <c r="C101" i="87"/>
  <c r="D101" i="87"/>
  <c r="K101" i="87"/>
  <c r="L101" i="87"/>
  <c r="M101" i="87"/>
  <c r="BJ101" i="87"/>
  <c r="N101" i="87"/>
  <c r="O101" i="87"/>
  <c r="P101" i="87"/>
  <c r="Q101" i="87"/>
  <c r="R101" i="87"/>
  <c r="U101" i="87"/>
  <c r="W101" i="87"/>
  <c r="X101" i="87"/>
  <c r="Y101" i="87"/>
  <c r="Z101" i="87"/>
  <c r="AF101" i="87"/>
  <c r="AK101" i="87"/>
  <c r="AM101" i="87"/>
  <c r="AO101" i="87"/>
  <c r="AR101" i="87"/>
  <c r="AZ101" i="87"/>
  <c r="BF101" i="87"/>
  <c r="BG101" i="87"/>
  <c r="A102" i="87"/>
  <c r="B102" i="87"/>
  <c r="C102" i="87"/>
  <c r="D102" i="87"/>
  <c r="E102" i="87"/>
  <c r="K102" i="87"/>
  <c r="L102" i="87"/>
  <c r="M102" i="87"/>
  <c r="BJ102" i="87"/>
  <c r="N102" i="87"/>
  <c r="O102" i="87"/>
  <c r="P102" i="87"/>
  <c r="Q102" i="87"/>
  <c r="R102" i="87"/>
  <c r="U102" i="87"/>
  <c r="W102" i="87"/>
  <c r="X102" i="87"/>
  <c r="Y102" i="87"/>
  <c r="Z102" i="87"/>
  <c r="AF102" i="87"/>
  <c r="AK102" i="87"/>
  <c r="AM102" i="87"/>
  <c r="AN102" i="87" a="1"/>
  <c r="AN102" i="87"/>
  <c r="AO102" i="87"/>
  <c r="AR102" i="87"/>
  <c r="AZ102" i="87"/>
  <c r="BF102" i="87"/>
  <c r="BG102" i="87"/>
  <c r="A103" i="87"/>
  <c r="B103" i="87"/>
  <c r="E103" i="87"/>
  <c r="C103" i="87"/>
  <c r="D103" i="87"/>
  <c r="K103" i="87"/>
  <c r="L103" i="87"/>
  <c r="M103" i="87"/>
  <c r="BJ103" i="87"/>
  <c r="N103" i="87"/>
  <c r="O103" i="87"/>
  <c r="P103" i="87"/>
  <c r="Q103" i="87"/>
  <c r="R103" i="87"/>
  <c r="U103" i="87"/>
  <c r="W103" i="87"/>
  <c r="X103" i="87"/>
  <c r="Y103" i="87"/>
  <c r="Z103" i="87"/>
  <c r="AF103" i="87"/>
  <c r="AK103" i="87"/>
  <c r="AM103" i="87"/>
  <c r="AN103" i="87"/>
  <c r="AO103" i="87"/>
  <c r="AR103" i="87"/>
  <c r="AZ103" i="87"/>
  <c r="BF103" i="87"/>
  <c r="BG103" i="87"/>
  <c r="A104" i="87"/>
  <c r="B104" i="87"/>
  <c r="E104" i="87"/>
  <c r="C104" i="87"/>
  <c r="D104" i="87"/>
  <c r="K104" i="87"/>
  <c r="L104" i="87"/>
  <c r="M104" i="87"/>
  <c r="BJ104" i="87"/>
  <c r="N104" i="87"/>
  <c r="O104" i="87"/>
  <c r="P104" i="87"/>
  <c r="Q104" i="87"/>
  <c r="R104" i="87"/>
  <c r="U104" i="87"/>
  <c r="W104" i="87"/>
  <c r="X104" i="87"/>
  <c r="Y104" i="87"/>
  <c r="Z104" i="87"/>
  <c r="AF104" i="87"/>
  <c r="AK104" i="87"/>
  <c r="AM104" i="87"/>
  <c r="AN104" i="87"/>
  <c r="AO104" i="87"/>
  <c r="AR104" i="87"/>
  <c r="AZ104" i="87"/>
  <c r="BF104" i="87"/>
  <c r="BG104" i="87"/>
  <c r="A105" i="87"/>
  <c r="B105" i="87"/>
  <c r="E105" i="87"/>
  <c r="C105" i="87"/>
  <c r="D105" i="87"/>
  <c r="K105" i="87"/>
  <c r="L105" i="87"/>
  <c r="M105" i="87"/>
  <c r="BJ105" i="87"/>
  <c r="N105" i="87"/>
  <c r="O105" i="87"/>
  <c r="P105" i="87"/>
  <c r="Q105" i="87"/>
  <c r="R105" i="87"/>
  <c r="U105" i="87"/>
  <c r="W105" i="87"/>
  <c r="X105" i="87"/>
  <c r="Y105" i="87"/>
  <c r="Z105" i="87"/>
  <c r="AF105" i="87"/>
  <c r="AK105" i="87"/>
  <c r="AM105" i="87"/>
  <c r="AO105" i="87"/>
  <c r="AR105" i="87"/>
  <c r="AZ105" i="87"/>
  <c r="BF105" i="87"/>
  <c r="BG105" i="87"/>
  <c r="A106" i="87"/>
  <c r="B106" i="87"/>
  <c r="C106" i="87"/>
  <c r="D106" i="87"/>
  <c r="E106" i="87"/>
  <c r="H106" i="87"/>
  <c r="K106" i="87"/>
  <c r="L106" i="87"/>
  <c r="M106" i="87"/>
  <c r="BJ106" i="87"/>
  <c r="N106" i="87"/>
  <c r="O106" i="87"/>
  <c r="P106" i="87"/>
  <c r="Q106" i="87"/>
  <c r="R106" i="87"/>
  <c r="U106" i="87"/>
  <c r="W106" i="87"/>
  <c r="X106" i="87"/>
  <c r="Y106" i="87"/>
  <c r="Z106" i="87"/>
  <c r="AF106" i="87"/>
  <c r="AS106" i="87"/>
  <c r="AK106" i="87"/>
  <c r="AM106" i="87"/>
  <c r="AO106" i="87"/>
  <c r="AR106" i="87"/>
  <c r="AZ106" i="87"/>
  <c r="BF106" i="87"/>
  <c r="BG106" i="87"/>
  <c r="A107" i="87"/>
  <c r="B107" i="87"/>
  <c r="E107" i="87"/>
  <c r="C107" i="87"/>
  <c r="D107" i="87"/>
  <c r="H107" i="87"/>
  <c r="K107" i="87"/>
  <c r="L107" i="87"/>
  <c r="M107" i="87"/>
  <c r="BJ107" i="87"/>
  <c r="N107" i="87"/>
  <c r="O107" i="87"/>
  <c r="P107" i="87"/>
  <c r="Q107" i="87"/>
  <c r="R107" i="87"/>
  <c r="U107" i="87"/>
  <c r="W107" i="87"/>
  <c r="X107" i="87"/>
  <c r="Y107" i="87"/>
  <c r="Z107" i="87"/>
  <c r="AF107" i="87"/>
  <c r="AS107" i="87"/>
  <c r="AK107" i="87"/>
  <c r="AM107" i="87"/>
  <c r="AO107" i="87"/>
  <c r="AR107" i="87"/>
  <c r="AZ107" i="87"/>
  <c r="BF107" i="87"/>
  <c r="BG107" i="87"/>
  <c r="A108" i="87"/>
  <c r="B108" i="87"/>
  <c r="E108" i="87"/>
  <c r="C108" i="87"/>
  <c r="D108" i="87"/>
  <c r="H108" i="87"/>
  <c r="K108" i="87"/>
  <c r="L108" i="87"/>
  <c r="M108" i="87"/>
  <c r="BJ108" i="87"/>
  <c r="N108" i="87"/>
  <c r="O108" i="87"/>
  <c r="P108" i="87"/>
  <c r="Q108" i="87"/>
  <c r="R108" i="87"/>
  <c r="U108" i="87"/>
  <c r="W108" i="87"/>
  <c r="X108" i="87"/>
  <c r="Y108" i="87"/>
  <c r="Z108" i="87"/>
  <c r="AF108" i="87"/>
  <c r="AS108" i="87"/>
  <c r="AK108" i="87"/>
  <c r="AM108" i="87"/>
  <c r="AN108" i="87" a="1"/>
  <c r="AN108" i="87"/>
  <c r="AO108" i="87"/>
  <c r="AR108" i="87"/>
  <c r="AZ108" i="87"/>
  <c r="BF108" i="87"/>
  <c r="BG108" i="87"/>
  <c r="A109" i="87"/>
  <c r="B109" i="87"/>
  <c r="C109" i="87"/>
  <c r="D109" i="87"/>
  <c r="E109" i="87"/>
  <c r="H109" i="87"/>
  <c r="K109" i="87"/>
  <c r="L109" i="87"/>
  <c r="M109" i="87"/>
  <c r="BJ109" i="87"/>
  <c r="N109" i="87"/>
  <c r="O109" i="87"/>
  <c r="P109" i="87"/>
  <c r="Q109" i="87"/>
  <c r="R109" i="87"/>
  <c r="U109" i="87"/>
  <c r="W109" i="87"/>
  <c r="X109" i="87"/>
  <c r="Y109" i="87"/>
  <c r="Z109" i="87"/>
  <c r="AF109" i="87"/>
  <c r="AS109" i="87"/>
  <c r="AK109" i="87"/>
  <c r="AM109" i="87"/>
  <c r="AO109" i="87"/>
  <c r="AQ109" i="87"/>
  <c r="AR109" i="87"/>
  <c r="AZ109" i="87"/>
  <c r="BF109" i="87"/>
  <c r="BG109" i="87"/>
  <c r="A110" i="87"/>
  <c r="B110" i="87"/>
  <c r="C110" i="87"/>
  <c r="D110" i="87"/>
  <c r="E110" i="87"/>
  <c r="H110" i="87"/>
  <c r="K110" i="87"/>
  <c r="L110" i="87"/>
  <c r="M110" i="87"/>
  <c r="BJ110" i="87"/>
  <c r="N110" i="87"/>
  <c r="O110" i="87"/>
  <c r="P110" i="87"/>
  <c r="Q110" i="87"/>
  <c r="R110" i="87"/>
  <c r="U110" i="87"/>
  <c r="W110" i="87"/>
  <c r="X110" i="87"/>
  <c r="Y110" i="87"/>
  <c r="Z110" i="87"/>
  <c r="AF110" i="87"/>
  <c r="AS110" i="87"/>
  <c r="AK110" i="87"/>
  <c r="AM110" i="87"/>
  <c r="AO110" i="87"/>
  <c r="AR110" i="87"/>
  <c r="AZ110" i="87"/>
  <c r="BF110" i="87"/>
  <c r="BG110" i="87"/>
  <c r="A111" i="87"/>
  <c r="B111" i="87"/>
  <c r="E111" i="87"/>
  <c r="C111" i="87"/>
  <c r="D111" i="87"/>
  <c r="H111" i="87"/>
  <c r="K111" i="87"/>
  <c r="L111" i="87"/>
  <c r="M111" i="87"/>
  <c r="BJ111" i="87"/>
  <c r="N111" i="87"/>
  <c r="O111" i="87"/>
  <c r="P111" i="87"/>
  <c r="Q111" i="87"/>
  <c r="R111" i="87"/>
  <c r="U111" i="87"/>
  <c r="W111" i="87"/>
  <c r="X111" i="87"/>
  <c r="Y111" i="87"/>
  <c r="Z111" i="87"/>
  <c r="AF111" i="87"/>
  <c r="AS111" i="87"/>
  <c r="AK111" i="87"/>
  <c r="AM111" i="87"/>
  <c r="AO111" i="87"/>
  <c r="AQ111" i="87"/>
  <c r="AR111" i="87"/>
  <c r="AZ111" i="87"/>
  <c r="BF111" i="87"/>
  <c r="BG111" i="87"/>
  <c r="A112" i="87"/>
  <c r="B112" i="87"/>
  <c r="E112" i="87"/>
  <c r="C112" i="87"/>
  <c r="D112" i="87"/>
  <c r="H112" i="87"/>
  <c r="K112" i="87"/>
  <c r="L112" i="87"/>
  <c r="M112" i="87"/>
  <c r="BJ112" i="87"/>
  <c r="N112" i="87"/>
  <c r="O112" i="87"/>
  <c r="P112" i="87"/>
  <c r="Q112" i="87"/>
  <c r="R112" i="87"/>
  <c r="U112" i="87"/>
  <c r="W112" i="87"/>
  <c r="X112" i="87"/>
  <c r="Y112" i="87"/>
  <c r="Z112" i="87"/>
  <c r="AF112" i="87"/>
  <c r="AS112" i="87"/>
  <c r="AK112" i="87"/>
  <c r="AM112" i="87"/>
  <c r="AO112" i="87"/>
  <c r="AR112" i="87"/>
  <c r="AZ112" i="87"/>
  <c r="BF112" i="87"/>
  <c r="BG112" i="87"/>
  <c r="A113" i="87"/>
  <c r="B113" i="87"/>
  <c r="C113" i="87"/>
  <c r="D113" i="87"/>
  <c r="E113" i="87"/>
  <c r="H113" i="87"/>
  <c r="K113" i="87"/>
  <c r="L113" i="87"/>
  <c r="M113" i="87"/>
  <c r="BJ113" i="87"/>
  <c r="N113" i="87"/>
  <c r="O113" i="87"/>
  <c r="P113" i="87"/>
  <c r="Q113" i="87"/>
  <c r="R113" i="87"/>
  <c r="U113" i="87"/>
  <c r="W113" i="87"/>
  <c r="X113" i="87"/>
  <c r="Y113" i="87"/>
  <c r="Z113" i="87"/>
  <c r="AF113" i="87"/>
  <c r="AS113" i="87"/>
  <c r="AK113" i="87"/>
  <c r="AM113" i="87"/>
  <c r="AO113" i="87"/>
  <c r="AR113" i="87"/>
  <c r="AZ113" i="87"/>
  <c r="BF113" i="87"/>
  <c r="BG113" i="87"/>
  <c r="A114" i="87"/>
  <c r="B114" i="87"/>
  <c r="E114" i="87"/>
  <c r="C114" i="87"/>
  <c r="D114" i="87"/>
  <c r="H114" i="87"/>
  <c r="K114" i="87"/>
  <c r="L114" i="87"/>
  <c r="M114" i="87"/>
  <c r="BJ114" i="87"/>
  <c r="N114" i="87"/>
  <c r="O114" i="87"/>
  <c r="P114" i="87"/>
  <c r="Q114" i="87"/>
  <c r="R114" i="87"/>
  <c r="U114" i="87"/>
  <c r="W114" i="87"/>
  <c r="X114" i="87"/>
  <c r="Y114" i="87"/>
  <c r="Z114" i="87"/>
  <c r="AF114" i="87"/>
  <c r="AS114" i="87"/>
  <c r="AK114" i="87"/>
  <c r="AM114" i="87"/>
  <c r="AO114" i="87"/>
  <c r="AR114" i="87"/>
  <c r="AZ114" i="87"/>
  <c r="BF114" i="87"/>
  <c r="BG114" i="87"/>
  <c r="A115" i="87"/>
  <c r="B115" i="87"/>
  <c r="C115" i="87"/>
  <c r="D115" i="87"/>
  <c r="E115" i="87"/>
  <c r="H115" i="87"/>
  <c r="K115" i="87"/>
  <c r="L115" i="87"/>
  <c r="M115" i="87"/>
  <c r="BJ115" i="87"/>
  <c r="N115" i="87"/>
  <c r="O115" i="87"/>
  <c r="P115" i="87"/>
  <c r="Q115" i="87"/>
  <c r="R115" i="87"/>
  <c r="U115" i="87"/>
  <c r="W115" i="87"/>
  <c r="X115" i="87"/>
  <c r="Y115" i="87"/>
  <c r="Z115" i="87"/>
  <c r="AF115" i="87"/>
  <c r="AS115" i="87"/>
  <c r="AK115" i="87"/>
  <c r="AM115" i="87"/>
  <c r="AO115" i="87"/>
  <c r="AR115" i="87"/>
  <c r="AZ115" i="87"/>
  <c r="BF115" i="87"/>
  <c r="BG115" i="87"/>
  <c r="A116" i="87"/>
  <c r="B116" i="87"/>
  <c r="E116" i="87"/>
  <c r="C116" i="87"/>
  <c r="D116" i="87"/>
  <c r="H116" i="87"/>
  <c r="K116" i="87"/>
  <c r="L116" i="87"/>
  <c r="M116" i="87"/>
  <c r="BJ116" i="87"/>
  <c r="N116" i="87"/>
  <c r="O116" i="87"/>
  <c r="P116" i="87"/>
  <c r="Q116" i="87"/>
  <c r="R116" i="87"/>
  <c r="U116" i="87"/>
  <c r="W116" i="87"/>
  <c r="X116" i="87"/>
  <c r="Y116" i="87"/>
  <c r="Z116" i="87"/>
  <c r="AF116" i="87"/>
  <c r="AS116" i="87"/>
  <c r="AK116" i="87"/>
  <c r="AM116" i="87"/>
  <c r="AO116" i="87"/>
  <c r="AR116" i="87"/>
  <c r="AZ116" i="87"/>
  <c r="BF116" i="87"/>
  <c r="BG116" i="87"/>
  <c r="A117" i="87"/>
  <c r="B117" i="87"/>
  <c r="C117" i="87"/>
  <c r="D117" i="87"/>
  <c r="E117" i="87"/>
  <c r="H117" i="87"/>
  <c r="K117" i="87"/>
  <c r="L117" i="87"/>
  <c r="M117" i="87"/>
  <c r="BJ117" i="87"/>
  <c r="N117" i="87"/>
  <c r="O117" i="87"/>
  <c r="P117" i="87"/>
  <c r="Q117" i="87"/>
  <c r="R117" i="87"/>
  <c r="U117" i="87"/>
  <c r="W117" i="87"/>
  <c r="X117" i="87"/>
  <c r="Y117" i="87"/>
  <c r="Z117" i="87"/>
  <c r="AF117" i="87"/>
  <c r="AS117" i="87"/>
  <c r="AK117" i="87"/>
  <c r="AM117" i="87"/>
  <c r="AO117" i="87"/>
  <c r="AR117" i="87"/>
  <c r="AZ117" i="87"/>
  <c r="BF117" i="87"/>
  <c r="BG117" i="87"/>
  <c r="A118" i="87"/>
  <c r="B118" i="87"/>
  <c r="E118" i="87"/>
  <c r="C118" i="87"/>
  <c r="D118" i="87"/>
  <c r="H118" i="87"/>
  <c r="K118" i="87"/>
  <c r="L118" i="87"/>
  <c r="M118" i="87"/>
  <c r="BJ118" i="87"/>
  <c r="N118" i="87"/>
  <c r="O118" i="87"/>
  <c r="P118" i="87"/>
  <c r="Q118" i="87"/>
  <c r="R118" i="87"/>
  <c r="U118" i="87"/>
  <c r="W118" i="87"/>
  <c r="X118" i="87"/>
  <c r="Y118" i="87"/>
  <c r="Z118" i="87"/>
  <c r="AF118" i="87"/>
  <c r="AS118" i="87"/>
  <c r="AK118" i="87"/>
  <c r="AM118" i="87"/>
  <c r="AO118" i="87"/>
  <c r="AR118" i="87"/>
  <c r="AZ118" i="87"/>
  <c r="BF118" i="87"/>
  <c r="BG118" i="87"/>
  <c r="A119" i="87"/>
  <c r="B119" i="87"/>
  <c r="C119" i="87"/>
  <c r="D119" i="87"/>
  <c r="E119" i="87"/>
  <c r="H119" i="87"/>
  <c r="I119" i="87"/>
  <c r="K119" i="87"/>
  <c r="L119" i="87"/>
  <c r="M119" i="87"/>
  <c r="BJ119" i="87"/>
  <c r="N119" i="87"/>
  <c r="O119" i="87"/>
  <c r="P119" i="87"/>
  <c r="Q119" i="87"/>
  <c r="R119" i="87"/>
  <c r="U119" i="87"/>
  <c r="W119" i="87"/>
  <c r="X119" i="87"/>
  <c r="Y119" i="87"/>
  <c r="Z119" i="87"/>
  <c r="AF119" i="87"/>
  <c r="AS119" i="87"/>
  <c r="AK119" i="87"/>
  <c r="AM119" i="87"/>
  <c r="AO119" i="87"/>
  <c r="AR119" i="87"/>
  <c r="AZ119" i="87"/>
  <c r="BF119" i="87"/>
  <c r="BG119" i="87"/>
  <c r="A120" i="87"/>
  <c r="E120" i="87"/>
  <c r="H120" i="87"/>
  <c r="I120" i="87"/>
  <c r="K120" i="87"/>
  <c r="L120" i="87"/>
  <c r="M120" i="87"/>
  <c r="BJ120" i="87"/>
  <c r="N120" i="87"/>
  <c r="O120" i="87"/>
  <c r="P120" i="87"/>
  <c r="Q120" i="87"/>
  <c r="R120" i="87"/>
  <c r="U120" i="87"/>
  <c r="W120" i="87"/>
  <c r="X120" i="87"/>
  <c r="Y120" i="87"/>
  <c r="Z120" i="87"/>
  <c r="AF120" i="87"/>
  <c r="AS120" i="87"/>
  <c r="AK120" i="87"/>
  <c r="AM120" i="87"/>
  <c r="AO120" i="87"/>
  <c r="AR120" i="87"/>
  <c r="AZ120" i="87"/>
  <c r="BF120" i="87"/>
  <c r="BG120" i="87"/>
  <c r="A121" i="87"/>
  <c r="B121" i="87"/>
  <c r="E121" i="87"/>
  <c r="C121" i="87"/>
  <c r="D121" i="87"/>
  <c r="H121" i="87"/>
  <c r="I121" i="87"/>
  <c r="K121" i="87"/>
  <c r="L121" i="87"/>
  <c r="M121" i="87"/>
  <c r="BJ121" i="87"/>
  <c r="N121" i="87"/>
  <c r="O121" i="87"/>
  <c r="P121" i="87"/>
  <c r="Q121" i="87"/>
  <c r="R121" i="87"/>
  <c r="U121" i="87"/>
  <c r="W121" i="87"/>
  <c r="X121" i="87"/>
  <c r="Y121" i="87"/>
  <c r="Z121" i="87"/>
  <c r="AC121" i="87"/>
  <c r="AF121" i="87"/>
  <c r="AS121" i="87"/>
  <c r="AK121" i="87"/>
  <c r="AM121" i="87"/>
  <c r="AO121" i="87"/>
  <c r="AR121" i="87"/>
  <c r="AZ121" i="87"/>
  <c r="BF121" i="87"/>
  <c r="BG121" i="87"/>
  <c r="W123" i="87"/>
  <c r="X123" i="87"/>
  <c r="AV91" i="86"/>
  <c r="AV92" i="86"/>
  <c r="AV96" i="86"/>
  <c r="AV97" i="86"/>
  <c r="AV98" i="86"/>
  <c r="AV99" i="86"/>
  <c r="AV100" i="86"/>
  <c r="AV101" i="86"/>
  <c r="AV103" i="86"/>
  <c r="AV104" i="86"/>
  <c r="AV105" i="86"/>
  <c r="AV106" i="86"/>
  <c r="AV107" i="86"/>
  <c r="AV108" i="86"/>
  <c r="AV109" i="86"/>
  <c r="AV110" i="86"/>
  <c r="AV111" i="86"/>
  <c r="AV112" i="86"/>
  <c r="AV113" i="86"/>
  <c r="AV114" i="86"/>
  <c r="AV115" i="86"/>
  <c r="AV116" i="86"/>
  <c r="AV117" i="86"/>
  <c r="AV118" i="86"/>
  <c r="AV119" i="86"/>
  <c r="AV120" i="86"/>
  <c r="AV121" i="86"/>
  <c r="D91" i="86"/>
  <c r="AY4" i="86"/>
  <c r="M91" i="86"/>
  <c r="AY5" i="86"/>
  <c r="BD38" i="86"/>
  <c r="AN67" i="86"/>
  <c r="BC83" i="86"/>
  <c r="BB91" i="86"/>
  <c r="AF85" i="86"/>
  <c r="AZ85" i="86"/>
  <c r="BE85" i="86"/>
  <c r="T86" i="86"/>
  <c r="AF86" i="86"/>
  <c r="AZ86" i="86"/>
  <c r="BE86" i="86"/>
  <c r="A91" i="86"/>
  <c r="K91" i="86"/>
  <c r="L91" i="86"/>
  <c r="BJ91" i="86"/>
  <c r="N91" i="86"/>
  <c r="O91" i="86"/>
  <c r="P91" i="86"/>
  <c r="Q91" i="86"/>
  <c r="R91" i="86"/>
  <c r="S91" i="86"/>
  <c r="U91" i="86"/>
  <c r="W91" i="86"/>
  <c r="X91" i="86"/>
  <c r="Y91" i="86"/>
  <c r="Z91" i="86"/>
  <c r="AC91" i="86"/>
  <c r="AD91" i="86"/>
  <c r="AE91" i="86"/>
  <c r="AI91" i="86"/>
  <c r="AK91" i="86"/>
  <c r="AM91" i="86"/>
  <c r="AO91" i="86"/>
  <c r="AR91" i="86"/>
  <c r="AZ91" i="86"/>
  <c r="BF91" i="86"/>
  <c r="BG91" i="86"/>
  <c r="A92" i="86"/>
  <c r="B92" i="86"/>
  <c r="C92" i="86"/>
  <c r="D92" i="86"/>
  <c r="E92" i="86"/>
  <c r="K92" i="86"/>
  <c r="L92" i="86"/>
  <c r="M92" i="86"/>
  <c r="BJ92" i="86"/>
  <c r="N92" i="86"/>
  <c r="O92" i="86"/>
  <c r="P92" i="86"/>
  <c r="Q92" i="86"/>
  <c r="R92" i="86"/>
  <c r="S92" i="86"/>
  <c r="U92" i="86"/>
  <c r="W92" i="86"/>
  <c r="X92" i="86"/>
  <c r="Y92" i="86"/>
  <c r="Z92" i="86"/>
  <c r="AC92" i="86"/>
  <c r="AD92" i="86"/>
  <c r="AE92" i="86"/>
  <c r="AF92" i="86"/>
  <c r="AI92" i="86"/>
  <c r="AK92" i="86"/>
  <c r="AM92" i="86"/>
  <c r="AO92" i="86"/>
  <c r="AR92" i="86"/>
  <c r="AZ92" i="86"/>
  <c r="BB92" i="86"/>
  <c r="BF92" i="86"/>
  <c r="BG92" i="86"/>
  <c r="A93" i="86"/>
  <c r="B93" i="86"/>
  <c r="E93" i="86"/>
  <c r="C93" i="86"/>
  <c r="D93" i="86"/>
  <c r="K93" i="86"/>
  <c r="L93" i="86"/>
  <c r="M93" i="86"/>
  <c r="BJ93" i="86"/>
  <c r="N93" i="86"/>
  <c r="O93" i="86"/>
  <c r="P93" i="86"/>
  <c r="Q93" i="86"/>
  <c r="R93" i="86"/>
  <c r="S93" i="86"/>
  <c r="U93" i="86"/>
  <c r="W93" i="86"/>
  <c r="X93" i="86"/>
  <c r="Y93" i="86"/>
  <c r="Z93" i="86"/>
  <c r="AC93" i="86"/>
  <c r="AD93" i="86"/>
  <c r="AE93" i="86"/>
  <c r="AF93" i="86"/>
  <c r="AI93" i="86"/>
  <c r="AK93" i="86"/>
  <c r="AM93" i="86"/>
  <c r="AO93" i="86"/>
  <c r="AR93" i="86"/>
  <c r="AZ93" i="86"/>
  <c r="BF93" i="86"/>
  <c r="BG93" i="86"/>
  <c r="A94" i="86"/>
  <c r="B94" i="86"/>
  <c r="C94" i="86"/>
  <c r="D94" i="86"/>
  <c r="E94" i="86"/>
  <c r="K94" i="86"/>
  <c r="L94" i="86"/>
  <c r="M94" i="86"/>
  <c r="BJ94" i="86"/>
  <c r="N94" i="86"/>
  <c r="O94" i="86"/>
  <c r="P94" i="86"/>
  <c r="Q94" i="86"/>
  <c r="R94" i="86"/>
  <c r="S94" i="86"/>
  <c r="U94" i="86"/>
  <c r="W94" i="86"/>
  <c r="X94" i="86"/>
  <c r="Y94" i="86"/>
  <c r="Z94" i="86"/>
  <c r="AD94" i="86"/>
  <c r="AE94" i="86"/>
  <c r="AF94" i="86"/>
  <c r="AI94" i="86"/>
  <c r="AK94" i="86"/>
  <c r="AM94" i="86"/>
  <c r="AO94" i="86"/>
  <c r="AR94" i="86"/>
  <c r="AZ94" i="86"/>
  <c r="BB94" i="86"/>
  <c r="BF94" i="86"/>
  <c r="BG94" i="86"/>
  <c r="A95" i="86"/>
  <c r="B95" i="86"/>
  <c r="E95" i="86"/>
  <c r="C95" i="86"/>
  <c r="D95" i="86"/>
  <c r="K95" i="86"/>
  <c r="L95" i="86"/>
  <c r="M95" i="86"/>
  <c r="BJ95" i="86"/>
  <c r="N95" i="86"/>
  <c r="O95" i="86"/>
  <c r="P95" i="86"/>
  <c r="Q95" i="86"/>
  <c r="R95" i="86"/>
  <c r="S95" i="86"/>
  <c r="U95" i="86"/>
  <c r="W95" i="86"/>
  <c r="X95" i="86"/>
  <c r="Y95" i="86"/>
  <c r="Z95" i="86"/>
  <c r="AD95" i="86"/>
  <c r="AE95" i="86"/>
  <c r="AF95" i="86"/>
  <c r="AI95" i="86"/>
  <c r="AK95" i="86"/>
  <c r="AM95" i="86"/>
  <c r="AO95" i="86"/>
  <c r="AR95" i="86"/>
  <c r="AZ95" i="86"/>
  <c r="BF95" i="86"/>
  <c r="BG95" i="86"/>
  <c r="A96" i="86"/>
  <c r="B96" i="86"/>
  <c r="C96" i="86"/>
  <c r="D96" i="86"/>
  <c r="E96" i="86"/>
  <c r="K96" i="86"/>
  <c r="L96" i="86"/>
  <c r="M96" i="86"/>
  <c r="BJ96" i="86"/>
  <c r="N96" i="86"/>
  <c r="O96" i="86"/>
  <c r="P96" i="86"/>
  <c r="Q96" i="86"/>
  <c r="R96" i="86"/>
  <c r="S96" i="86"/>
  <c r="U96" i="86"/>
  <c r="W96" i="86"/>
  <c r="X96" i="86"/>
  <c r="Y96" i="86"/>
  <c r="Z96" i="86"/>
  <c r="AD96" i="86"/>
  <c r="AF96" i="86"/>
  <c r="AK96" i="86"/>
  <c r="AM96" i="86"/>
  <c r="AO96" i="86"/>
  <c r="AR96" i="86"/>
  <c r="AZ96" i="86"/>
  <c r="BB96" i="86"/>
  <c r="BF96" i="86"/>
  <c r="BG96" i="86"/>
  <c r="A97" i="86"/>
  <c r="B97" i="86"/>
  <c r="E97" i="86"/>
  <c r="C97" i="86"/>
  <c r="D97" i="86"/>
  <c r="K97" i="86"/>
  <c r="L97" i="86"/>
  <c r="M97" i="86"/>
  <c r="BJ97" i="86"/>
  <c r="N97" i="86"/>
  <c r="O97" i="86"/>
  <c r="P97" i="86"/>
  <c r="Q97" i="86"/>
  <c r="R97" i="86"/>
  <c r="S97" i="86"/>
  <c r="U97" i="86"/>
  <c r="W97" i="86"/>
  <c r="X97" i="86"/>
  <c r="Y97" i="86"/>
  <c r="Z97" i="86"/>
  <c r="AD97" i="86"/>
  <c r="AF97" i="86"/>
  <c r="AK97" i="86"/>
  <c r="AM97" i="86"/>
  <c r="AO97" i="86"/>
  <c r="AR97" i="86"/>
  <c r="AZ97" i="86"/>
  <c r="BF97" i="86"/>
  <c r="BG97" i="86"/>
  <c r="A98" i="86"/>
  <c r="B98" i="86"/>
  <c r="C98" i="86"/>
  <c r="D98" i="86"/>
  <c r="E98" i="86"/>
  <c r="K98" i="86"/>
  <c r="L98" i="86"/>
  <c r="M98" i="86"/>
  <c r="BJ98" i="86"/>
  <c r="N98" i="86"/>
  <c r="O98" i="86"/>
  <c r="P98" i="86"/>
  <c r="Q98" i="86"/>
  <c r="R98" i="86"/>
  <c r="S98" i="86"/>
  <c r="U98" i="86"/>
  <c r="W98" i="86"/>
  <c r="X98" i="86"/>
  <c r="Y98" i="86"/>
  <c r="Z98" i="86"/>
  <c r="AD98" i="86"/>
  <c r="AF98" i="86"/>
  <c r="AK98" i="86"/>
  <c r="AM98" i="86"/>
  <c r="AO98" i="86"/>
  <c r="AR98" i="86"/>
  <c r="AZ98" i="86"/>
  <c r="BB98" i="86"/>
  <c r="BF98" i="86"/>
  <c r="BG98" i="86"/>
  <c r="A99" i="86"/>
  <c r="B99" i="86"/>
  <c r="E99" i="86"/>
  <c r="C99" i="86"/>
  <c r="D99" i="86"/>
  <c r="K99" i="86"/>
  <c r="L99" i="86"/>
  <c r="M99" i="86"/>
  <c r="BJ99" i="86"/>
  <c r="N99" i="86"/>
  <c r="O99" i="86"/>
  <c r="P99" i="86"/>
  <c r="Q99" i="86"/>
  <c r="R99" i="86"/>
  <c r="S99" i="86"/>
  <c r="U99" i="86"/>
  <c r="W99" i="86"/>
  <c r="X99" i="86"/>
  <c r="Y99" i="86"/>
  <c r="Z99" i="86"/>
  <c r="AD99" i="86"/>
  <c r="AF99" i="86"/>
  <c r="AK99" i="86"/>
  <c r="AM99" i="86"/>
  <c r="AN99" i="86"/>
  <c r="AO99" i="86"/>
  <c r="AR99" i="86"/>
  <c r="AZ99" i="86"/>
  <c r="BB99" i="86"/>
  <c r="BF99" i="86"/>
  <c r="BG99" i="86"/>
  <c r="A100" i="86"/>
  <c r="B100" i="86"/>
  <c r="E100" i="86"/>
  <c r="C100" i="86"/>
  <c r="D100" i="86"/>
  <c r="K100" i="86"/>
  <c r="L100" i="86"/>
  <c r="M100" i="86"/>
  <c r="BJ100" i="86"/>
  <c r="N100" i="86"/>
  <c r="O100" i="86"/>
  <c r="P100" i="86"/>
  <c r="Q100" i="86"/>
  <c r="R100" i="86"/>
  <c r="S100" i="86"/>
  <c r="U100" i="86"/>
  <c r="W100" i="86"/>
  <c r="X100" i="86"/>
  <c r="Y100" i="86"/>
  <c r="Z100" i="86"/>
  <c r="AD100" i="86"/>
  <c r="AF100" i="86"/>
  <c r="AK100" i="86"/>
  <c r="AM100" i="86"/>
  <c r="AO100" i="86"/>
  <c r="AR100" i="86"/>
  <c r="AZ100" i="86"/>
  <c r="BF100" i="86"/>
  <c r="BG100" i="86"/>
  <c r="A101" i="86"/>
  <c r="B101" i="86"/>
  <c r="C101" i="86"/>
  <c r="D101" i="86"/>
  <c r="E101" i="86"/>
  <c r="K101" i="86"/>
  <c r="L101" i="86"/>
  <c r="M101" i="86"/>
  <c r="BJ101" i="86"/>
  <c r="N101" i="86"/>
  <c r="O101" i="86"/>
  <c r="P101" i="86"/>
  <c r="Q101" i="86"/>
  <c r="R101" i="86"/>
  <c r="S101" i="86"/>
  <c r="U101" i="86"/>
  <c r="W101" i="86"/>
  <c r="X101" i="86"/>
  <c r="Y101" i="86"/>
  <c r="Z101" i="86"/>
  <c r="AD101" i="86"/>
  <c r="AF101" i="86"/>
  <c r="AK101" i="86"/>
  <c r="AM101" i="86"/>
  <c r="AO101" i="86"/>
  <c r="AR101" i="86"/>
  <c r="AZ101" i="86"/>
  <c r="BB101" i="86"/>
  <c r="BF101" i="86"/>
  <c r="BG101" i="86"/>
  <c r="A102" i="86"/>
  <c r="B102" i="86"/>
  <c r="E102" i="86"/>
  <c r="C102" i="86"/>
  <c r="D102" i="86"/>
  <c r="K102" i="86"/>
  <c r="L102" i="86"/>
  <c r="M102" i="86"/>
  <c r="BJ102" i="86"/>
  <c r="N102" i="86"/>
  <c r="O102" i="86"/>
  <c r="P102" i="86"/>
  <c r="Q102" i="86"/>
  <c r="R102" i="86"/>
  <c r="S102" i="86"/>
  <c r="U102" i="86"/>
  <c r="W102" i="86"/>
  <c r="X102" i="86"/>
  <c r="Y102" i="86"/>
  <c r="Z102" i="86"/>
  <c r="AD102" i="86"/>
  <c r="AF102" i="86"/>
  <c r="AK102" i="86"/>
  <c r="AM102" i="86"/>
  <c r="AN102" i="86" a="1"/>
  <c r="AN102" i="86"/>
  <c r="AO102" i="86"/>
  <c r="AR102" i="86"/>
  <c r="AZ102" i="86"/>
  <c r="BF102" i="86"/>
  <c r="BG102" i="86"/>
  <c r="A103" i="86"/>
  <c r="B103" i="86"/>
  <c r="C103" i="86"/>
  <c r="D103" i="86"/>
  <c r="E103" i="86"/>
  <c r="K103" i="86"/>
  <c r="L103" i="86"/>
  <c r="M103" i="86"/>
  <c r="BJ103" i="86"/>
  <c r="N103" i="86"/>
  <c r="O103" i="86"/>
  <c r="P103" i="86"/>
  <c r="Q103" i="86"/>
  <c r="R103" i="86"/>
  <c r="S103" i="86"/>
  <c r="U103" i="86"/>
  <c r="W103" i="86"/>
  <c r="X103" i="86"/>
  <c r="Y103" i="86"/>
  <c r="Z103" i="86"/>
  <c r="AD103" i="86"/>
  <c r="AF103" i="86"/>
  <c r="AK103" i="86"/>
  <c r="AM103" i="86"/>
  <c r="AN103" i="86"/>
  <c r="AO103" i="86"/>
  <c r="AR103" i="86"/>
  <c r="AZ103" i="86"/>
  <c r="BF103" i="86"/>
  <c r="BG103" i="86"/>
  <c r="A104" i="86"/>
  <c r="B104" i="86"/>
  <c r="C104" i="86"/>
  <c r="D104" i="86"/>
  <c r="E104" i="86"/>
  <c r="K104" i="86"/>
  <c r="L104" i="86"/>
  <c r="M104" i="86"/>
  <c r="BJ104" i="86"/>
  <c r="N104" i="86"/>
  <c r="O104" i="86"/>
  <c r="P104" i="86"/>
  <c r="Q104" i="86"/>
  <c r="R104" i="86"/>
  <c r="S104" i="86"/>
  <c r="U104" i="86"/>
  <c r="W104" i="86"/>
  <c r="X104" i="86"/>
  <c r="Y104" i="86"/>
  <c r="Z104" i="86"/>
  <c r="AD104" i="86"/>
  <c r="AF104" i="86"/>
  <c r="AK104" i="86"/>
  <c r="AM104" i="86"/>
  <c r="AN104" i="86"/>
  <c r="AO104" i="86"/>
  <c r="AR104" i="86"/>
  <c r="AZ104" i="86"/>
  <c r="BF104" i="86"/>
  <c r="BG104" i="86"/>
  <c r="A105" i="86"/>
  <c r="B105" i="86"/>
  <c r="C105" i="86"/>
  <c r="D105" i="86"/>
  <c r="E105" i="86"/>
  <c r="K105" i="86"/>
  <c r="L105" i="86"/>
  <c r="M105" i="86"/>
  <c r="BJ105" i="86"/>
  <c r="N105" i="86"/>
  <c r="O105" i="86"/>
  <c r="P105" i="86"/>
  <c r="Q105" i="86"/>
  <c r="R105" i="86"/>
  <c r="S105" i="86"/>
  <c r="U105" i="86"/>
  <c r="W105" i="86"/>
  <c r="X105" i="86"/>
  <c r="Y105" i="86"/>
  <c r="Z105" i="86"/>
  <c r="AD105" i="86"/>
  <c r="AF105" i="86"/>
  <c r="AK105" i="86"/>
  <c r="AM105" i="86"/>
  <c r="AO105" i="86"/>
  <c r="AR105" i="86"/>
  <c r="AZ105" i="86"/>
  <c r="BF105" i="86"/>
  <c r="BG105" i="86"/>
  <c r="A106" i="86"/>
  <c r="B106" i="86"/>
  <c r="C106" i="86"/>
  <c r="D106" i="86"/>
  <c r="E106" i="86"/>
  <c r="K106" i="86"/>
  <c r="L106" i="86"/>
  <c r="M106" i="86"/>
  <c r="BJ106" i="86"/>
  <c r="N106" i="86"/>
  <c r="O106" i="86"/>
  <c r="P106" i="86"/>
  <c r="Q106" i="86"/>
  <c r="R106" i="86"/>
  <c r="S106" i="86"/>
  <c r="U106" i="86"/>
  <c r="W106" i="86"/>
  <c r="X106" i="86"/>
  <c r="Y106" i="86"/>
  <c r="Z106" i="86"/>
  <c r="AD106" i="86"/>
  <c r="AF106" i="86"/>
  <c r="AK106" i="86"/>
  <c r="AM106" i="86"/>
  <c r="AO106" i="86"/>
  <c r="AR106" i="86"/>
  <c r="AZ106" i="86"/>
  <c r="BF106" i="86"/>
  <c r="BG106" i="86"/>
  <c r="A107" i="86"/>
  <c r="B107" i="86"/>
  <c r="C107" i="86"/>
  <c r="D107" i="86"/>
  <c r="E107" i="86"/>
  <c r="K107" i="86"/>
  <c r="L107" i="86"/>
  <c r="M107" i="86"/>
  <c r="BJ107" i="86"/>
  <c r="N107" i="86"/>
  <c r="O107" i="86"/>
  <c r="P107" i="86"/>
  <c r="Q107" i="86"/>
  <c r="R107" i="86"/>
  <c r="S107" i="86"/>
  <c r="U107" i="86"/>
  <c r="W107" i="86"/>
  <c r="X107" i="86"/>
  <c r="Y107" i="86"/>
  <c r="Z107" i="86"/>
  <c r="AD107" i="86"/>
  <c r="AF107" i="86"/>
  <c r="AK107" i="86"/>
  <c r="AM107" i="86"/>
  <c r="AO107" i="86"/>
  <c r="AR107" i="86"/>
  <c r="AZ107" i="86"/>
  <c r="BB107" i="86"/>
  <c r="BF107" i="86"/>
  <c r="BG107" i="86"/>
  <c r="A108" i="86"/>
  <c r="B108" i="86"/>
  <c r="E108" i="86"/>
  <c r="C108" i="86"/>
  <c r="D108" i="86"/>
  <c r="K108" i="86"/>
  <c r="L108" i="86"/>
  <c r="M108" i="86"/>
  <c r="BJ108" i="86"/>
  <c r="N108" i="86"/>
  <c r="O108" i="86"/>
  <c r="P108" i="86"/>
  <c r="Q108" i="86"/>
  <c r="R108" i="86"/>
  <c r="S108" i="86"/>
  <c r="U108" i="86"/>
  <c r="W108" i="86"/>
  <c r="X108" i="86"/>
  <c r="Y108" i="86"/>
  <c r="Z108" i="86"/>
  <c r="AD108" i="86"/>
  <c r="AF108" i="86"/>
  <c r="AK108" i="86"/>
  <c r="AM108" i="86"/>
  <c r="AN108" i="86"/>
  <c r="AO108" i="86"/>
  <c r="AR108" i="86"/>
  <c r="AZ108" i="86"/>
  <c r="BB108" i="86"/>
  <c r="BF108" i="86"/>
  <c r="BG108" i="86"/>
  <c r="A109" i="86"/>
  <c r="B109" i="86"/>
  <c r="E109" i="86"/>
  <c r="C109" i="86"/>
  <c r="D109" i="86"/>
  <c r="K109" i="86"/>
  <c r="L109" i="86"/>
  <c r="M109" i="86"/>
  <c r="BJ109" i="86"/>
  <c r="N109" i="86"/>
  <c r="O109" i="86"/>
  <c r="P109" i="86"/>
  <c r="Q109" i="86"/>
  <c r="R109" i="86"/>
  <c r="S109" i="86"/>
  <c r="U109" i="86"/>
  <c r="W109" i="86"/>
  <c r="X109" i="86"/>
  <c r="Y109" i="86"/>
  <c r="Z109" i="86"/>
  <c r="AD109" i="86"/>
  <c r="AF109" i="86"/>
  <c r="AK109" i="86"/>
  <c r="AM109" i="86"/>
  <c r="AO109" i="86"/>
  <c r="AQ109" i="86"/>
  <c r="AR109" i="86"/>
  <c r="AZ109" i="86"/>
  <c r="BB109" i="86"/>
  <c r="BF109" i="86"/>
  <c r="BG109" i="86"/>
  <c r="A110" i="86"/>
  <c r="B110" i="86"/>
  <c r="E110" i="86"/>
  <c r="C110" i="86"/>
  <c r="D110" i="86"/>
  <c r="K110" i="86"/>
  <c r="L110" i="86"/>
  <c r="M110" i="86"/>
  <c r="BJ110" i="86"/>
  <c r="N110" i="86"/>
  <c r="O110" i="86"/>
  <c r="P110" i="86"/>
  <c r="Q110" i="86"/>
  <c r="R110" i="86"/>
  <c r="S110" i="86"/>
  <c r="U110" i="86"/>
  <c r="W110" i="86"/>
  <c r="X110" i="86"/>
  <c r="Y110" i="86"/>
  <c r="Z110" i="86"/>
  <c r="AD110" i="86"/>
  <c r="AF110" i="86"/>
  <c r="AK110" i="86"/>
  <c r="AM110" i="86"/>
  <c r="AO110" i="86"/>
  <c r="AR110" i="86"/>
  <c r="AZ110" i="86"/>
  <c r="BF110" i="86"/>
  <c r="BG110" i="86"/>
  <c r="A111" i="86"/>
  <c r="B111" i="86"/>
  <c r="C111" i="86"/>
  <c r="D111" i="86"/>
  <c r="E111" i="86"/>
  <c r="K111" i="86"/>
  <c r="L111" i="86"/>
  <c r="M111" i="86"/>
  <c r="BJ111" i="86"/>
  <c r="N111" i="86"/>
  <c r="O111" i="86"/>
  <c r="P111" i="86"/>
  <c r="Q111" i="86"/>
  <c r="R111" i="86"/>
  <c r="S111" i="86"/>
  <c r="U111" i="86"/>
  <c r="W111" i="86"/>
  <c r="X111" i="86"/>
  <c r="Y111" i="86"/>
  <c r="Z111" i="86"/>
  <c r="AD111" i="86"/>
  <c r="AE111" i="86"/>
  <c r="AF111" i="86"/>
  <c r="AI111" i="86"/>
  <c r="AK111" i="86"/>
  <c r="AM111" i="86"/>
  <c r="AO111" i="86"/>
  <c r="AQ111" i="86"/>
  <c r="AR111" i="86"/>
  <c r="AZ111" i="86"/>
  <c r="BF111" i="86"/>
  <c r="BG111" i="86"/>
  <c r="A112" i="86"/>
  <c r="B112" i="86"/>
  <c r="C112" i="86"/>
  <c r="D112" i="86"/>
  <c r="E112" i="86"/>
  <c r="K112" i="86"/>
  <c r="L112" i="86"/>
  <c r="M112" i="86"/>
  <c r="BJ112" i="86"/>
  <c r="N112" i="86"/>
  <c r="O112" i="86"/>
  <c r="P112" i="86"/>
  <c r="Q112" i="86"/>
  <c r="R112" i="86"/>
  <c r="S112" i="86"/>
  <c r="U112" i="86"/>
  <c r="W112" i="86"/>
  <c r="X112" i="86"/>
  <c r="Y112" i="86"/>
  <c r="Z112" i="86"/>
  <c r="AD112" i="86"/>
  <c r="AE112" i="86"/>
  <c r="AF112" i="86"/>
  <c r="AI112" i="86"/>
  <c r="AK112" i="86"/>
  <c r="AM112" i="86"/>
  <c r="AO112" i="86"/>
  <c r="AR112" i="86"/>
  <c r="AZ112" i="86"/>
  <c r="BB112" i="86"/>
  <c r="BF112" i="86"/>
  <c r="BG112" i="86"/>
  <c r="A113" i="86"/>
  <c r="B113" i="86"/>
  <c r="E113" i="86"/>
  <c r="C113" i="86"/>
  <c r="D113" i="86"/>
  <c r="K113" i="86"/>
  <c r="L113" i="86"/>
  <c r="M113" i="86"/>
  <c r="BJ113" i="86"/>
  <c r="N113" i="86"/>
  <c r="O113" i="86"/>
  <c r="P113" i="86"/>
  <c r="Q113" i="86"/>
  <c r="R113" i="86"/>
  <c r="S113" i="86"/>
  <c r="U113" i="86"/>
  <c r="W113" i="86"/>
  <c r="X113" i="86"/>
  <c r="Y113" i="86"/>
  <c r="Z113" i="86"/>
  <c r="AD113" i="86"/>
  <c r="AE113" i="86"/>
  <c r="AF113" i="86"/>
  <c r="AI113" i="86"/>
  <c r="AK113" i="86"/>
  <c r="AM113" i="86"/>
  <c r="AO113" i="86"/>
  <c r="AR113" i="86"/>
  <c r="AZ113" i="86"/>
  <c r="BF113" i="86"/>
  <c r="BG113" i="86"/>
  <c r="A114" i="86"/>
  <c r="B114" i="86"/>
  <c r="C114" i="86"/>
  <c r="D114" i="86"/>
  <c r="E114" i="86"/>
  <c r="K114" i="86"/>
  <c r="L114" i="86"/>
  <c r="M114" i="86"/>
  <c r="BJ114" i="86"/>
  <c r="N114" i="86"/>
  <c r="O114" i="86"/>
  <c r="P114" i="86"/>
  <c r="Q114" i="86"/>
  <c r="R114" i="86"/>
  <c r="S114" i="86"/>
  <c r="U114" i="86"/>
  <c r="W114" i="86"/>
  <c r="X114" i="86"/>
  <c r="Y114" i="86"/>
  <c r="Z114" i="86"/>
  <c r="AD114" i="86"/>
  <c r="AE114" i="86"/>
  <c r="AF114" i="86"/>
  <c r="AI114" i="86"/>
  <c r="AK114" i="86"/>
  <c r="AM114" i="86"/>
  <c r="AO114" i="86"/>
  <c r="AR114" i="86"/>
  <c r="AZ114" i="86"/>
  <c r="BB114" i="86"/>
  <c r="BF114" i="86"/>
  <c r="BG114" i="86"/>
  <c r="A115" i="86"/>
  <c r="B115" i="86"/>
  <c r="E115" i="86"/>
  <c r="C115" i="86"/>
  <c r="D115" i="86"/>
  <c r="K115" i="86"/>
  <c r="L115" i="86"/>
  <c r="M115" i="86"/>
  <c r="BJ115" i="86"/>
  <c r="N115" i="86"/>
  <c r="O115" i="86"/>
  <c r="P115" i="86"/>
  <c r="Q115" i="86"/>
  <c r="R115" i="86"/>
  <c r="S115" i="86"/>
  <c r="U115" i="86"/>
  <c r="W115" i="86"/>
  <c r="X115" i="86"/>
  <c r="Y115" i="86"/>
  <c r="Z115" i="86"/>
  <c r="AD115" i="86"/>
  <c r="AF115" i="86"/>
  <c r="AK115" i="86"/>
  <c r="AM115" i="86"/>
  <c r="AO115" i="86"/>
  <c r="AR115" i="86"/>
  <c r="AZ115" i="86"/>
  <c r="BB115" i="86"/>
  <c r="BF115" i="86"/>
  <c r="BG115" i="86"/>
  <c r="A116" i="86"/>
  <c r="B116" i="86"/>
  <c r="C116" i="86"/>
  <c r="D116" i="86"/>
  <c r="E116" i="86"/>
  <c r="K116" i="86"/>
  <c r="L116" i="86"/>
  <c r="M116" i="86"/>
  <c r="BJ116" i="86"/>
  <c r="N116" i="86"/>
  <c r="O116" i="86"/>
  <c r="P116" i="86"/>
  <c r="Q116" i="86"/>
  <c r="R116" i="86"/>
  <c r="S116" i="86"/>
  <c r="U116" i="86"/>
  <c r="W116" i="86"/>
  <c r="X116" i="86"/>
  <c r="Y116" i="86"/>
  <c r="Z116" i="86"/>
  <c r="AD116" i="86"/>
  <c r="AE116" i="86"/>
  <c r="AF116" i="86"/>
  <c r="AI116" i="86"/>
  <c r="AK116" i="86"/>
  <c r="AM116" i="86"/>
  <c r="AO116" i="86"/>
  <c r="AR116" i="86"/>
  <c r="AZ116" i="86"/>
  <c r="BB116" i="86"/>
  <c r="BF116" i="86"/>
  <c r="BG116" i="86"/>
  <c r="A117" i="86"/>
  <c r="B117" i="86"/>
  <c r="E117" i="86"/>
  <c r="C117" i="86"/>
  <c r="D117" i="86"/>
  <c r="K117" i="86"/>
  <c r="L117" i="86"/>
  <c r="M117" i="86"/>
  <c r="BJ117" i="86"/>
  <c r="N117" i="86"/>
  <c r="O117" i="86"/>
  <c r="P117" i="86"/>
  <c r="Q117" i="86"/>
  <c r="R117" i="86"/>
  <c r="S117" i="86"/>
  <c r="U117" i="86"/>
  <c r="W117" i="86"/>
  <c r="X117" i="86"/>
  <c r="Y117" i="86"/>
  <c r="Z117" i="86"/>
  <c r="AD117" i="86"/>
  <c r="AE117" i="86"/>
  <c r="AF117" i="86"/>
  <c r="AI117" i="86"/>
  <c r="AK117" i="86"/>
  <c r="AM117" i="86"/>
  <c r="AO117" i="86"/>
  <c r="AR117" i="86"/>
  <c r="AZ117" i="86"/>
  <c r="BB117" i="86"/>
  <c r="BF117" i="86"/>
  <c r="BG117" i="86"/>
  <c r="A118" i="86"/>
  <c r="B118" i="86"/>
  <c r="C118" i="86"/>
  <c r="D118" i="86"/>
  <c r="E118" i="86"/>
  <c r="K118" i="86"/>
  <c r="L118" i="86"/>
  <c r="M118" i="86"/>
  <c r="BJ118" i="86"/>
  <c r="N118" i="86"/>
  <c r="O118" i="86"/>
  <c r="P118" i="86"/>
  <c r="Q118" i="86"/>
  <c r="R118" i="86"/>
  <c r="S118" i="86"/>
  <c r="U118" i="86"/>
  <c r="W118" i="86"/>
  <c r="X118" i="86"/>
  <c r="Y118" i="86"/>
  <c r="Z118" i="86"/>
  <c r="AD118" i="86"/>
  <c r="AE118" i="86"/>
  <c r="AF118" i="86"/>
  <c r="AI118" i="86"/>
  <c r="AK118" i="86"/>
  <c r="AM118" i="86"/>
  <c r="AO118" i="86"/>
  <c r="AR118" i="86"/>
  <c r="AZ118" i="86"/>
  <c r="BB118" i="86"/>
  <c r="BF118" i="86"/>
  <c r="BG118" i="86"/>
  <c r="A119" i="86"/>
  <c r="B119" i="86"/>
  <c r="E119" i="86"/>
  <c r="C119" i="86"/>
  <c r="D119" i="86"/>
  <c r="K119" i="86"/>
  <c r="L119" i="86"/>
  <c r="M119" i="86"/>
  <c r="N119" i="86"/>
  <c r="O119" i="86"/>
  <c r="P119" i="86"/>
  <c r="Q119" i="86"/>
  <c r="R119" i="86"/>
  <c r="S119" i="86"/>
  <c r="U119" i="86"/>
  <c r="W119" i="86"/>
  <c r="X119" i="86"/>
  <c r="Y119" i="86"/>
  <c r="Z119" i="86"/>
  <c r="AA119" i="86"/>
  <c r="AB119" i="86"/>
  <c r="AC119" i="86"/>
  <c r="AD119" i="86"/>
  <c r="AG119" i="86"/>
  <c r="AE119" i="86"/>
  <c r="AF119" i="86"/>
  <c r="AH119" i="86"/>
  <c r="AI119" i="86"/>
  <c r="AK119" i="86"/>
  <c r="AM119" i="86"/>
  <c r="AO119" i="86"/>
  <c r="AR119" i="86"/>
  <c r="AZ119" i="86"/>
  <c r="BA119" i="86"/>
  <c r="BB119" i="86"/>
  <c r="BF119" i="86"/>
  <c r="BG119" i="86"/>
  <c r="BJ119" i="86"/>
  <c r="A120" i="86"/>
  <c r="E120" i="86"/>
  <c r="K120" i="86"/>
  <c r="L120" i="86"/>
  <c r="M120" i="86"/>
  <c r="N120" i="86"/>
  <c r="O120" i="86"/>
  <c r="P120" i="86"/>
  <c r="Q120" i="86"/>
  <c r="R120" i="86"/>
  <c r="S120" i="86"/>
  <c r="U120" i="86"/>
  <c r="W120" i="86"/>
  <c r="X120" i="86"/>
  <c r="Y120" i="86"/>
  <c r="Z120" i="86"/>
  <c r="AA120" i="86"/>
  <c r="AB120" i="86"/>
  <c r="AC120" i="86"/>
  <c r="AD120" i="86"/>
  <c r="AG120" i="86"/>
  <c r="AE120" i="86"/>
  <c r="AF120" i="86"/>
  <c r="AH120" i="86"/>
  <c r="AI120" i="86"/>
  <c r="AK120" i="86"/>
  <c r="AM120" i="86"/>
  <c r="AO120" i="86"/>
  <c r="AR120" i="86"/>
  <c r="AZ120" i="86"/>
  <c r="BA120" i="86"/>
  <c r="BB120" i="86"/>
  <c r="BF120" i="86"/>
  <c r="BG120" i="86"/>
  <c r="BJ120" i="86"/>
  <c r="A121" i="86"/>
  <c r="B121" i="86"/>
  <c r="C121" i="86"/>
  <c r="D121" i="86"/>
  <c r="E121" i="86"/>
  <c r="K121" i="86"/>
  <c r="L121" i="86"/>
  <c r="M121" i="86"/>
  <c r="N121" i="86"/>
  <c r="O121" i="86"/>
  <c r="P121" i="86"/>
  <c r="Q121" i="86"/>
  <c r="R121" i="86"/>
  <c r="S121" i="86"/>
  <c r="U121" i="86"/>
  <c r="W121" i="86"/>
  <c r="X121" i="86"/>
  <c r="Y121" i="86"/>
  <c r="Z121" i="86"/>
  <c r="AA121" i="86"/>
  <c r="AB121" i="86"/>
  <c r="AC121" i="86"/>
  <c r="AD121" i="86"/>
  <c r="AG121" i="86"/>
  <c r="AE121" i="86"/>
  <c r="AF121" i="86"/>
  <c r="AH121" i="86"/>
  <c r="AI121" i="86"/>
  <c r="AK121" i="86"/>
  <c r="AM121" i="86"/>
  <c r="AO121" i="86"/>
  <c r="AR121" i="86"/>
  <c r="AZ121" i="86"/>
  <c r="BA121" i="86"/>
  <c r="BB121" i="86"/>
  <c r="BF121" i="86"/>
  <c r="BG121" i="86"/>
  <c r="BJ121" i="86"/>
  <c r="W123" i="86"/>
  <c r="X123" i="86"/>
  <c r="AS123" i="86"/>
  <c r="AH57" i="86"/>
  <c r="AN67" i="87"/>
  <c r="BD38" i="87"/>
  <c r="AH57" i="89" a="1"/>
  <c r="AH60" i="89" a="1"/>
  <c r="AH60" i="89"/>
  <c r="AH57" i="89"/>
  <c r="AN67" i="88"/>
  <c r="AN73" i="88"/>
  <c r="BD38" i="88" a="1"/>
  <c r="AH57" i="88" a="1"/>
  <c r="AH60" i="88" a="1"/>
  <c r="AN79" i="88" a="1"/>
  <c r="AN82" i="88" a="1"/>
  <c r="BD38" i="88"/>
  <c r="AN82" i="88"/>
  <c r="AN79" i="88"/>
  <c r="AH60" i="88"/>
  <c r="AH57" i="88"/>
  <c r="AH57" i="91" a="1"/>
  <c r="AH60" i="91" a="1"/>
  <c r="AH60" i="91"/>
  <c r="AH57" i="91"/>
  <c r="AN67" i="92"/>
  <c r="AN73" i="92"/>
  <c r="BD38" i="92" a="1"/>
  <c r="AH57" i="92" a="1"/>
  <c r="AH60" i="92" a="1"/>
  <c r="AN79" i="92" a="1"/>
  <c r="AN82" i="92" a="1"/>
  <c r="BD38" i="92"/>
  <c r="AN82" i="92"/>
  <c r="AN79" i="92"/>
  <c r="AH60" i="92"/>
  <c r="AH57" i="92"/>
  <c r="AN67" i="93"/>
  <c r="AN73" i="93"/>
  <c r="BD38" i="93" a="1"/>
  <c r="BD38" i="93"/>
  <c r="AH57" i="93"/>
  <c r="AH57" i="76"/>
  <c r="AN67" i="78"/>
  <c r="AN73" i="78"/>
  <c r="BD38" i="78" a="1"/>
  <c r="BD38" i="78"/>
  <c r="AN67" i="82"/>
  <c r="AN73" i="82"/>
  <c r="BD38" i="82" a="1"/>
  <c r="BD38" i="82"/>
  <c r="AH60" i="84"/>
  <c r="AN60" i="92" a="1"/>
  <c r="AN95" i="92" a="1"/>
  <c r="AN92" i="92" a="1"/>
  <c r="AH72" i="92" a="1"/>
  <c r="AH75" i="92" a="1"/>
  <c r="AN94" i="92" a="1"/>
  <c r="AN60" i="91" a="1"/>
  <c r="AN95" i="91" a="1"/>
  <c r="AN92" i="91" a="1"/>
  <c r="AN92" i="91"/>
  <c r="AH72" i="91" a="1"/>
  <c r="AH75" i="91" a="1"/>
  <c r="AN94" i="91" a="1"/>
  <c r="AN60" i="88" a="1"/>
  <c r="AN95" i="88" a="1"/>
  <c r="AN92" i="88" a="1"/>
  <c r="AN92" i="88"/>
  <c r="AH72" i="88" a="1"/>
  <c r="AH75" i="88" a="1"/>
  <c r="AN94" i="88" a="1"/>
  <c r="AN60" i="89" a="1"/>
  <c r="AN95" i="89" a="1"/>
  <c r="AN92" i="89" a="1"/>
  <c r="AN92" i="89"/>
  <c r="AH72" i="89" a="1"/>
  <c r="AH75" i="89" a="1"/>
  <c r="AN94" i="89" a="1"/>
  <c r="AN94" i="89"/>
  <c r="AT76" i="89"/>
  <c r="AN94" i="86"/>
  <c r="AT76" i="86"/>
  <c r="AH75" i="86"/>
  <c r="AH72" i="86"/>
  <c r="AN92" i="86"/>
  <c r="AN95" i="86"/>
  <c r="AT79" i="86"/>
  <c r="AN63" i="86"/>
  <c r="AN60" i="86"/>
  <c r="AH75" i="89"/>
  <c r="AH72" i="89"/>
  <c r="AN95" i="89"/>
  <c r="AT79" i="89"/>
  <c r="AN63" i="89"/>
  <c r="AN60" i="89"/>
  <c r="AN94" i="88"/>
  <c r="AT76" i="88"/>
  <c r="AH75" i="88"/>
  <c r="AH72" i="88"/>
  <c r="AN95" i="88"/>
  <c r="AT79" i="88"/>
  <c r="AN63" i="88"/>
  <c r="AN60" i="88"/>
  <c r="AN94" i="91"/>
  <c r="AT76" i="91"/>
  <c r="AH75" i="91"/>
  <c r="AH72" i="91"/>
  <c r="AN95" i="91"/>
  <c r="AT79" i="91"/>
  <c r="AN63" i="91"/>
  <c r="AN60" i="91"/>
  <c r="AN94" i="92"/>
  <c r="AT76" i="92"/>
  <c r="AH75" i="92"/>
  <c r="AH72" i="92"/>
  <c r="AN92" i="92"/>
  <c r="AN95" i="92"/>
  <c r="AT79" i="92"/>
  <c r="AN63" i="92"/>
  <c r="AN60" i="92"/>
  <c r="AH72" i="76"/>
  <c r="AN94" i="78"/>
  <c r="AT76" i="78"/>
  <c r="AN92" i="78"/>
  <c r="AN95" i="78"/>
  <c r="AT79" i="78"/>
  <c r="AN63" i="78"/>
  <c r="AN60" i="78"/>
  <c r="AN94" i="80"/>
  <c r="AT76" i="80"/>
  <c r="AN92" i="80"/>
  <c r="AN95" i="80"/>
  <c r="AT79" i="80"/>
  <c r="AN63" i="80"/>
  <c r="AN60" i="80"/>
  <c r="AN94" i="82"/>
  <c r="AT76" i="82"/>
  <c r="AN95" i="82"/>
  <c r="AT79" i="82"/>
  <c r="AN60" i="82"/>
  <c r="AN67" i="84"/>
  <c r="BD38" i="84"/>
  <c r="AN95" i="84"/>
  <c r="AT79" i="84"/>
  <c r="AN63" i="84"/>
  <c r="AN79" i="86" a="1"/>
  <c r="AN82" i="86" a="1"/>
  <c r="AN82" i="86"/>
  <c r="AN79" i="84" a="1"/>
  <c r="AN82" i="84" a="1"/>
  <c r="AN82" i="84"/>
  <c r="AN79" i="86"/>
  <c r="AN79" i="84"/>
  <c r="G72" i="84"/>
  <c r="AH72" i="84" a="1"/>
  <c r="AH72" i="84"/>
  <c r="AH75" i="84" a="1"/>
  <c r="G72" i="86"/>
  <c r="AH75" i="84"/>
  <c r="AH57" i="78" a="1"/>
  <c r="AH60" i="78" a="1"/>
  <c r="AH60" i="78"/>
  <c r="AH72" i="78" a="1"/>
  <c r="AH75" i="78" a="1"/>
  <c r="AH75" i="78"/>
  <c r="AH57" i="80" a="1"/>
  <c r="AH60" i="80" a="1"/>
  <c r="AH72" i="80" a="1"/>
  <c r="AH75" i="80" a="1"/>
  <c r="AH60" i="82" a="1"/>
  <c r="AH60" i="82"/>
  <c r="AH72" i="82" a="1"/>
  <c r="AH75" i="82" a="1"/>
  <c r="AH75" i="82"/>
  <c r="AH57" i="78"/>
  <c r="AH72" i="78"/>
  <c r="AH72" i="82"/>
  <c r="AH57" i="80"/>
  <c r="AH60" i="80"/>
  <c r="AH72" i="80"/>
  <c r="AH75" i="80"/>
  <c r="BB91" i="87"/>
  <c r="BB93" i="87"/>
  <c r="BB94" i="87"/>
  <c r="BB95" i="87"/>
  <c r="BB100" i="87"/>
  <c r="BB102" i="87"/>
  <c r="BB103" i="87"/>
  <c r="BB104" i="87"/>
  <c r="BB106" i="87"/>
  <c r="BB107" i="87"/>
  <c r="BB110" i="87"/>
  <c r="BB111" i="87"/>
  <c r="BB113" i="87"/>
  <c r="BB115" i="87"/>
  <c r="BB117" i="87"/>
  <c r="BB120" i="87"/>
  <c r="BB121" i="87"/>
  <c r="BB92" i="87"/>
  <c r="BB96" i="87"/>
  <c r="BB97" i="87"/>
  <c r="BB98" i="87"/>
  <c r="BB99" i="87"/>
  <c r="BB101" i="87"/>
  <c r="BB105" i="87"/>
  <c r="BB108" i="87"/>
  <c r="BB109" i="87"/>
  <c r="BB112" i="87"/>
  <c r="BB114" i="87"/>
  <c r="BB116" i="87"/>
  <c r="BB118" i="87"/>
  <c r="BB119" i="87"/>
  <c r="AH91" i="89"/>
  <c r="AH92" i="89"/>
  <c r="BA92" i="89"/>
  <c r="BA94" i="89"/>
  <c r="BA96" i="89"/>
  <c r="BA99" i="89"/>
  <c r="BA100" i="89"/>
  <c r="BA101" i="89"/>
  <c r="BA102" i="89"/>
  <c r="BA103" i="89"/>
  <c r="BA104" i="89"/>
  <c r="BA106" i="89"/>
  <c r="BA107" i="89"/>
  <c r="BA110" i="89"/>
  <c r="BA111" i="89"/>
  <c r="BA113" i="89"/>
  <c r="BA115" i="89"/>
  <c r="BA117" i="89"/>
  <c r="BA119" i="89"/>
  <c r="BA121" i="89"/>
  <c r="BA91" i="89"/>
  <c r="BA93" i="89"/>
  <c r="BA95" i="89"/>
  <c r="BA97" i="89"/>
  <c r="BA98" i="89"/>
  <c r="BA105" i="89"/>
  <c r="BA108" i="89"/>
  <c r="BA109" i="89"/>
  <c r="BA112" i="89"/>
  <c r="BA114" i="89"/>
  <c r="BA116" i="89"/>
  <c r="BA118" i="89"/>
  <c r="BA120" i="89"/>
  <c r="AN73" i="89"/>
  <c r="AN70" i="89"/>
  <c r="BJ5" i="89"/>
  <c r="BI4" i="89"/>
  <c r="AC91" i="89"/>
  <c r="AH91" i="88"/>
  <c r="AH92" i="88"/>
  <c r="E8" i="88"/>
  <c r="AA94" i="88"/>
  <c r="AE118" i="91"/>
  <c r="AI118" i="91"/>
  <c r="AE109" i="91"/>
  <c r="AI109" i="91"/>
  <c r="AI91" i="91"/>
  <c r="BJ4" i="91"/>
  <c r="AE91" i="91"/>
  <c r="BC83" i="91"/>
  <c r="BB83" i="91"/>
  <c r="BJ27" i="91"/>
  <c r="BJ22" i="91"/>
  <c r="BJ11" i="91"/>
  <c r="BI85" i="91"/>
  <c r="BI86" i="91"/>
  <c r="BI42" i="91"/>
  <c r="BB83" i="92"/>
  <c r="BC83" i="92"/>
  <c r="AE102" i="93"/>
  <c r="AI102" i="93"/>
  <c r="AE100" i="93"/>
  <c r="AI100" i="93"/>
  <c r="BD80" i="89"/>
  <c r="BB92" i="88"/>
  <c r="BB94" i="88"/>
  <c r="BB96" i="88"/>
  <c r="BB99" i="88"/>
  <c r="BB100" i="88"/>
  <c r="BB101" i="88"/>
  <c r="BB102" i="88"/>
  <c r="BB104" i="88"/>
  <c r="BB105" i="88"/>
  <c r="BB106" i="88"/>
  <c r="BB109" i="88"/>
  <c r="BB110" i="88"/>
  <c r="BB111" i="88"/>
  <c r="BB112" i="88"/>
  <c r="BB113" i="88"/>
  <c r="BB114" i="88"/>
  <c r="BB115" i="88"/>
  <c r="BB116" i="88"/>
  <c r="BB117" i="88"/>
  <c r="BB118" i="88"/>
  <c r="BB119" i="88"/>
  <c r="BB120" i="88"/>
  <c r="BB121" i="88"/>
  <c r="BB91" i="88"/>
  <c r="BB93" i="88"/>
  <c r="BB95" i="88"/>
  <c r="BB97" i="88"/>
  <c r="BB98" i="88"/>
  <c r="BB103" i="88"/>
  <c r="BB107" i="88"/>
  <c r="BB108" i="88"/>
  <c r="AE120" i="91"/>
  <c r="AI120" i="91"/>
  <c r="AE114" i="91"/>
  <c r="AI114" i="91"/>
  <c r="AE106" i="91"/>
  <c r="AI106" i="91"/>
  <c r="BJ19" i="91"/>
  <c r="AE102" i="91"/>
  <c r="AI102" i="91"/>
  <c r="BJ15" i="91"/>
  <c r="AE100" i="91"/>
  <c r="AI100" i="91"/>
  <c r="BJ13" i="91"/>
  <c r="AE98" i="91"/>
  <c r="AI98" i="91"/>
  <c r="BI4" i="91"/>
  <c r="AC91" i="91"/>
  <c r="BI86" i="92"/>
  <c r="BI42" i="92"/>
  <c r="BI85" i="92"/>
  <c r="BI43" i="92"/>
  <c r="BJ34" i="93"/>
  <c r="AE121" i="93"/>
  <c r="AI121" i="93"/>
  <c r="BJ31" i="93"/>
  <c r="AE118" i="93"/>
  <c r="AI118" i="93"/>
  <c r="BJ29" i="93"/>
  <c r="AE116" i="93"/>
  <c r="AI116" i="93"/>
  <c r="AE108" i="93"/>
  <c r="AI108" i="93"/>
  <c r="BC83" i="93"/>
  <c r="BB83" i="93"/>
  <c r="AN73" i="84"/>
  <c r="AN70" i="84"/>
  <c r="AN70" i="82"/>
  <c r="AN70" i="78"/>
  <c r="AN70" i="93"/>
  <c r="AN70" i="92"/>
  <c r="AN70" i="88"/>
  <c r="AN70" i="87"/>
  <c r="AN73" i="87"/>
  <c r="BB113" i="86"/>
  <c r="BB111" i="86"/>
  <c r="BB110" i="86"/>
  <c r="BB106" i="86"/>
  <c r="BB105" i="86"/>
  <c r="BB104" i="86"/>
  <c r="BB103" i="86"/>
  <c r="BB102" i="86"/>
  <c r="BB100" i="86"/>
  <c r="BB97" i="86"/>
  <c r="BB95" i="86"/>
  <c r="BB93" i="86"/>
  <c r="AN70" i="86"/>
  <c r="AN73" i="86"/>
  <c r="AD60" i="87"/>
  <c r="AD69" i="87"/>
  <c r="R60" i="87"/>
  <c r="R69" i="87"/>
  <c r="AI92" i="87"/>
  <c r="AE92" i="87"/>
  <c r="AC92" i="87"/>
  <c r="AN79" i="87" a="1"/>
  <c r="AN79" i="87"/>
  <c r="AN82" i="87" a="1"/>
  <c r="AN82" i="87"/>
  <c r="BB83" i="87"/>
  <c r="AN48" i="87"/>
  <c r="AN60" i="87" a="1"/>
  <c r="AN60" i="87"/>
  <c r="AN92" i="87" a="1"/>
  <c r="AN92" i="87"/>
  <c r="E7" i="87"/>
  <c r="Y85" i="87"/>
  <c r="Y86" i="87"/>
  <c r="AS120" i="89"/>
  <c r="AS118" i="89"/>
  <c r="AS116" i="89"/>
  <c r="AD71" i="89"/>
  <c r="R71" i="89"/>
  <c r="AS114" i="89"/>
  <c r="AS112" i="89"/>
  <c r="AS111" i="89"/>
  <c r="R64" i="89"/>
  <c r="R70" i="89"/>
  <c r="AS108" i="89"/>
  <c r="AS107" i="89"/>
  <c r="S60" i="89"/>
  <c r="S69" i="89"/>
  <c r="AS105" i="89"/>
  <c r="AS104" i="89"/>
  <c r="AS103" i="89"/>
  <c r="R63" i="89"/>
  <c r="R68" i="89"/>
  <c r="AS99" i="89"/>
  <c r="AS98" i="89"/>
  <c r="AS97" i="89"/>
  <c r="AS95" i="89"/>
  <c r="AS93" i="89"/>
  <c r="AD59" i="89"/>
  <c r="BA84" i="89"/>
  <c r="BC83" i="89"/>
  <c r="AT73" i="89"/>
  <c r="AA54" i="89"/>
  <c r="AC47" i="89"/>
  <c r="AA101" i="89"/>
  <c r="AA99" i="89"/>
  <c r="AA97" i="89"/>
  <c r="AA95" i="89"/>
  <c r="AA93" i="89"/>
  <c r="S71" i="88"/>
  <c r="S64" i="88"/>
  <c r="S70" i="88"/>
  <c r="S60" i="88"/>
  <c r="S69" i="88"/>
  <c r="S63" i="88"/>
  <c r="S68" i="88"/>
  <c r="AS97" i="88"/>
  <c r="R67" i="88"/>
  <c r="AS95" i="88"/>
  <c r="AS93" i="88"/>
  <c r="AD62" i="88"/>
  <c r="AC93" i="88"/>
  <c r="R59" i="88"/>
  <c r="R62" i="88"/>
  <c r="R66" i="88"/>
  <c r="BB83" i="88"/>
  <c r="K78" i="88"/>
  <c r="L76" i="88"/>
  <c r="L75" i="88"/>
  <c r="M75" i="88"/>
  <c r="L74" i="88"/>
  <c r="AP53" i="88"/>
  <c r="AE43" i="88"/>
  <c r="AC43" i="88"/>
  <c r="AA43" i="88"/>
  <c r="AE38" i="88"/>
  <c r="AC38" i="88"/>
  <c r="AH121" i="91"/>
  <c r="AI119" i="91"/>
  <c r="AI117" i="91"/>
  <c r="AH116" i="91"/>
  <c r="S71" i="91"/>
  <c r="AI115" i="91"/>
  <c r="AI113" i="91"/>
  <c r="AH112" i="91"/>
  <c r="AI111" i="91"/>
  <c r="AD64" i="91"/>
  <c r="AD70" i="91"/>
  <c r="R64" i="91"/>
  <c r="R70" i="91"/>
  <c r="AH110" i="91"/>
  <c r="AI108" i="91"/>
  <c r="AI107" i="91"/>
  <c r="AC107" i="91"/>
  <c r="S60" i="91"/>
  <c r="S69" i="91"/>
  <c r="AI105" i="91"/>
  <c r="AE105" i="91"/>
  <c r="AC105" i="91"/>
  <c r="AI104" i="91"/>
  <c r="AE104" i="91"/>
  <c r="AC104" i="91"/>
  <c r="AI103" i="91"/>
  <c r="AE103" i="91"/>
  <c r="AC103" i="91"/>
  <c r="AI101" i="91"/>
  <c r="AD63" i="91"/>
  <c r="AD68" i="91"/>
  <c r="AE101" i="91"/>
  <c r="AC101" i="91"/>
  <c r="R63" i="91"/>
  <c r="R68" i="91"/>
  <c r="AH99" i="91"/>
  <c r="AH97" i="91"/>
  <c r="AI96" i="91"/>
  <c r="AD67" i="91"/>
  <c r="R67" i="91"/>
  <c r="AH95" i="91"/>
  <c r="AI94" i="91"/>
  <c r="AH93" i="91"/>
  <c r="AI92" i="91"/>
  <c r="R59" i="91"/>
  <c r="R62" i="91"/>
  <c r="R66" i="91"/>
  <c r="AQ54" i="91"/>
  <c r="AP53" i="91"/>
  <c r="S71" i="93"/>
  <c r="AD70" i="93"/>
  <c r="S64" i="93"/>
  <c r="R69" i="93"/>
  <c r="R67" i="93"/>
  <c r="R59" i="93"/>
  <c r="R62" i="93"/>
  <c r="AD66" i="93"/>
  <c r="AH72" i="93" a="1"/>
  <c r="AH72" i="93"/>
  <c r="BJ26" i="93"/>
  <c r="BJ23" i="93"/>
  <c r="BJ22" i="93"/>
  <c r="BJ19" i="93"/>
  <c r="BJ18" i="93"/>
  <c r="BJ15" i="93"/>
  <c r="BJ14" i="93"/>
  <c r="BJ11" i="93"/>
  <c r="R59" i="76"/>
  <c r="AS91" i="76"/>
  <c r="AS93" i="76"/>
  <c r="AS95" i="76"/>
  <c r="AS97" i="76"/>
  <c r="AS98" i="76"/>
  <c r="AS99" i="76"/>
  <c r="AS104" i="76"/>
  <c r="AS110" i="76"/>
  <c r="AS111" i="76"/>
  <c r="AS120" i="76"/>
  <c r="BA91" i="76"/>
  <c r="BA93" i="76"/>
  <c r="BA95" i="76"/>
  <c r="BA97" i="76"/>
  <c r="BA98" i="76"/>
  <c r="BA103" i="76"/>
  <c r="BA109" i="76"/>
  <c r="BA110" i="76"/>
  <c r="BA120" i="76"/>
  <c r="BA121" i="76"/>
  <c r="AD43" i="76"/>
  <c r="AD42" i="76"/>
  <c r="BI85" i="76"/>
  <c r="BI86" i="76"/>
  <c r="BI43" i="76"/>
  <c r="BC83" i="80"/>
  <c r="BB83" i="80"/>
  <c r="BB92" i="82"/>
  <c r="BB94" i="82"/>
  <c r="BB96" i="82"/>
  <c r="BB99" i="82"/>
  <c r="BB100" i="82"/>
  <c r="BB101" i="82"/>
  <c r="BB102" i="82"/>
  <c r="BB104" i="82"/>
  <c r="BB106" i="82"/>
  <c r="BB108" i="82"/>
  <c r="BB111" i="82"/>
  <c r="BB112" i="82"/>
  <c r="BB113" i="82"/>
  <c r="BB114" i="82"/>
  <c r="BB115" i="82"/>
  <c r="BB116" i="82"/>
  <c r="BB117" i="82"/>
  <c r="BB118" i="82"/>
  <c r="BB119" i="82"/>
  <c r="BB120" i="82"/>
  <c r="BB121" i="82"/>
  <c r="BB91" i="82"/>
  <c r="BB93" i="82"/>
  <c r="BB95" i="82"/>
  <c r="BB97" i="82"/>
  <c r="BB98" i="82"/>
  <c r="BB103" i="82"/>
  <c r="BB105" i="82"/>
  <c r="BB107" i="82"/>
  <c r="BB109" i="82"/>
  <c r="BB110" i="82"/>
  <c r="BA50" i="89"/>
  <c r="AD71" i="87"/>
  <c r="R71" i="87"/>
  <c r="AD64" i="87"/>
  <c r="AD70" i="87"/>
  <c r="R64" i="87"/>
  <c r="R70" i="87"/>
  <c r="AH68" i="87"/>
  <c r="AJ68" i="87"/>
  <c r="AH75" i="87" a="1"/>
  <c r="AH75" i="87"/>
  <c r="AH65" i="87"/>
  <c r="AJ65" i="87"/>
  <c r="AH72" i="87" a="1"/>
  <c r="AH72" i="87"/>
  <c r="AT70" i="87"/>
  <c r="AT67" i="87"/>
  <c r="AN95" i="87" a="1"/>
  <c r="AN95" i="87"/>
  <c r="AT79" i="87"/>
  <c r="AN63" i="87"/>
  <c r="AN94" i="87" a="1"/>
  <c r="AN94" i="87"/>
  <c r="AT76" i="87"/>
  <c r="BB80" i="87"/>
  <c r="AA38" i="87"/>
  <c r="AE38" i="87"/>
  <c r="AN40" i="87"/>
  <c r="AB38" i="87"/>
  <c r="AE40" i="87"/>
  <c r="AY86" i="87"/>
  <c r="AY85" i="87"/>
  <c r="AW85" i="87"/>
  <c r="AW86" i="87"/>
  <c r="AW42" i="87"/>
  <c r="AU85" i="87"/>
  <c r="AU86" i="87"/>
  <c r="AU42" i="87"/>
  <c r="AW43" i="87"/>
  <c r="AU43" i="87"/>
  <c r="B43" i="87"/>
  <c r="C39" i="87"/>
  <c r="C40" i="87"/>
  <c r="C85" i="87"/>
  <c r="AN107" i="87"/>
  <c r="BI6" i="87"/>
  <c r="S71" i="89"/>
  <c r="S64" i="89"/>
  <c r="S70" i="89"/>
  <c r="AD60" i="89"/>
  <c r="AD69" i="89"/>
  <c r="R60" i="89"/>
  <c r="R69" i="89"/>
  <c r="AD63" i="89"/>
  <c r="AD68" i="89"/>
  <c r="S63" i="89"/>
  <c r="S68" i="89"/>
  <c r="AD67" i="89"/>
  <c r="R67" i="89"/>
  <c r="R59" i="89"/>
  <c r="R62" i="89"/>
  <c r="R66" i="89"/>
  <c r="AD71" i="88"/>
  <c r="R71" i="88"/>
  <c r="AD64" i="88"/>
  <c r="AD70" i="88"/>
  <c r="R64" i="88"/>
  <c r="R70" i="88"/>
  <c r="AD60" i="88"/>
  <c r="AD69" i="88"/>
  <c r="R60" i="88"/>
  <c r="R69" i="88"/>
  <c r="AD63" i="88"/>
  <c r="AD68" i="88"/>
  <c r="R63" i="88"/>
  <c r="R68" i="88"/>
  <c r="AD67" i="88"/>
  <c r="AD71" i="91"/>
  <c r="R71" i="91"/>
  <c r="S64" i="91"/>
  <c r="S70" i="91"/>
  <c r="AD60" i="91"/>
  <c r="AD69" i="91"/>
  <c r="R60" i="91"/>
  <c r="R69" i="91"/>
  <c r="S63" i="91"/>
  <c r="S68" i="91"/>
  <c r="AD59" i="91"/>
  <c r="AD62" i="91"/>
  <c r="AD66" i="91"/>
  <c r="AA93" i="91"/>
  <c r="AS91" i="92"/>
  <c r="AS93" i="92"/>
  <c r="AS95" i="92"/>
  <c r="AS97" i="92"/>
  <c r="AS99" i="92"/>
  <c r="AS101" i="92"/>
  <c r="AS103" i="92"/>
  <c r="AS105" i="92"/>
  <c r="AS107" i="92"/>
  <c r="AS109" i="92"/>
  <c r="AS111" i="92"/>
  <c r="AS113" i="92"/>
  <c r="AS115" i="92"/>
  <c r="AS117" i="92"/>
  <c r="AS119" i="92"/>
  <c r="AS121" i="92"/>
  <c r="AS92" i="92"/>
  <c r="AS94" i="92"/>
  <c r="AS96" i="92"/>
  <c r="AS98" i="92"/>
  <c r="AS100" i="92"/>
  <c r="AS102" i="92"/>
  <c r="AS104" i="92"/>
  <c r="AS106" i="92"/>
  <c r="AS108" i="92"/>
  <c r="AS110" i="92"/>
  <c r="AS112" i="92"/>
  <c r="AS114" i="92"/>
  <c r="AS116" i="92"/>
  <c r="AS118" i="92"/>
  <c r="AS120" i="92"/>
  <c r="R59" i="92"/>
  <c r="AS123" i="93"/>
  <c r="AI120" i="93"/>
  <c r="AE120" i="93"/>
  <c r="AI119" i="93"/>
  <c r="AE119" i="93"/>
  <c r="AI117" i="93"/>
  <c r="AE117" i="93"/>
  <c r="R71" i="93"/>
  <c r="AI115" i="93"/>
  <c r="AE115" i="93"/>
  <c r="AH114" i="93"/>
  <c r="AI113" i="93"/>
  <c r="AH112" i="93"/>
  <c r="AH111" i="93"/>
  <c r="R64" i="93"/>
  <c r="AI110" i="93"/>
  <c r="AI109" i="93"/>
  <c r="AI107" i="93"/>
  <c r="AE107" i="93"/>
  <c r="AI106" i="93"/>
  <c r="AD60" i="93"/>
  <c r="S69" i="93"/>
  <c r="AI105" i="93"/>
  <c r="AI104" i="93"/>
  <c r="AI103" i="93"/>
  <c r="AE103" i="93"/>
  <c r="AI101" i="93"/>
  <c r="AD63" i="93"/>
  <c r="AD68" i="93"/>
  <c r="AH99" i="93"/>
  <c r="AI98" i="93"/>
  <c r="AH97" i="93"/>
  <c r="AH96" i="93"/>
  <c r="AH95" i="93"/>
  <c r="AH94" i="93"/>
  <c r="AH93" i="93"/>
  <c r="AH92" i="93"/>
  <c r="AN82" i="93" a="1"/>
  <c r="AN82" i="93"/>
  <c r="AN79" i="93" a="1"/>
  <c r="AN79" i="93"/>
  <c r="AH91" i="93"/>
  <c r="AH75" i="93" a="1"/>
  <c r="AH75" i="93"/>
  <c r="AH65" i="93"/>
  <c r="AJ65" i="93"/>
  <c r="AQ54" i="93"/>
  <c r="AP53" i="93"/>
  <c r="AD43" i="93"/>
  <c r="AN105" i="93" a="1"/>
  <c r="AN105" i="93"/>
  <c r="F42" i="93"/>
  <c r="AA38" i="93"/>
  <c r="AC38" i="93"/>
  <c r="AE38" i="93"/>
  <c r="AE40" i="93"/>
  <c r="AY86" i="93"/>
  <c r="AY42" i="93"/>
  <c r="AW86" i="93"/>
  <c r="AW42" i="93"/>
  <c r="AU86" i="93"/>
  <c r="AU42" i="93"/>
  <c r="AX85" i="93"/>
  <c r="AX42" i="93"/>
  <c r="AV85" i="93"/>
  <c r="AV42" i="93"/>
  <c r="BJ25" i="93"/>
  <c r="BJ21" i="93"/>
  <c r="BJ17" i="93"/>
  <c r="BJ13" i="93"/>
  <c r="BJ9" i="93"/>
  <c r="BJ5" i="93"/>
  <c r="E119" i="76"/>
  <c r="E118" i="76"/>
  <c r="E117" i="76"/>
  <c r="E116" i="76"/>
  <c r="E115" i="76"/>
  <c r="E114" i="76"/>
  <c r="E113" i="76"/>
  <c r="E112" i="76"/>
  <c r="E109" i="76"/>
  <c r="E108" i="76"/>
  <c r="E107" i="76"/>
  <c r="BA106" i="76"/>
  <c r="AS106" i="76"/>
  <c r="E105" i="76"/>
  <c r="BA104" i="76"/>
  <c r="E103" i="76"/>
  <c r="BA102" i="76"/>
  <c r="E102" i="76"/>
  <c r="BA101" i="76"/>
  <c r="E101" i="76"/>
  <c r="BA100" i="76"/>
  <c r="E100" i="76"/>
  <c r="BA99" i="76"/>
  <c r="AS96" i="76"/>
  <c r="E95" i="76"/>
  <c r="BA94" i="76"/>
  <c r="AS92" i="76"/>
  <c r="BB92" i="76"/>
  <c r="BB94" i="76"/>
  <c r="BB96" i="76"/>
  <c r="BB99" i="76"/>
  <c r="BB100" i="76"/>
  <c r="BB101" i="76"/>
  <c r="BB102" i="76"/>
  <c r="BB104" i="76"/>
  <c r="BB105" i="76"/>
  <c r="BB106" i="76"/>
  <c r="BB107" i="76"/>
  <c r="BB108" i="76"/>
  <c r="BB111" i="76"/>
  <c r="BB112" i="76"/>
  <c r="BB113" i="76"/>
  <c r="BB114" i="76"/>
  <c r="BB115" i="76"/>
  <c r="BB116" i="76"/>
  <c r="BB117" i="76"/>
  <c r="BB118" i="76"/>
  <c r="BB119" i="76"/>
  <c r="D120" i="76"/>
  <c r="BD80" i="76"/>
  <c r="E120" i="76"/>
  <c r="BB80" i="76"/>
  <c r="BB83" i="78"/>
  <c r="BC83" i="78"/>
  <c r="AH91" i="82"/>
  <c r="AH92" i="82"/>
  <c r="E8" i="82"/>
  <c r="AA94" i="82"/>
  <c r="AN105" i="76" a="1"/>
  <c r="AN105" i="76"/>
  <c r="AC99" i="76"/>
  <c r="AC98" i="76"/>
  <c r="AC97" i="76"/>
  <c r="AC95" i="76"/>
  <c r="O95" i="76"/>
  <c r="AC93" i="76"/>
  <c r="L82" i="76"/>
  <c r="L81" i="76"/>
  <c r="M81" i="76"/>
  <c r="L80" i="76"/>
  <c r="L78" i="76"/>
  <c r="L76" i="76"/>
  <c r="L75" i="76"/>
  <c r="M75" i="76"/>
  <c r="L74" i="76"/>
  <c r="AE38" i="76"/>
  <c r="AB38" i="76"/>
  <c r="C39" i="76"/>
  <c r="C40" i="76"/>
  <c r="C85" i="76"/>
  <c r="AN107" i="76"/>
  <c r="AQ54" i="76"/>
  <c r="AP53" i="76"/>
  <c r="S71" i="78"/>
  <c r="S70" i="78"/>
  <c r="S64" i="78"/>
  <c r="S69" i="78"/>
  <c r="S60" i="78"/>
  <c r="S68" i="78"/>
  <c r="S63" i="78"/>
  <c r="AN82" i="78" a="1"/>
  <c r="AN82" i="78"/>
  <c r="AN79" i="78" a="1"/>
  <c r="AN79" i="78"/>
  <c r="AS92" i="78"/>
  <c r="AS94" i="78"/>
  <c r="AS96" i="78"/>
  <c r="AS98" i="78"/>
  <c r="AS100" i="78"/>
  <c r="AS102" i="78"/>
  <c r="AS104" i="78"/>
  <c r="AS106" i="78"/>
  <c r="AS108" i="78"/>
  <c r="AS110" i="78"/>
  <c r="AS112" i="78"/>
  <c r="AS114" i="78"/>
  <c r="AS116" i="78"/>
  <c r="AS118" i="78"/>
  <c r="AS120" i="78"/>
  <c r="AS91" i="78"/>
  <c r="AS93" i="78"/>
  <c r="AS95" i="78"/>
  <c r="AS97" i="78"/>
  <c r="AS99" i="78"/>
  <c r="AS101" i="78"/>
  <c r="AS103" i="78"/>
  <c r="AS105" i="78"/>
  <c r="AS107" i="78"/>
  <c r="AS109" i="78"/>
  <c r="AS111" i="78"/>
  <c r="AS113" i="78"/>
  <c r="AS115" i="78"/>
  <c r="AS117" i="78"/>
  <c r="AS119" i="78"/>
  <c r="AS121" i="78"/>
  <c r="S71" i="80"/>
  <c r="R70" i="80"/>
  <c r="R64" i="80"/>
  <c r="S69" i="80"/>
  <c r="S60" i="80"/>
  <c r="R68" i="80"/>
  <c r="R63" i="80"/>
  <c r="AN70" i="80"/>
  <c r="S71" i="82"/>
  <c r="AS111" i="82"/>
  <c r="AS110" i="82"/>
  <c r="AS108" i="82"/>
  <c r="AS106" i="82"/>
  <c r="AS104" i="82"/>
  <c r="S68" i="82"/>
  <c r="AS99" i="82"/>
  <c r="AS98" i="82"/>
  <c r="AS97" i="82"/>
  <c r="AS95" i="82"/>
  <c r="AS93" i="82"/>
  <c r="AH95" i="82"/>
  <c r="AC93" i="82"/>
  <c r="R66" i="82"/>
  <c r="R62" i="82"/>
  <c r="R59" i="82"/>
  <c r="BB83" i="82"/>
  <c r="L83" i="82"/>
  <c r="M83" i="82"/>
  <c r="M82" i="82"/>
  <c r="L81" i="82"/>
  <c r="M81" i="82"/>
  <c r="M80" i="82"/>
  <c r="L79" i="82"/>
  <c r="M79" i="82"/>
  <c r="M78" i="82"/>
  <c r="K78" i="82"/>
  <c r="L76" i="82"/>
  <c r="L75" i="82"/>
  <c r="M75" i="82"/>
  <c r="L74" i="82"/>
  <c r="AQ54" i="82"/>
  <c r="AA54" i="82"/>
  <c r="AP53" i="82"/>
  <c r="D121" i="84"/>
  <c r="BD31" i="92"/>
  <c r="BD27" i="92"/>
  <c r="BD23" i="92"/>
  <c r="BD19" i="92"/>
  <c r="BD15" i="92"/>
  <c r="BD11" i="92"/>
  <c r="BD10" i="91"/>
  <c r="BA53" i="80"/>
  <c r="BC85" i="82"/>
  <c r="BC85" i="78"/>
  <c r="BC85" i="92"/>
  <c r="BC85" i="91"/>
  <c r="BC5" i="93"/>
  <c r="BC28" i="88"/>
  <c r="BA73" i="88"/>
  <c r="BC24" i="88"/>
  <c r="BA69" i="88"/>
  <c r="BC20" i="88"/>
  <c r="BA65" i="88"/>
  <c r="BC16" i="88"/>
  <c r="BA61" i="88"/>
  <c r="BC12" i="88"/>
  <c r="BA57" i="88"/>
  <c r="BD9" i="76"/>
  <c r="BC9" i="76"/>
  <c r="BA54" i="76"/>
  <c r="BD5" i="76"/>
  <c r="BC5" i="76"/>
  <c r="BD28" i="93"/>
  <c r="BC28" i="93"/>
  <c r="BA73" i="93"/>
  <c r="BD24" i="93"/>
  <c r="BC24" i="93"/>
  <c r="BA69" i="93"/>
  <c r="BD20" i="93"/>
  <c r="BC20" i="93"/>
  <c r="BA65" i="93"/>
  <c r="BD16" i="93"/>
  <c r="BC16" i="93"/>
  <c r="BA61" i="93"/>
  <c r="BD12" i="93"/>
  <c r="BC12" i="93"/>
  <c r="BA57" i="93"/>
  <c r="BD9" i="88"/>
  <c r="BC9" i="88"/>
  <c r="BA54" i="88"/>
  <c r="BD5" i="88"/>
  <c r="BC5" i="88"/>
  <c r="BD8" i="89"/>
  <c r="BC8" i="89"/>
  <c r="BA53" i="89"/>
  <c r="V60" i="91"/>
  <c r="V64" i="91"/>
  <c r="V71" i="91"/>
  <c r="E48" i="91"/>
  <c r="E50" i="91"/>
  <c r="F50" i="91"/>
  <c r="E54" i="91"/>
  <c r="F54" i="91"/>
  <c r="E55" i="91"/>
  <c r="F55" i="91"/>
  <c r="E56" i="91"/>
  <c r="F56" i="91"/>
  <c r="E57" i="91"/>
  <c r="F57" i="91"/>
  <c r="E59" i="91"/>
  <c r="F59" i="91"/>
  <c r="E63" i="91"/>
  <c r="F63" i="91"/>
  <c r="E72" i="91"/>
  <c r="AU57" i="91"/>
  <c r="AU58" i="91"/>
  <c r="AV58" i="91"/>
  <c r="AU59" i="91"/>
  <c r="AV59" i="91"/>
  <c r="BH6" i="76"/>
  <c r="BH8" i="92"/>
  <c r="BH6" i="88"/>
  <c r="BH20" i="93"/>
  <c r="BH16" i="93"/>
  <c r="BH12" i="93"/>
  <c r="BH19" i="92"/>
  <c r="BH15" i="92"/>
  <c r="BH11" i="92"/>
  <c r="BH14" i="91"/>
  <c r="BH10" i="91"/>
  <c r="BH13" i="88"/>
  <c r="BH16" i="89"/>
  <c r="BH12" i="89"/>
  <c r="BH24" i="76"/>
  <c r="BH24" i="93"/>
  <c r="BH24" i="92"/>
  <c r="BH24" i="91"/>
  <c r="BJ32" i="91"/>
  <c r="BJ30" i="91"/>
  <c r="BJ28" i="91"/>
  <c r="AV50" i="84"/>
  <c r="BH16" i="76"/>
  <c r="BH14" i="76"/>
  <c r="BH12" i="76"/>
  <c r="BH10" i="76"/>
  <c r="BH9" i="76"/>
  <c r="BH7" i="76"/>
  <c r="BH5" i="76"/>
  <c r="BH15" i="93"/>
  <c r="BH13" i="93"/>
  <c r="BH11" i="93"/>
  <c r="BH8" i="93"/>
  <c r="BH6" i="93"/>
  <c r="BH16" i="92"/>
  <c r="BH14" i="92"/>
  <c r="BH12" i="92"/>
  <c r="BH10" i="92"/>
  <c r="BH9" i="92"/>
  <c r="BH7" i="92"/>
  <c r="BH5" i="92"/>
  <c r="BH15" i="91"/>
  <c r="BH13" i="91"/>
  <c r="BH11" i="91"/>
  <c r="BH8" i="91"/>
  <c r="BH6" i="91"/>
  <c r="BH16" i="88"/>
  <c r="BH14" i="88"/>
  <c r="BH12" i="88"/>
  <c r="BH10" i="88"/>
  <c r="BH9" i="88"/>
  <c r="BH7" i="88"/>
  <c r="BH5" i="88"/>
  <c r="BH15" i="89"/>
  <c r="BH13" i="89"/>
  <c r="BH11" i="89"/>
  <c r="BH8" i="89"/>
  <c r="BH6" i="89"/>
  <c r="BH10" i="87"/>
  <c r="BH9" i="87"/>
  <c r="BH7" i="87"/>
  <c r="BH5" i="87"/>
  <c r="BH25" i="76"/>
  <c r="BH23" i="76"/>
  <c r="BH21" i="76"/>
  <c r="BH20" i="76"/>
  <c r="BH18" i="76"/>
  <c r="BH25" i="93"/>
  <c r="BH23" i="93"/>
  <c r="BH21" i="93"/>
  <c r="BH19" i="93"/>
  <c r="BH17" i="93"/>
  <c r="BH25" i="92"/>
  <c r="BH23" i="92"/>
  <c r="BH21" i="92"/>
  <c r="BH20" i="92"/>
  <c r="BH18" i="92"/>
  <c r="BH25" i="91"/>
  <c r="BH23" i="91"/>
  <c r="BH21" i="91"/>
  <c r="BH19" i="91"/>
  <c r="BH17" i="91"/>
  <c r="BH25" i="88"/>
  <c r="BH23" i="88"/>
  <c r="BH21" i="88"/>
  <c r="BH20" i="88"/>
  <c r="BH18" i="88"/>
  <c r="BH25" i="89"/>
  <c r="BH23" i="89"/>
  <c r="BH21" i="89"/>
  <c r="BH19" i="89"/>
  <c r="BH17" i="89"/>
  <c r="BH33" i="76"/>
  <c r="BH31" i="76"/>
  <c r="BH29" i="76"/>
  <c r="BH27" i="76"/>
  <c r="BH33" i="93"/>
  <c r="BH31" i="93"/>
  <c r="BH29" i="93"/>
  <c r="BH27" i="93"/>
  <c r="BH33" i="92"/>
  <c r="BH31" i="92"/>
  <c r="BH29" i="92"/>
  <c r="BH27" i="92"/>
  <c r="BH33" i="91"/>
  <c r="BH31" i="91"/>
  <c r="BH29" i="91"/>
  <c r="BH27" i="91"/>
  <c r="BH33" i="88"/>
  <c r="BH31" i="88"/>
  <c r="BH29" i="88"/>
  <c r="BH27" i="88"/>
  <c r="BH33" i="89"/>
  <c r="BH31" i="89"/>
  <c r="BH29" i="89"/>
  <c r="BH27" i="89"/>
  <c r="E82" i="86"/>
  <c r="AU60" i="86"/>
  <c r="AV60" i="86"/>
  <c r="F48" i="86"/>
  <c r="BA92" i="84"/>
  <c r="BA94" i="84"/>
  <c r="BA96" i="84"/>
  <c r="BA98" i="84"/>
  <c r="BA100" i="84"/>
  <c r="BA102" i="84"/>
  <c r="BA104" i="84"/>
  <c r="BA106" i="84"/>
  <c r="BA108" i="84"/>
  <c r="BA110" i="84"/>
  <c r="BA112" i="84"/>
  <c r="BA114" i="84"/>
  <c r="BA116" i="84"/>
  <c r="BA118" i="84"/>
  <c r="BA120" i="84"/>
  <c r="BA91" i="84"/>
  <c r="BA93" i="84"/>
  <c r="BA95" i="84"/>
  <c r="BA97" i="84"/>
  <c r="BA99" i="84"/>
  <c r="BA101" i="84"/>
  <c r="BA103" i="84"/>
  <c r="BA105" i="84"/>
  <c r="BA107" i="84"/>
  <c r="BA109" i="84"/>
  <c r="BA111" i="84"/>
  <c r="BA113" i="84"/>
  <c r="BA115" i="84"/>
  <c r="BA117" i="84"/>
  <c r="BA119" i="84"/>
  <c r="BA121" i="84"/>
  <c r="AN95" i="76" a="1"/>
  <c r="AN95" i="76"/>
  <c r="AT79" i="76"/>
  <c r="AN94" i="76" a="1"/>
  <c r="AN94" i="76"/>
  <c r="AT76" i="76"/>
  <c r="AT70" i="76"/>
  <c r="AT67" i="76"/>
  <c r="R71" i="78"/>
  <c r="R70" i="78"/>
  <c r="R64" i="78"/>
  <c r="R69" i="78"/>
  <c r="R60" i="78"/>
  <c r="R68" i="78"/>
  <c r="R63" i="78"/>
  <c r="R67" i="78"/>
  <c r="R71" i="80"/>
  <c r="S70" i="80"/>
  <c r="S64" i="80"/>
  <c r="R69" i="80"/>
  <c r="R60" i="80"/>
  <c r="S68" i="80"/>
  <c r="S63" i="80"/>
  <c r="R67" i="80"/>
  <c r="AS91" i="80"/>
  <c r="AS93" i="80"/>
  <c r="AS95" i="80"/>
  <c r="AS97" i="80"/>
  <c r="AS99" i="80"/>
  <c r="AS101" i="80"/>
  <c r="AS103" i="80"/>
  <c r="AS105" i="80"/>
  <c r="AS107" i="80"/>
  <c r="AS109" i="80"/>
  <c r="AS111" i="80"/>
  <c r="AS113" i="80"/>
  <c r="AS115" i="80"/>
  <c r="AS117" i="80"/>
  <c r="AS119" i="80"/>
  <c r="AS92" i="80"/>
  <c r="AS94" i="80"/>
  <c r="AS96" i="80"/>
  <c r="AS98" i="80"/>
  <c r="AS100" i="80"/>
  <c r="AS102" i="80"/>
  <c r="AS104" i="80"/>
  <c r="AS106" i="80"/>
  <c r="AS108" i="80"/>
  <c r="AS110" i="80"/>
  <c r="AS112" i="80"/>
  <c r="AS114" i="80"/>
  <c r="AS116" i="80"/>
  <c r="AS118" i="80"/>
  <c r="AS120" i="80"/>
  <c r="AS121" i="80"/>
  <c r="AN82" i="80" a="1"/>
  <c r="AN82" i="80"/>
  <c r="AN79" i="80" a="1"/>
  <c r="AN79" i="80"/>
  <c r="R71" i="82"/>
  <c r="R68" i="82"/>
  <c r="AN79" i="82" a="1"/>
  <c r="AN79" i="82"/>
  <c r="AN82" i="82" a="1"/>
  <c r="AN82" i="82"/>
  <c r="BC85" i="93"/>
  <c r="BC85" i="80"/>
  <c r="B39" i="76"/>
  <c r="B40" i="76"/>
  <c r="B86" i="76"/>
  <c r="AT38" i="76"/>
  <c r="AT40" i="76"/>
  <c r="BD7" i="76"/>
  <c r="BC7" i="76"/>
  <c r="BA52" i="76"/>
  <c r="BD30" i="93"/>
  <c r="BC30" i="93"/>
  <c r="BA75" i="93"/>
  <c r="BD26" i="93"/>
  <c r="BC26" i="93"/>
  <c r="BA71" i="93"/>
  <c r="BD22" i="93"/>
  <c r="BC22" i="93"/>
  <c r="BA67" i="93"/>
  <c r="BD18" i="93"/>
  <c r="BC18" i="93"/>
  <c r="BA63" i="93"/>
  <c r="BD14" i="93"/>
  <c r="BC14" i="93"/>
  <c r="BA59" i="93"/>
  <c r="BD7" i="88"/>
  <c r="BC7" i="88"/>
  <c r="BA52" i="88"/>
  <c r="BD10" i="89"/>
  <c r="BC10" i="89"/>
  <c r="BA55" i="89"/>
  <c r="BJ33" i="91"/>
  <c r="BJ31" i="91"/>
  <c r="BJ29" i="91"/>
  <c r="AU60" i="93"/>
  <c r="AV60" i="93"/>
  <c r="AU59" i="93"/>
  <c r="AV59" i="93"/>
  <c r="AU55" i="93"/>
  <c r="AU53" i="93"/>
  <c r="AV53" i="93"/>
  <c r="AU56" i="93"/>
  <c r="AV56" i="93"/>
  <c r="AU54" i="93"/>
  <c r="AV54" i="93"/>
  <c r="AV55" i="93"/>
  <c r="AU57" i="93"/>
  <c r="AU51" i="93"/>
  <c r="AV51" i="93"/>
  <c r="AU52" i="93"/>
  <c r="AV52" i="93"/>
  <c r="AU50" i="93"/>
  <c r="AV50" i="93"/>
  <c r="AV57" i="93"/>
  <c r="Q52" i="92"/>
  <c r="AU50" i="89"/>
  <c r="AU51" i="89"/>
  <c r="AV51" i="89"/>
  <c r="AU52" i="89"/>
  <c r="AV52" i="89"/>
  <c r="AU57" i="89"/>
  <c r="AV57" i="89"/>
  <c r="AD42" i="84"/>
  <c r="AD43" i="84"/>
  <c r="AU60" i="84"/>
  <c r="AV60" i="84"/>
  <c r="BD49" i="76"/>
  <c r="BH4" i="76"/>
  <c r="BD49" i="92"/>
  <c r="BH4" i="92"/>
  <c r="BD49" i="88"/>
  <c r="BH4" i="88"/>
  <c r="AC42" i="86"/>
  <c r="AC43" i="86"/>
  <c r="AV57" i="86"/>
  <c r="AU62" i="86"/>
  <c r="AV62" i="86"/>
  <c r="BA92" i="86"/>
  <c r="BA94" i="86"/>
  <c r="BA96" i="86"/>
  <c r="BA98" i="86"/>
  <c r="BA100" i="86"/>
  <c r="BA102" i="86"/>
  <c r="BA104" i="86"/>
  <c r="BA106" i="86"/>
  <c r="BA108" i="86"/>
  <c r="BA110" i="86"/>
  <c r="BA112" i="86"/>
  <c r="BA114" i="86"/>
  <c r="BA116" i="86"/>
  <c r="BA118" i="86"/>
  <c r="BA91" i="86"/>
  <c r="BA93" i="86"/>
  <c r="BA95" i="86"/>
  <c r="BA97" i="86"/>
  <c r="BA99" i="86"/>
  <c r="BA101" i="86"/>
  <c r="BA103" i="86"/>
  <c r="BA105" i="86"/>
  <c r="BA107" i="86"/>
  <c r="BA109" i="86"/>
  <c r="BA111" i="86"/>
  <c r="BA113" i="86"/>
  <c r="BA115" i="86"/>
  <c r="BA117" i="86"/>
  <c r="BC85" i="87"/>
  <c r="BC86" i="87"/>
  <c r="AT38" i="87"/>
  <c r="AT40" i="87"/>
  <c r="B39" i="87"/>
  <c r="B40" i="87"/>
  <c r="B86" i="87"/>
  <c r="AU59" i="89"/>
  <c r="AV59" i="89"/>
  <c r="AU58" i="89"/>
  <c r="AV58" i="89"/>
  <c r="V71" i="89"/>
  <c r="V64" i="89"/>
  <c r="V60" i="89"/>
  <c r="AU57" i="82"/>
  <c r="AV57" i="82"/>
  <c r="AU52" i="82"/>
  <c r="AU50" i="82"/>
  <c r="AV52" i="82"/>
  <c r="AU51" i="82"/>
  <c r="AV51" i="82"/>
  <c r="N86" i="87"/>
  <c r="N42" i="87"/>
  <c r="N43" i="87"/>
  <c r="E57" i="87"/>
  <c r="F57" i="87"/>
  <c r="E60" i="87"/>
  <c r="F60" i="87"/>
  <c r="E64" i="87"/>
  <c r="F64" i="87"/>
  <c r="E78" i="87"/>
  <c r="F78" i="87"/>
  <c r="N38" i="87"/>
  <c r="N46" i="87"/>
  <c r="N85" i="87"/>
  <c r="S59" i="92"/>
  <c r="S67" i="91"/>
  <c r="S59" i="88"/>
  <c r="S62" i="88"/>
  <c r="S66" i="88"/>
  <c r="S67" i="89"/>
  <c r="S71" i="87"/>
  <c r="S60" i="87"/>
  <c r="S69" i="87"/>
  <c r="AT86" i="87"/>
  <c r="AT42" i="87"/>
  <c r="BG42" i="87"/>
  <c r="AT85" i="87"/>
  <c r="AS86" i="87"/>
  <c r="AS42" i="87"/>
  <c r="BF42" i="87"/>
  <c r="AS85" i="87"/>
  <c r="AH60" i="87" a="1"/>
  <c r="AH60" i="87"/>
  <c r="AH53" i="87"/>
  <c r="AJ53" i="87"/>
  <c r="BC72" i="87"/>
  <c r="BC73" i="87"/>
  <c r="BC74" i="87"/>
  <c r="BC76" i="87"/>
  <c r="BC77" i="87"/>
  <c r="BC78" i="87"/>
  <c r="BC80" i="87"/>
  <c r="BD80" i="87"/>
  <c r="BA84" i="87"/>
  <c r="BC56" i="87"/>
  <c r="BC57" i="87"/>
  <c r="BC58" i="87"/>
  <c r="BC59" i="87"/>
  <c r="BC60" i="87"/>
  <c r="BC61" i="87"/>
  <c r="BC62" i="87"/>
  <c r="BC63" i="87"/>
  <c r="BC64" i="87"/>
  <c r="BC65" i="87"/>
  <c r="BC66" i="87"/>
  <c r="BC67" i="87"/>
  <c r="BC68" i="87"/>
  <c r="BC69" i="87"/>
  <c r="BC70" i="87"/>
  <c r="BC71" i="87"/>
  <c r="BC75" i="87"/>
  <c r="BC79" i="87"/>
  <c r="BB84" i="87"/>
  <c r="AU58" i="86"/>
  <c r="AV58" i="86"/>
  <c r="E50" i="86"/>
  <c r="F50" i="86"/>
  <c r="AE66" i="87"/>
  <c r="E58" i="87"/>
  <c r="F58" i="87"/>
  <c r="E62" i="87"/>
  <c r="F62" i="87"/>
  <c r="E56" i="87"/>
  <c r="F56" i="87"/>
  <c r="E65" i="87"/>
  <c r="F65" i="87"/>
  <c r="E66" i="87"/>
  <c r="F66" i="87"/>
  <c r="E75" i="87"/>
  <c r="F75" i="87"/>
  <c r="AU51" i="87"/>
  <c r="AU54" i="87"/>
  <c r="AV54" i="87"/>
  <c r="I38" i="87"/>
  <c r="I85" i="87"/>
  <c r="N59" i="87"/>
  <c r="S59" i="87"/>
  <c r="N62" i="87"/>
  <c r="S62" i="87"/>
  <c r="AV11" i="87"/>
  <c r="S98" i="87"/>
  <c r="AV12" i="87"/>
  <c r="S99" i="87"/>
  <c r="AV13" i="87"/>
  <c r="S100" i="87"/>
  <c r="AV14" i="87"/>
  <c r="S101" i="87"/>
  <c r="AV15" i="87"/>
  <c r="S102" i="87"/>
  <c r="AV16" i="87"/>
  <c r="S103" i="87"/>
  <c r="AV17" i="87"/>
  <c r="S104" i="87"/>
  <c r="AV18" i="87"/>
  <c r="S105" i="87"/>
  <c r="AV19" i="87"/>
  <c r="S106" i="87"/>
  <c r="AV20" i="87"/>
  <c r="S107" i="87"/>
  <c r="AV21" i="87"/>
  <c r="S108" i="87"/>
  <c r="AV22" i="87"/>
  <c r="S109" i="87"/>
  <c r="AV23" i="87"/>
  <c r="S110" i="87"/>
  <c r="AV24" i="87"/>
  <c r="S111" i="87"/>
  <c r="AV25" i="87"/>
  <c r="S112" i="87"/>
  <c r="AV26" i="87"/>
  <c r="S113" i="87"/>
  <c r="AV27" i="87"/>
  <c r="S114" i="87"/>
  <c r="AV28" i="87"/>
  <c r="S115" i="87"/>
  <c r="AV29" i="87"/>
  <c r="S116" i="87"/>
  <c r="AV30" i="87"/>
  <c r="S117" i="87"/>
  <c r="AV31" i="87"/>
  <c r="S118" i="87"/>
  <c r="AV32" i="87"/>
  <c r="S119" i="87"/>
  <c r="AV33" i="87"/>
  <c r="S120" i="87"/>
  <c r="AV34" i="87"/>
  <c r="S121" i="87"/>
  <c r="I86" i="87"/>
  <c r="I43" i="87"/>
  <c r="AW91" i="87"/>
  <c r="BD49" i="86"/>
  <c r="BF43" i="86"/>
  <c r="BH34" i="84"/>
  <c r="BD78" i="84"/>
  <c r="BH32" i="84"/>
  <c r="BD76" i="84"/>
  <c r="BH30" i="84"/>
  <c r="BD74" i="84"/>
  <c r="BH28" i="84"/>
  <c r="BD72" i="84"/>
  <c r="BH26" i="84"/>
  <c r="BD70" i="84"/>
  <c r="BH24" i="84"/>
  <c r="BD68" i="84"/>
  <c r="BH22" i="84"/>
  <c r="BD66" i="84"/>
  <c r="BH20" i="84"/>
  <c r="BD64" i="84"/>
  <c r="BH18" i="84"/>
  <c r="BD62" i="84"/>
  <c r="BH16" i="84"/>
  <c r="BD60" i="84"/>
  <c r="BH14" i="84"/>
  <c r="BD58" i="84"/>
  <c r="BH12" i="84"/>
  <c r="BD56" i="84"/>
  <c r="BH10" i="84"/>
  <c r="BD54" i="84"/>
  <c r="BH8" i="84"/>
  <c r="BD52" i="84"/>
  <c r="BH6" i="84"/>
  <c r="BD50" i="84"/>
  <c r="BH4" i="84"/>
  <c r="BG43" i="84"/>
  <c r="AD70" i="82"/>
  <c r="AD68" i="82"/>
  <c r="AD66" i="82"/>
  <c r="AD63" i="82"/>
  <c r="AD60" i="82"/>
  <c r="AD71" i="76"/>
  <c r="S71" i="76"/>
  <c r="AD70" i="76"/>
  <c r="S70" i="76"/>
  <c r="AD69" i="76"/>
  <c r="S69" i="76"/>
  <c r="AD68" i="76"/>
  <c r="S68" i="76"/>
  <c r="AD67" i="76"/>
  <c r="S67" i="76"/>
  <c r="AD66" i="76"/>
  <c r="S66" i="76"/>
  <c r="AD64" i="76"/>
  <c r="S64" i="76"/>
  <c r="AD63" i="76"/>
  <c r="S63" i="76"/>
  <c r="AD62" i="76"/>
  <c r="S62" i="76"/>
  <c r="AD60" i="76"/>
  <c r="S60" i="76"/>
  <c r="AD71" i="93"/>
  <c r="S70" i="93"/>
  <c r="AD69" i="93"/>
  <c r="S68" i="93"/>
  <c r="AD67" i="93"/>
  <c r="S66" i="93"/>
  <c r="AD64" i="93"/>
  <c r="S63" i="93"/>
  <c r="AD62" i="93"/>
  <c r="S60" i="93"/>
  <c r="AD59" i="93"/>
  <c r="R71" i="92"/>
  <c r="R70" i="92"/>
  <c r="R69" i="92"/>
  <c r="R68" i="92"/>
  <c r="R67" i="92"/>
  <c r="R66" i="92"/>
  <c r="R64" i="92"/>
  <c r="R63" i="92"/>
  <c r="R62" i="92"/>
  <c r="R60" i="92"/>
  <c r="R63" i="87"/>
  <c r="BH33" i="87"/>
  <c r="BD78" i="87"/>
  <c r="BH31" i="87"/>
  <c r="BD76" i="87"/>
  <c r="BH29" i="87"/>
  <c r="BD74" i="87"/>
  <c r="BH27" i="87"/>
  <c r="BD72" i="87"/>
  <c r="BD70" i="87"/>
  <c r="BH25" i="87"/>
  <c r="BD68" i="87"/>
  <c r="BH23" i="87"/>
  <c r="BD66" i="87"/>
  <c r="BH21" i="87"/>
  <c r="BD64" i="87"/>
  <c r="BH19" i="87"/>
  <c r="BD62" i="87"/>
  <c r="BH17" i="87"/>
  <c r="BD60" i="87"/>
  <c r="BH15" i="87"/>
  <c r="BD58" i="87"/>
  <c r="BH13" i="87"/>
  <c r="BD56" i="87"/>
  <c r="BH11" i="87"/>
  <c r="AV57" i="91"/>
  <c r="AU52" i="91"/>
  <c r="AV52" i="91"/>
  <c r="AU51" i="91"/>
  <c r="AV57" i="88"/>
  <c r="AU52" i="88"/>
  <c r="AV52" i="88"/>
  <c r="AU51" i="88"/>
  <c r="E72" i="89"/>
  <c r="E63" i="89"/>
  <c r="F63" i="89"/>
  <c r="E59" i="89"/>
  <c r="F59" i="89"/>
  <c r="E57" i="89"/>
  <c r="F57" i="89"/>
  <c r="E56" i="89"/>
  <c r="F56" i="89"/>
  <c r="E55" i="89"/>
  <c r="F55" i="89"/>
  <c r="E54" i="89"/>
  <c r="F54" i="89"/>
  <c r="E50" i="89"/>
  <c r="AE86" i="87"/>
  <c r="AE85" i="87"/>
  <c r="AU59" i="82"/>
  <c r="AV59" i="82"/>
  <c r="AU55" i="82"/>
  <c r="AV55" i="82"/>
  <c r="AU56" i="82"/>
  <c r="AV56" i="82"/>
  <c r="AU54" i="82"/>
  <c r="AV54" i="82"/>
  <c r="AD38" i="82"/>
  <c r="AD40" i="82"/>
  <c r="AV57" i="84"/>
  <c r="AV51" i="84"/>
  <c r="AU52" i="84"/>
  <c r="AV52" i="84"/>
  <c r="AN98" i="84"/>
  <c r="E83" i="84"/>
  <c r="AE43" i="84"/>
  <c r="AC43" i="84"/>
  <c r="AA43" i="84"/>
  <c r="R43" i="84"/>
  <c r="E64" i="84"/>
  <c r="F64" i="84"/>
  <c r="E60" i="84"/>
  <c r="F60" i="84"/>
  <c r="E58" i="84"/>
  <c r="F58" i="84"/>
  <c r="E56" i="84"/>
  <c r="F56" i="84"/>
  <c r="E54" i="84"/>
  <c r="AN97" i="84"/>
  <c r="AX34" i="84"/>
  <c r="AD121" i="84"/>
  <c r="AX32" i="84"/>
  <c r="AD119" i="84"/>
  <c r="AX30" i="84"/>
  <c r="AD117" i="84"/>
  <c r="AX28" i="84"/>
  <c r="AD115" i="84"/>
  <c r="AX26" i="84"/>
  <c r="AD113" i="84"/>
  <c r="AX24" i="84"/>
  <c r="AD111" i="84"/>
  <c r="AX22" i="84"/>
  <c r="AD109" i="84"/>
  <c r="AX20" i="84"/>
  <c r="AD107" i="84"/>
  <c r="AX18" i="84"/>
  <c r="AD105" i="84"/>
  <c r="AX16" i="84"/>
  <c r="AD103" i="84"/>
  <c r="AX14" i="84"/>
  <c r="AD101" i="84"/>
  <c r="AX12" i="84"/>
  <c r="AD99" i="84"/>
  <c r="AX10" i="84"/>
  <c r="AD97" i="84"/>
  <c r="AX8" i="84"/>
  <c r="AJ85" i="84"/>
  <c r="AJ42" i="84"/>
  <c r="AJ85" i="87"/>
  <c r="AJ38" i="87"/>
  <c r="AJ46" i="87"/>
  <c r="AJ86" i="87"/>
  <c r="AJ42" i="87"/>
  <c r="AJ43" i="87"/>
  <c r="S85" i="87"/>
  <c r="S38" i="87"/>
  <c r="S46" i="87"/>
  <c r="S86" i="87"/>
  <c r="S42" i="87"/>
  <c r="S43" i="87"/>
  <c r="E63" i="87"/>
  <c r="F63" i="87"/>
  <c r="E54" i="87"/>
  <c r="F54" i="87"/>
  <c r="E55" i="87"/>
  <c r="F55" i="87"/>
  <c r="E59" i="87"/>
  <c r="F59" i="87"/>
  <c r="E72" i="87"/>
  <c r="AU57" i="87"/>
  <c r="AU58" i="87"/>
  <c r="AV58" i="87"/>
  <c r="AU59" i="87"/>
  <c r="AV59" i="87"/>
  <c r="E48" i="87"/>
  <c r="E50" i="87"/>
  <c r="F50" i="87"/>
  <c r="AX10" i="87"/>
  <c r="AD97" i="87"/>
  <c r="AX12" i="87"/>
  <c r="AD99" i="87"/>
  <c r="AX14" i="87"/>
  <c r="AD101" i="87"/>
  <c r="AX16" i="87"/>
  <c r="AD103" i="87"/>
  <c r="AX18" i="87"/>
  <c r="AD105" i="87"/>
  <c r="AX20" i="87"/>
  <c r="AD107" i="87"/>
  <c r="AX22" i="87"/>
  <c r="AD109" i="87"/>
  <c r="AX24" i="87"/>
  <c r="AD111" i="87"/>
  <c r="AX26" i="87"/>
  <c r="AD113" i="87"/>
  <c r="AX28" i="87"/>
  <c r="AD115" i="87"/>
  <c r="AX30" i="87"/>
  <c r="AD117" i="87"/>
  <c r="AX32" i="87"/>
  <c r="AD119" i="87"/>
  <c r="AX34" i="87"/>
  <c r="AD121" i="87"/>
  <c r="R86" i="87"/>
  <c r="R42" i="87"/>
  <c r="R43" i="87"/>
  <c r="V59" i="87"/>
  <c r="AX11" i="87"/>
  <c r="AD98" i="87"/>
  <c r="AX13" i="87"/>
  <c r="AD100" i="87"/>
  <c r="AX15" i="87"/>
  <c r="AD102" i="87"/>
  <c r="AX17" i="87"/>
  <c r="AD104" i="87"/>
  <c r="AX19" i="87"/>
  <c r="AD106" i="87"/>
  <c r="AX21" i="87"/>
  <c r="AD108" i="87"/>
  <c r="AX23" i="87"/>
  <c r="AD110" i="87"/>
  <c r="AX25" i="87"/>
  <c r="AD112" i="87"/>
  <c r="AX27" i="87"/>
  <c r="AD114" i="87"/>
  <c r="AX29" i="87"/>
  <c r="AD116" i="87"/>
  <c r="AX31" i="87"/>
  <c r="AD118" i="87"/>
  <c r="AX33" i="87"/>
  <c r="AD120" i="87"/>
  <c r="R85" i="87"/>
  <c r="V62" i="87"/>
  <c r="S66" i="82"/>
  <c r="S62" i="82"/>
  <c r="S59" i="82"/>
  <c r="N49" i="82"/>
  <c r="S67" i="80"/>
  <c r="N49" i="80"/>
  <c r="S67" i="78"/>
  <c r="N49" i="78"/>
  <c r="N49" i="76"/>
  <c r="S59" i="76"/>
  <c r="S67" i="93"/>
  <c r="S59" i="93"/>
  <c r="S62" i="93"/>
  <c r="S59" i="91"/>
  <c r="S62" i="91"/>
  <c r="S66" i="91"/>
  <c r="S67" i="88"/>
  <c r="S59" i="89"/>
  <c r="S62" i="89"/>
  <c r="S66" i="89"/>
  <c r="S64" i="87"/>
  <c r="S70" i="87"/>
  <c r="AS43" i="87"/>
  <c r="BG4" i="87"/>
  <c r="BG8" i="87"/>
  <c r="BF8" i="87"/>
  <c r="AT43" i="86"/>
  <c r="AH60" i="93" a="1"/>
  <c r="AH60" i="93"/>
  <c r="AB66" i="87"/>
  <c r="AA66" i="87"/>
  <c r="BH30" i="86"/>
  <c r="BD74" i="86"/>
  <c r="BH28" i="86"/>
  <c r="BD72" i="86"/>
  <c r="BH26" i="86"/>
  <c r="BD70" i="86"/>
  <c r="BH24" i="86"/>
  <c r="BD68" i="86"/>
  <c r="BH22" i="86"/>
  <c r="BD66" i="86"/>
  <c r="BH20" i="86"/>
  <c r="BD64" i="86"/>
  <c r="BH18" i="86"/>
  <c r="BD62" i="86"/>
  <c r="BH16" i="86"/>
  <c r="BD60" i="86"/>
  <c r="BH14" i="86"/>
  <c r="BD58" i="86"/>
  <c r="BH12" i="86"/>
  <c r="BD56" i="86"/>
  <c r="BH10" i="86"/>
  <c r="BD54" i="86"/>
  <c r="BH8" i="86"/>
  <c r="BH6" i="86"/>
  <c r="BD50" i="86"/>
  <c r="BG43" i="86"/>
  <c r="BH4" i="86"/>
  <c r="BD49" i="84"/>
  <c r="BF43" i="84"/>
  <c r="AD71" i="82"/>
  <c r="AD69" i="82"/>
  <c r="AD67" i="82"/>
  <c r="AD64" i="82"/>
  <c r="AD62" i="82"/>
  <c r="AD59" i="82"/>
  <c r="R71" i="76"/>
  <c r="R70" i="76"/>
  <c r="R69" i="76"/>
  <c r="R68" i="76"/>
  <c r="R67" i="76"/>
  <c r="R66" i="76"/>
  <c r="R64" i="76"/>
  <c r="R63" i="76"/>
  <c r="R62" i="76"/>
  <c r="R60" i="76"/>
  <c r="R70" i="93"/>
  <c r="R68" i="93"/>
  <c r="R66" i="93"/>
  <c r="R63" i="93"/>
  <c r="R60" i="93"/>
  <c r="AD71" i="92"/>
  <c r="S71" i="92"/>
  <c r="AD70" i="92"/>
  <c r="S70" i="92"/>
  <c r="AD69" i="92"/>
  <c r="S69" i="92"/>
  <c r="AD68" i="92"/>
  <c r="S68" i="92"/>
  <c r="AD67" i="92"/>
  <c r="S67" i="92"/>
  <c r="AD66" i="92"/>
  <c r="S66" i="92"/>
  <c r="AD64" i="92"/>
  <c r="S64" i="92"/>
  <c r="AD63" i="92"/>
  <c r="S63" i="92"/>
  <c r="AD62" i="92"/>
  <c r="S62" i="92"/>
  <c r="AD60" i="92"/>
  <c r="S60" i="92"/>
  <c r="S63" i="87"/>
  <c r="AY82" i="87"/>
  <c r="H46" i="87"/>
  <c r="BD79" i="87"/>
  <c r="BH34" i="87"/>
  <c r="BH32" i="87"/>
  <c r="BD77" i="87"/>
  <c r="BD75" i="87"/>
  <c r="BH30" i="87"/>
  <c r="BH28" i="87"/>
  <c r="BD73" i="87"/>
  <c r="BD71" i="87"/>
  <c r="BH26" i="87"/>
  <c r="BD69" i="87"/>
  <c r="BH24" i="87"/>
  <c r="BD67" i="87"/>
  <c r="BH22" i="87"/>
  <c r="BD65" i="87"/>
  <c r="BH20" i="87"/>
  <c r="BD63" i="87"/>
  <c r="BH18" i="87"/>
  <c r="BD61" i="87"/>
  <c r="BH16" i="87"/>
  <c r="BD59" i="87"/>
  <c r="BH14" i="87"/>
  <c r="BD57" i="87"/>
  <c r="BH12" i="87"/>
  <c r="BD4" i="87"/>
  <c r="AD71" i="80"/>
  <c r="AD69" i="80"/>
  <c r="AD67" i="80"/>
  <c r="AD64" i="80"/>
  <c r="AD62" i="80"/>
  <c r="AD59" i="80"/>
  <c r="AD71" i="78"/>
  <c r="AD69" i="78"/>
  <c r="AD67" i="78"/>
  <c r="AD64" i="78"/>
  <c r="AD62" i="78"/>
  <c r="AD59" i="78"/>
  <c r="AS105" i="87"/>
  <c r="AS103" i="87"/>
  <c r="AS101" i="87"/>
  <c r="AS99" i="87"/>
  <c r="AS97" i="87"/>
  <c r="AD67" i="87"/>
  <c r="AS95" i="87"/>
  <c r="AS93" i="87"/>
  <c r="BA86" i="87"/>
  <c r="BA85" i="87"/>
  <c r="R68" i="87"/>
  <c r="R59" i="87"/>
  <c r="AH92" i="84"/>
  <c r="AH91" i="84"/>
  <c r="E7" i="84"/>
  <c r="AA93" i="84"/>
  <c r="AH50" i="84"/>
  <c r="AJ50" i="84"/>
  <c r="AH57" i="84" a="1"/>
  <c r="AH57" i="84"/>
  <c r="AT70" i="91"/>
  <c r="AT67" i="91"/>
  <c r="AT82" i="89"/>
  <c r="AA46" i="89"/>
  <c r="AH60" i="86" a="1"/>
  <c r="AH60" i="86"/>
  <c r="AH53" i="86"/>
  <c r="AJ53" i="86"/>
  <c r="AP50" i="86"/>
  <c r="N49" i="88"/>
  <c r="N49" i="89"/>
  <c r="AD70" i="80"/>
  <c r="AD68" i="80"/>
  <c r="AD66" i="80"/>
  <c r="AD63" i="80"/>
  <c r="AD60" i="80"/>
  <c r="R66" i="80"/>
  <c r="R62" i="80"/>
  <c r="R59" i="80"/>
  <c r="AD70" i="78"/>
  <c r="AD68" i="78"/>
  <c r="AD66" i="78"/>
  <c r="AD63" i="78"/>
  <c r="AD60" i="78"/>
  <c r="R66" i="78"/>
  <c r="R62" i="78"/>
  <c r="R59" i="78"/>
  <c r="BB86" i="87"/>
  <c r="BB85" i="87"/>
  <c r="S68" i="87"/>
  <c r="R62" i="87"/>
  <c r="AU60" i="87"/>
  <c r="AN96" i="87"/>
  <c r="BJ4" i="84"/>
  <c r="E8" i="86"/>
  <c r="AA94" i="86"/>
  <c r="AA46" i="76"/>
  <c r="AT82" i="76"/>
  <c r="AT82" i="92"/>
  <c r="AA46" i="92"/>
  <c r="G72" i="87"/>
  <c r="AP50" i="87"/>
  <c r="AT82" i="86"/>
  <c r="AT73" i="86"/>
  <c r="AP50" i="84"/>
  <c r="N49" i="93"/>
  <c r="N49" i="91"/>
  <c r="C43" i="89"/>
  <c r="AV50" i="87"/>
  <c r="AV51" i="87"/>
  <c r="AV57" i="87"/>
  <c r="AH115" i="86"/>
  <c r="BJ28" i="86"/>
  <c r="AH110" i="86"/>
  <c r="AH109" i="86"/>
  <c r="BJ22" i="86"/>
  <c r="AH108" i="86"/>
  <c r="AH107" i="86"/>
  <c r="BJ20" i="86"/>
  <c r="AH106" i="86"/>
  <c r="AH105" i="86"/>
  <c r="BJ18" i="86"/>
  <c r="AH104" i="86"/>
  <c r="AH103" i="86"/>
  <c r="BJ16" i="86"/>
  <c r="AH102" i="86"/>
  <c r="AH101" i="86"/>
  <c r="BJ14" i="86"/>
  <c r="AH100" i="86"/>
  <c r="AH99" i="86"/>
  <c r="BJ12" i="86"/>
  <c r="AH98" i="86"/>
  <c r="AH97" i="86"/>
  <c r="BJ10" i="86"/>
  <c r="AH96" i="86"/>
  <c r="AN95" i="93" a="1"/>
  <c r="AN95" i="93"/>
  <c r="AT79" i="93"/>
  <c r="AN94" i="93" a="1"/>
  <c r="AN94" i="93"/>
  <c r="AT76" i="93"/>
  <c r="AN92" i="93" a="1"/>
  <c r="AN92" i="93"/>
  <c r="AN60" i="93" a="1"/>
  <c r="AN60" i="93"/>
  <c r="AU59" i="76"/>
  <c r="AV59" i="76"/>
  <c r="AU58" i="76"/>
  <c r="AV58" i="76"/>
  <c r="AP50" i="89"/>
  <c r="O4" i="91"/>
  <c r="B39" i="91"/>
  <c r="B40" i="91"/>
  <c r="AC33" i="91"/>
  <c r="AC31" i="91"/>
  <c r="AC28" i="91"/>
  <c r="AC27" i="91"/>
  <c r="AC26" i="91"/>
  <c r="AC25" i="91"/>
  <c r="AC23" i="91"/>
  <c r="AC22" i="91"/>
  <c r="AC21" i="91"/>
  <c r="AC20" i="91"/>
  <c r="AC19" i="91"/>
  <c r="AC15" i="91"/>
  <c r="AC8" i="91"/>
  <c r="AU57" i="76"/>
  <c r="AN92" i="76" a="1"/>
  <c r="AN92" i="76"/>
  <c r="AH60" i="76" a="1"/>
  <c r="AH60" i="76"/>
  <c r="AH75" i="76" a="1"/>
  <c r="AH75" i="76"/>
  <c r="AN82" i="76" a="1"/>
  <c r="AN82" i="76"/>
  <c r="B43" i="93"/>
  <c r="AU51" i="78"/>
  <c r="AV51" i="78"/>
  <c r="AU57" i="78"/>
  <c r="AU52" i="78"/>
  <c r="AV52" i="78"/>
  <c r="AU50" i="78"/>
  <c r="AV50" i="78"/>
  <c r="AV57" i="78"/>
  <c r="AS101" i="84"/>
  <c r="AS100" i="84"/>
  <c r="AS99" i="84"/>
  <c r="AS98" i="84"/>
  <c r="AS97" i="84"/>
  <c r="AS96" i="84"/>
  <c r="AD67" i="84"/>
  <c r="AS95" i="84"/>
  <c r="AS93" i="84"/>
  <c r="AT70" i="93"/>
  <c r="AT67" i="93"/>
  <c r="AN48" i="93"/>
  <c r="S66" i="80"/>
  <c r="S62" i="80"/>
  <c r="S59" i="80"/>
  <c r="S66" i="78"/>
  <c r="S62" i="78"/>
  <c r="S59" i="78"/>
  <c r="L49" i="93"/>
  <c r="M49" i="93" s="1"/>
  <c r="K49" i="89"/>
  <c r="M49" i="89" s="1"/>
  <c r="AC32" i="87"/>
  <c r="AC38" i="87"/>
  <c r="AC33" i="87"/>
  <c r="J9" i="91"/>
  <c r="C43" i="91"/>
  <c r="C39" i="91"/>
  <c r="C40" i="91"/>
  <c r="AC9" i="91"/>
  <c r="AC11" i="91"/>
  <c r="AC13" i="91"/>
  <c r="AN40" i="92"/>
  <c r="AA38" i="92"/>
  <c r="AE40" i="92"/>
  <c r="AB38" i="92"/>
  <c r="AA93" i="80"/>
  <c r="E7" i="80"/>
  <c r="AB38" i="78"/>
  <c r="AN40" i="78"/>
  <c r="AA38" i="78"/>
  <c r="AE40" i="78"/>
  <c r="AC38" i="78"/>
  <c r="I38" i="92"/>
  <c r="I86" i="92"/>
  <c r="I42" i="92"/>
  <c r="BC42" i="92"/>
  <c r="AB42" i="92"/>
  <c r="AC22" i="92"/>
  <c r="AC20" i="92"/>
  <c r="AC86" i="92"/>
  <c r="AC10" i="92"/>
  <c r="AC38" i="92"/>
  <c r="AU51" i="76"/>
  <c r="AA121" i="93"/>
  <c r="AC121" i="93"/>
  <c r="AA120" i="93"/>
  <c r="AC120" i="93"/>
  <c r="AA119" i="93"/>
  <c r="AC119" i="93"/>
  <c r="AA118" i="93"/>
  <c r="AC118" i="93"/>
  <c r="AA117" i="93"/>
  <c r="AC117" i="93"/>
  <c r="AA116" i="93"/>
  <c r="AC116" i="93"/>
  <c r="AA115" i="93"/>
  <c r="AC115" i="93"/>
  <c r="AA114" i="93"/>
  <c r="AC114" i="93"/>
  <c r="AA113" i="93"/>
  <c r="AC113" i="93"/>
  <c r="AA112" i="93"/>
  <c r="AC112" i="93"/>
  <c r="AA111" i="93"/>
  <c r="AC111" i="93"/>
  <c r="AA110" i="93"/>
  <c r="AC110" i="93"/>
  <c r="AA109" i="93"/>
  <c r="AC109" i="93"/>
  <c r="AA108" i="93"/>
  <c r="AC108" i="93"/>
  <c r="AA107" i="93"/>
  <c r="AC107" i="93"/>
  <c r="AA106" i="93"/>
  <c r="AC106" i="93"/>
  <c r="AA105" i="93"/>
  <c r="AC105" i="93"/>
  <c r="AA104" i="93"/>
  <c r="AC104" i="93"/>
  <c r="AA103" i="93"/>
  <c r="AC103" i="93"/>
  <c r="AA102" i="93"/>
  <c r="AC102" i="93"/>
  <c r="AA101" i="93"/>
  <c r="AC101" i="93"/>
  <c r="AA100" i="93"/>
  <c r="AC100" i="93"/>
  <c r="AA99" i="93"/>
  <c r="AC99" i="93"/>
  <c r="AA98" i="93"/>
  <c r="AC98" i="93"/>
  <c r="AA97" i="93"/>
  <c r="AC97" i="93"/>
  <c r="AA96" i="93"/>
  <c r="AC96" i="93"/>
  <c r="AA95" i="93"/>
  <c r="AC95" i="93"/>
  <c r="AA94" i="93"/>
  <c r="AC94" i="93"/>
  <c r="AA93" i="93"/>
  <c r="AC93" i="93"/>
  <c r="AA92" i="93"/>
  <c r="AC92" i="93"/>
  <c r="AN60" i="76" a="1"/>
  <c r="AN60" i="76"/>
  <c r="B39" i="93"/>
  <c r="B40" i="93"/>
  <c r="E7" i="78"/>
  <c r="AX9" i="78"/>
  <c r="AD96" i="78"/>
  <c r="AX10" i="78"/>
  <c r="AD97" i="78"/>
  <c r="AX11" i="78"/>
  <c r="AD98" i="78"/>
  <c r="AX12" i="78"/>
  <c r="AD99" i="78"/>
  <c r="AX14" i="78"/>
  <c r="AD101" i="78"/>
  <c r="AX17" i="78"/>
  <c r="AD104" i="78"/>
  <c r="AX18" i="78"/>
  <c r="AD105" i="78"/>
  <c r="AX19" i="78"/>
  <c r="AD106" i="78"/>
  <c r="AX20" i="78"/>
  <c r="AD107" i="78"/>
  <c r="AX23" i="78"/>
  <c r="AD110" i="78"/>
  <c r="AX24" i="78"/>
  <c r="AD111" i="78"/>
  <c r="AX25" i="78"/>
  <c r="AD112" i="78"/>
  <c r="AX26" i="78"/>
  <c r="AD113" i="78"/>
  <c r="R85" i="78"/>
  <c r="AU58" i="78"/>
  <c r="AV58" i="78"/>
  <c r="E63" i="78"/>
  <c r="F63" i="78"/>
  <c r="E59" i="78"/>
  <c r="F59" i="78"/>
  <c r="E57" i="78"/>
  <c r="F57" i="78"/>
  <c r="E55" i="78"/>
  <c r="F55" i="78"/>
  <c r="AX7" i="78"/>
  <c r="AD94" i="78"/>
  <c r="AX8" i="78"/>
  <c r="AX13" i="78"/>
  <c r="AD100" i="78"/>
  <c r="AX15" i="78"/>
  <c r="AD102" i="78"/>
  <c r="AX16" i="78"/>
  <c r="AD103" i="78"/>
  <c r="AX21" i="78"/>
  <c r="AD108" i="78"/>
  <c r="AX22" i="78"/>
  <c r="AD109" i="78"/>
  <c r="AX27" i="78"/>
  <c r="AD114" i="78"/>
  <c r="AX28" i="78"/>
  <c r="AD115" i="78"/>
  <c r="AX29" i="78"/>
  <c r="AD116" i="78"/>
  <c r="AX30" i="78"/>
  <c r="AD117" i="78"/>
  <c r="AX31" i="78"/>
  <c r="AD118" i="78"/>
  <c r="AX32" i="78"/>
  <c r="AD119" i="78"/>
  <c r="AX33" i="78"/>
  <c r="AD120" i="78"/>
  <c r="AX34" i="78"/>
  <c r="AD121" i="78"/>
  <c r="R43" i="78"/>
  <c r="R86" i="78"/>
  <c r="R42" i="78"/>
  <c r="E72" i="78"/>
  <c r="E56" i="78"/>
  <c r="F56" i="78"/>
  <c r="E54" i="78"/>
  <c r="F54" i="78"/>
  <c r="E50" i="78"/>
  <c r="F50" i="78"/>
  <c r="E48" i="78"/>
  <c r="AT38" i="80"/>
  <c r="AT40" i="80"/>
  <c r="B39" i="80"/>
  <c r="B40" i="80"/>
  <c r="B86" i="80"/>
  <c r="AU59" i="80"/>
  <c r="AU55" i="80"/>
  <c r="AV55" i="80"/>
  <c r="AV59" i="80"/>
  <c r="AD38" i="80"/>
  <c r="AD40" i="80"/>
  <c r="AU56" i="80"/>
  <c r="AV56" i="80"/>
  <c r="AU54" i="80"/>
  <c r="AV54" i="80"/>
  <c r="V70" i="80"/>
  <c r="V64" i="80"/>
  <c r="V60" i="80"/>
  <c r="AX6" i="80"/>
  <c r="AX8" i="80"/>
  <c r="AX11" i="80"/>
  <c r="AD98" i="80"/>
  <c r="AX13" i="80"/>
  <c r="AD100" i="80"/>
  <c r="AX14" i="80"/>
  <c r="AD101" i="80"/>
  <c r="AX15" i="80"/>
  <c r="AD102" i="80"/>
  <c r="AX7" i="80"/>
  <c r="AD94" i="80"/>
  <c r="AX9" i="80"/>
  <c r="AD96" i="80"/>
  <c r="AX10" i="80"/>
  <c r="AD97" i="80"/>
  <c r="AX12" i="80"/>
  <c r="AD99" i="80"/>
  <c r="AX16" i="80"/>
  <c r="AD103" i="80"/>
  <c r="AX17" i="80"/>
  <c r="AD104" i="80"/>
  <c r="AX18" i="80"/>
  <c r="AD105" i="80"/>
  <c r="AX19" i="80"/>
  <c r="AD106" i="80"/>
  <c r="AX20" i="80"/>
  <c r="AD107" i="80"/>
  <c r="AX21" i="80"/>
  <c r="AD108" i="80"/>
  <c r="AX22" i="80"/>
  <c r="AD109" i="80"/>
  <c r="AX23" i="80"/>
  <c r="AD110" i="80"/>
  <c r="R86" i="80"/>
  <c r="E72" i="80"/>
  <c r="E56" i="80"/>
  <c r="F56" i="80"/>
  <c r="E54" i="80"/>
  <c r="F54" i="80"/>
  <c r="E50" i="80"/>
  <c r="F50" i="80"/>
  <c r="E48" i="80"/>
  <c r="AX24" i="80"/>
  <c r="AD111" i="80"/>
  <c r="AX25" i="80"/>
  <c r="AD112" i="80"/>
  <c r="AX26" i="80"/>
  <c r="AD113" i="80"/>
  <c r="AX27" i="80"/>
  <c r="AD114" i="80"/>
  <c r="AX28" i="80"/>
  <c r="AD115" i="80"/>
  <c r="AX29" i="80"/>
  <c r="AD116" i="80"/>
  <c r="AX30" i="80"/>
  <c r="AD117" i="80"/>
  <c r="AX31" i="80"/>
  <c r="AD118" i="80"/>
  <c r="AX32" i="80"/>
  <c r="AD119" i="80"/>
  <c r="AX33" i="80"/>
  <c r="AD120" i="80"/>
  <c r="R43" i="80"/>
  <c r="R85" i="80"/>
  <c r="AU58" i="80"/>
  <c r="AV58" i="80"/>
  <c r="E63" i="80"/>
  <c r="F63" i="80"/>
  <c r="E59" i="80"/>
  <c r="F59" i="80"/>
  <c r="E57" i="80"/>
  <c r="F57" i="80"/>
  <c r="E55" i="80"/>
  <c r="F55" i="80"/>
  <c r="V66" i="80"/>
  <c r="V62" i="80"/>
  <c r="V59" i="80"/>
  <c r="S43" i="82"/>
  <c r="S85" i="82"/>
  <c r="S86" i="82"/>
  <c r="S42" i="82"/>
  <c r="S38" i="82"/>
  <c r="S46" i="82"/>
  <c r="V68" i="82"/>
  <c r="V63" i="82"/>
  <c r="V59" i="78"/>
  <c r="V60" i="78"/>
  <c r="V62" i="78"/>
  <c r="V63" i="78"/>
  <c r="V64" i="78"/>
  <c r="V66" i="78"/>
  <c r="AN48" i="78"/>
  <c r="AC43" i="78"/>
  <c r="AC42" i="78"/>
  <c r="AD43" i="78"/>
  <c r="AD42" i="78"/>
  <c r="R60" i="82"/>
  <c r="S63" i="82"/>
  <c r="AU56" i="78"/>
  <c r="AV56" i="78"/>
  <c r="AU54" i="78"/>
  <c r="AV54" i="78"/>
  <c r="AU59" i="78"/>
  <c r="AU55" i="78"/>
  <c r="AV55" i="78"/>
  <c r="AV59" i="78"/>
  <c r="S43" i="78"/>
  <c r="S86" i="78"/>
  <c r="S42" i="78"/>
  <c r="S85" i="78"/>
  <c r="AA92" i="80"/>
  <c r="C39" i="80"/>
  <c r="C40" i="80"/>
  <c r="C85" i="80"/>
  <c r="AN107" i="80"/>
  <c r="AU57" i="80"/>
  <c r="AU52" i="80"/>
  <c r="AV52" i="80"/>
  <c r="AU50" i="80"/>
  <c r="AV50" i="80"/>
  <c r="AV57" i="80"/>
  <c r="AU51" i="80"/>
  <c r="AV51" i="80"/>
  <c r="V68" i="80"/>
  <c r="V63" i="80"/>
  <c r="V67" i="80"/>
  <c r="S43" i="80"/>
  <c r="S85" i="80"/>
  <c r="S38" i="80"/>
  <c r="S46" i="80"/>
  <c r="S86" i="80"/>
  <c r="S42" i="80"/>
  <c r="AX28" i="82"/>
  <c r="AD115" i="82"/>
  <c r="R86" i="82"/>
  <c r="E72" i="82"/>
  <c r="E56" i="82"/>
  <c r="F56" i="82"/>
  <c r="E54" i="82"/>
  <c r="F54" i="82"/>
  <c r="E50" i="82"/>
  <c r="F50" i="82"/>
  <c r="E48" i="82"/>
  <c r="V66" i="82"/>
  <c r="AX5" i="82"/>
  <c r="AD92" i="82"/>
  <c r="AX6" i="82"/>
  <c r="AD93" i="82"/>
  <c r="AX8" i="82"/>
  <c r="AX10" i="82"/>
  <c r="AD97" i="82"/>
  <c r="AX11" i="82"/>
  <c r="AD98" i="82"/>
  <c r="AX14" i="82"/>
  <c r="AD101" i="82"/>
  <c r="AX15" i="82"/>
  <c r="AD102" i="82"/>
  <c r="AX17" i="82"/>
  <c r="AD104" i="82"/>
  <c r="AX19" i="82"/>
  <c r="AD106" i="82"/>
  <c r="AX20" i="82"/>
  <c r="AD107" i="82"/>
  <c r="AX21" i="82"/>
  <c r="AD108" i="82"/>
  <c r="AX22" i="82"/>
  <c r="AD109" i="82"/>
  <c r="AX23" i="82"/>
  <c r="AD110" i="82"/>
  <c r="AX24" i="82"/>
  <c r="AD111" i="82"/>
  <c r="AX25" i="82"/>
  <c r="AD112" i="82"/>
  <c r="AX26" i="82"/>
  <c r="AD113" i="82"/>
  <c r="AX29" i="82"/>
  <c r="AD116" i="82"/>
  <c r="AX30" i="82"/>
  <c r="AD117" i="82"/>
  <c r="AX31" i="82"/>
  <c r="AD118" i="82"/>
  <c r="AX32" i="82"/>
  <c r="AD119" i="82"/>
  <c r="AX33" i="82"/>
  <c r="AD120" i="82"/>
  <c r="AX34" i="82"/>
  <c r="AD121" i="82"/>
  <c r="R43" i="82"/>
  <c r="R85" i="82"/>
  <c r="AU58" i="82"/>
  <c r="AV58" i="82"/>
  <c r="E63" i="82"/>
  <c r="F63" i="82"/>
  <c r="E59" i="82"/>
  <c r="F59" i="82"/>
  <c r="E57" i="82"/>
  <c r="F57" i="82"/>
  <c r="E55" i="82"/>
  <c r="F55" i="82"/>
  <c r="V62" i="82"/>
  <c r="V59" i="82"/>
  <c r="V69" i="82"/>
  <c r="V60" i="82"/>
  <c r="V70" i="82"/>
  <c r="V64" i="82"/>
  <c r="AD54" i="78"/>
  <c r="AT73" i="78"/>
  <c r="AU60" i="78"/>
  <c r="AV60" i="78"/>
  <c r="S60" i="82"/>
  <c r="R63" i="82"/>
  <c r="S64" i="82"/>
  <c r="S67" i="82"/>
  <c r="S69" i="82"/>
  <c r="AA69" i="82"/>
  <c r="R70" i="82"/>
  <c r="AA71" i="82"/>
  <c r="AH53" i="82"/>
  <c r="AJ53" i="82"/>
  <c r="AN57" i="82"/>
  <c r="AN51" i="82"/>
  <c r="AT82" i="82"/>
  <c r="AU60" i="82"/>
  <c r="AV60" i="82"/>
  <c r="AD43" i="82"/>
  <c r="AD42" i="82"/>
  <c r="R64" i="82"/>
  <c r="R67" i="82"/>
  <c r="R69" i="82"/>
  <c r="S70" i="82"/>
  <c r="AD54" i="82"/>
  <c r="AT73" i="82"/>
  <c r="AA46" i="80"/>
  <c r="AN54" i="80"/>
  <c r="AT82" i="80"/>
  <c r="AN57" i="80"/>
  <c r="AN51" i="80"/>
  <c r="AD54" i="80"/>
  <c r="AT73" i="80"/>
  <c r="AU60" i="80"/>
  <c r="AV60" i="80"/>
  <c r="AE85" i="80"/>
  <c r="AD42" i="80"/>
  <c r="AW121" i="82"/>
  <c r="AW119" i="82"/>
  <c r="AW117" i="82"/>
  <c r="AW115" i="82"/>
  <c r="AW113" i="82"/>
  <c r="AW111" i="82"/>
  <c r="AW109" i="82"/>
  <c r="AW107" i="82"/>
  <c r="AW105" i="82"/>
  <c r="AW103" i="82"/>
  <c r="AW101" i="82"/>
  <c r="AW99" i="82"/>
  <c r="AW97" i="82"/>
  <c r="AW95" i="82"/>
  <c r="AW93" i="82"/>
  <c r="AW91" i="82"/>
  <c r="AN92" i="82" a="1"/>
  <c r="AN92" i="82"/>
  <c r="AN63" i="82"/>
  <c r="AB38" i="82"/>
  <c r="AC34" i="82"/>
  <c r="AC32" i="82"/>
  <c r="AC26" i="82"/>
  <c r="AC24" i="82"/>
  <c r="AC22" i="82"/>
  <c r="AC20" i="82"/>
  <c r="AC18" i="82"/>
  <c r="AC16" i="82"/>
  <c r="AC14" i="82"/>
  <c r="AC10" i="82"/>
  <c r="AC6" i="82"/>
  <c r="AC38" i="82"/>
  <c r="AX27" i="82"/>
  <c r="AD114" i="82"/>
  <c r="AX18" i="82"/>
  <c r="AD105" i="82"/>
  <c r="AX16" i="82"/>
  <c r="AD103" i="82"/>
  <c r="AX13" i="82"/>
  <c r="AD100" i="82"/>
  <c r="AX12" i="82"/>
  <c r="AD99" i="82"/>
  <c r="AX9" i="82"/>
  <c r="AD96" i="82"/>
  <c r="AX7" i="82"/>
  <c r="AD94" i="82"/>
  <c r="AC42" i="80"/>
  <c r="AC43" i="80"/>
  <c r="AU62" i="80"/>
  <c r="AV62" i="80"/>
  <c r="AU62" i="78"/>
  <c r="AV62" i="78"/>
  <c r="BJ8" i="82"/>
  <c r="AE95" i="82"/>
  <c r="AI95" i="82"/>
  <c r="AX43" i="82"/>
  <c r="AC85" i="82"/>
  <c r="AX86" i="82"/>
  <c r="AX42" i="82"/>
  <c r="AX85" i="82"/>
  <c r="AD95" i="82"/>
  <c r="AN97" i="82"/>
  <c r="F48" i="82"/>
  <c r="AN100" i="82"/>
  <c r="E69" i="82"/>
  <c r="AN98" i="82"/>
  <c r="AN93" i="82"/>
  <c r="E83" i="82"/>
  <c r="F72" i="82"/>
  <c r="E82" i="82"/>
  <c r="BI5" i="80"/>
  <c r="AC92" i="80"/>
  <c r="AD43" i="80"/>
  <c r="R42" i="80"/>
  <c r="AX43" i="80"/>
  <c r="AD93" i="80"/>
  <c r="AN96" i="76"/>
  <c r="AU63" i="76"/>
  <c r="Q54" i="76"/>
  <c r="AN101" i="76"/>
  <c r="I40" i="92"/>
  <c r="I46" i="92"/>
  <c r="N49" i="92"/>
  <c r="I47" i="92"/>
  <c r="AA94" i="80"/>
  <c r="E8" i="80"/>
  <c r="AT82" i="93"/>
  <c r="AA46" i="93"/>
  <c r="AN57" i="93"/>
  <c r="AN51" i="93"/>
  <c r="AN54" i="93"/>
  <c r="AD59" i="84"/>
  <c r="AD62" i="84"/>
  <c r="AD66" i="84"/>
  <c r="AS123" i="84"/>
  <c r="AC85" i="91"/>
  <c r="AC38" i="91"/>
  <c r="AC86" i="91"/>
  <c r="B43" i="91"/>
  <c r="Q52" i="76"/>
  <c r="AU62" i="76"/>
  <c r="AV62" i="76"/>
  <c r="AE96" i="86"/>
  <c r="AI96" i="86"/>
  <c r="AE98" i="86"/>
  <c r="AI98" i="86"/>
  <c r="AE100" i="86"/>
  <c r="AI100" i="86"/>
  <c r="AE102" i="86"/>
  <c r="AI102" i="86"/>
  <c r="AE104" i="86"/>
  <c r="AI104" i="86"/>
  <c r="AE106" i="86"/>
  <c r="AI106" i="86"/>
  <c r="AE108" i="86"/>
  <c r="AI108" i="86"/>
  <c r="AE110" i="86"/>
  <c r="AI110" i="86"/>
  <c r="BI7" i="86"/>
  <c r="AC94" i="86"/>
  <c r="AD54" i="91"/>
  <c r="AT73" i="91"/>
  <c r="E8" i="84"/>
  <c r="AA94" i="84"/>
  <c r="AH93" i="84"/>
  <c r="AH121" i="84"/>
  <c r="AH119" i="84"/>
  <c r="AH117" i="84"/>
  <c r="AH115" i="84"/>
  <c r="AH113" i="84"/>
  <c r="AH111" i="84"/>
  <c r="AH109" i="84"/>
  <c r="AH107" i="84"/>
  <c r="AH105" i="84"/>
  <c r="AH103" i="84"/>
  <c r="AH101" i="84"/>
  <c r="AH99" i="84"/>
  <c r="AH97" i="84"/>
  <c r="AH95" i="84"/>
  <c r="BJ5" i="84"/>
  <c r="AE92" i="84"/>
  <c r="AI92" i="84"/>
  <c r="AH93" i="87"/>
  <c r="AH94" i="87"/>
  <c r="AH95" i="87"/>
  <c r="AH96" i="87"/>
  <c r="AH97" i="87"/>
  <c r="AH99" i="87"/>
  <c r="AH100" i="87"/>
  <c r="AH102" i="87"/>
  <c r="AH106" i="87"/>
  <c r="AH109" i="87"/>
  <c r="AH110" i="87"/>
  <c r="AH113" i="87"/>
  <c r="AH115" i="87"/>
  <c r="AH117" i="87"/>
  <c r="AH120" i="87"/>
  <c r="AH121" i="87"/>
  <c r="AH98" i="87"/>
  <c r="AH101" i="87"/>
  <c r="AH103" i="87"/>
  <c r="AH104" i="87"/>
  <c r="AH105" i="87"/>
  <c r="AH107" i="87"/>
  <c r="AH108" i="87"/>
  <c r="AH111" i="87"/>
  <c r="AH112" i="87"/>
  <c r="AH114" i="87"/>
  <c r="AH116" i="87"/>
  <c r="AH118" i="87"/>
  <c r="AH119" i="87"/>
  <c r="AS123" i="87"/>
  <c r="AD63" i="87"/>
  <c r="AD68" i="87"/>
  <c r="BF85" i="87"/>
  <c r="BF86" i="87"/>
  <c r="BD53" i="87"/>
  <c r="BG43" i="87"/>
  <c r="BD49" i="87"/>
  <c r="BH4" i="87"/>
  <c r="AD42" i="87"/>
  <c r="AD43" i="87"/>
  <c r="F72" i="89"/>
  <c r="E82" i="89"/>
  <c r="AN98" i="89"/>
  <c r="AN93" i="89"/>
  <c r="E83" i="89"/>
  <c r="AV51" i="91"/>
  <c r="AU62" i="91"/>
  <c r="AV62" i="91"/>
  <c r="AN101" i="91"/>
  <c r="AN96" i="91"/>
  <c r="AU63" i="91"/>
  <c r="AD59" i="87"/>
  <c r="BH43" i="84"/>
  <c r="BH85" i="84"/>
  <c r="BH86" i="84"/>
  <c r="BH42" i="84"/>
  <c r="AD66" i="87"/>
  <c r="AN101" i="82"/>
  <c r="AN96" i="82"/>
  <c r="AN101" i="86"/>
  <c r="AU62" i="93"/>
  <c r="AV62" i="93"/>
  <c r="AX43" i="78"/>
  <c r="AN97" i="86"/>
  <c r="BH43" i="89"/>
  <c r="BH43" i="91"/>
  <c r="BH43" i="93"/>
  <c r="AN96" i="84"/>
  <c r="AN101" i="84"/>
  <c r="F72" i="91"/>
  <c r="E82" i="91"/>
  <c r="AN93" i="91"/>
  <c r="E83" i="91"/>
  <c r="AN98" i="91"/>
  <c r="F48" i="91"/>
  <c r="AN97" i="91"/>
  <c r="AN100" i="91"/>
  <c r="E69" i="91"/>
  <c r="Q54" i="91"/>
  <c r="BC85" i="88"/>
  <c r="BB43" i="88"/>
  <c r="BC43" i="88"/>
  <c r="BD85" i="88"/>
  <c r="BD86" i="88"/>
  <c r="BB43" i="93"/>
  <c r="BD85" i="93"/>
  <c r="BC43" i="93"/>
  <c r="BD86" i="93"/>
  <c r="BA50" i="76"/>
  <c r="BC86" i="76"/>
  <c r="BB43" i="92"/>
  <c r="BD85" i="92"/>
  <c r="BD86" i="92"/>
  <c r="BC43" i="92"/>
  <c r="BA91" i="82"/>
  <c r="BA93" i="82"/>
  <c r="BA95" i="82"/>
  <c r="BA97" i="82"/>
  <c r="BA98" i="82"/>
  <c r="BA103" i="82"/>
  <c r="BA105" i="82"/>
  <c r="BA107" i="82"/>
  <c r="BA109" i="82"/>
  <c r="BA110" i="82"/>
  <c r="BA92" i="82"/>
  <c r="BA94" i="82"/>
  <c r="BA96" i="82"/>
  <c r="BA99" i="82"/>
  <c r="BA100" i="82"/>
  <c r="BA101" i="82"/>
  <c r="BA102" i="82"/>
  <c r="BA104" i="82"/>
  <c r="BA106" i="82"/>
  <c r="BA108" i="82"/>
  <c r="BA111" i="82"/>
  <c r="BA112" i="82"/>
  <c r="BA113" i="82"/>
  <c r="BA114" i="82"/>
  <c r="BA115" i="82"/>
  <c r="BA116" i="82"/>
  <c r="BA117" i="82"/>
  <c r="BA118" i="82"/>
  <c r="BA119" i="82"/>
  <c r="BA120" i="82"/>
  <c r="BA121" i="82"/>
  <c r="AH91" i="78"/>
  <c r="AH93" i="78"/>
  <c r="AH95" i="78"/>
  <c r="AH97" i="78"/>
  <c r="AH99" i="78"/>
  <c r="AH101" i="78"/>
  <c r="AH103" i="78"/>
  <c r="AH105" i="78"/>
  <c r="AH107" i="78"/>
  <c r="AH109" i="78"/>
  <c r="AH111" i="78"/>
  <c r="AH113" i="78"/>
  <c r="AH115" i="78"/>
  <c r="AH117" i="78"/>
  <c r="AH119" i="78"/>
  <c r="AH121" i="78"/>
  <c r="AH92" i="78"/>
  <c r="AH94" i="78"/>
  <c r="AH96" i="78"/>
  <c r="AH98" i="78"/>
  <c r="AH100" i="78"/>
  <c r="AH102" i="78"/>
  <c r="AH104" i="78"/>
  <c r="AH106" i="78"/>
  <c r="AH108" i="78"/>
  <c r="AH110" i="78"/>
  <c r="AH112" i="78"/>
  <c r="AH114" i="78"/>
  <c r="AH116" i="78"/>
  <c r="AH118" i="78"/>
  <c r="AH120" i="78"/>
  <c r="AS123" i="78"/>
  <c r="BI7" i="93"/>
  <c r="BI11" i="93"/>
  <c r="BI15" i="93"/>
  <c r="BI19" i="93"/>
  <c r="BI23" i="93"/>
  <c r="BI27" i="93"/>
  <c r="BI31" i="93"/>
  <c r="Q52" i="93"/>
  <c r="BI7" i="82"/>
  <c r="AC94" i="82"/>
  <c r="AS123" i="82"/>
  <c r="AH120" i="82"/>
  <c r="AH118" i="82"/>
  <c r="AH116" i="82"/>
  <c r="AH114" i="82"/>
  <c r="AH112" i="82"/>
  <c r="AH107" i="82"/>
  <c r="AH103" i="82"/>
  <c r="AH101" i="82"/>
  <c r="AH96" i="82"/>
  <c r="BJ5" i="82"/>
  <c r="AE92" i="82"/>
  <c r="AI92" i="82"/>
  <c r="AH110" i="82"/>
  <c r="AH106" i="82"/>
  <c r="AH99" i="82"/>
  <c r="AH97" i="82"/>
  <c r="AH93" i="82"/>
  <c r="BB91" i="78"/>
  <c r="BB92" i="78"/>
  <c r="BB93" i="78"/>
  <c r="BB94" i="78"/>
  <c r="BB95" i="78"/>
  <c r="BB96" i="78"/>
  <c r="BB97" i="78"/>
  <c r="BB100" i="78"/>
  <c r="BB102" i="78"/>
  <c r="BB103" i="78"/>
  <c r="BB104" i="78"/>
  <c r="BB105" i="78"/>
  <c r="BB106" i="78"/>
  <c r="BB110" i="78"/>
  <c r="BB111" i="78"/>
  <c r="BB113" i="78"/>
  <c r="BB115" i="78"/>
  <c r="BB117" i="78"/>
  <c r="BB119" i="78"/>
  <c r="BB120" i="78"/>
  <c r="BB98" i="78"/>
  <c r="BB99" i="78"/>
  <c r="BB101" i="78"/>
  <c r="BB107" i="78"/>
  <c r="BB108" i="78"/>
  <c r="BB109" i="78"/>
  <c r="BB112" i="78"/>
  <c r="BB114" i="78"/>
  <c r="BB116" i="78"/>
  <c r="BB118" i="78"/>
  <c r="BB121" i="78"/>
  <c r="BI8" i="93"/>
  <c r="BI12" i="93"/>
  <c r="BI16" i="93"/>
  <c r="BI20" i="93"/>
  <c r="BI24" i="93"/>
  <c r="BI28" i="93"/>
  <c r="BI32" i="93"/>
  <c r="BJ4" i="93"/>
  <c r="AE91" i="93"/>
  <c r="AI91" i="93"/>
  <c r="BJ6" i="93"/>
  <c r="AE93" i="93"/>
  <c r="AI93" i="93"/>
  <c r="BJ8" i="93"/>
  <c r="AE95" i="93"/>
  <c r="AI95" i="93"/>
  <c r="BJ10" i="93"/>
  <c r="AE97" i="93"/>
  <c r="AI97" i="93"/>
  <c r="BJ12" i="93"/>
  <c r="AE99" i="93"/>
  <c r="AI99" i="93"/>
  <c r="BJ24" i="93"/>
  <c r="AE111" i="93"/>
  <c r="AI111" i="93"/>
  <c r="AC93" i="91"/>
  <c r="BI6" i="91"/>
  <c r="BA92" i="80"/>
  <c r="BA94" i="80"/>
  <c r="BA96" i="80"/>
  <c r="BA99" i="80"/>
  <c r="BA100" i="80"/>
  <c r="BA101" i="80"/>
  <c r="BA102" i="80"/>
  <c r="BA104" i="80"/>
  <c r="BA106" i="80"/>
  <c r="BA107" i="80"/>
  <c r="BA109" i="80"/>
  <c r="BA110" i="80"/>
  <c r="BA120" i="80"/>
  <c r="BA121" i="80"/>
  <c r="BA91" i="80"/>
  <c r="BA93" i="80"/>
  <c r="BA95" i="80"/>
  <c r="BA97" i="80"/>
  <c r="BA98" i="80"/>
  <c r="BA103" i="80"/>
  <c r="BA105" i="80"/>
  <c r="BA108" i="80"/>
  <c r="BA111" i="80"/>
  <c r="BA112" i="80"/>
  <c r="BA113" i="80"/>
  <c r="BA114" i="80"/>
  <c r="BA115" i="80"/>
  <c r="BA116" i="80"/>
  <c r="BA117" i="80"/>
  <c r="BA118" i="80"/>
  <c r="BA119" i="80"/>
  <c r="AD59" i="76"/>
  <c r="AH92" i="76"/>
  <c r="AH94" i="76"/>
  <c r="AH96" i="76"/>
  <c r="AH100" i="76"/>
  <c r="AH101" i="76"/>
  <c r="AH102" i="76"/>
  <c r="AH103" i="76"/>
  <c r="AH105" i="76"/>
  <c r="AH106" i="76"/>
  <c r="AH107" i="76"/>
  <c r="AH108" i="76"/>
  <c r="AH109" i="76"/>
  <c r="AH112" i="76"/>
  <c r="AH113" i="76"/>
  <c r="AH114" i="76"/>
  <c r="AH115" i="76"/>
  <c r="AH116" i="76"/>
  <c r="AH117" i="76"/>
  <c r="AH118" i="76"/>
  <c r="AH119" i="76"/>
  <c r="AH91" i="76"/>
  <c r="AH95" i="76"/>
  <c r="AH98" i="76"/>
  <c r="AH93" i="76"/>
  <c r="AH97" i="76"/>
  <c r="AH99" i="76"/>
  <c r="AH104" i="76"/>
  <c r="AH110" i="76"/>
  <c r="AH111" i="76"/>
  <c r="AH120" i="76"/>
  <c r="BI6" i="93"/>
  <c r="BI10" i="93"/>
  <c r="BI14" i="93"/>
  <c r="BI22" i="93"/>
  <c r="AE99" i="91"/>
  <c r="AI99" i="91"/>
  <c r="BJ12" i="91"/>
  <c r="AE110" i="91"/>
  <c r="AI110" i="91"/>
  <c r="AE112" i="91"/>
  <c r="AI112" i="91"/>
  <c r="AE116" i="91"/>
  <c r="AI116" i="91"/>
  <c r="BA91" i="88"/>
  <c r="BA93" i="88"/>
  <c r="BA95" i="88"/>
  <c r="BA97" i="88"/>
  <c r="BA98" i="88"/>
  <c r="BA103" i="88"/>
  <c r="BA107" i="88"/>
  <c r="BA108" i="88"/>
  <c r="BA92" i="88"/>
  <c r="BA94" i="88"/>
  <c r="BA96" i="88"/>
  <c r="BA99" i="88"/>
  <c r="BA100" i="88"/>
  <c r="BA101" i="88"/>
  <c r="BA102" i="88"/>
  <c r="BA104" i="88"/>
  <c r="BA105" i="88"/>
  <c r="BA106" i="88"/>
  <c r="BA109" i="88"/>
  <c r="BA110" i="88"/>
  <c r="BA111" i="88"/>
  <c r="BA112" i="88"/>
  <c r="BA113" i="88"/>
  <c r="BA114" i="88"/>
  <c r="BA115" i="88"/>
  <c r="BA116" i="88"/>
  <c r="BA117" i="88"/>
  <c r="BA118" i="88"/>
  <c r="BA119" i="88"/>
  <c r="BA120" i="88"/>
  <c r="BA121" i="88"/>
  <c r="BI6" i="89"/>
  <c r="AC93" i="89"/>
  <c r="BI10" i="89"/>
  <c r="AC97" i="89"/>
  <c r="BI14" i="89"/>
  <c r="AC101" i="89"/>
  <c r="BB91" i="89"/>
  <c r="BB93" i="89"/>
  <c r="BB95" i="89"/>
  <c r="BB97" i="89"/>
  <c r="BB98" i="89"/>
  <c r="BB105" i="89"/>
  <c r="BB108" i="89"/>
  <c r="BB109" i="89"/>
  <c r="BB112" i="89"/>
  <c r="BB114" i="89"/>
  <c r="BB116" i="89"/>
  <c r="BB118" i="89"/>
  <c r="BB120" i="89"/>
  <c r="BB92" i="89"/>
  <c r="BB94" i="89"/>
  <c r="BB96" i="89"/>
  <c r="BB99" i="89"/>
  <c r="BB100" i="89"/>
  <c r="BB101" i="89"/>
  <c r="BB102" i="89"/>
  <c r="BB103" i="89"/>
  <c r="BB104" i="89"/>
  <c r="BB106" i="89"/>
  <c r="BB107" i="89"/>
  <c r="BB110" i="89"/>
  <c r="BB111" i="89"/>
  <c r="BB113" i="89"/>
  <c r="BB115" i="89"/>
  <c r="BB117" i="89"/>
  <c r="BB119" i="89"/>
  <c r="BB121" i="89"/>
  <c r="AD64" i="89"/>
  <c r="AD70" i="89"/>
  <c r="AX43" i="87"/>
  <c r="AV86" i="87"/>
  <c r="AX85" i="87"/>
  <c r="AT82" i="87"/>
  <c r="AA46" i="87"/>
  <c r="AN51" i="87"/>
  <c r="AN54" i="87"/>
  <c r="AN57" i="87"/>
  <c r="BA92" i="87"/>
  <c r="BA96" i="87"/>
  <c r="BA97" i="87"/>
  <c r="BA98" i="87"/>
  <c r="BA99" i="87"/>
  <c r="BA101" i="87"/>
  <c r="BA105" i="87"/>
  <c r="BA108" i="87"/>
  <c r="BA109" i="87"/>
  <c r="BA112" i="87"/>
  <c r="BA114" i="87"/>
  <c r="BA116" i="87"/>
  <c r="BA118" i="87"/>
  <c r="BA119" i="87"/>
  <c r="BA91" i="87"/>
  <c r="BA93" i="87"/>
  <c r="BA94" i="87"/>
  <c r="BA95" i="87"/>
  <c r="BA100" i="87"/>
  <c r="BA102" i="87"/>
  <c r="BA103" i="87"/>
  <c r="BA104" i="87"/>
  <c r="BA106" i="87"/>
  <c r="BA107" i="87"/>
  <c r="BA110" i="87"/>
  <c r="BA111" i="87"/>
  <c r="BA113" i="87"/>
  <c r="BA115" i="87"/>
  <c r="BA117" i="87"/>
  <c r="BA120" i="87"/>
  <c r="BA121" i="87"/>
  <c r="BA91" i="93"/>
  <c r="BA92" i="93"/>
  <c r="BA93" i="93"/>
  <c r="BA94" i="93"/>
  <c r="BA95" i="93"/>
  <c r="BA96" i="93"/>
  <c r="BA97" i="93"/>
  <c r="BA100" i="93"/>
  <c r="BA102" i="93"/>
  <c r="BA103" i="93"/>
  <c r="BA104" i="93"/>
  <c r="BA105" i="93"/>
  <c r="BA106" i="93"/>
  <c r="BA108" i="93"/>
  <c r="BA109" i="93"/>
  <c r="BA112" i="93"/>
  <c r="BA114" i="93"/>
  <c r="BA116" i="93"/>
  <c r="BA118" i="93"/>
  <c r="BA121" i="93"/>
  <c r="BA98" i="93"/>
  <c r="BA99" i="93"/>
  <c r="BA101" i="93"/>
  <c r="BA107" i="93"/>
  <c r="BA110" i="93"/>
  <c r="BA111" i="93"/>
  <c r="BA113" i="93"/>
  <c r="BA115" i="93"/>
  <c r="BA117" i="93"/>
  <c r="BA119" i="93"/>
  <c r="BA120" i="93"/>
  <c r="L81" i="92"/>
  <c r="M81" i="92"/>
  <c r="BA91" i="92"/>
  <c r="BA92" i="92"/>
  <c r="BA93" i="92"/>
  <c r="BA94" i="92"/>
  <c r="BA95" i="92"/>
  <c r="BA96" i="92"/>
  <c r="BA97" i="92"/>
  <c r="BA100" i="92"/>
  <c r="BA102" i="92"/>
  <c r="BA103" i="92"/>
  <c r="BA104" i="92"/>
  <c r="BA106" i="92"/>
  <c r="BA107" i="92"/>
  <c r="BA110" i="92"/>
  <c r="BA111" i="92"/>
  <c r="BA113" i="92"/>
  <c r="BA115" i="92"/>
  <c r="BA117" i="92"/>
  <c r="BA119" i="92"/>
  <c r="BA120" i="92"/>
  <c r="BA121" i="92"/>
  <c r="BA98" i="92"/>
  <c r="BA99" i="92"/>
  <c r="BA101" i="92"/>
  <c r="BA105" i="92"/>
  <c r="BA108" i="92"/>
  <c r="BA109" i="92"/>
  <c r="BA112" i="92"/>
  <c r="BA114" i="92"/>
  <c r="BA116" i="92"/>
  <c r="BA118" i="92"/>
  <c r="BJ25" i="91"/>
  <c r="BA91" i="91"/>
  <c r="BA93" i="91"/>
  <c r="BA95" i="91"/>
  <c r="BA97" i="91"/>
  <c r="BA98" i="91"/>
  <c r="BA100" i="91"/>
  <c r="BA102" i="91"/>
  <c r="BA103" i="91"/>
  <c r="BA104" i="91"/>
  <c r="BA106" i="91"/>
  <c r="BA107" i="91"/>
  <c r="BA110" i="91"/>
  <c r="BA112" i="91"/>
  <c r="BA114" i="91"/>
  <c r="BA116" i="91"/>
  <c r="BA118" i="91"/>
  <c r="BA120" i="91"/>
  <c r="BA92" i="91"/>
  <c r="BA94" i="91"/>
  <c r="BA96" i="91"/>
  <c r="BA99" i="91"/>
  <c r="BA101" i="91"/>
  <c r="BA105" i="91"/>
  <c r="BA108" i="91"/>
  <c r="BA109" i="91"/>
  <c r="BA111" i="91"/>
  <c r="BA113" i="91"/>
  <c r="BA115" i="91"/>
  <c r="BA117" i="91"/>
  <c r="BA119" i="91"/>
  <c r="BA121" i="91"/>
  <c r="AA95" i="88"/>
  <c r="E9" i="88"/>
  <c r="AS123" i="88"/>
  <c r="AH120" i="88"/>
  <c r="AH118" i="88"/>
  <c r="AH116" i="88"/>
  <c r="AH114" i="88"/>
  <c r="AH112" i="88"/>
  <c r="AH110" i="88"/>
  <c r="AH106" i="88"/>
  <c r="AH103" i="88"/>
  <c r="AH101" i="88"/>
  <c r="AH96" i="88"/>
  <c r="BJ5" i="88"/>
  <c r="AE92" i="88"/>
  <c r="AI92" i="88"/>
  <c r="AH108" i="88"/>
  <c r="AH99" i="88"/>
  <c r="AH97" i="88"/>
  <c r="AH93" i="88"/>
  <c r="AD66" i="88"/>
  <c r="AD59" i="88"/>
  <c r="AH119" i="89"/>
  <c r="AH115" i="89"/>
  <c r="AH110" i="89"/>
  <c r="AH106" i="89"/>
  <c r="AH101" i="89"/>
  <c r="AH96" i="89"/>
  <c r="AE92" i="89"/>
  <c r="AI92" i="89"/>
  <c r="AH120" i="89"/>
  <c r="AH116" i="89"/>
  <c r="AH112" i="89"/>
  <c r="AH108" i="89"/>
  <c r="AH105" i="89"/>
  <c r="AH103" i="89"/>
  <c r="AH98" i="89"/>
  <c r="AH95" i="89"/>
  <c r="BJ4" i="89"/>
  <c r="AE91" i="89"/>
  <c r="AI91" i="89"/>
  <c r="AD62" i="89"/>
  <c r="AH50" i="82"/>
  <c r="AJ50" i="82"/>
  <c r="AH57" i="82" a="1"/>
  <c r="AH57" i="82"/>
  <c r="AC86" i="82"/>
  <c r="R42" i="82"/>
  <c r="AN101" i="80"/>
  <c r="AN96" i="80"/>
  <c r="AU63" i="80"/>
  <c r="AT82" i="78"/>
  <c r="AN57" i="78"/>
  <c r="AN51" i="78"/>
  <c r="AA46" i="78"/>
  <c r="AN54" i="78"/>
  <c r="AN97" i="80"/>
  <c r="F48" i="80"/>
  <c r="AN100" i="80"/>
  <c r="E69" i="80"/>
  <c r="AN98" i="80"/>
  <c r="AN93" i="80"/>
  <c r="E83" i="80"/>
  <c r="F72" i="80"/>
  <c r="E82" i="80"/>
  <c r="AX86" i="80"/>
  <c r="AX42" i="80"/>
  <c r="AX85" i="80"/>
  <c r="AD95" i="80"/>
  <c r="AN100" i="78"/>
  <c r="AN97" i="78"/>
  <c r="F48" i="78"/>
  <c r="AN93" i="78"/>
  <c r="F72" i="78"/>
  <c r="E82" i="78"/>
  <c r="AN98" i="78"/>
  <c r="AX85" i="78"/>
  <c r="AX86" i="78"/>
  <c r="AX42" i="78"/>
  <c r="AD95" i="78"/>
  <c r="AA94" i="78"/>
  <c r="E8" i="78"/>
  <c r="BI6" i="80"/>
  <c r="AC93" i="80"/>
  <c r="AC85" i="92"/>
  <c r="AC42" i="92"/>
  <c r="AC85" i="87"/>
  <c r="AC86" i="87"/>
  <c r="AD54" i="93"/>
  <c r="AT73" i="93"/>
  <c r="AD63" i="84"/>
  <c r="AD68" i="84"/>
  <c r="AN96" i="78"/>
  <c r="AN101" i="78"/>
  <c r="AN63" i="93"/>
  <c r="AE97" i="86"/>
  <c r="AI97" i="86"/>
  <c r="AE99" i="86"/>
  <c r="AI99" i="86"/>
  <c r="AE101" i="86"/>
  <c r="AI101" i="86"/>
  <c r="AE103" i="86"/>
  <c r="AI103" i="86"/>
  <c r="AE105" i="86"/>
  <c r="AI105" i="86"/>
  <c r="AE107" i="86"/>
  <c r="AI107" i="86"/>
  <c r="AE109" i="86"/>
  <c r="AI109" i="86"/>
  <c r="AE115" i="86"/>
  <c r="AI115" i="86"/>
  <c r="E9" i="86"/>
  <c r="AA95" i="86"/>
  <c r="AV60" i="87"/>
  <c r="AU62" i="87"/>
  <c r="AV62" i="87"/>
  <c r="AT82" i="91"/>
  <c r="BI6" i="84"/>
  <c r="AC93" i="84"/>
  <c r="AE91" i="84"/>
  <c r="AI91" i="84"/>
  <c r="AH120" i="84"/>
  <c r="AH118" i="84"/>
  <c r="AH116" i="84"/>
  <c r="AH114" i="84"/>
  <c r="AH112" i="84"/>
  <c r="AH110" i="84"/>
  <c r="AH108" i="84"/>
  <c r="AH106" i="84"/>
  <c r="AH104" i="84"/>
  <c r="AH102" i="84"/>
  <c r="AH100" i="84"/>
  <c r="AH98" i="84"/>
  <c r="AH96" i="84"/>
  <c r="AH94" i="84"/>
  <c r="BJ9" i="86"/>
  <c r="BJ11" i="86"/>
  <c r="BJ13" i="86"/>
  <c r="BJ15" i="86"/>
  <c r="BJ17" i="86"/>
  <c r="BJ19" i="86"/>
  <c r="BJ21" i="86"/>
  <c r="BJ23" i="86"/>
  <c r="BB43" i="87"/>
  <c r="BD85" i="87"/>
  <c r="BD86" i="87"/>
  <c r="BC43" i="87"/>
  <c r="BH43" i="86"/>
  <c r="BH85" i="86"/>
  <c r="BH86" i="86"/>
  <c r="BG85" i="87"/>
  <c r="BG86" i="87"/>
  <c r="BH8" i="87"/>
  <c r="F48" i="87"/>
  <c r="AN97" i="87"/>
  <c r="AN100" i="87"/>
  <c r="AN93" i="87"/>
  <c r="F72" i="87"/>
  <c r="E82" i="87"/>
  <c r="AN98" i="87"/>
  <c r="AX85" i="84"/>
  <c r="AX86" i="84"/>
  <c r="AX42" i="84"/>
  <c r="AD95" i="84"/>
  <c r="F54" i="84"/>
  <c r="AN100" i="84"/>
  <c r="E69" i="84"/>
  <c r="F50" i="89"/>
  <c r="AN100" i="89"/>
  <c r="AN97" i="89"/>
  <c r="AV51" i="88"/>
  <c r="AN96" i="88"/>
  <c r="AU63" i="88"/>
  <c r="Q54" i="88"/>
  <c r="AN101" i="88"/>
  <c r="AD62" i="87"/>
  <c r="AH57" i="87" a="1"/>
  <c r="AH57" i="87"/>
  <c r="AH50" i="87"/>
  <c r="AJ50" i="87"/>
  <c r="I42" i="87"/>
  <c r="BC42" i="87"/>
  <c r="N49" i="87"/>
  <c r="I40" i="87"/>
  <c r="I46" i="87"/>
  <c r="I47" i="87"/>
  <c r="AN101" i="87"/>
  <c r="AU63" i="87"/>
  <c r="BF43" i="87"/>
  <c r="AV50" i="82"/>
  <c r="AU62" i="82"/>
  <c r="AV62" i="82"/>
  <c r="AN96" i="86"/>
  <c r="AU63" i="86"/>
  <c r="BH43" i="88"/>
  <c r="BH43" i="92"/>
  <c r="BH43" i="76"/>
  <c r="AN96" i="89"/>
  <c r="AU63" i="89"/>
  <c r="AN101" i="89"/>
  <c r="AV50" i="89"/>
  <c r="AU62" i="89"/>
  <c r="AV62" i="89"/>
  <c r="AN101" i="93"/>
  <c r="AN96" i="93"/>
  <c r="AU63" i="93"/>
  <c r="Q54" i="93"/>
  <c r="BC85" i="89"/>
  <c r="AH92" i="80"/>
  <c r="AH94" i="80"/>
  <c r="AH96" i="80"/>
  <c r="AH98" i="80"/>
  <c r="AH100" i="80"/>
  <c r="AH102" i="80"/>
  <c r="AH104" i="80"/>
  <c r="AH106" i="80"/>
  <c r="AH108" i="80"/>
  <c r="AH110" i="80"/>
  <c r="AH112" i="80"/>
  <c r="AH114" i="80"/>
  <c r="AH116" i="80"/>
  <c r="AH118" i="80"/>
  <c r="AH120" i="80"/>
  <c r="AH91" i="80"/>
  <c r="AH93" i="80"/>
  <c r="AH95" i="80"/>
  <c r="AH97" i="80"/>
  <c r="AH99" i="80"/>
  <c r="AH101" i="80"/>
  <c r="AH103" i="80"/>
  <c r="AH105" i="80"/>
  <c r="AH107" i="80"/>
  <c r="AH109" i="80"/>
  <c r="AH111" i="80"/>
  <c r="AH113" i="80"/>
  <c r="AH115" i="80"/>
  <c r="AH117" i="80"/>
  <c r="AH119" i="80"/>
  <c r="AH121" i="80"/>
  <c r="AS123" i="80"/>
  <c r="AD54" i="76"/>
  <c r="AT73" i="76"/>
  <c r="AN63" i="76"/>
  <c r="AN100" i="86"/>
  <c r="E69" i="86"/>
  <c r="Q54" i="86"/>
  <c r="E68" i="86"/>
  <c r="F68" i="86"/>
  <c r="Q52" i="86"/>
  <c r="BH86" i="89"/>
  <c r="BH42" i="89"/>
  <c r="BH85" i="89"/>
  <c r="BH86" i="88"/>
  <c r="BH42" i="88"/>
  <c r="BH85" i="88"/>
  <c r="BH86" i="91"/>
  <c r="BH42" i="91"/>
  <c r="BH85" i="91"/>
  <c r="BH85" i="93"/>
  <c r="BH86" i="93"/>
  <c r="BH86" i="76"/>
  <c r="BH42" i="76"/>
  <c r="BH85" i="76"/>
  <c r="AU62" i="84"/>
  <c r="AV62" i="84"/>
  <c r="AX43" i="84"/>
  <c r="BH85" i="92"/>
  <c r="BH86" i="92"/>
  <c r="BC43" i="89"/>
  <c r="BD85" i="89"/>
  <c r="BD86" i="89"/>
  <c r="BB43" i="89"/>
  <c r="BA50" i="88"/>
  <c r="BC86" i="88"/>
  <c r="BC85" i="76"/>
  <c r="BC43" i="76"/>
  <c r="BB43" i="76"/>
  <c r="BD85" i="76"/>
  <c r="BD86" i="76"/>
  <c r="BC86" i="93"/>
  <c r="BA50" i="93"/>
  <c r="BC43" i="91"/>
  <c r="BB43" i="91"/>
  <c r="BD85" i="91"/>
  <c r="BD86" i="91"/>
  <c r="BI5" i="93"/>
  <c r="BI9" i="93"/>
  <c r="BI13" i="93"/>
  <c r="BI17" i="93"/>
  <c r="BI21" i="93"/>
  <c r="BI25" i="93"/>
  <c r="BI29" i="93"/>
  <c r="BI33" i="93"/>
  <c r="E9" i="82"/>
  <c r="AA95" i="82"/>
  <c r="AH121" i="82"/>
  <c r="AH119" i="82"/>
  <c r="AH117" i="82"/>
  <c r="AH115" i="82"/>
  <c r="AH113" i="82"/>
  <c r="AH109" i="82"/>
  <c r="AH105" i="82"/>
  <c r="AH102" i="82"/>
  <c r="AH100" i="82"/>
  <c r="AH94" i="82"/>
  <c r="AH111" i="82"/>
  <c r="AH108" i="82"/>
  <c r="AH104" i="82"/>
  <c r="AH98" i="82"/>
  <c r="BJ4" i="82"/>
  <c r="AE91" i="82"/>
  <c r="AI91" i="82"/>
  <c r="BA98" i="78"/>
  <c r="BA99" i="78"/>
  <c r="BA101" i="78"/>
  <c r="BA107" i="78"/>
  <c r="BA108" i="78"/>
  <c r="BA109" i="78"/>
  <c r="BA112" i="78"/>
  <c r="BA114" i="78"/>
  <c r="BA116" i="78"/>
  <c r="BA118" i="78"/>
  <c r="BA121" i="78"/>
  <c r="BA91" i="78"/>
  <c r="BA92" i="78"/>
  <c r="BA93" i="78"/>
  <c r="BA94" i="78"/>
  <c r="BA95" i="78"/>
  <c r="BA96" i="78"/>
  <c r="BA97" i="78"/>
  <c r="BA100" i="78"/>
  <c r="BA102" i="78"/>
  <c r="BA103" i="78"/>
  <c r="BA104" i="78"/>
  <c r="BA105" i="78"/>
  <c r="BA106" i="78"/>
  <c r="BA110" i="78"/>
  <c r="BA111" i="78"/>
  <c r="BA113" i="78"/>
  <c r="BA115" i="78"/>
  <c r="BA117" i="78"/>
  <c r="BA119" i="78"/>
  <c r="BA120" i="78"/>
  <c r="BI30" i="93"/>
  <c r="BI34" i="93"/>
  <c r="AE92" i="93"/>
  <c r="AI92" i="93"/>
  <c r="AE94" i="93"/>
  <c r="AI94" i="93"/>
  <c r="AE96" i="93"/>
  <c r="AI96" i="93"/>
  <c r="AE112" i="93"/>
  <c r="AI112" i="93"/>
  <c r="AE114" i="93"/>
  <c r="AI114" i="93"/>
  <c r="AD59" i="92"/>
  <c r="AH110" i="92"/>
  <c r="AH113" i="92"/>
  <c r="AH115" i="92"/>
  <c r="AH117" i="92"/>
  <c r="AH119" i="92"/>
  <c r="AH120" i="92"/>
  <c r="AH121" i="92"/>
  <c r="AS123" i="92"/>
  <c r="AH91" i="92"/>
  <c r="AH92" i="92"/>
  <c r="AH93" i="92"/>
  <c r="AH94" i="92"/>
  <c r="AH95" i="92"/>
  <c r="AH96" i="92"/>
  <c r="AH97" i="92"/>
  <c r="AH98" i="92"/>
  <c r="AH99" i="92"/>
  <c r="AH100" i="92"/>
  <c r="AH101" i="92"/>
  <c r="AH102" i="92"/>
  <c r="AH103" i="92"/>
  <c r="AH104" i="92"/>
  <c r="AH105" i="92"/>
  <c r="AH106" i="92"/>
  <c r="AH107" i="92"/>
  <c r="AH108" i="92"/>
  <c r="AH109" i="92"/>
  <c r="AH111" i="92"/>
  <c r="AH112" i="92"/>
  <c r="AH114" i="92"/>
  <c r="AH116" i="92"/>
  <c r="AH118" i="92"/>
  <c r="AY42" i="87"/>
  <c r="AD54" i="87"/>
  <c r="AT73" i="87"/>
  <c r="BC86" i="89"/>
  <c r="BB91" i="80"/>
  <c r="BB93" i="80"/>
  <c r="BB95" i="80"/>
  <c r="BB97" i="80"/>
  <c r="BB98" i="80"/>
  <c r="BB103" i="80"/>
  <c r="BB105" i="80"/>
  <c r="BB108" i="80"/>
  <c r="BB111" i="80"/>
  <c r="BB112" i="80"/>
  <c r="BB113" i="80"/>
  <c r="BB114" i="80"/>
  <c r="BB115" i="80"/>
  <c r="BB116" i="80"/>
  <c r="BB117" i="80"/>
  <c r="BB118" i="80"/>
  <c r="BB119" i="80"/>
  <c r="BB92" i="80"/>
  <c r="BB94" i="80"/>
  <c r="BB96" i="80"/>
  <c r="BB99" i="80"/>
  <c r="BB100" i="80"/>
  <c r="BB101" i="80"/>
  <c r="BB102" i="80"/>
  <c r="BB104" i="80"/>
  <c r="BB106" i="80"/>
  <c r="BB107" i="80"/>
  <c r="BB109" i="80"/>
  <c r="BB110" i="80"/>
  <c r="BB120" i="80"/>
  <c r="BB121" i="80"/>
  <c r="BI42" i="76"/>
  <c r="BJ7" i="93"/>
  <c r="BI18" i="93"/>
  <c r="BI26" i="93"/>
  <c r="BJ27" i="93"/>
  <c r="AE93" i="91"/>
  <c r="AI93" i="91"/>
  <c r="BJ6" i="91"/>
  <c r="BJ43" i="91"/>
  <c r="AE95" i="91"/>
  <c r="AI95" i="91"/>
  <c r="BJ8" i="91"/>
  <c r="AE97" i="91"/>
  <c r="AI97" i="91"/>
  <c r="BJ10" i="91"/>
  <c r="BI8" i="89"/>
  <c r="AC95" i="89"/>
  <c r="BI12" i="89"/>
  <c r="AC99" i="89"/>
  <c r="AV43" i="87"/>
  <c r="AA94" i="87"/>
  <c r="E8" i="87"/>
  <c r="AV85" i="87"/>
  <c r="AX86" i="87"/>
  <c r="AX42" i="87"/>
  <c r="L81" i="87"/>
  <c r="M81" i="87"/>
  <c r="BB98" i="93"/>
  <c r="BB99" i="93"/>
  <c r="BB101" i="93"/>
  <c r="BB107" i="93"/>
  <c r="BB110" i="93"/>
  <c r="BB111" i="93"/>
  <c r="BB113" i="93"/>
  <c r="BB115" i="93"/>
  <c r="BB117" i="93"/>
  <c r="BB119" i="93"/>
  <c r="BB120" i="93"/>
  <c r="BB91" i="93"/>
  <c r="BB92" i="93"/>
  <c r="BB93" i="93"/>
  <c r="BB94" i="93"/>
  <c r="BB95" i="93"/>
  <c r="BB96" i="93"/>
  <c r="BB97" i="93"/>
  <c r="BB100" i="93"/>
  <c r="BB102" i="93"/>
  <c r="BB103" i="93"/>
  <c r="BB104" i="93"/>
  <c r="BB105" i="93"/>
  <c r="BB106" i="93"/>
  <c r="BB108" i="93"/>
  <c r="BB109" i="93"/>
  <c r="BB112" i="93"/>
  <c r="BB114" i="93"/>
  <c r="BB116" i="93"/>
  <c r="BB118" i="93"/>
  <c r="BB121" i="93"/>
  <c r="BI43" i="91"/>
  <c r="BB98" i="92"/>
  <c r="BB99" i="92"/>
  <c r="BB101" i="92"/>
  <c r="BB105" i="92"/>
  <c r="BB108" i="92"/>
  <c r="BB109" i="92"/>
  <c r="BB112" i="92"/>
  <c r="BB114" i="92"/>
  <c r="BB116" i="92"/>
  <c r="BB118" i="92"/>
  <c r="BB91" i="92"/>
  <c r="BB92" i="92"/>
  <c r="BB93" i="92"/>
  <c r="BB94" i="92"/>
  <c r="BB95" i="92"/>
  <c r="BB96" i="92"/>
  <c r="BB97" i="92"/>
  <c r="BB100" i="92"/>
  <c r="BB102" i="92"/>
  <c r="BB103" i="92"/>
  <c r="BB104" i="92"/>
  <c r="BB106" i="92"/>
  <c r="BB107" i="92"/>
  <c r="BB110" i="92"/>
  <c r="BB111" i="92"/>
  <c r="BB113" i="92"/>
  <c r="BB115" i="92"/>
  <c r="BB117" i="92"/>
  <c r="BB119" i="92"/>
  <c r="BB120" i="92"/>
  <c r="BB121" i="92"/>
  <c r="BJ23" i="91"/>
  <c r="BB92" i="91"/>
  <c r="BB94" i="91"/>
  <c r="BB96" i="91"/>
  <c r="BB99" i="91"/>
  <c r="BB101" i="91"/>
  <c r="BB105" i="91"/>
  <c r="BB108" i="91"/>
  <c r="BB109" i="91"/>
  <c r="BB111" i="91"/>
  <c r="BB113" i="91"/>
  <c r="BB115" i="91"/>
  <c r="BB117" i="91"/>
  <c r="BB119" i="91"/>
  <c r="BB121" i="91"/>
  <c r="BB91" i="91"/>
  <c r="BB93" i="91"/>
  <c r="BB95" i="91"/>
  <c r="BB97" i="91"/>
  <c r="BB98" i="91"/>
  <c r="BB100" i="91"/>
  <c r="BB102" i="91"/>
  <c r="BB103" i="91"/>
  <c r="BB104" i="91"/>
  <c r="BB106" i="91"/>
  <c r="BB107" i="91"/>
  <c r="BB110" i="91"/>
  <c r="BB112" i="91"/>
  <c r="BB114" i="91"/>
  <c r="BB116" i="91"/>
  <c r="BB118" i="91"/>
  <c r="BB120" i="91"/>
  <c r="BI7" i="88"/>
  <c r="AC94" i="88"/>
  <c r="AH121" i="88"/>
  <c r="AH119" i="88"/>
  <c r="AH117" i="88"/>
  <c r="AH115" i="88"/>
  <c r="AH113" i="88"/>
  <c r="AH111" i="88"/>
  <c r="AH107" i="88"/>
  <c r="AH105" i="88"/>
  <c r="AH102" i="88"/>
  <c r="AH100" i="88"/>
  <c r="AH94" i="88"/>
  <c r="AH109" i="88"/>
  <c r="AH104" i="88"/>
  <c r="AH98" i="88"/>
  <c r="AH95" i="88"/>
  <c r="BJ4" i="88"/>
  <c r="AE91" i="88"/>
  <c r="AI91" i="88"/>
  <c r="AS123" i="89"/>
  <c r="AH117" i="89"/>
  <c r="AH113" i="89"/>
  <c r="AH109" i="89"/>
  <c r="AH102" i="89"/>
  <c r="AH100" i="89"/>
  <c r="AH94" i="89"/>
  <c r="AH121" i="89"/>
  <c r="AH118" i="89"/>
  <c r="AH114" i="89"/>
  <c r="AH111" i="89"/>
  <c r="AH107" i="89"/>
  <c r="AH104" i="89"/>
  <c r="AH99" i="89"/>
  <c r="AH97" i="89"/>
  <c r="AH93" i="89"/>
  <c r="AD66" i="89"/>
  <c r="BJ10" i="89"/>
  <c r="AE97" i="89"/>
  <c r="AI97" i="89"/>
  <c r="AE111" i="89"/>
  <c r="AI111" i="89"/>
  <c r="BJ24" i="89"/>
  <c r="AE94" i="89"/>
  <c r="AI94" i="89"/>
  <c r="BJ7" i="89"/>
  <c r="AE113" i="89"/>
  <c r="AI113" i="89"/>
  <c r="BJ26" i="89"/>
  <c r="BJ8" i="88"/>
  <c r="AE95" i="88"/>
  <c r="AI95" i="88"/>
  <c r="BJ7" i="88"/>
  <c r="AE94" i="88"/>
  <c r="AI94" i="88"/>
  <c r="BJ20" i="88"/>
  <c r="AE107" i="88"/>
  <c r="AI107" i="88"/>
  <c r="BJ26" i="88"/>
  <c r="AE113" i="88"/>
  <c r="AI113" i="88"/>
  <c r="AE121" i="88"/>
  <c r="AI121" i="88"/>
  <c r="BJ34" i="88"/>
  <c r="AC94" i="87"/>
  <c r="BI7" i="87"/>
  <c r="BJ31" i="92"/>
  <c r="AI118" i="92"/>
  <c r="AE118" i="92"/>
  <c r="AI114" i="92"/>
  <c r="AE114" i="92"/>
  <c r="BJ27" i="92"/>
  <c r="AI111" i="92"/>
  <c r="AE111" i="92"/>
  <c r="BJ24" i="92"/>
  <c r="BJ21" i="92"/>
  <c r="AE108" i="92"/>
  <c r="AI108" i="92"/>
  <c r="BJ19" i="92"/>
  <c r="AE106" i="92"/>
  <c r="AI106" i="92"/>
  <c r="BJ17" i="92"/>
  <c r="AE104" i="92"/>
  <c r="AI104" i="92"/>
  <c r="BJ15" i="92"/>
  <c r="AE102" i="92"/>
  <c r="AI102" i="92"/>
  <c r="BJ13" i="92"/>
  <c r="AE100" i="92"/>
  <c r="AI100" i="92"/>
  <c r="BJ11" i="92"/>
  <c r="AE98" i="92"/>
  <c r="AI98" i="92"/>
  <c r="BJ9" i="92"/>
  <c r="AE96" i="92"/>
  <c r="AI96" i="92"/>
  <c r="BJ7" i="92"/>
  <c r="AE94" i="92"/>
  <c r="AI94" i="92"/>
  <c r="BJ5" i="92"/>
  <c r="AE92" i="92"/>
  <c r="AI92" i="92"/>
  <c r="BJ33" i="92"/>
  <c r="AE120" i="92"/>
  <c r="AI120" i="92"/>
  <c r="BJ30" i="92"/>
  <c r="AE117" i="92"/>
  <c r="AI117" i="92"/>
  <c r="AE113" i="92"/>
  <c r="AI113" i="92"/>
  <c r="BJ26" i="92"/>
  <c r="BJ17" i="82"/>
  <c r="AE104" i="82"/>
  <c r="AI104" i="82"/>
  <c r="BJ24" i="82"/>
  <c r="AE111" i="82"/>
  <c r="AI111" i="82"/>
  <c r="BJ13" i="82"/>
  <c r="AE100" i="82"/>
  <c r="AI100" i="82"/>
  <c r="BJ18" i="82"/>
  <c r="AE105" i="82"/>
  <c r="AI105" i="82"/>
  <c r="BJ26" i="82"/>
  <c r="AE113" i="82"/>
  <c r="AI113" i="82"/>
  <c r="AE117" i="82"/>
  <c r="AI117" i="82"/>
  <c r="BJ30" i="82"/>
  <c r="AE121" i="82"/>
  <c r="AI121" i="82"/>
  <c r="BJ34" i="82"/>
  <c r="E10" i="82"/>
  <c r="AA96" i="82"/>
  <c r="BI43" i="93"/>
  <c r="BH42" i="92"/>
  <c r="BH42" i="93"/>
  <c r="AE119" i="80"/>
  <c r="AI119" i="80"/>
  <c r="BJ32" i="80"/>
  <c r="AE115" i="80"/>
  <c r="AI115" i="80"/>
  <c r="BJ28" i="80"/>
  <c r="AE111" i="80"/>
  <c r="AI111" i="80"/>
  <c r="BJ24" i="80"/>
  <c r="AE107" i="80"/>
  <c r="AI107" i="80"/>
  <c r="BJ20" i="80"/>
  <c r="AE103" i="80"/>
  <c r="AI103" i="80"/>
  <c r="BJ16" i="80"/>
  <c r="AE99" i="80"/>
  <c r="AI99" i="80"/>
  <c r="BJ12" i="80"/>
  <c r="AE95" i="80"/>
  <c r="AI95" i="80"/>
  <c r="BJ8" i="80"/>
  <c r="AE91" i="80"/>
  <c r="AI91" i="80"/>
  <c r="BJ4" i="80"/>
  <c r="AE118" i="80"/>
  <c r="AI118" i="80"/>
  <c r="BJ31" i="80"/>
  <c r="AE114" i="80"/>
  <c r="AI114" i="80"/>
  <c r="BJ27" i="80"/>
  <c r="AE110" i="80"/>
  <c r="AI110" i="80"/>
  <c r="BJ23" i="80"/>
  <c r="AE106" i="80"/>
  <c r="AI106" i="80"/>
  <c r="BJ19" i="80"/>
  <c r="AE102" i="80"/>
  <c r="AI102" i="80"/>
  <c r="BJ15" i="80"/>
  <c r="AE98" i="80"/>
  <c r="AI98" i="80"/>
  <c r="BJ11" i="80"/>
  <c r="AE94" i="80"/>
  <c r="AI94" i="80"/>
  <c r="BJ7" i="80"/>
  <c r="AU62" i="88"/>
  <c r="AV62" i="88"/>
  <c r="Q52" i="88"/>
  <c r="E69" i="89"/>
  <c r="Q54" i="89"/>
  <c r="E69" i="87"/>
  <c r="Q52" i="87"/>
  <c r="E68" i="87"/>
  <c r="F68" i="87"/>
  <c r="BH42" i="86"/>
  <c r="BJ43" i="86"/>
  <c r="BJ85" i="86"/>
  <c r="BJ86" i="86"/>
  <c r="BJ42" i="86"/>
  <c r="BJ9" i="84"/>
  <c r="AE96" i="84"/>
  <c r="AI96" i="84"/>
  <c r="BJ13" i="84"/>
  <c r="AE100" i="84"/>
  <c r="AI100" i="84"/>
  <c r="BJ17" i="84"/>
  <c r="AE104" i="84"/>
  <c r="AI104" i="84"/>
  <c r="BJ21" i="84"/>
  <c r="AE108" i="84"/>
  <c r="AI108" i="84"/>
  <c r="BJ25" i="84"/>
  <c r="AE112" i="84"/>
  <c r="AI112" i="84"/>
  <c r="AE116" i="84"/>
  <c r="AI116" i="84"/>
  <c r="BJ29" i="84"/>
  <c r="AE120" i="84"/>
  <c r="AI120" i="84"/>
  <c r="BJ33" i="84"/>
  <c r="AC95" i="86"/>
  <c r="BI8" i="86"/>
  <c r="AU63" i="78"/>
  <c r="AA95" i="78"/>
  <c r="E9" i="78"/>
  <c r="E68" i="78"/>
  <c r="F68" i="78"/>
  <c r="Q52" i="78"/>
  <c r="E69" i="78"/>
  <c r="Q52" i="80"/>
  <c r="E68" i="80"/>
  <c r="F68" i="80"/>
  <c r="AC42" i="82"/>
  <c r="AC43" i="82"/>
  <c r="AE98" i="89"/>
  <c r="AI98" i="89"/>
  <c r="BJ11" i="89"/>
  <c r="AE105" i="89"/>
  <c r="AI105" i="89"/>
  <c r="BJ18" i="89"/>
  <c r="AE112" i="89"/>
  <c r="AI112" i="89"/>
  <c r="BJ25" i="89"/>
  <c r="BJ33" i="89"/>
  <c r="AE120" i="89"/>
  <c r="AI120" i="89"/>
  <c r="BJ14" i="89"/>
  <c r="AE101" i="89"/>
  <c r="AI101" i="89"/>
  <c r="AE110" i="89"/>
  <c r="AI110" i="89"/>
  <c r="BJ23" i="89"/>
  <c r="BJ32" i="89"/>
  <c r="AE119" i="89"/>
  <c r="AI119" i="89"/>
  <c r="BJ6" i="88"/>
  <c r="AE93" i="88"/>
  <c r="AI93" i="88"/>
  <c r="BJ12" i="88"/>
  <c r="AE99" i="88"/>
  <c r="AI99" i="88"/>
  <c r="BJ14" i="88"/>
  <c r="AE101" i="88"/>
  <c r="AI101" i="88"/>
  <c r="BJ19" i="88"/>
  <c r="AE106" i="88"/>
  <c r="AI106" i="88"/>
  <c r="BJ25" i="88"/>
  <c r="AE112" i="88"/>
  <c r="AI112" i="88"/>
  <c r="AE116" i="88"/>
  <c r="AI116" i="88"/>
  <c r="BJ29" i="88"/>
  <c r="AE120" i="88"/>
  <c r="AI120" i="88"/>
  <c r="BJ33" i="88"/>
  <c r="E10" i="88"/>
  <c r="AA96" i="88"/>
  <c r="AV42" i="87"/>
  <c r="AE111" i="76"/>
  <c r="AI111" i="76"/>
  <c r="BJ24" i="76"/>
  <c r="AE104" i="76"/>
  <c r="AI104" i="76"/>
  <c r="BJ17" i="76"/>
  <c r="AI97" i="76"/>
  <c r="BJ10" i="76"/>
  <c r="AE97" i="76"/>
  <c r="BJ11" i="76"/>
  <c r="AE98" i="76"/>
  <c r="AI98" i="76"/>
  <c r="AE91" i="76"/>
  <c r="AI91" i="76"/>
  <c r="BJ4" i="76"/>
  <c r="BJ31" i="76"/>
  <c r="AI118" i="76"/>
  <c r="AE118" i="76"/>
  <c r="BJ29" i="76"/>
  <c r="AI116" i="76"/>
  <c r="AE116" i="76"/>
  <c r="AI114" i="76"/>
  <c r="AE114" i="76"/>
  <c r="BJ27" i="76"/>
  <c r="AI112" i="76"/>
  <c r="AE112" i="76"/>
  <c r="BJ25" i="76"/>
  <c r="AI108" i="76"/>
  <c r="AE108" i="76"/>
  <c r="BJ21" i="76"/>
  <c r="AE106" i="76"/>
  <c r="AI106" i="76"/>
  <c r="BJ19" i="76"/>
  <c r="AI103" i="76"/>
  <c r="AE103" i="76"/>
  <c r="BJ16" i="76"/>
  <c r="AI101" i="76"/>
  <c r="AE101" i="76"/>
  <c r="BJ14" i="76"/>
  <c r="AE96" i="76"/>
  <c r="AI96" i="76"/>
  <c r="BJ9" i="76"/>
  <c r="AE92" i="76"/>
  <c r="AI92" i="76"/>
  <c r="BJ5" i="76"/>
  <c r="BJ86" i="93"/>
  <c r="BJ85" i="93"/>
  <c r="BJ43" i="93"/>
  <c r="BJ10" i="82"/>
  <c r="AE97" i="82"/>
  <c r="AI97" i="82"/>
  <c r="BJ19" i="82"/>
  <c r="AE106" i="82"/>
  <c r="AI106" i="82"/>
  <c r="BJ14" i="82"/>
  <c r="AE101" i="82"/>
  <c r="AI101" i="82"/>
  <c r="BJ20" i="82"/>
  <c r="AE107" i="82"/>
  <c r="AI107" i="82"/>
  <c r="BJ27" i="82"/>
  <c r="AE114" i="82"/>
  <c r="AI114" i="82"/>
  <c r="AE118" i="82"/>
  <c r="AI118" i="82"/>
  <c r="BJ31" i="82"/>
  <c r="AE120" i="78"/>
  <c r="AI120" i="78"/>
  <c r="BJ33" i="78"/>
  <c r="AE116" i="78"/>
  <c r="AI116" i="78"/>
  <c r="BJ29" i="78"/>
  <c r="AE112" i="78"/>
  <c r="AI112" i="78"/>
  <c r="BJ25" i="78"/>
  <c r="AE108" i="78"/>
  <c r="AI108" i="78"/>
  <c r="BJ21" i="78"/>
  <c r="AE104" i="78"/>
  <c r="AI104" i="78"/>
  <c r="BJ17" i="78"/>
  <c r="AE100" i="78"/>
  <c r="AI100" i="78"/>
  <c r="BJ13" i="78"/>
  <c r="AE96" i="78"/>
  <c r="AI96" i="78"/>
  <c r="BJ9" i="78"/>
  <c r="AE92" i="78"/>
  <c r="AI92" i="78"/>
  <c r="BJ5" i="78"/>
  <c r="AE119" i="78"/>
  <c r="AI119" i="78"/>
  <c r="BJ32" i="78"/>
  <c r="AE115" i="78"/>
  <c r="AI115" i="78"/>
  <c r="BJ28" i="78"/>
  <c r="AE111" i="78"/>
  <c r="AI111" i="78"/>
  <c r="BJ24" i="78"/>
  <c r="AI107" i="78"/>
  <c r="AE107" i="78"/>
  <c r="BJ20" i="78"/>
  <c r="AI103" i="78"/>
  <c r="AE103" i="78"/>
  <c r="BJ16" i="78"/>
  <c r="AE99" i="78"/>
  <c r="AI99" i="78"/>
  <c r="BJ12" i="78"/>
  <c r="AE95" i="78"/>
  <c r="AI95" i="78"/>
  <c r="BJ8" i="78"/>
  <c r="AI91" i="78"/>
  <c r="AE91" i="78"/>
  <c r="BJ4" i="78"/>
  <c r="AU63" i="84"/>
  <c r="Q54" i="84"/>
  <c r="AU63" i="82"/>
  <c r="AE119" i="87"/>
  <c r="AI119" i="87"/>
  <c r="BJ32" i="87"/>
  <c r="BJ29" i="87"/>
  <c r="AE116" i="87"/>
  <c r="AI116" i="87"/>
  <c r="BJ25" i="87"/>
  <c r="AE112" i="87"/>
  <c r="AI112" i="87"/>
  <c r="AE108" i="87"/>
  <c r="AI108" i="87"/>
  <c r="BJ21" i="87"/>
  <c r="AI105" i="87"/>
  <c r="AE105" i="87"/>
  <c r="BJ18" i="87"/>
  <c r="AI103" i="87"/>
  <c r="AE103" i="87"/>
  <c r="BJ16" i="87"/>
  <c r="AI98" i="87"/>
  <c r="AE98" i="87"/>
  <c r="BJ11" i="87"/>
  <c r="BJ33" i="87"/>
  <c r="AE120" i="87"/>
  <c r="AI120" i="87"/>
  <c r="AE115" i="87"/>
  <c r="AI115" i="87"/>
  <c r="BJ28" i="87"/>
  <c r="BJ23" i="87"/>
  <c r="AE110" i="87"/>
  <c r="AI110" i="87"/>
  <c r="AE106" i="87"/>
  <c r="AI106" i="87"/>
  <c r="BJ19" i="87"/>
  <c r="AE100" i="87"/>
  <c r="AI100" i="87"/>
  <c r="BJ13" i="87"/>
  <c r="BJ10" i="87"/>
  <c r="AE97" i="87"/>
  <c r="AI97" i="87"/>
  <c r="AE95" i="87"/>
  <c r="AI95" i="87"/>
  <c r="BJ8" i="87"/>
  <c r="AE93" i="87"/>
  <c r="AI93" i="87"/>
  <c r="BJ6" i="87"/>
  <c r="BJ8" i="84"/>
  <c r="AE95" i="84"/>
  <c r="AI95" i="84"/>
  <c r="BJ12" i="84"/>
  <c r="AE99" i="84"/>
  <c r="AI99" i="84"/>
  <c r="BJ16" i="84"/>
  <c r="AE103" i="84"/>
  <c r="AI103" i="84"/>
  <c r="BJ20" i="84"/>
  <c r="AE107" i="84"/>
  <c r="AI107" i="84"/>
  <c r="BJ24" i="84"/>
  <c r="AE111" i="84"/>
  <c r="AI111" i="84"/>
  <c r="AE115" i="84"/>
  <c r="AI115" i="84"/>
  <c r="BJ28" i="84"/>
  <c r="AE119" i="84"/>
  <c r="AI119" i="84"/>
  <c r="BJ32" i="84"/>
  <c r="AE93" i="84"/>
  <c r="AI93" i="84"/>
  <c r="BJ6" i="84"/>
  <c r="BJ43" i="84"/>
  <c r="AA95" i="84"/>
  <c r="E9" i="84"/>
  <c r="AH123" i="86"/>
  <c r="AI123" i="86"/>
  <c r="AC43" i="91"/>
  <c r="AC42" i="91"/>
  <c r="AA95" i="80"/>
  <c r="E9" i="80"/>
  <c r="Q54" i="82"/>
  <c r="AC43" i="92"/>
  <c r="AE104" i="89"/>
  <c r="AI104" i="89"/>
  <c r="BJ17" i="89"/>
  <c r="BJ31" i="89"/>
  <c r="AE118" i="89"/>
  <c r="AI118" i="89"/>
  <c r="AE102" i="89"/>
  <c r="AI102" i="89"/>
  <c r="BJ15" i="89"/>
  <c r="BJ17" i="88"/>
  <c r="AE104" i="88"/>
  <c r="AI104" i="88"/>
  <c r="BJ15" i="88"/>
  <c r="AE102" i="88"/>
  <c r="AI102" i="88"/>
  <c r="AE117" i="88"/>
  <c r="AI117" i="88"/>
  <c r="BJ30" i="88"/>
  <c r="BJ6" i="89"/>
  <c r="BJ43" i="89"/>
  <c r="AE93" i="89"/>
  <c r="AI93" i="89"/>
  <c r="BJ12" i="89"/>
  <c r="AE99" i="89"/>
  <c r="AI99" i="89"/>
  <c r="AE107" i="89"/>
  <c r="AI107" i="89"/>
  <c r="BJ20" i="89"/>
  <c r="AE114" i="89"/>
  <c r="AI114" i="89"/>
  <c r="BJ27" i="89"/>
  <c r="AE100" i="89"/>
  <c r="AI100" i="89"/>
  <c r="BJ13" i="89"/>
  <c r="AE109" i="89"/>
  <c r="AI109" i="89"/>
  <c r="BJ22" i="89"/>
  <c r="BJ30" i="89"/>
  <c r="AE117" i="89"/>
  <c r="AI117" i="89"/>
  <c r="BJ11" i="88"/>
  <c r="AE98" i="88"/>
  <c r="AI98" i="88"/>
  <c r="BJ22" i="88"/>
  <c r="AE109" i="88"/>
  <c r="AI109" i="88"/>
  <c r="BJ13" i="88"/>
  <c r="AE100" i="88"/>
  <c r="AI100" i="88"/>
  <c r="BJ18" i="88"/>
  <c r="AE105" i="88"/>
  <c r="AI105" i="88"/>
  <c r="BJ24" i="88"/>
  <c r="AE111" i="88"/>
  <c r="AI111" i="88"/>
  <c r="AE115" i="88"/>
  <c r="AI115" i="88"/>
  <c r="BJ28" i="88"/>
  <c r="AE119" i="88"/>
  <c r="AI119" i="88"/>
  <c r="BJ32" i="88"/>
  <c r="AA95" i="87"/>
  <c r="E9" i="87"/>
  <c r="BI85" i="89"/>
  <c r="BI86" i="89"/>
  <c r="BJ86" i="91"/>
  <c r="BJ42" i="91"/>
  <c r="BJ85" i="91"/>
  <c r="AH123" i="91"/>
  <c r="AI123" i="91"/>
  <c r="BJ29" i="92"/>
  <c r="AI116" i="92"/>
  <c r="AE116" i="92"/>
  <c r="AI112" i="92"/>
  <c r="AE112" i="92"/>
  <c r="BJ25" i="92"/>
  <c r="BJ22" i="92"/>
  <c r="AE109" i="92"/>
  <c r="AI109" i="92"/>
  <c r="BJ20" i="92"/>
  <c r="AE107" i="92"/>
  <c r="AI107" i="92"/>
  <c r="BJ18" i="92"/>
  <c r="AE105" i="92"/>
  <c r="AI105" i="92"/>
  <c r="BJ16" i="92"/>
  <c r="AE103" i="92"/>
  <c r="AI103" i="92"/>
  <c r="BJ14" i="92"/>
  <c r="AE101" i="92"/>
  <c r="AI101" i="92"/>
  <c r="BJ12" i="92"/>
  <c r="AE99" i="92"/>
  <c r="AI99" i="92"/>
  <c r="BJ10" i="92"/>
  <c r="AE97" i="92"/>
  <c r="AI97" i="92"/>
  <c r="BJ8" i="92"/>
  <c r="AE95" i="92"/>
  <c r="AI95" i="92"/>
  <c r="BJ6" i="92"/>
  <c r="AE93" i="92"/>
  <c r="AI93" i="92"/>
  <c r="BJ4" i="92"/>
  <c r="AE91" i="92"/>
  <c r="AI91" i="92"/>
  <c r="BJ34" i="92"/>
  <c r="AE121" i="92"/>
  <c r="AI121" i="92"/>
  <c r="BJ32" i="92"/>
  <c r="AE119" i="92"/>
  <c r="AI119" i="92"/>
  <c r="BJ28" i="92"/>
  <c r="AE115" i="92"/>
  <c r="AI115" i="92"/>
  <c r="AE110" i="92"/>
  <c r="AI110" i="92"/>
  <c r="BJ23" i="92"/>
  <c r="BJ11" i="82"/>
  <c r="AE98" i="82"/>
  <c r="AI98" i="82"/>
  <c r="BJ21" i="82"/>
  <c r="AE108" i="82"/>
  <c r="AI108" i="82"/>
  <c r="BJ7" i="82"/>
  <c r="AE94" i="82"/>
  <c r="AI94" i="82"/>
  <c r="BJ15" i="82"/>
  <c r="AE102" i="82"/>
  <c r="AI102" i="82"/>
  <c r="BJ22" i="82"/>
  <c r="AE109" i="82"/>
  <c r="AI109" i="82"/>
  <c r="AE115" i="82"/>
  <c r="AI115" i="82"/>
  <c r="BJ28" i="82"/>
  <c r="AE119" i="82"/>
  <c r="AI119" i="82"/>
  <c r="BJ32" i="82"/>
  <c r="BI8" i="82"/>
  <c r="AC95" i="82"/>
  <c r="AE117" i="80"/>
  <c r="AI117" i="80"/>
  <c r="BJ30" i="80"/>
  <c r="AE113" i="80"/>
  <c r="AI113" i="80"/>
  <c r="BJ26" i="80"/>
  <c r="AE109" i="80"/>
  <c r="AI109" i="80"/>
  <c r="BJ22" i="80"/>
  <c r="AE105" i="80"/>
  <c r="AI105" i="80"/>
  <c r="BJ18" i="80"/>
  <c r="AE101" i="80"/>
  <c r="AI101" i="80"/>
  <c r="BJ14" i="80"/>
  <c r="AE97" i="80"/>
  <c r="AI97" i="80"/>
  <c r="BJ10" i="80"/>
  <c r="AE93" i="80"/>
  <c r="AI93" i="80"/>
  <c r="BJ6" i="80"/>
  <c r="AE120" i="80"/>
  <c r="AI120" i="80"/>
  <c r="BJ33" i="80"/>
  <c r="AE116" i="80"/>
  <c r="AI116" i="80"/>
  <c r="BJ29" i="80"/>
  <c r="BJ25" i="80"/>
  <c r="AE112" i="80"/>
  <c r="AI112" i="80"/>
  <c r="AE108" i="80"/>
  <c r="AI108" i="80"/>
  <c r="BJ21" i="80"/>
  <c r="BJ17" i="80"/>
  <c r="AE104" i="80"/>
  <c r="AI104" i="80"/>
  <c r="AE100" i="80"/>
  <c r="AI100" i="80"/>
  <c r="BJ13" i="80"/>
  <c r="AE96" i="80"/>
  <c r="AI96" i="80"/>
  <c r="BJ9" i="80"/>
  <c r="AE92" i="80"/>
  <c r="AI92" i="80"/>
  <c r="BJ5" i="80"/>
  <c r="E68" i="89"/>
  <c r="F68" i="89"/>
  <c r="Q52" i="89"/>
  <c r="P40" i="89"/>
  <c r="E68" i="84"/>
  <c r="F68" i="84"/>
  <c r="Q52" i="84"/>
  <c r="E83" i="87"/>
  <c r="BH86" i="87"/>
  <c r="BH42" i="87"/>
  <c r="BH85" i="87"/>
  <c r="BJ7" i="84"/>
  <c r="AE94" i="84"/>
  <c r="AI94" i="84"/>
  <c r="BJ11" i="84"/>
  <c r="AE98" i="84"/>
  <c r="AI98" i="84"/>
  <c r="BJ15" i="84"/>
  <c r="AE102" i="84"/>
  <c r="AI102" i="84"/>
  <c r="BJ19" i="84"/>
  <c r="AE106" i="84"/>
  <c r="AI106" i="84"/>
  <c r="BJ23" i="84"/>
  <c r="AE110" i="84"/>
  <c r="AI110" i="84"/>
  <c r="AE114" i="84"/>
  <c r="AI114" i="84"/>
  <c r="BJ27" i="84"/>
  <c r="AE118" i="84"/>
  <c r="AI118" i="84"/>
  <c r="BJ31" i="84"/>
  <c r="E10" i="86"/>
  <c r="AA96" i="86"/>
  <c r="AC43" i="87"/>
  <c r="AC42" i="87"/>
  <c r="BI7" i="78"/>
  <c r="AC94" i="78"/>
  <c r="E83" i="78"/>
  <c r="Q54" i="80"/>
  <c r="BJ8" i="89"/>
  <c r="AE95" i="89"/>
  <c r="AI95" i="89"/>
  <c r="AE103" i="89"/>
  <c r="AI103" i="89"/>
  <c r="BJ16" i="89"/>
  <c r="AE108" i="89"/>
  <c r="AI108" i="89"/>
  <c r="BJ21" i="89"/>
  <c r="BJ29" i="89"/>
  <c r="AE116" i="89"/>
  <c r="AI116" i="89"/>
  <c r="AE96" i="89"/>
  <c r="AI96" i="89"/>
  <c r="BJ9" i="89"/>
  <c r="AE106" i="89"/>
  <c r="AI106" i="89"/>
  <c r="BJ19" i="89"/>
  <c r="BJ28" i="89"/>
  <c r="AE115" i="89"/>
  <c r="AI115" i="89"/>
  <c r="BI43" i="89"/>
  <c r="BJ10" i="88"/>
  <c r="AE97" i="88"/>
  <c r="AI97" i="88"/>
  <c r="BJ21" i="88"/>
  <c r="AE108" i="88"/>
  <c r="AI108" i="88"/>
  <c r="BJ9" i="88"/>
  <c r="BJ43" i="88"/>
  <c r="AE96" i="88"/>
  <c r="AI96" i="88"/>
  <c r="BJ16" i="88"/>
  <c r="AE103" i="88"/>
  <c r="AI103" i="88"/>
  <c r="BJ23" i="88"/>
  <c r="AE110" i="88"/>
  <c r="AI110" i="88"/>
  <c r="BJ27" i="88"/>
  <c r="AE114" i="88"/>
  <c r="AI114" i="88"/>
  <c r="AE118" i="88"/>
  <c r="AI118" i="88"/>
  <c r="BJ31" i="88"/>
  <c r="BI8" i="88"/>
  <c r="AC95" i="88"/>
  <c r="BJ33" i="76"/>
  <c r="AE120" i="76"/>
  <c r="AI120" i="76"/>
  <c r="AE110" i="76"/>
  <c r="AI110" i="76"/>
  <c r="BJ23" i="76"/>
  <c r="AI99" i="76"/>
  <c r="BJ12" i="76"/>
  <c r="AE99" i="76"/>
  <c r="AE93" i="76"/>
  <c r="BJ6" i="76"/>
  <c r="AI93" i="76"/>
  <c r="AE95" i="76"/>
  <c r="BJ8" i="76"/>
  <c r="AI95" i="76"/>
  <c r="BJ32" i="76"/>
  <c r="AI119" i="76"/>
  <c r="AE119" i="76"/>
  <c r="BJ30" i="76"/>
  <c r="AI117" i="76"/>
  <c r="AE117" i="76"/>
  <c r="BJ28" i="76"/>
  <c r="AI115" i="76"/>
  <c r="AE115" i="76"/>
  <c r="AI113" i="76"/>
  <c r="AE113" i="76"/>
  <c r="BJ26" i="76"/>
  <c r="AI109" i="76"/>
  <c r="AE109" i="76"/>
  <c r="BJ22" i="76"/>
  <c r="AI107" i="76"/>
  <c r="AE107" i="76"/>
  <c r="BJ20" i="76"/>
  <c r="AI105" i="76"/>
  <c r="AE105" i="76"/>
  <c r="BJ18" i="76"/>
  <c r="AI102" i="76"/>
  <c r="AE102" i="76"/>
  <c r="BJ15" i="76"/>
  <c r="AI100" i="76"/>
  <c r="AE100" i="76"/>
  <c r="BJ13" i="76"/>
  <c r="AI94" i="76"/>
  <c r="AE94" i="76"/>
  <c r="BJ7" i="76"/>
  <c r="AH123" i="93"/>
  <c r="AI123" i="93"/>
  <c r="BI86" i="93"/>
  <c r="BI42" i="93"/>
  <c r="BI85" i="93"/>
  <c r="BJ6" i="82"/>
  <c r="BJ43" i="82"/>
  <c r="AE93" i="82"/>
  <c r="AI93" i="82"/>
  <c r="BJ12" i="82"/>
  <c r="AE99" i="82"/>
  <c r="AI99" i="82"/>
  <c r="BJ23" i="82"/>
  <c r="AE110" i="82"/>
  <c r="AI110" i="82"/>
  <c r="BJ9" i="82"/>
  <c r="BJ85" i="82"/>
  <c r="AE96" i="82"/>
  <c r="AI123" i="82"/>
  <c r="AI96" i="82"/>
  <c r="BJ16" i="82"/>
  <c r="AE103" i="82"/>
  <c r="AI103" i="82"/>
  <c r="BJ25" i="82"/>
  <c r="AE112" i="82"/>
  <c r="AI112" i="82"/>
  <c r="AE116" i="82"/>
  <c r="AI116" i="82"/>
  <c r="BJ29" i="82"/>
  <c r="AE120" i="82"/>
  <c r="AI120" i="82"/>
  <c r="BJ33" i="82"/>
  <c r="AE118" i="78"/>
  <c r="AI118" i="78"/>
  <c r="BJ31" i="78"/>
  <c r="AE114" i="78"/>
  <c r="AI114" i="78"/>
  <c r="BJ27" i="78"/>
  <c r="AE110" i="78"/>
  <c r="AI110" i="78"/>
  <c r="BJ23" i="78"/>
  <c r="AE106" i="78"/>
  <c r="AI106" i="78"/>
  <c r="BJ19" i="78"/>
  <c r="AE102" i="78"/>
  <c r="AI102" i="78"/>
  <c r="BJ15" i="78"/>
  <c r="AE98" i="78"/>
  <c r="AI98" i="78"/>
  <c r="BJ11" i="78"/>
  <c r="AE94" i="78"/>
  <c r="AI94" i="78"/>
  <c r="BJ7" i="78"/>
  <c r="AE121" i="78"/>
  <c r="AI121" i="78"/>
  <c r="BJ34" i="78"/>
  <c r="AE117" i="78"/>
  <c r="AI117" i="78"/>
  <c r="BJ30" i="78"/>
  <c r="AE113" i="78"/>
  <c r="AI113" i="78"/>
  <c r="BJ26" i="78"/>
  <c r="AE109" i="78"/>
  <c r="AI109" i="78"/>
  <c r="BJ22" i="78"/>
  <c r="AE105" i="78"/>
  <c r="BJ18" i="78"/>
  <c r="AI105" i="78"/>
  <c r="AE101" i="78"/>
  <c r="BJ14" i="78"/>
  <c r="AI101" i="78"/>
  <c r="AE97" i="78"/>
  <c r="AI97" i="78"/>
  <c r="BJ10" i="78"/>
  <c r="AE93" i="78"/>
  <c r="AI93" i="78"/>
  <c r="BJ6" i="78"/>
  <c r="Q52" i="91"/>
  <c r="E68" i="91"/>
  <c r="F68" i="91"/>
  <c r="BH43" i="87"/>
  <c r="BJ31" i="87"/>
  <c r="AE118" i="87"/>
  <c r="AI118" i="87"/>
  <c r="BJ27" i="87"/>
  <c r="AE114" i="87"/>
  <c r="AI114" i="87"/>
  <c r="AE111" i="87"/>
  <c r="AI111" i="87"/>
  <c r="BJ24" i="87"/>
  <c r="AE107" i="87"/>
  <c r="AI107" i="87"/>
  <c r="BJ20" i="87"/>
  <c r="AI104" i="87"/>
  <c r="AE104" i="87"/>
  <c r="BJ17" i="87"/>
  <c r="AI101" i="87"/>
  <c r="AE101" i="87"/>
  <c r="BJ14" i="87"/>
  <c r="AE121" i="87"/>
  <c r="AI121" i="87"/>
  <c r="BJ34" i="87"/>
  <c r="AE117" i="87"/>
  <c r="AI117" i="87"/>
  <c r="BJ30" i="87"/>
  <c r="AE113" i="87"/>
  <c r="AI113" i="87"/>
  <c r="BJ26" i="87"/>
  <c r="AE109" i="87"/>
  <c r="AI109" i="87"/>
  <c r="BJ22" i="87"/>
  <c r="AE102" i="87"/>
  <c r="AI102" i="87"/>
  <c r="BJ15" i="87"/>
  <c r="AE99" i="87"/>
  <c r="AI99" i="87"/>
  <c r="BJ12" i="87"/>
  <c r="BJ9" i="87"/>
  <c r="AE96" i="87"/>
  <c r="AI96" i="87"/>
  <c r="AE94" i="87"/>
  <c r="AI94" i="87"/>
  <c r="BJ7" i="87"/>
  <c r="BJ10" i="84"/>
  <c r="AE97" i="84"/>
  <c r="AI97" i="84"/>
  <c r="BJ14" i="84"/>
  <c r="AE101" i="84"/>
  <c r="AI101" i="84"/>
  <c r="BJ18" i="84"/>
  <c r="AE105" i="84"/>
  <c r="AI105" i="84"/>
  <c r="BJ22" i="84"/>
  <c r="AE109" i="84"/>
  <c r="AI109" i="84"/>
  <c r="AE113" i="84"/>
  <c r="AI113" i="84"/>
  <c r="BJ26" i="84"/>
  <c r="AE117" i="84"/>
  <c r="AI117" i="84"/>
  <c r="BJ30" i="84"/>
  <c r="AE121" i="84"/>
  <c r="AI121" i="84"/>
  <c r="BJ34" i="84"/>
  <c r="AC94" i="84"/>
  <c r="BI7" i="84"/>
  <c r="BI7" i="80"/>
  <c r="AC94" i="80"/>
  <c r="Q52" i="82"/>
  <c r="E68" i="82"/>
  <c r="F68" i="82"/>
  <c r="AH123" i="82"/>
  <c r="BJ86" i="76"/>
  <c r="BJ85" i="76"/>
  <c r="AI123" i="89"/>
  <c r="AH123" i="89"/>
  <c r="AH123" i="92"/>
  <c r="AI123" i="92"/>
  <c r="AC95" i="87"/>
  <c r="BI8" i="87"/>
  <c r="BJ86" i="82"/>
  <c r="BJ42" i="82"/>
  <c r="AA96" i="80"/>
  <c r="E10" i="80"/>
  <c r="BI8" i="84"/>
  <c r="AC95" i="84"/>
  <c r="BJ86" i="84"/>
  <c r="BJ85" i="84"/>
  <c r="BJ85" i="87"/>
  <c r="BJ86" i="87"/>
  <c r="BJ42" i="87"/>
  <c r="AI123" i="87"/>
  <c r="AH123" i="87"/>
  <c r="BJ85" i="78"/>
  <c r="BJ86" i="78"/>
  <c r="AH123" i="78"/>
  <c r="AI123" i="78"/>
  <c r="BJ42" i="93"/>
  <c r="AA97" i="88"/>
  <c r="E11" i="88"/>
  <c r="AA96" i="78"/>
  <c r="E10" i="78"/>
  <c r="BJ85" i="80"/>
  <c r="BJ86" i="80"/>
  <c r="BJ42" i="80"/>
  <c r="AI123" i="80"/>
  <c r="AH123" i="80"/>
  <c r="BI9" i="82"/>
  <c r="AC96" i="82"/>
  <c r="AI123" i="88"/>
  <c r="AH123" i="88"/>
  <c r="AC96" i="86"/>
  <c r="BI9" i="86"/>
  <c r="AI123" i="76"/>
  <c r="AH123" i="76"/>
  <c r="BJ86" i="89"/>
  <c r="BJ85" i="89"/>
  <c r="E11" i="86"/>
  <c r="AA97" i="86"/>
  <c r="BJ43" i="92"/>
  <c r="BJ85" i="92"/>
  <c r="BJ86" i="92"/>
  <c r="BI42" i="89"/>
  <c r="AA96" i="87"/>
  <c r="E10" i="87"/>
  <c r="BI8" i="80"/>
  <c r="AC95" i="80"/>
  <c r="AA96" i="84"/>
  <c r="E10" i="84"/>
  <c r="AI123" i="84"/>
  <c r="AH123" i="84"/>
  <c r="BJ43" i="87"/>
  <c r="BJ43" i="78"/>
  <c r="BJ43" i="76"/>
  <c r="BI9" i="88"/>
  <c r="AC96" i="88"/>
  <c r="Q54" i="78"/>
  <c r="BI8" i="78"/>
  <c r="AC95" i="78"/>
  <c r="Q54" i="87"/>
  <c r="BJ43" i="80"/>
  <c r="E11" i="82"/>
  <c r="AA97" i="82"/>
  <c r="BJ86" i="88"/>
  <c r="BJ85" i="88"/>
  <c r="BI10" i="82"/>
  <c r="AC97" i="82"/>
  <c r="AA97" i="87"/>
  <c r="E11" i="87"/>
  <c r="BI10" i="88"/>
  <c r="AC97" i="88"/>
  <c r="BJ42" i="88"/>
  <c r="E12" i="82"/>
  <c r="AA98" i="82"/>
  <c r="BI9" i="84"/>
  <c r="AC96" i="84"/>
  <c r="AC96" i="87"/>
  <c r="BI9" i="87"/>
  <c r="BJ42" i="92"/>
  <c r="AC97" i="86"/>
  <c r="BI10" i="86"/>
  <c r="BJ42" i="89"/>
  <c r="BI9" i="78"/>
  <c r="AC96" i="78"/>
  <c r="E12" i="88"/>
  <c r="AA98" i="88"/>
  <c r="BJ42" i="78"/>
  <c r="BJ42" i="84"/>
  <c r="AA97" i="80"/>
  <c r="E11" i="80"/>
  <c r="BJ42" i="76"/>
  <c r="AA97" i="84"/>
  <c r="E11" i="84"/>
  <c r="E12" i="86"/>
  <c r="AA98" i="86"/>
  <c r="AA97" i="78"/>
  <c r="E11" i="78"/>
  <c r="BI9" i="80"/>
  <c r="AC96" i="80"/>
  <c r="E13" i="86"/>
  <c r="AA99" i="86"/>
  <c r="AA98" i="84"/>
  <c r="E12" i="84"/>
  <c r="AA98" i="80"/>
  <c r="E12" i="80"/>
  <c r="AA98" i="78"/>
  <c r="E12" i="78"/>
  <c r="AC98" i="86"/>
  <c r="BI11" i="86"/>
  <c r="BI10" i="84"/>
  <c r="AC97" i="84"/>
  <c r="BI10" i="80"/>
  <c r="AC97" i="80"/>
  <c r="AA99" i="88"/>
  <c r="E13" i="88"/>
  <c r="E1" i="92"/>
  <c r="BI11" i="82"/>
  <c r="AC98" i="82"/>
  <c r="AC97" i="87"/>
  <c r="BI10" i="87"/>
  <c r="BI10" i="78"/>
  <c r="AC97" i="78"/>
  <c r="BI11" i="88"/>
  <c r="AC98" i="88"/>
  <c r="E13" i="82"/>
  <c r="AA99" i="82"/>
  <c r="AA98" i="87"/>
  <c r="E12" i="87"/>
  <c r="BI12" i="88"/>
  <c r="AC99" i="88"/>
  <c r="AA99" i="78"/>
  <c r="E13" i="78"/>
  <c r="BI11" i="80"/>
  <c r="AC98" i="80"/>
  <c r="AA99" i="84"/>
  <c r="E13" i="84"/>
  <c r="E14" i="86"/>
  <c r="AA100" i="86"/>
  <c r="BI11" i="87"/>
  <c r="AC98" i="87"/>
  <c r="E14" i="82"/>
  <c r="AA100" i="82"/>
  <c r="AA99" i="87"/>
  <c r="E13" i="87"/>
  <c r="BI12" i="82"/>
  <c r="AC99" i="82"/>
  <c r="E14" i="88"/>
  <c r="AA100" i="88"/>
  <c r="BI11" i="78"/>
  <c r="AC98" i="78"/>
  <c r="AA99" i="80"/>
  <c r="E13" i="80"/>
  <c r="BI11" i="84"/>
  <c r="AC98" i="84"/>
  <c r="AC99" i="86"/>
  <c r="BI12" i="86"/>
  <c r="BI13" i="88"/>
  <c r="AC100" i="88"/>
  <c r="AA100" i="80"/>
  <c r="E14" i="80"/>
  <c r="E15" i="88"/>
  <c r="AA101" i="88"/>
  <c r="AA100" i="87"/>
  <c r="E14" i="87"/>
  <c r="BI13" i="82"/>
  <c r="AC100" i="82"/>
  <c r="AC100" i="86"/>
  <c r="BI13" i="86"/>
  <c r="AA100" i="84"/>
  <c r="E14" i="84"/>
  <c r="AA100" i="78"/>
  <c r="E14" i="78"/>
  <c r="BI12" i="80"/>
  <c r="AC99" i="80"/>
  <c r="BI12" i="87"/>
  <c r="AC99" i="87"/>
  <c r="E15" i="82"/>
  <c r="AA101" i="82"/>
  <c r="E15" i="86"/>
  <c r="AA101" i="86"/>
  <c r="BI12" i="84"/>
  <c r="AC99" i="84"/>
  <c r="BI12" i="78"/>
  <c r="AC99" i="78"/>
  <c r="AC101" i="86"/>
  <c r="BI14" i="86"/>
  <c r="BI14" i="82"/>
  <c r="AC101" i="82"/>
  <c r="AA101" i="78"/>
  <c r="E15" i="78"/>
  <c r="AA101" i="84"/>
  <c r="E15" i="84"/>
  <c r="AA101" i="87"/>
  <c r="E15" i="87"/>
  <c r="BI14" i="88"/>
  <c r="AC101" i="88"/>
  <c r="AA101" i="80"/>
  <c r="E15" i="80"/>
  <c r="E16" i="86"/>
  <c r="AA102" i="86"/>
  <c r="E16" i="82"/>
  <c r="AA102" i="82"/>
  <c r="BI13" i="78"/>
  <c r="AC100" i="78"/>
  <c r="BI13" i="84"/>
  <c r="AC100" i="84"/>
  <c r="BI13" i="87"/>
  <c r="AC100" i="87"/>
  <c r="E16" i="88"/>
  <c r="AA102" i="88"/>
  <c r="BI13" i="80"/>
  <c r="AC100" i="80"/>
  <c r="E17" i="88"/>
  <c r="AA103" i="88"/>
  <c r="BI15" i="82"/>
  <c r="AC102" i="82"/>
  <c r="E17" i="86"/>
  <c r="AA103" i="86"/>
  <c r="AA102" i="80"/>
  <c r="E16" i="80"/>
  <c r="AA102" i="87"/>
  <c r="E16" i="87"/>
  <c r="AA102" i="84"/>
  <c r="E16" i="84"/>
  <c r="AA102" i="78"/>
  <c r="E16" i="78"/>
  <c r="BI15" i="88"/>
  <c r="AC102" i="88"/>
  <c r="E17" i="82"/>
  <c r="AA103" i="82"/>
  <c r="AC102" i="86"/>
  <c r="BI15" i="86"/>
  <c r="BI14" i="80"/>
  <c r="AC101" i="80"/>
  <c r="BI14" i="87"/>
  <c r="AC101" i="87"/>
  <c r="BI14" i="84"/>
  <c r="AC101" i="84"/>
  <c r="BI14" i="78"/>
  <c r="AC101" i="78"/>
  <c r="BI16" i="82"/>
  <c r="AC103" i="82"/>
  <c r="BI15" i="78"/>
  <c r="AC102" i="78"/>
  <c r="BI15" i="84"/>
  <c r="AC102" i="84"/>
  <c r="BI15" i="87"/>
  <c r="AC102" i="87"/>
  <c r="BI15" i="80"/>
  <c r="AC102" i="80"/>
  <c r="AC103" i="86"/>
  <c r="BI16" i="86"/>
  <c r="E18" i="88"/>
  <c r="AA104" i="88"/>
  <c r="E18" i="82"/>
  <c r="AA104" i="82"/>
  <c r="AA103" i="78"/>
  <c r="E17" i="78"/>
  <c r="AA103" i="84"/>
  <c r="E17" i="84"/>
  <c r="AA103" i="87"/>
  <c r="E17" i="87"/>
  <c r="AA103" i="80"/>
  <c r="E17" i="80"/>
  <c r="E18" i="86"/>
  <c r="AA104" i="86"/>
  <c r="BI16" i="88"/>
  <c r="AC103" i="88"/>
  <c r="E19" i="86"/>
  <c r="AA105" i="86"/>
  <c r="BI16" i="80"/>
  <c r="AC103" i="80"/>
  <c r="AA104" i="87"/>
  <c r="E18" i="87"/>
  <c r="AA104" i="84"/>
  <c r="E18" i="84"/>
  <c r="BI16" i="78"/>
  <c r="AC103" i="78"/>
  <c r="E19" i="82"/>
  <c r="AA105" i="82"/>
  <c r="BI17" i="88"/>
  <c r="AC104" i="88"/>
  <c r="AC104" i="86"/>
  <c r="BI17" i="86"/>
  <c r="AA104" i="80"/>
  <c r="E18" i="80"/>
  <c r="BI16" i="87"/>
  <c r="AC103" i="87"/>
  <c r="BI16" i="84"/>
  <c r="AC103" i="84"/>
  <c r="AA104" i="78"/>
  <c r="E18" i="78"/>
  <c r="BI17" i="82"/>
  <c r="AC104" i="82"/>
  <c r="E19" i="88"/>
  <c r="AA105" i="88"/>
  <c r="BI18" i="88"/>
  <c r="AC105" i="88"/>
  <c r="AA105" i="78"/>
  <c r="E19" i="78"/>
  <c r="BI17" i="80"/>
  <c r="AC104" i="80"/>
  <c r="E20" i="82"/>
  <c r="AA106" i="82"/>
  <c r="AA105" i="84"/>
  <c r="E19" i="84"/>
  <c r="BI17" i="87"/>
  <c r="AC104" i="87"/>
  <c r="AC105" i="86"/>
  <c r="BI18" i="86"/>
  <c r="E20" i="88"/>
  <c r="AA106" i="88"/>
  <c r="BI17" i="78"/>
  <c r="AC104" i="78"/>
  <c r="AA105" i="80"/>
  <c r="E19" i="80"/>
  <c r="BI18" i="82"/>
  <c r="AC105" i="82"/>
  <c r="BI17" i="84"/>
  <c r="AC104" i="84"/>
  <c r="AA105" i="87"/>
  <c r="E19" i="87"/>
  <c r="E20" i="86"/>
  <c r="AA106" i="86"/>
  <c r="AC106" i="86"/>
  <c r="BI19" i="86"/>
  <c r="BI18" i="87"/>
  <c r="AC105" i="87"/>
  <c r="BI18" i="80"/>
  <c r="AC105" i="80"/>
  <c r="BI19" i="88"/>
  <c r="AC106" i="88"/>
  <c r="BI18" i="84"/>
  <c r="AC105" i="84"/>
  <c r="E21" i="82"/>
  <c r="AA107" i="82"/>
  <c r="BI18" i="78"/>
  <c r="AC105" i="78"/>
  <c r="E21" i="86"/>
  <c r="AA107" i="86"/>
  <c r="AA106" i="87"/>
  <c r="E20" i="87"/>
  <c r="AA106" i="80"/>
  <c r="E20" i="80"/>
  <c r="E21" i="88"/>
  <c r="AA107" i="88"/>
  <c r="AA106" i="84"/>
  <c r="E20" i="84"/>
  <c r="BI19" i="82"/>
  <c r="AC106" i="82"/>
  <c r="AA106" i="78"/>
  <c r="E20" i="78"/>
  <c r="BI19" i="78"/>
  <c r="AC106" i="78"/>
  <c r="BI19" i="84"/>
  <c r="AC106" i="84"/>
  <c r="E22" i="88"/>
  <c r="AA108" i="88"/>
  <c r="BI19" i="80"/>
  <c r="AC106" i="80"/>
  <c r="BI19" i="87"/>
  <c r="AC106" i="87"/>
  <c r="AC107" i="86"/>
  <c r="BI20" i="86"/>
  <c r="BI20" i="82"/>
  <c r="AC107" i="82"/>
  <c r="AA107" i="78"/>
  <c r="E21" i="78"/>
  <c r="AA107" i="84"/>
  <c r="E21" i="84"/>
  <c r="BI20" i="88"/>
  <c r="AC107" i="88"/>
  <c r="AA107" i="80"/>
  <c r="E21" i="80"/>
  <c r="AA107" i="87"/>
  <c r="E21" i="87"/>
  <c r="E22" i="86"/>
  <c r="AA108" i="86"/>
  <c r="E22" i="82"/>
  <c r="AA108" i="82"/>
  <c r="E23" i="82"/>
  <c r="AA109" i="82"/>
  <c r="AC108" i="86"/>
  <c r="BI21" i="86"/>
  <c r="AA108" i="87"/>
  <c r="E22" i="87"/>
  <c r="BI20" i="80"/>
  <c r="AC107" i="80"/>
  <c r="AC107" i="84"/>
  <c r="BI20" i="84"/>
  <c r="AA108" i="78"/>
  <c r="E22" i="78"/>
  <c r="AA109" i="88"/>
  <c r="E23" i="88"/>
  <c r="BI21" i="82"/>
  <c r="AC108" i="82"/>
  <c r="E23" i="86"/>
  <c r="AA109" i="86"/>
  <c r="BI20" i="87"/>
  <c r="AC107" i="87"/>
  <c r="AA108" i="80"/>
  <c r="E22" i="80"/>
  <c r="AA108" i="84"/>
  <c r="E22" i="84"/>
  <c r="BI20" i="78"/>
  <c r="AC107" i="78"/>
  <c r="BI21" i="88"/>
  <c r="AC108" i="88"/>
  <c r="AC108" i="84"/>
  <c r="BI21" i="84"/>
  <c r="AA109" i="80"/>
  <c r="E23" i="80"/>
  <c r="E24" i="86"/>
  <c r="AA110" i="86"/>
  <c r="BI22" i="88"/>
  <c r="AC109" i="88"/>
  <c r="BI21" i="78"/>
  <c r="AC108" i="78"/>
  <c r="BI21" i="87"/>
  <c r="AC108" i="87"/>
  <c r="E24" i="82"/>
  <c r="AA110" i="82"/>
  <c r="AA109" i="84"/>
  <c r="E23" i="84"/>
  <c r="BI21" i="80"/>
  <c r="AC108" i="80"/>
  <c r="AC109" i="86"/>
  <c r="BI22" i="86"/>
  <c r="E24" i="88"/>
  <c r="AA110" i="88"/>
  <c r="AA109" i="78"/>
  <c r="E23" i="78"/>
  <c r="E23" i="87"/>
  <c r="AA109" i="87"/>
  <c r="BI22" i="82"/>
  <c r="AC109" i="82"/>
  <c r="BI22" i="87"/>
  <c r="AC109" i="87"/>
  <c r="BI22" i="78"/>
  <c r="AC109" i="78"/>
  <c r="BI23" i="88"/>
  <c r="AC110" i="88"/>
  <c r="AA110" i="84"/>
  <c r="E24" i="84"/>
  <c r="BI23" i="82"/>
  <c r="AC110" i="82"/>
  <c r="E25" i="86"/>
  <c r="AA111" i="86"/>
  <c r="BI22" i="80"/>
  <c r="AC109" i="80"/>
  <c r="E24" i="87"/>
  <c r="AA110" i="87"/>
  <c r="AA110" i="78"/>
  <c r="E24" i="78"/>
  <c r="E25" i="88"/>
  <c r="AA111" i="88"/>
  <c r="AC109" i="84"/>
  <c r="BI22" i="84"/>
  <c r="E25" i="82"/>
  <c r="AA111" i="82"/>
  <c r="AC110" i="86"/>
  <c r="BI23" i="86"/>
  <c r="AA110" i="80"/>
  <c r="E24" i="80"/>
  <c r="AA111" i="80"/>
  <c r="E25" i="80"/>
  <c r="BI24" i="82"/>
  <c r="AC111" i="82"/>
  <c r="BI24" i="88"/>
  <c r="AC111" i="88"/>
  <c r="BI23" i="78"/>
  <c r="AC110" i="78"/>
  <c r="BI23" i="87"/>
  <c r="AC110" i="87"/>
  <c r="E26" i="86"/>
  <c r="AA112" i="86"/>
  <c r="AC110" i="84"/>
  <c r="BI23" i="84"/>
  <c r="BI23" i="80"/>
  <c r="AC110" i="80"/>
  <c r="E26" i="82"/>
  <c r="AA112" i="82"/>
  <c r="E26" i="88"/>
  <c r="AA112" i="88"/>
  <c r="AA111" i="78"/>
  <c r="E25" i="78"/>
  <c r="E25" i="87"/>
  <c r="AA111" i="87"/>
  <c r="AC111" i="86"/>
  <c r="BI24" i="86"/>
  <c r="AA111" i="84"/>
  <c r="E25" i="84"/>
  <c r="AC111" i="84"/>
  <c r="BI24" i="84"/>
  <c r="BI24" i="87"/>
  <c r="AC111" i="87"/>
  <c r="AA112" i="78"/>
  <c r="E26" i="78"/>
  <c r="AA112" i="84"/>
  <c r="E26" i="84"/>
  <c r="E26" i="87"/>
  <c r="AA112" i="87"/>
  <c r="BI24" i="78"/>
  <c r="AC111" i="78"/>
  <c r="BI25" i="88"/>
  <c r="AC112" i="88"/>
  <c r="BI25" i="82"/>
  <c r="AC112" i="82"/>
  <c r="E27" i="86"/>
  <c r="AA113" i="86"/>
  <c r="AA112" i="80"/>
  <c r="E26" i="80"/>
  <c r="E27" i="88"/>
  <c r="AA113" i="88"/>
  <c r="E27" i="82"/>
  <c r="AA113" i="82"/>
  <c r="AC112" i="86"/>
  <c r="BI25" i="86"/>
  <c r="BI24" i="80"/>
  <c r="AC111" i="80"/>
  <c r="E28" i="82"/>
  <c r="AA114" i="82"/>
  <c r="BI26" i="88"/>
  <c r="AC113" i="88"/>
  <c r="BI26" i="82"/>
  <c r="AC113" i="82"/>
  <c r="E28" i="88"/>
  <c r="AA114" i="88"/>
  <c r="BI25" i="80"/>
  <c r="AC112" i="80"/>
  <c r="AC113" i="86"/>
  <c r="BI26" i="86"/>
  <c r="E27" i="87"/>
  <c r="AA113" i="87"/>
  <c r="AA113" i="84"/>
  <c r="E27" i="84"/>
  <c r="AA113" i="78"/>
  <c r="E27" i="78"/>
  <c r="AA113" i="80"/>
  <c r="E27" i="80"/>
  <c r="E28" i="86"/>
  <c r="AA114" i="86"/>
  <c r="BI25" i="87"/>
  <c r="AC112" i="87"/>
  <c r="AC112" i="84"/>
  <c r="BI25" i="84"/>
  <c r="BI25" i="78"/>
  <c r="AC112" i="78"/>
  <c r="E29" i="86"/>
  <c r="AA115" i="86"/>
  <c r="AA114" i="80"/>
  <c r="E28" i="80"/>
  <c r="BI26" i="78"/>
  <c r="AC113" i="78"/>
  <c r="AC113" i="84"/>
  <c r="BI26" i="84"/>
  <c r="BI26" i="87"/>
  <c r="AC113" i="87"/>
  <c r="E29" i="88"/>
  <c r="AA115" i="88"/>
  <c r="E29" i="82"/>
  <c r="AA115" i="82"/>
  <c r="AC114" i="86"/>
  <c r="BI27" i="86"/>
  <c r="BI26" i="80"/>
  <c r="AC113" i="80"/>
  <c r="AA114" i="78"/>
  <c r="E28" i="78"/>
  <c r="AA114" i="84"/>
  <c r="E28" i="84"/>
  <c r="E28" i="87"/>
  <c r="AA114" i="87"/>
  <c r="BI27" i="88"/>
  <c r="AC114" i="88"/>
  <c r="BI27" i="82"/>
  <c r="AC114" i="82"/>
  <c r="BI27" i="87"/>
  <c r="AC114" i="87"/>
  <c r="AA115" i="84"/>
  <c r="E29" i="84"/>
  <c r="BI27" i="78"/>
  <c r="AC114" i="78"/>
  <c r="E30" i="82"/>
  <c r="AA116" i="82"/>
  <c r="BI28" i="88"/>
  <c r="AC115" i="88"/>
  <c r="AA115" i="80"/>
  <c r="E29" i="80"/>
  <c r="E30" i="86"/>
  <c r="AA116" i="86"/>
  <c r="E29" i="87"/>
  <c r="AA115" i="87"/>
  <c r="AC114" i="84"/>
  <c r="BI27" i="84"/>
  <c r="AA115" i="78"/>
  <c r="E29" i="78"/>
  <c r="BI28" i="82"/>
  <c r="AC115" i="82"/>
  <c r="E30" i="88"/>
  <c r="AA116" i="88"/>
  <c r="BI27" i="80"/>
  <c r="AC114" i="80"/>
  <c r="AC115" i="86"/>
  <c r="BI28" i="86"/>
  <c r="BI29" i="88"/>
  <c r="AC116" i="88"/>
  <c r="AA116" i="78"/>
  <c r="E30" i="78"/>
  <c r="E30" i="87"/>
  <c r="AA116" i="87"/>
  <c r="AC116" i="86"/>
  <c r="BI29" i="86"/>
  <c r="BI28" i="80"/>
  <c r="AC115" i="80"/>
  <c r="E31" i="82"/>
  <c r="AA117" i="82"/>
  <c r="AC115" i="84"/>
  <c r="BI28" i="84"/>
  <c r="E31" i="88"/>
  <c r="AA117" i="88"/>
  <c r="BI28" i="78"/>
  <c r="AC115" i="78"/>
  <c r="BI28" i="87"/>
  <c r="AC115" i="87"/>
  <c r="E31" i="86"/>
  <c r="AA117" i="86"/>
  <c r="AN106" i="86" a="1"/>
  <c r="AN106" i="86"/>
  <c r="AA116" i="80"/>
  <c r="E30" i="80"/>
  <c r="BI29" i="82"/>
  <c r="AC116" i="82"/>
  <c r="AA116" i="84"/>
  <c r="E30" i="84"/>
  <c r="AC116" i="84"/>
  <c r="BI29" i="84"/>
  <c r="AA117" i="80"/>
  <c r="E31" i="80"/>
  <c r="AA118" i="86"/>
  <c r="AN105" i="86" a="1"/>
  <c r="AN105" i="86"/>
  <c r="BI30" i="88"/>
  <c r="AC117" i="88"/>
  <c r="BI30" i="82"/>
  <c r="AC117" i="82"/>
  <c r="E31" i="87"/>
  <c r="AA117" i="87"/>
  <c r="BI29" i="78"/>
  <c r="AC116" i="78"/>
  <c r="AA117" i="84"/>
  <c r="E31" i="84"/>
  <c r="BI29" i="80"/>
  <c r="AC116" i="80"/>
  <c r="AC117" i="86"/>
  <c r="BI30" i="86"/>
  <c r="E32" i="88"/>
  <c r="AA118" i="88"/>
  <c r="E32" i="82"/>
  <c r="AA118" i="82"/>
  <c r="BI29" i="87"/>
  <c r="AC116" i="87"/>
  <c r="AA117" i="78"/>
  <c r="E31" i="78"/>
  <c r="AA118" i="78"/>
  <c r="E32" i="78"/>
  <c r="BI30" i="78"/>
  <c r="AC117" i="78"/>
  <c r="E33" i="82"/>
  <c r="AA119" i="82"/>
  <c r="BI31" i="88"/>
  <c r="AC118" i="88"/>
  <c r="AA118" i="84"/>
  <c r="E32" i="84"/>
  <c r="E32" i="87"/>
  <c r="AA118" i="87"/>
  <c r="AC118" i="86"/>
  <c r="BI31" i="86"/>
  <c r="BI30" i="80"/>
  <c r="AC117" i="80"/>
  <c r="BI31" i="82"/>
  <c r="AC118" i="82"/>
  <c r="E33" i="88"/>
  <c r="AA119" i="88"/>
  <c r="AN106" i="88" a="1"/>
  <c r="AN106" i="88"/>
  <c r="AC117" i="84"/>
  <c r="BI30" i="84"/>
  <c r="BI30" i="87"/>
  <c r="AC117" i="87"/>
  <c r="AA118" i="80"/>
  <c r="E32" i="80"/>
  <c r="BI31" i="80"/>
  <c r="AC118" i="80"/>
  <c r="BI32" i="88"/>
  <c r="AC119" i="88"/>
  <c r="BI43" i="86"/>
  <c r="BI85" i="86"/>
  <c r="BI86" i="86"/>
  <c r="E33" i="87"/>
  <c r="AA119" i="87"/>
  <c r="AN106" i="87" a="1"/>
  <c r="AN106" i="87"/>
  <c r="AA119" i="84"/>
  <c r="E33" i="84"/>
  <c r="BI32" i="82"/>
  <c r="AC119" i="82"/>
  <c r="AA119" i="78"/>
  <c r="E33" i="78"/>
  <c r="AA119" i="80"/>
  <c r="E33" i="80"/>
  <c r="AA120" i="80"/>
  <c r="AA120" i="88"/>
  <c r="AN105" i="88" a="1"/>
  <c r="AN105" i="88"/>
  <c r="BI31" i="87"/>
  <c r="AC118" i="87"/>
  <c r="AC118" i="84"/>
  <c r="BI31" i="84"/>
  <c r="AA120" i="82"/>
  <c r="AN105" i="82" a="1"/>
  <c r="AN105" i="82"/>
  <c r="AN106" i="82" a="1"/>
  <c r="AN106" i="82"/>
  <c r="BI31" i="78"/>
  <c r="AC118" i="78"/>
  <c r="AN105" i="80" a="1"/>
  <c r="AN105" i="80"/>
  <c r="BI32" i="80"/>
  <c r="AC119" i="80"/>
  <c r="BI32" i="78"/>
  <c r="AC119" i="78"/>
  <c r="AC119" i="84"/>
  <c r="BI32" i="84"/>
  <c r="BI32" i="87"/>
  <c r="AC119" i="87"/>
  <c r="BI42" i="86"/>
  <c r="BI33" i="82"/>
  <c r="AC120" i="82"/>
  <c r="BI33" i="88"/>
  <c r="AC120" i="88"/>
  <c r="BI33" i="80"/>
  <c r="AC120" i="80"/>
  <c r="AA120" i="78"/>
  <c r="AN106" i="78" a="1"/>
  <c r="AN106" i="78"/>
  <c r="AN105" i="78" a="1"/>
  <c r="AN105" i="78"/>
  <c r="AA120" i="84"/>
  <c r="AN106" i="84" a="1"/>
  <c r="AN106" i="84"/>
  <c r="AN105" i="84" a="1"/>
  <c r="AN105" i="84"/>
  <c r="AA120" i="87"/>
  <c r="AN105" i="87" a="1"/>
  <c r="AN105" i="87"/>
  <c r="AN106" i="80" a="1"/>
  <c r="AN106" i="80"/>
  <c r="AC120" i="84"/>
  <c r="BI33" i="84"/>
  <c r="BI33" i="87"/>
  <c r="AC120" i="87"/>
  <c r="BI33" i="78"/>
  <c r="AC120" i="78"/>
  <c r="BI43" i="80"/>
  <c r="BI86" i="80"/>
  <c r="BI85" i="80"/>
  <c r="BI43" i="88"/>
  <c r="BI85" i="88"/>
  <c r="BI86" i="88"/>
  <c r="BI43" i="82"/>
  <c r="BI85" i="82"/>
  <c r="BI86" i="82"/>
  <c r="BI42" i="88"/>
  <c r="E1" i="88"/>
  <c r="BI42" i="80"/>
  <c r="BI43" i="84"/>
  <c r="BI85" i="84"/>
  <c r="BI86" i="84"/>
  <c r="BI42" i="82"/>
  <c r="BI43" i="78"/>
  <c r="BI85" i="78"/>
  <c r="BI86" i="78"/>
  <c r="BI43" i="87"/>
  <c r="BI85" i="87"/>
  <c r="BI86" i="87"/>
  <c r="BI42" i="87"/>
  <c r="BI42" i="78"/>
  <c r="E1" i="78"/>
  <c r="BI42" i="84"/>
  <c r="E1" i="84"/>
  <c r="D1" i="84" s="1"/>
  <c r="D2" i="84"/>
  <c r="E1" i="91" l="1"/>
  <c r="D2" i="91"/>
  <c r="D1" i="91" s="1"/>
  <c r="D1" i="88"/>
  <c r="D2" i="80"/>
  <c r="D1" i="80" s="1"/>
  <c r="D2" i="86"/>
  <c r="D1" i="86" s="1"/>
  <c r="D2" i="76"/>
  <c r="D1" i="76" s="1"/>
  <c r="D2" i="89"/>
  <c r="E1" i="89"/>
  <c r="D2" i="87"/>
  <c r="E1" i="87"/>
  <c r="D2" i="93"/>
  <c r="D1" i="93" s="1"/>
  <c r="E1" i="93"/>
  <c r="E1" i="82"/>
  <c r="D2" i="82"/>
  <c r="D1" i="87" l="1"/>
  <c r="D1" i="89"/>
  <c r="D1" i="82"/>
</calcChain>
</file>

<file path=xl/sharedStrings.xml><?xml version="1.0" encoding="utf-8"?>
<sst xmlns="http://schemas.openxmlformats.org/spreadsheetml/2006/main" count="6339" uniqueCount="817">
  <si>
    <t>Pressure / hPa</t>
  </si>
  <si>
    <t>Events</t>
  </si>
  <si>
    <t>Min</t>
  </si>
  <si>
    <t>Max</t>
  </si>
  <si>
    <t>Mean</t>
  </si>
  <si>
    <t>Range</t>
  </si>
  <si>
    <t>Gale</t>
  </si>
  <si>
    <t>Rain</t>
  </si>
  <si>
    <t>-</t>
  </si>
  <si>
    <t>E (Mean)</t>
  </si>
  <si>
    <t>Anomaly</t>
  </si>
  <si>
    <t>Temp: Max/Min</t>
  </si>
  <si>
    <t>Cumulative Mean</t>
  </si>
  <si>
    <t>Pressure</t>
  </si>
  <si>
    <t>T / H Ranges</t>
  </si>
  <si>
    <t>r</t>
  </si>
  <si>
    <t>Heat</t>
  </si>
  <si>
    <t>x / y</t>
  </si>
  <si>
    <t>16th - 31st</t>
  </si>
  <si>
    <t>1st - 15th</t>
  </si>
  <si>
    <t>Cumulative Anomaly</t>
  </si>
  <si>
    <t>T Min</t>
  </si>
  <si>
    <t>T Max</t>
  </si>
  <si>
    <t>T Mean</t>
  </si>
  <si>
    <t>T Range</t>
  </si>
  <si>
    <t xml:space="preserve"> T Max</t>
  </si>
  <si>
    <t>Air Frost</t>
  </si>
  <si>
    <t>1st - 10th</t>
  </si>
  <si>
    <t>11th - 20th</t>
  </si>
  <si>
    <t>1st - 5th</t>
  </si>
  <si>
    <t>11th - 15th</t>
  </si>
  <si>
    <t>16th - 20th</t>
  </si>
  <si>
    <t>21st - 25th</t>
  </si>
  <si>
    <t>Pressure / Rain</t>
  </si>
  <si>
    <t>Sum</t>
  </si>
  <si>
    <t>Mean Temperature</t>
  </si>
  <si>
    <t>6th - 10th</t>
  </si>
  <si>
    <t>Rain / Wet</t>
  </si>
  <si>
    <t>Sun / Wet</t>
  </si>
  <si>
    <t>Sun / T Range</t>
  </si>
  <si>
    <t>Sun / H Min</t>
  </si>
  <si>
    <t>Thunder</t>
  </si>
  <si>
    <t>21st - 31st</t>
  </si>
  <si>
    <t>26th - 31st</t>
  </si>
  <si>
    <t>Sun / T Max</t>
  </si>
  <si>
    <t>Pressure / Sun</t>
  </si>
  <si>
    <t>Pressure / Wind</t>
  </si>
  <si>
    <t>Pressure / Wet</t>
  </si>
  <si>
    <t>P Range / Wind</t>
  </si>
  <si>
    <t xml:space="preserve">Wet / T Range </t>
  </si>
  <si>
    <t>Temp / Humidity</t>
  </si>
  <si>
    <t>Pressure / Temp</t>
  </si>
  <si>
    <t>Pressure / H Max</t>
  </si>
  <si>
    <t>Pressure / T Max</t>
  </si>
  <si>
    <t>Pressure / T Min</t>
  </si>
  <si>
    <t>Pressure / T Range</t>
  </si>
  <si>
    <t>Pressure / Humidity</t>
  </si>
  <si>
    <t>T Max / H Range</t>
  </si>
  <si>
    <t>T Max / H Min</t>
  </si>
  <si>
    <t>T Range / H Min</t>
  </si>
  <si>
    <t>Rain / Temp Max</t>
  </si>
  <si>
    <t>Rain / Temp</t>
  </si>
  <si>
    <t>Rain / Humidity</t>
  </si>
  <si>
    <t>Rain / H Range</t>
  </si>
  <si>
    <t>Rain / T Range</t>
  </si>
  <si>
    <t>Consecutive Rain-free Days</t>
  </si>
  <si>
    <t>Consecutive Rain Days</t>
  </si>
  <si>
    <t>Total Rain Days</t>
  </si>
  <si>
    <t>Total Rain-free Days</t>
  </si>
  <si>
    <t xml:space="preserve"> / 11</t>
  </si>
  <si>
    <t>Abs Min</t>
  </si>
  <si>
    <t>Abs Max</t>
  </si>
  <si>
    <t>Pressure / H Min</t>
  </si>
  <si>
    <t>T Min / T Range</t>
  </si>
  <si>
    <t>H Min / H Range</t>
  </si>
  <si>
    <t>Rain / H Min</t>
  </si>
  <si>
    <t>Rain / T Min</t>
  </si>
  <si>
    <t>Rain Days</t>
  </si>
  <si>
    <t>Lying Snow</t>
  </si>
  <si>
    <t>Hail</t>
  </si>
  <si>
    <t>Event Days</t>
  </si>
  <si>
    <t>Snow/Sleet</t>
  </si>
  <si>
    <t>T Max / T Range</t>
  </si>
  <si>
    <t>Consecutive Dry Days</t>
  </si>
  <si>
    <t>Consecutive Wet Days</t>
  </si>
  <si>
    <t>Total Dry Days</t>
  </si>
  <si>
    <t>Total Wet Days</t>
  </si>
  <si>
    <t>Wet Days</t>
  </si>
  <si>
    <t>Gone:</t>
  </si>
  <si>
    <t>Remain:</t>
  </si>
  <si>
    <t xml:space="preserve"> / 19</t>
  </si>
  <si>
    <t xml:space="preserve"> / 9</t>
  </si>
  <si>
    <t>Humidity: Max/Min</t>
  </si>
  <si>
    <t>Pressure: Max/Min</t>
  </si>
  <si>
    <t>Pressure / H Range</t>
  </si>
  <si>
    <t>Rain / H Max</t>
  </si>
  <si>
    <t>Wet / Humidity</t>
  </si>
  <si>
    <t>Cloud Breaks</t>
  </si>
  <si>
    <t>Count</t>
  </si>
  <si>
    <t>Day Max</t>
  </si>
  <si>
    <t>Night Min</t>
  </si>
  <si>
    <t>24h Min</t>
  </si>
  <si>
    <t>24h Max</t>
  </si>
  <si>
    <t>Extra Notes</t>
  </si>
  <si>
    <t>Direction</t>
  </si>
  <si>
    <t>NE</t>
  </si>
  <si>
    <t>E</t>
  </si>
  <si>
    <t>Rain / mm</t>
  </si>
  <si>
    <t>Max in 1h</t>
  </si>
  <si>
    <t>&gt;1mm</t>
  </si>
  <si>
    <t>SW</t>
  </si>
  <si>
    <t>S</t>
  </si>
  <si>
    <t>SE</t>
  </si>
  <si>
    <t>N</t>
  </si>
  <si>
    <t>W</t>
  </si>
  <si>
    <t>Rainfall Prediction</t>
  </si>
  <si>
    <t>Final Anomaly</t>
  </si>
  <si>
    <t>Rain&gt;0.1</t>
  </si>
  <si>
    <t>Rain&gt;0.9</t>
  </si>
  <si>
    <t>Rain/3</t>
  </si>
  <si>
    <t>Estimated Remaining</t>
  </si>
  <si>
    <t>Precipitation Days (≥1mm):</t>
  </si>
  <si>
    <t>Sun Hours</t>
  </si>
  <si>
    <t>Sun Days %</t>
  </si>
  <si>
    <t>Wind</t>
  </si>
  <si>
    <t>Consecutive Cyclonic Days</t>
  </si>
  <si>
    <t>Consecutive Cold Days</t>
  </si>
  <si>
    <t>Consecutive Mild Days</t>
  </si>
  <si>
    <t>NW</t>
  </si>
  <si>
    <t>Mode</t>
  </si>
  <si>
    <t>Consecutive Anticyclonic Days</t>
  </si>
  <si>
    <t>NB: Cumulative max/mins valid from 5th day</t>
  </si>
  <si>
    <t>Correlation</t>
  </si>
  <si>
    <t>Rainfall</t>
  </si>
  <si>
    <t>Mean Pressure</t>
  </si>
  <si>
    <t>Period</t>
  </si>
  <si>
    <t>Temperature Anomalies</t>
  </si>
  <si>
    <t>Absolute</t>
  </si>
  <si>
    <t>% Total</t>
  </si>
  <si>
    <r>
      <t>Wind / mh</t>
    </r>
    <r>
      <rPr>
        <vertAlign val="superscript"/>
        <sz val="12"/>
        <color indexed="10"/>
        <rFont val="Arial"/>
        <family val="2"/>
      </rPr>
      <t>-1</t>
    </r>
  </si>
  <si>
    <t>Abs</t>
  </si>
  <si>
    <t>% Sum</t>
  </si>
  <si>
    <t>Required</t>
  </si>
  <si>
    <t>New Mean Month r</t>
  </si>
  <si>
    <t>Cum. Rain</t>
  </si>
  <si>
    <t>Cold</t>
  </si>
  <si>
    <t>Mild</t>
  </si>
  <si>
    <t>Relative Humidity / %</t>
  </si>
  <si>
    <t>E (Final)</t>
  </si>
  <si>
    <t>E (C. Rem)</t>
  </si>
  <si>
    <t>Away</t>
  </si>
  <si>
    <t>Mean For Rain Days</t>
  </si>
  <si>
    <t>Total</t>
  </si>
  <si>
    <t>Daily Req. for 100%</t>
  </si>
  <si>
    <t>Max Gust</t>
  </si>
  <si>
    <t>Cm.Sun H.</t>
  </si>
  <si>
    <t>Mean'</t>
  </si>
  <si>
    <r>
      <t xml:space="preserve">Dew Point / </t>
    </r>
    <r>
      <rPr>
        <sz val="12"/>
        <color indexed="21"/>
        <rFont val="Arial"/>
      </rPr>
      <t>°C</t>
    </r>
  </si>
  <si>
    <t>T Range / 3</t>
  </si>
  <si>
    <t>Mean' Humidity</t>
  </si>
  <si>
    <t>Mean' Wind Speed</t>
  </si>
  <si>
    <t>21st - 30th</t>
  </si>
  <si>
    <t>26th - 30th</t>
  </si>
  <si>
    <t>T Mean (G)</t>
  </si>
  <si>
    <t>Daily</t>
  </si>
  <si>
    <t>Cm. T. Mean'</t>
  </si>
  <si>
    <t xml:space="preserve"> Dev.</t>
  </si>
  <si>
    <t>Graph</t>
  </si>
  <si>
    <t>Misc.</t>
  </si>
  <si>
    <t>Times of Extremes</t>
  </si>
  <si>
    <t>H Max</t>
  </si>
  <si>
    <t>H Min</t>
  </si>
  <si>
    <t>Gust</t>
  </si>
  <si>
    <t>Thresholds</t>
  </si>
  <si>
    <r>
      <t>σ</t>
    </r>
    <r>
      <rPr>
        <b/>
        <vertAlign val="subscript"/>
        <sz val="10"/>
        <rFont val="Arial"/>
        <family val="2"/>
      </rPr>
      <t>n-1</t>
    </r>
  </si>
  <si>
    <t>Consecutive Sun Days</t>
  </si>
  <si>
    <t>Consecutive Dull Days</t>
  </si>
  <si>
    <r>
      <t xml:space="preserve">Total Cyclonic Days </t>
    </r>
    <r>
      <rPr>
        <b/>
        <sz val="9"/>
        <color indexed="14"/>
        <rFont val="Arial"/>
        <family val="2"/>
      </rPr>
      <t>(P Max &lt;1013)</t>
    </r>
  </si>
  <si>
    <r>
      <t>Total Anticyclonic Days</t>
    </r>
    <r>
      <rPr>
        <b/>
        <sz val="9"/>
        <color indexed="40"/>
        <rFont val="Arial"/>
        <family val="2"/>
      </rPr>
      <t xml:space="preserve"> (P Min &gt;1013)</t>
    </r>
  </si>
  <si>
    <r>
      <t xml:space="preserve">Total Cold Days </t>
    </r>
    <r>
      <rPr>
        <b/>
        <sz val="8"/>
        <color indexed="12"/>
        <rFont val="Arial"/>
        <family val="2"/>
      </rPr>
      <t>(T Mean &lt; CT)</t>
    </r>
  </si>
  <si>
    <r>
      <t xml:space="preserve">Total Mild Days </t>
    </r>
    <r>
      <rPr>
        <b/>
        <sz val="8"/>
        <color indexed="53"/>
        <rFont val="Arial"/>
        <family val="2"/>
      </rPr>
      <t>(T Mean &gt; MT)</t>
    </r>
  </si>
  <si>
    <t>Mean' Dew Point</t>
  </si>
  <si>
    <t>16th - 30th</t>
  </si>
  <si>
    <t>E (C. S.H.)</t>
  </si>
  <si>
    <t>Wind CM</t>
  </si>
  <si>
    <t>E (Cum. Rn)</t>
  </si>
  <si>
    <t>Temperature / °C</t>
  </si>
  <si>
    <t>H Mean</t>
  </si>
  <si>
    <t>P Mean</t>
  </si>
  <si>
    <t>Mean Rain</t>
  </si>
  <si>
    <t>Req. Anom.</t>
  </si>
  <si>
    <r>
      <t>NB: When Extrm value is at sev ts, approx. t</t>
    </r>
    <r>
      <rPr>
        <sz val="8"/>
        <rFont val="Arial"/>
        <family val="2"/>
      </rPr>
      <t>bar</t>
    </r>
    <r>
      <rPr>
        <sz val="9"/>
        <rFont val="Arial"/>
      </rPr>
      <t xml:space="preserve"> used.</t>
    </r>
  </si>
  <si>
    <t>Wet Hours</t>
  </si>
  <si>
    <t>/ 38</t>
  </si>
  <si>
    <t>Rain:Wet %</t>
  </si>
  <si>
    <t>If Max Rain in 1hr = 0.3mm, Max Rate cannot be calculated</t>
  </si>
  <si>
    <t>Sun</t>
  </si>
  <si>
    <t>Max in 10m</t>
  </si>
  <si>
    <r>
      <t>Rain Rate / mmh</t>
    </r>
    <r>
      <rPr>
        <vertAlign val="superscript"/>
        <sz val="12"/>
        <color indexed="48"/>
        <rFont val="Arial"/>
        <family val="2"/>
      </rPr>
      <t>-1</t>
    </r>
  </si>
  <si>
    <t>Anom.</t>
  </si>
  <si>
    <t>Fog</t>
  </si>
  <si>
    <t xml:space="preserve"> &gt;20mm</t>
  </si>
  <si>
    <t>Mean Int'</t>
  </si>
  <si>
    <t>Test Final</t>
  </si>
  <si>
    <t>E (Daily Rn)</t>
  </si>
  <si>
    <t>n/a</t>
  </si>
  <si>
    <t>NNE</t>
  </si>
  <si>
    <t>ENE</t>
  </si>
  <si>
    <t>ESE</t>
  </si>
  <si>
    <t>SSE</t>
  </si>
  <si>
    <t>SSW</t>
  </si>
  <si>
    <t>WSW</t>
  </si>
  <si>
    <t>WNW</t>
  </si>
  <si>
    <t>NNW</t>
  </si>
  <si>
    <t>AF</t>
  </si>
  <si>
    <t>% Max</t>
  </si>
  <si>
    <t>February</t>
  </si>
  <si>
    <t>16th - 28th</t>
  </si>
  <si>
    <t>21st - 28th</t>
  </si>
  <si>
    <t>26th - 28th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</si>
  <si>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</si>
  <si>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</si>
  <si>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</si>
  <si>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</si>
  <si>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</si>
  <si>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</si>
  <si>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</si>
  <si>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</si>
  <si>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Lying Snow is recorded if &gt;50% grass is covered at 09Z, when depths are measured</t>
  </si>
  <si>
    <t>Valid Rain Totals</t>
  </si>
  <si>
    <t>*23:59</t>
  </si>
  <si>
    <t>*21:00</t>
  </si>
  <si>
    <t>Blank = value persisted for &gt;12h</t>
  </si>
  <si>
    <t>23:59*</t>
  </si>
  <si>
    <t>*23:55</t>
  </si>
  <si>
    <t>Anom</t>
  </si>
  <si>
    <t>C. Rn</t>
  </si>
  <si>
    <t>C. Rn Anom</t>
  </si>
  <si>
    <t>c</t>
  </si>
  <si>
    <t>o</t>
  </si>
  <si>
    <t>h</t>
  </si>
  <si>
    <t>f</t>
  </si>
  <si>
    <t>p</t>
  </si>
  <si>
    <t>b</t>
  </si>
  <si>
    <t>clear</t>
  </si>
  <si>
    <t>hazy</t>
  </si>
  <si>
    <t>few</t>
  </si>
  <si>
    <t>partly</t>
  </si>
  <si>
    <t>broken</t>
  </si>
  <si>
    <t>overcast</t>
  </si>
  <si>
    <t>averages</t>
  </si>
  <si>
    <t>am:pm</t>
  </si>
  <si>
    <t>Cloud Cover</t>
  </si>
  <si>
    <t>Max Sun</t>
  </si>
  <si>
    <r>
      <t>Sun Days</t>
    </r>
    <r>
      <rPr>
        <b/>
        <sz val="9"/>
        <color indexed="13"/>
        <rFont val="Arial"/>
        <family val="2"/>
      </rPr>
      <t xml:space="preserve"> (SH≥25%Max)</t>
    </r>
  </si>
  <si>
    <r>
      <t xml:space="preserve">Dull Days </t>
    </r>
    <r>
      <rPr>
        <b/>
        <sz val="9"/>
        <color indexed="23"/>
        <rFont val="Arial"/>
        <family val="2"/>
      </rPr>
      <t>(SH&lt;25%Max)</t>
    </r>
  </si>
  <si>
    <t>E (Sun)</t>
  </si>
  <si>
    <t>`</t>
  </si>
  <si>
    <t>/</t>
  </si>
  <si>
    <t>mixture</t>
  </si>
  <si>
    <t>transition</t>
  </si>
  <si>
    <t>p-b:b</t>
  </si>
  <si>
    <t>o:o-b</t>
  </si>
  <si>
    <r>
      <t>Blank = value persisted for &gt;12h;</t>
    </r>
    <r>
      <rPr>
        <sz val="9"/>
        <color indexed="10"/>
        <rFont val="Arial"/>
        <family val="2"/>
      </rPr>
      <t xml:space="preserve"> Red:23:59 (NM used)</t>
    </r>
  </si>
  <si>
    <t>;</t>
  </si>
  <si>
    <t>borderline</t>
  </si>
  <si>
    <t>o-b:o</t>
  </si>
  <si>
    <t>E (sun)</t>
  </si>
  <si>
    <t>NB: 0.01-0.27mm (1 Tip) = 0.1mm = Rain-free.</t>
  </si>
  <si>
    <r>
      <t>C</t>
    </r>
    <r>
      <rPr>
        <sz val="9"/>
        <rFont val="Arial"/>
      </rPr>
      <t>/</t>
    </r>
    <r>
      <rPr>
        <sz val="9"/>
        <color indexed="53"/>
        <rFont val="Arial"/>
        <family val="2"/>
      </rPr>
      <t>M</t>
    </r>
    <r>
      <rPr>
        <sz val="9"/>
        <rFont val="Arial"/>
      </rPr>
      <t xml:space="preserve"> Thresholds = E(</t>
    </r>
    <r>
      <rPr>
        <sz val="9"/>
        <color indexed="20"/>
        <rFont val="Arial"/>
        <family val="2"/>
      </rPr>
      <t>Tmean</t>
    </r>
    <r>
      <rPr>
        <sz val="9"/>
        <rFont val="Arial"/>
      </rPr>
      <t xml:space="preserve"> ±</t>
    </r>
    <r>
      <rPr>
        <sz val="11"/>
        <color indexed="57"/>
        <rFont val="Arial"/>
        <family val="2"/>
      </rPr>
      <t>⅓•</t>
    </r>
    <r>
      <rPr>
        <sz val="9"/>
        <color indexed="57"/>
        <rFont val="Arial"/>
        <family val="2"/>
      </rPr>
      <t>Trange</t>
    </r>
    <r>
      <rPr>
        <sz val="9"/>
        <color indexed="8"/>
        <rFont val="Arial"/>
        <family val="2"/>
      </rPr>
      <t>)</t>
    </r>
  </si>
  <si>
    <t>Cloud Cover Descriptors</t>
  </si>
  <si>
    <t>"Heat" is defined as Tmax exceeding 25.0 °C on the day in question</t>
  </si>
  <si>
    <t>A "Wet Day" requires &gt;0.5 hrs of rainfall</t>
  </si>
  <si>
    <t>Minimum Windchill / °C</t>
  </si>
  <si>
    <t>00:00*</t>
  </si>
  <si>
    <t>Maximum Heat/Humidex / °C</t>
  </si>
  <si>
    <t>Lying Snow is recorded if &gt;50% grass is covered at 09z, which is when depths are measured</t>
  </si>
  <si>
    <t>Cloud Cover Descriptors: see OCT - cell AD73</t>
  </si>
  <si>
    <r>
      <t>NB</t>
    </r>
    <r>
      <rPr>
        <sz val="9"/>
        <rFont val="Arial"/>
      </rPr>
      <t>: Reset time is 00:00; Elevation is ~60m</t>
    </r>
  </si>
  <si>
    <t>NB: When Extrm value is at sev ts, approx. &lt;t&gt; used.</t>
  </si>
  <si>
    <t>Lying Snow is recorded if &gt;50% ground is covered at 09z, when depths are measured</t>
  </si>
  <si>
    <t>Proportion</t>
  </si>
  <si>
    <t>Req Anom</t>
  </si>
  <si>
    <t>% of Days</t>
  </si>
  <si>
    <t>Max Depth</t>
  </si>
  <si>
    <t>Snow Events / cm</t>
  </si>
  <si>
    <t>Snowfall estimate</t>
  </si>
  <si>
    <t>January        .            2011</t>
  </si>
  <si>
    <r>
      <t>16 L Sh</t>
    </r>
    <r>
      <rPr>
        <sz val="1"/>
        <color indexed="8"/>
        <rFont val="Arial"/>
        <family val="2"/>
      </rPr>
      <t xml:space="preserve"> yy</t>
    </r>
  </si>
  <si>
    <t>p/b:b-o</t>
  </si>
  <si>
    <t>o:o;p</t>
  </si>
  <si>
    <t>06:00*</t>
  </si>
  <si>
    <t>*15:00</t>
  </si>
  <si>
    <r>
      <t xml:space="preserve">Sun-Free Days </t>
    </r>
    <r>
      <rPr>
        <b/>
        <sz val="9"/>
        <color indexed="23"/>
        <rFont val="Arial"/>
        <family val="2"/>
      </rPr>
      <t>(SH=0)</t>
    </r>
  </si>
  <si>
    <t>*22:00</t>
  </si>
  <si>
    <r>
      <t>15-20 bk S/L Rn/Dz</t>
    </r>
    <r>
      <rPr>
        <sz val="1"/>
        <color indexed="8"/>
        <rFont val="Arial"/>
        <family val="2"/>
      </rPr>
      <t xml:space="preserve"> yy</t>
    </r>
  </si>
  <si>
    <t>c-f:b-o</t>
  </si>
  <si>
    <t>05:30*</t>
  </si>
  <si>
    <t>21:50*</t>
  </si>
  <si>
    <t>03-12 L Shs (10 H, 11 M); 16-18 L/M Rn</t>
  </si>
  <si>
    <t>*19:30</t>
  </si>
  <si>
    <t>02-07 L-H Shs</t>
  </si>
  <si>
    <t>*09:10</t>
  </si>
  <si>
    <t>b;o:o-c</t>
  </si>
  <si>
    <t>6th: Trange of just 0.4 °C (using DM-NM)</t>
  </si>
  <si>
    <t>*19:55</t>
  </si>
  <si>
    <r>
      <t>AF</t>
    </r>
    <r>
      <rPr>
        <sz val="9"/>
        <color indexed="8"/>
        <rFont val="Arial"/>
        <family val="2"/>
      </rPr>
      <t>; 21-22 L Rn, L bk Dz -00</t>
    </r>
  </si>
  <si>
    <t>o/b:b</t>
  </si>
  <si>
    <t>00-05 L/M Rn</t>
  </si>
  <si>
    <t>23:15*</t>
  </si>
  <si>
    <t>b;o:o/b</t>
  </si>
  <si>
    <t>01:50*</t>
  </si>
  <si>
    <t>02-08 L Rn; 14-1730 S Rn/Dz, &amp; -00 occ</t>
  </si>
  <si>
    <t>00-03 S Sh/Dz; 1730-19 L Rn, 21, 22 L Shs</t>
  </si>
  <si>
    <r>
      <t>08, 10 S Shs;</t>
    </r>
    <r>
      <rPr>
        <sz val="10"/>
        <color indexed="8"/>
        <rFont val="Arial"/>
        <family val="2"/>
      </rPr>
      <t xml:space="preserve"> 15 </t>
    </r>
    <r>
      <rPr>
        <b/>
        <sz val="10"/>
        <color indexed="8"/>
        <rFont val="Arial"/>
        <family val="2"/>
      </rPr>
      <t>T-Storm (L)</t>
    </r>
    <r>
      <rPr>
        <sz val="10"/>
        <color indexed="8"/>
        <rFont val="Arial"/>
        <family val="2"/>
      </rPr>
      <t>; 1530 V Sh</t>
    </r>
  </si>
  <si>
    <r>
      <t xml:space="preserve">08-1530 L Rn (1330-1430 M; 14-15 L </t>
    </r>
    <r>
      <rPr>
        <b/>
        <sz val="10"/>
        <color indexed="8"/>
        <rFont val="Arial"/>
        <family val="2"/>
      </rPr>
      <t>Slt</t>
    </r>
    <r>
      <rPr>
        <sz val="10"/>
        <color indexed="8"/>
        <rFont val="Arial"/>
        <family val="2"/>
      </rPr>
      <t>)</t>
    </r>
  </si>
  <si>
    <t>23:00*</t>
  </si>
  <si>
    <t>15-1830 L Shs, 19-20 L Rn, -23 oc L Dz</t>
  </si>
  <si>
    <t>p-o:b;o</t>
  </si>
  <si>
    <t>o:o;b</t>
  </si>
  <si>
    <t>0530-11 M (occ H) Rn; 21-00 M Rn</t>
  </si>
  <si>
    <t>00-0530 L-M Rn</t>
  </si>
  <si>
    <t>c:f</t>
  </si>
  <si>
    <t>b-f:c-f</t>
  </si>
  <si>
    <t>17th-18th: 24hr Rain Total of 23.2 mm</t>
  </si>
  <si>
    <t xml:space="preserve">Snow Events: totals are estimates based on lying depth. Max in hr/10m and Max rate are incalculable. Actual totals recorded / mm: </t>
  </si>
  <si>
    <t>Cumul</t>
  </si>
  <si>
    <t>Empty</t>
  </si>
  <si>
    <t>CSA graph</t>
  </si>
  <si>
    <t>extremes times graph</t>
  </si>
  <si>
    <t>Adj Cold T</t>
  </si>
  <si>
    <t>Adj Mild T</t>
  </si>
  <si>
    <t>Adj Tmin</t>
  </si>
  <si>
    <t>Adj Tmax</t>
  </si>
  <si>
    <t>more days for VRT calcs</t>
  </si>
  <si>
    <t>o:b</t>
  </si>
  <si>
    <t>b:c</t>
  </si>
  <si>
    <r>
      <t>0030-02 L Shs</t>
    </r>
    <r>
      <rPr>
        <sz val="1"/>
        <color indexed="8"/>
        <rFont val="Arial"/>
        <family val="2"/>
      </rPr>
      <t xml:space="preserve"> yy</t>
    </r>
  </si>
  <si>
    <r>
      <t>08-09 L Shs</t>
    </r>
    <r>
      <rPr>
        <sz val="1"/>
        <color indexed="8"/>
        <rFont val="Arial"/>
        <family val="2"/>
      </rPr>
      <t xml:space="preserve"> yy</t>
    </r>
  </si>
  <si>
    <r>
      <t xml:space="preserve">From 18th: Times of night minima </t>
    </r>
    <r>
      <rPr>
        <b/>
        <sz val="9.5"/>
        <color indexed="47"/>
        <rFont val="Arial"/>
        <family val="2"/>
      </rPr>
      <t>(/day maxima)</t>
    </r>
    <r>
      <rPr>
        <b/>
        <sz val="9.5"/>
        <color indexed="44"/>
        <rFont val="Arial"/>
        <family val="2"/>
      </rPr>
      <t xml:space="preserve"> are used, and if ≠ 24hr min </t>
    </r>
    <r>
      <rPr>
        <b/>
        <sz val="9.5"/>
        <color indexed="47"/>
        <rFont val="Arial"/>
        <family val="2"/>
      </rPr>
      <t>(/max)</t>
    </r>
    <r>
      <rPr>
        <b/>
        <sz val="9.5"/>
        <color indexed="44"/>
        <rFont val="Arial"/>
        <family val="2"/>
      </rPr>
      <t xml:space="preserve"> are italicised and greyed</t>
    </r>
  </si>
  <si>
    <t>Tr Rn</t>
  </si>
  <si>
    <r>
      <t>08, 10 S Shs</t>
    </r>
    <r>
      <rPr>
        <sz val="1"/>
        <color indexed="8"/>
        <rFont val="Arial"/>
        <family val="2"/>
      </rPr>
      <t xml:space="preserve"> yy</t>
    </r>
  </si>
  <si>
    <t>*19:15</t>
  </si>
  <si>
    <t>Mean Thresholds</t>
  </si>
  <si>
    <t>graph</t>
  </si>
  <si>
    <t>C. Sn Anom</t>
  </si>
  <si>
    <t>Days</t>
  </si>
  <si>
    <t>Adj Trange</t>
  </si>
  <si>
    <t>Adj Tmean</t>
  </si>
  <si>
    <t>*21:02</t>
  </si>
  <si>
    <r>
      <t>00-01 L Shs</t>
    </r>
    <r>
      <rPr>
        <sz val="1"/>
        <color indexed="8"/>
        <rFont val="Arial"/>
        <family val="2"/>
      </rPr>
      <t xml:space="preserve"> yy</t>
    </r>
  </si>
  <si>
    <t>b-o:o/b</t>
  </si>
  <si>
    <t>Actual</t>
  </si>
  <si>
    <t>b:o</t>
  </si>
  <si>
    <r>
      <t xml:space="preserve">1430-19 S-L occ Shs </t>
    </r>
    <r>
      <rPr>
        <sz val="1"/>
        <color indexed="8"/>
        <rFont val="Arial"/>
        <family val="2"/>
      </rPr>
      <t>yy</t>
    </r>
  </si>
  <si>
    <t>21:00*</t>
  </si>
  <si>
    <r>
      <t>10, 11 L Dz; 14-17, 20-21 L Shs</t>
    </r>
    <r>
      <rPr>
        <sz val="1"/>
        <color indexed="8"/>
        <rFont val="Arial"/>
        <family val="2"/>
      </rPr>
      <t xml:space="preserve"> yy</t>
    </r>
  </si>
  <si>
    <t>*19:00</t>
  </si>
  <si>
    <t>28th</t>
  </si>
  <si>
    <t>Snow Events: totals are estimates based on lying depth. Max in h/10m and Max rate are incalculable. Actual totals recorded / mm: n/a</t>
  </si>
  <si>
    <t>20:30*</t>
  </si>
  <si>
    <t>b:p</t>
  </si>
  <si>
    <t>b-p:c</t>
  </si>
  <si>
    <t>VRB Wind Direction Days - 1st: W v NE (06-16); 3rd: W/N b S (12-18); 6th: W/SW v NE b W (08,16); 7th: E/ENE v S/SSW (15); 11th: S b SW, v NW, b SW (02-07, 10, 16-22); 17th: W-S b N-E (ad); 18th: NE b W (02-18); 31st: E b SW (04-12).</t>
  </si>
  <si>
    <t>b-o:o</t>
  </si>
  <si>
    <t>1st</t>
  </si>
  <si>
    <t>Adjusted Daily Anomaly</t>
  </si>
  <si>
    <t>h/b:c/f</t>
  </si>
  <si>
    <r>
      <t xml:space="preserve">21 L Sh </t>
    </r>
    <r>
      <rPr>
        <sz val="1"/>
        <color indexed="8"/>
        <rFont val="Arial"/>
        <family val="2"/>
      </rPr>
      <t>yy</t>
    </r>
  </si>
  <si>
    <r>
      <t xml:space="preserve">poss 20-22 bk L Shs </t>
    </r>
    <r>
      <rPr>
        <sz val="1"/>
        <color indexed="8"/>
        <rFont val="Arial"/>
        <family val="2"/>
      </rPr>
      <t>yy</t>
    </r>
  </si>
  <si>
    <r>
      <t>AF</t>
    </r>
    <r>
      <rPr>
        <sz val="10"/>
        <color indexed="8"/>
        <rFont val="Arial"/>
        <family val="2"/>
      </rPr>
      <t>;</t>
    </r>
    <r>
      <rPr>
        <sz val="8"/>
        <color indexed="8"/>
        <rFont val="Arial"/>
        <family val="2"/>
      </rPr>
      <t xml:space="preserve"> 1030, 1230 L/M Shs</t>
    </r>
  </si>
  <si>
    <t>19:00*</t>
  </si>
  <si>
    <t>21:45*</t>
  </si>
  <si>
    <r>
      <t>1345 L Sh</t>
    </r>
    <r>
      <rPr>
        <sz val="1"/>
        <color indexed="8"/>
        <rFont val="Arial"/>
        <family val="2"/>
      </rPr>
      <t xml:space="preserve"> yy</t>
    </r>
  </si>
  <si>
    <t>o:o-p</t>
  </si>
  <si>
    <t>*14:25</t>
  </si>
  <si>
    <t>08-09 Fog yy</t>
  </si>
  <si>
    <t>Date-adjusted Temp Anomalies</t>
  </si>
  <si>
    <t>p-c:c</t>
  </si>
  <si>
    <t>7th: Cold front - RH drop of 10u in 10mins (6u in 3mins)</t>
  </si>
  <si>
    <t>o-f:c-b</t>
  </si>
  <si>
    <t>07-17 L-M Rn</t>
  </si>
  <si>
    <t>18:45*</t>
  </si>
  <si>
    <t>18:05*</t>
  </si>
  <si>
    <t>08-10, 13 L Shs</t>
  </si>
  <si>
    <t>o:f;p</t>
  </si>
  <si>
    <r>
      <t xml:space="preserve">00, 02-04, 07 L Rn; 15 L </t>
    </r>
    <r>
      <rPr>
        <b/>
        <sz val="10"/>
        <color indexed="8"/>
        <rFont val="Arial"/>
        <family val="2"/>
      </rPr>
      <t>Hail (S)</t>
    </r>
  </si>
  <si>
    <t>*12:20</t>
  </si>
  <si>
    <t>14-20 oc bk S, -23 L Rn</t>
  </si>
  <si>
    <t>f:p/f</t>
  </si>
  <si>
    <t>22:49*</t>
  </si>
  <si>
    <t>02, 12-20 L-M Shs</t>
  </si>
  <si>
    <t>20:00*</t>
  </si>
  <si>
    <t>b-p:p</t>
  </si>
  <si>
    <t>o:p/b</t>
  </si>
  <si>
    <t>o;b</t>
  </si>
  <si>
    <t>03-10 M, -13 bk S/L Rn</t>
  </si>
  <si>
    <t>Blank = value persisted for &gt;12h or is indeterminable</t>
  </si>
  <si>
    <t>Variable Wind Direction Days - 19th: E b NNW (16)</t>
  </si>
  <si>
    <t>Cyclonic</t>
  </si>
  <si>
    <t>Anti-Cyc</t>
  </si>
  <si>
    <t>Wet&gt;0.4</t>
  </si>
  <si>
    <t>20:45*</t>
  </si>
  <si>
    <r>
      <t xml:space="preserve">22-00 bk L Dz </t>
    </r>
    <r>
      <rPr>
        <sz val="1"/>
        <color indexed="8"/>
        <rFont val="Arial"/>
        <family val="2"/>
      </rPr>
      <t>yy</t>
    </r>
  </si>
  <si>
    <r>
      <t>00-02 bk L Rn/Dz</t>
    </r>
    <r>
      <rPr>
        <sz val="1"/>
        <color indexed="8"/>
        <rFont val="Arial"/>
        <family val="2"/>
      </rPr>
      <t xml:space="preserve"> yy</t>
    </r>
  </si>
  <si>
    <t>0430-08 L Rn, 09, 13-15 L Shs/Dz</t>
  </si>
  <si>
    <t>18:21*</t>
  </si>
  <si>
    <t>*16:45</t>
  </si>
  <si>
    <t>b/h:h/f</t>
  </si>
  <si>
    <t>b-p:o;b</t>
  </si>
  <si>
    <t>02-05, 10-15 bk L-M Rn/Shs</t>
  </si>
  <si>
    <t>b-o:o-b</t>
  </si>
  <si>
    <t>13-15 L Rn</t>
  </si>
  <si>
    <t>c;h:o-b</t>
  </si>
  <si>
    <t>20:40*</t>
  </si>
  <si>
    <r>
      <t>05-19 oc S-L Dz/Shs</t>
    </r>
    <r>
      <rPr>
        <sz val="1"/>
        <color indexed="8"/>
        <rFont val="Arial"/>
        <family val="2"/>
      </rPr>
      <t xml:space="preserve"> yy</t>
    </r>
  </si>
  <si>
    <t>o-b:p-c</t>
  </si>
  <si>
    <t>Key: see Oct wksheet - cell AD73</t>
  </si>
  <si>
    <t>3rd</t>
  </si>
  <si>
    <t>o:p-o</t>
  </si>
  <si>
    <r>
      <t xml:space="preserve">poss eve/night Dz </t>
    </r>
    <r>
      <rPr>
        <sz val="1"/>
        <color indexed="8"/>
        <rFont val="Arial"/>
        <family val="2"/>
      </rPr>
      <t>yy</t>
    </r>
  </si>
  <si>
    <t>b/o:p/b</t>
  </si>
  <si>
    <t>14th: T-storm - 4 nearby flashes observed, several more distant (based on thunder obs)</t>
  </si>
  <si>
    <t>Mean = (max+min)/2</t>
  </si>
  <si>
    <t>Mean' = true mean</t>
  </si>
  <si>
    <t>December  .                   2011</t>
  </si>
  <si>
    <t>Date-adjusted temp anomalies</t>
  </si>
  <si>
    <t>NB:</t>
  </si>
  <si>
    <r>
      <t>Max Sun</t>
    </r>
    <r>
      <rPr>
        <sz val="10"/>
        <color indexed="8"/>
        <rFont val="Arial"/>
        <family val="2"/>
      </rPr>
      <t xml:space="preserve">; </t>
    </r>
    <r>
      <rPr>
        <b/>
        <sz val="10"/>
        <color indexed="8"/>
        <rFont val="Arial"/>
        <family val="2"/>
      </rPr>
      <t>AF</t>
    </r>
    <r>
      <rPr>
        <sz val="10"/>
        <color indexed="8"/>
        <rFont val="Arial"/>
        <family val="2"/>
      </rPr>
      <t>; dawn clear-sky Fog</t>
    </r>
  </si>
  <si>
    <t>b;p</t>
  </si>
  <si>
    <t>p:b</t>
  </si>
  <si>
    <t>b-c:b/h</t>
  </si>
  <si>
    <r>
      <t xml:space="preserve">poss eve/night S bk Dz/Rn </t>
    </r>
    <r>
      <rPr>
        <sz val="1"/>
        <color indexed="8"/>
        <rFont val="Arial"/>
        <family val="2"/>
      </rPr>
      <t>yy</t>
    </r>
  </si>
  <si>
    <r>
      <t xml:space="preserve">10-12 L-M Rn/Shs </t>
    </r>
    <r>
      <rPr>
        <sz val="1"/>
        <color indexed="8"/>
        <rFont val="Arial"/>
        <family val="2"/>
      </rPr>
      <t>yy</t>
    </r>
  </si>
  <si>
    <t>c;h:f-b</t>
  </si>
  <si>
    <t>o-b:p-o</t>
  </si>
  <si>
    <t>dark-08 Dense Fog</t>
  </si>
  <si>
    <t>dark-08 Mod Fog yy</t>
  </si>
  <si>
    <t>10-16 L Rn</t>
  </si>
  <si>
    <r>
      <t>Max Sun</t>
    </r>
    <r>
      <rPr>
        <sz val="10"/>
        <color indexed="8"/>
        <rFont val="Arial"/>
        <family val="2"/>
      </rPr>
      <t>;</t>
    </r>
    <r>
      <rPr>
        <b/>
        <sz val="10"/>
        <color indexed="8"/>
        <rFont val="Arial"/>
        <family val="2"/>
      </rPr>
      <t xml:space="preserve"> AF</t>
    </r>
  </si>
  <si>
    <t>22:40*</t>
  </si>
  <si>
    <t>09:50*</t>
  </si>
  <si>
    <t>*12:00</t>
  </si>
  <si>
    <t>10:10*</t>
  </si>
  <si>
    <t>22:10*</t>
  </si>
  <si>
    <t>*13:10</t>
  </si>
  <si>
    <t>Variable Wind Direction Days - 13: S v NW (13)</t>
  </si>
  <si>
    <t>Other Correlation</t>
  </si>
  <si>
    <t>h/b</t>
  </si>
  <si>
    <t>o:c-b</t>
  </si>
  <si>
    <t>c-f:c</t>
  </si>
  <si>
    <t>c:c;h</t>
  </si>
  <si>
    <r>
      <t>dark-07 Mod Fog</t>
    </r>
    <r>
      <rPr>
        <sz val="1"/>
        <color indexed="8"/>
        <rFont val="Arial"/>
        <family val="2"/>
      </rPr>
      <t xml:space="preserve"> yy</t>
    </r>
  </si>
  <si>
    <t>o/h</t>
  </si>
  <si>
    <r>
      <t xml:space="preserve">negligible 14 S Sh </t>
    </r>
    <r>
      <rPr>
        <sz val="1"/>
        <color indexed="8"/>
        <rFont val="Arial"/>
        <family val="2"/>
      </rPr>
      <t>yy</t>
    </r>
  </si>
  <si>
    <t>o-h:c</t>
  </si>
  <si>
    <t>o-p:f-c</t>
  </si>
  <si>
    <t>p-o:b</t>
  </si>
  <si>
    <r>
      <t xml:space="preserve">13 M Sh </t>
    </r>
    <r>
      <rPr>
        <sz val="1"/>
        <color indexed="8"/>
        <rFont val="Arial"/>
        <family val="2"/>
      </rPr>
      <t>yy</t>
    </r>
  </si>
  <si>
    <t>1230-15 L-M Rn</t>
  </si>
  <si>
    <t>o:p</t>
  </si>
  <si>
    <t>02-06 L Rn, -08 bk L Dz</t>
  </si>
  <si>
    <t>DST began 01z on 27th; times of extremes for this and following March days are still quoted using GMT</t>
  </si>
  <si>
    <t>o:b-p</t>
  </si>
  <si>
    <t>o;b;h</t>
  </si>
  <si>
    <t>b:o-b</t>
  </si>
  <si>
    <t>f-b:b;p</t>
  </si>
  <si>
    <t>03-04 L, 0730-10 S-L Rn</t>
  </si>
  <si>
    <t>h;f:c</t>
  </si>
  <si>
    <t>c:p-c</t>
  </si>
  <si>
    <t>h;c</t>
  </si>
  <si>
    <t>h:c-b</t>
  </si>
  <si>
    <r>
      <t>18 L Sh</t>
    </r>
    <r>
      <rPr>
        <sz val="1"/>
        <color indexed="8"/>
        <rFont val="Arial"/>
        <family val="2"/>
      </rPr>
      <t xml:space="preserve"> yy</t>
    </r>
  </si>
  <si>
    <t>c-f:f/p</t>
  </si>
  <si>
    <t>12th</t>
  </si>
  <si>
    <t>23:10*</t>
  </si>
  <si>
    <t>b-c:p</t>
  </si>
  <si>
    <t>b-p:p;c</t>
  </si>
  <si>
    <t>f-c:c</t>
  </si>
  <si>
    <t>c;b:c;f</t>
  </si>
  <si>
    <t>Heat; Max Sun</t>
  </si>
  <si>
    <t>c:f-b</t>
  </si>
  <si>
    <r>
      <t>Heat</t>
    </r>
    <r>
      <rPr>
        <sz val="10"/>
        <color indexed="8"/>
        <rFont val="Arial"/>
        <family val="2"/>
      </rPr>
      <t xml:space="preserve">; </t>
    </r>
    <r>
      <rPr>
        <b/>
        <sz val="10"/>
        <color indexed="8"/>
        <rFont val="Arial"/>
        <family val="2"/>
      </rPr>
      <t>Thunder*</t>
    </r>
    <r>
      <rPr>
        <sz val="10"/>
        <color indexed="8"/>
        <rFont val="Arial"/>
        <family val="2"/>
      </rPr>
      <t>;</t>
    </r>
    <r>
      <rPr>
        <sz val="8"/>
        <color indexed="8"/>
        <rFont val="Arial"/>
        <family val="2"/>
      </rPr>
      <t xml:space="preserve"> 20, 2030 L Shs</t>
    </r>
  </si>
  <si>
    <t>b/o:p/f</t>
  </si>
  <si>
    <t>b;p:c</t>
  </si>
  <si>
    <t>o-f:f-p</t>
  </si>
  <si>
    <t>o/b:p-f</t>
  </si>
  <si>
    <t>Key: see below</t>
  </si>
  <si>
    <t>Variable Wind Direction Days - 2nd: S v W (10-13); 16th: various; 19th: E v S, v N (12, 20); 22nd: ENE v S (11-14); 23rd: VAR</t>
  </si>
  <si>
    <t>*A few flashes observed, as well as multiple distant rumblings</t>
  </si>
  <si>
    <t>c:c-p</t>
  </si>
  <si>
    <t>c:c/f</t>
  </si>
  <si>
    <t>f/c:c</t>
  </si>
  <si>
    <t>o;b:h/b</t>
  </si>
  <si>
    <r>
      <t xml:space="preserve">poss 11 L Sh </t>
    </r>
    <r>
      <rPr>
        <sz val="1"/>
        <color indexed="8"/>
        <rFont val="Arial"/>
        <family val="2"/>
      </rPr>
      <t>yy</t>
    </r>
  </si>
  <si>
    <t>h/b:c/h</t>
  </si>
  <si>
    <t>02-04, 07-09 L Shs/Rn</t>
  </si>
  <si>
    <t>b-p:b;f</t>
  </si>
  <si>
    <t>01-02, 06-08 L-M Shs</t>
  </si>
  <si>
    <t>o;b;p</t>
  </si>
  <si>
    <t>c-f:b/h</t>
  </si>
  <si>
    <t>c-b:b;p</t>
  </si>
  <si>
    <t>c-p:b</t>
  </si>
  <si>
    <t>o:b/h</t>
  </si>
  <si>
    <t>See Apr G for legends</t>
  </si>
  <si>
    <t>o:b-o</t>
  </si>
  <si>
    <t>early am oc L Dz/Rn; 18 H Sh</t>
  </si>
  <si>
    <t>c-p:p</t>
  </si>
  <si>
    <t>p;c:b-f</t>
  </si>
  <si>
    <t>c-f:f-c</t>
  </si>
  <si>
    <t>f-p:p-f</t>
  </si>
  <si>
    <t>05-06 L-M Rn</t>
  </si>
  <si>
    <t>b-c:f-o</t>
  </si>
  <si>
    <r>
      <t xml:space="preserve">1930 L Sh </t>
    </r>
    <r>
      <rPr>
        <sz val="1"/>
        <color indexed="8"/>
        <rFont val="Arial"/>
        <family val="2"/>
      </rPr>
      <t>yy</t>
    </r>
  </si>
  <si>
    <t>c/f</t>
  </si>
  <si>
    <t>c:c/h</t>
  </si>
  <si>
    <t>o;b:b-f</t>
  </si>
  <si>
    <t>o:o-h</t>
  </si>
  <si>
    <r>
      <t xml:space="preserve">17 L Sh </t>
    </r>
    <r>
      <rPr>
        <sz val="1"/>
        <color indexed="8"/>
        <rFont val="Arial"/>
        <family val="2"/>
      </rPr>
      <t>yy</t>
    </r>
  </si>
  <si>
    <t>b-p:o-f</t>
  </si>
  <si>
    <t>o-f:b-o</t>
  </si>
  <si>
    <t>1530-17 L Rn, -22 bk S/L bk Rn/Dz</t>
  </si>
  <si>
    <t>c-b:p</t>
  </si>
  <si>
    <r>
      <t xml:space="preserve">1230, 14 M Shs </t>
    </r>
    <r>
      <rPr>
        <sz val="1"/>
        <color indexed="8"/>
        <rFont val="Arial"/>
        <family val="2"/>
      </rPr>
      <t>yy</t>
    </r>
  </si>
  <si>
    <r>
      <t xml:space="preserve">pm </t>
    </r>
    <r>
      <rPr>
        <b/>
        <sz val="10"/>
        <color indexed="8"/>
        <rFont val="Arial"/>
        <family val="2"/>
      </rPr>
      <t>Thunder</t>
    </r>
    <r>
      <rPr>
        <sz val="10"/>
        <color indexed="8"/>
        <rFont val="Arial"/>
        <family val="2"/>
      </rPr>
      <t>; poss hail; L-T 10-18 Shs</t>
    </r>
  </si>
  <si>
    <t>NB: 0.01-0.27mm (one tip) = 0.1mm = Rain-free.</t>
  </si>
  <si>
    <t>On Away days, Events may be inaccurate</t>
  </si>
  <si>
    <t>Variable Wind Direction Days - 5th: E/S (little SE); 19th: W-E VRB</t>
  </si>
  <si>
    <t>10th: 4.4 °C/h Temp increase at 0745; 22nd: similar</t>
  </si>
  <si>
    <t>23rd: 3.6 °C/h cold front drop to 19:58</t>
  </si>
  <si>
    <r>
      <t xml:space="preserve">24th: DATA LOSS 1420-1850 - Tmax, Hmin, Sun/CC are estimates (though likely accurate to </t>
    </r>
    <r>
      <rPr>
        <sz val="10"/>
        <color indexed="8"/>
        <rFont val="Arial"/>
      </rPr>
      <t>±0.5, ±3, ±1</t>
    </r>
    <r>
      <rPr>
        <sz val="10"/>
        <color indexed="8"/>
        <rFont val="Arial"/>
        <family val="2"/>
      </rPr>
      <t>)</t>
    </r>
  </si>
  <si>
    <t>4th</t>
  </si>
  <si>
    <t>*18:15</t>
  </si>
  <si>
    <t>c:c-h</t>
  </si>
  <si>
    <t>c-b:b-f</t>
  </si>
  <si>
    <t>o-f:p-c</t>
  </si>
  <si>
    <t>b-h:o</t>
  </si>
  <si>
    <t>13-17 bk L, 17-00 L-M Rn</t>
  </si>
  <si>
    <t>00-02 M, 03-11 bk L Rn</t>
  </si>
  <si>
    <t>p;f</t>
  </si>
  <si>
    <t>p/b</t>
  </si>
  <si>
    <t>14 L, 16 H, 17 M Shs</t>
  </si>
  <si>
    <t>f-p:b;p</t>
  </si>
  <si>
    <r>
      <t>11 H, 13 M Shs</t>
    </r>
    <r>
      <rPr>
        <sz val="1"/>
        <color indexed="8"/>
        <rFont val="Arial"/>
        <family val="2"/>
      </rPr>
      <t xml:space="preserve"> yy</t>
    </r>
  </si>
  <si>
    <t>23:50*</t>
  </si>
  <si>
    <t>Cum. Anom</t>
  </si>
  <si>
    <t>9th: Data Loss - 16:58-19:09, data has been reconstructed; possible that Tmax and Hmin have small errors</t>
  </si>
  <si>
    <t>Variable Wind Direction Days - 14th: W v SW (02-18); 17th: SW b S b W (04-08, 18-00); 27th: E b N (07-00)</t>
  </si>
  <si>
    <t>26th: Data Loss - 1300-1455, data has been reconstructed; errors unlikely to exist</t>
  </si>
  <si>
    <t>*08:45</t>
  </si>
  <si>
    <t>*10:30</t>
  </si>
  <si>
    <t>*14:45</t>
  </si>
  <si>
    <t>*00:00</t>
  </si>
  <si>
    <t>*15:50</t>
  </si>
  <si>
    <t>b-h:p;o</t>
  </si>
  <si>
    <r>
      <t xml:space="preserve">12,1530 V Shs w/ </t>
    </r>
    <r>
      <rPr>
        <b/>
        <sz val="10"/>
        <color indexed="8"/>
        <rFont val="Arial"/>
        <family val="2"/>
      </rPr>
      <t>Thunder</t>
    </r>
    <r>
      <rPr>
        <sz val="10"/>
        <color indexed="8"/>
        <rFont val="Arial"/>
        <family val="2"/>
      </rPr>
      <t>; 2130 L Sh; …</t>
    </r>
  </si>
  <si>
    <t>…23-04 L/M Shs/Rn</t>
  </si>
  <si>
    <t>c-o:o</t>
  </si>
  <si>
    <t>09-15 S/L, 17-18 M Rn; 20-22 L-M bk Rn</t>
  </si>
  <si>
    <t>o-b:f;p</t>
  </si>
  <si>
    <r>
      <t>06 L Sh</t>
    </r>
    <r>
      <rPr>
        <sz val="1"/>
        <color indexed="8"/>
        <rFont val="Arial"/>
        <family val="2"/>
      </rPr>
      <t xml:space="preserve"> yy</t>
    </r>
  </si>
  <si>
    <t>c;f</t>
  </si>
  <si>
    <t>b;h:b-o</t>
  </si>
  <si>
    <r>
      <t>poss eve S Dz</t>
    </r>
    <r>
      <rPr>
        <sz val="1"/>
        <color indexed="8"/>
        <rFont val="Arial"/>
        <family val="2"/>
      </rPr>
      <t xml:space="preserve"> yy</t>
    </r>
  </si>
  <si>
    <t>b-o:b/p</t>
  </si>
  <si>
    <r>
      <t xml:space="preserve">08-10 H, 11-13 L Rn; 21 H Sh w/ </t>
    </r>
    <r>
      <rPr>
        <b/>
        <sz val="10"/>
        <color indexed="8"/>
        <rFont val="Arial"/>
        <family val="2"/>
      </rPr>
      <t>Thunder</t>
    </r>
  </si>
  <si>
    <t>o;b:o</t>
  </si>
  <si>
    <t>12-13 L, 15-18 bk S, -21 L-M, -00 bk L Rn</t>
  </si>
  <si>
    <r>
      <t xml:space="preserve">12,1330,16-18,21 L-H Shs, s. w/ </t>
    </r>
    <r>
      <rPr>
        <b/>
        <sz val="10"/>
        <color indexed="8"/>
        <rFont val="Arial"/>
        <family val="2"/>
      </rPr>
      <t>Thunder</t>
    </r>
  </si>
  <si>
    <t>p;b</t>
  </si>
  <si>
    <t>0030 L Sh yy</t>
  </si>
  <si>
    <t>b-f:b-o</t>
  </si>
  <si>
    <t>17-22 L/M bk Rn</t>
  </si>
  <si>
    <t>b:o-f</t>
  </si>
  <si>
    <t>12-15 M/H Rn</t>
  </si>
  <si>
    <r>
      <t>13 L Sh</t>
    </r>
    <r>
      <rPr>
        <sz val="1"/>
        <color indexed="8"/>
        <rFont val="Arial"/>
        <family val="2"/>
      </rPr>
      <t xml:space="preserve"> yy</t>
    </r>
  </si>
  <si>
    <t>c-f:h-o</t>
  </si>
  <si>
    <t>19-00 L Rn</t>
  </si>
  <si>
    <t>o:b-c</t>
  </si>
  <si>
    <t>00-05 L Rn</t>
  </si>
  <si>
    <t>o-c:c</t>
  </si>
  <si>
    <t>c:o/h</t>
  </si>
  <si>
    <t>Severe Heat</t>
  </si>
  <si>
    <r>
      <t xml:space="preserve">11 L, 13,14,15-16 H/V Shs w/ </t>
    </r>
    <r>
      <rPr>
        <b/>
        <sz val="10"/>
        <color indexed="8"/>
        <rFont val="Arial"/>
        <family val="2"/>
      </rPr>
      <t>T-storms (L)</t>
    </r>
  </si>
  <si>
    <t>c-f:p</t>
  </si>
  <si>
    <t>c-p:b/p</t>
  </si>
  <si>
    <t>c-p:b-p</t>
  </si>
  <si>
    <t>c:b-o</t>
  </si>
  <si>
    <t>b-c:f/c</t>
  </si>
  <si>
    <t>c:h-o</t>
  </si>
  <si>
    <r>
      <t>Heat</t>
    </r>
    <r>
      <rPr>
        <sz val="10"/>
        <color indexed="8"/>
        <rFont val="Arial"/>
        <family val="2"/>
      </rPr>
      <t>; 17-18 L, 19-20 M, 21, 2330 H Rn/Shs</t>
    </r>
  </si>
  <si>
    <r>
      <t xml:space="preserve">01 ,13 L Shs </t>
    </r>
    <r>
      <rPr>
        <sz val="1"/>
        <color indexed="8"/>
        <rFont val="Arial"/>
        <family val="2"/>
      </rPr>
      <t>yy</t>
    </r>
  </si>
  <si>
    <t>o/b:p;b</t>
  </si>
  <si>
    <t>11,1230 M/H, 13-15 L Shs</t>
  </si>
  <si>
    <t>o-b:b</t>
  </si>
  <si>
    <t>04 H/V, 08-10 L, 12 M Shs</t>
  </si>
  <si>
    <t>b:b;p</t>
  </si>
  <si>
    <t>21 M Sh</t>
  </si>
  <si>
    <t>c-f:p-b</t>
  </si>
  <si>
    <t>b-h:h</t>
  </si>
  <si>
    <t>02-03,07-08,1030-1130 L, -14 M/H Rn; 1730 V Sh</t>
  </si>
  <si>
    <r>
      <t xml:space="preserve">1330, 15 V Shs w/ </t>
    </r>
    <r>
      <rPr>
        <b/>
        <sz val="10"/>
        <color indexed="8"/>
        <rFont val="Arial"/>
        <family val="2"/>
      </rPr>
      <t>Thunder</t>
    </r>
    <r>
      <rPr>
        <sz val="10"/>
        <color indexed="8"/>
        <rFont val="Arial"/>
        <family val="2"/>
      </rPr>
      <t>; other 24hr L/M Shs</t>
    </r>
  </si>
  <si>
    <t>o/b:b-o</t>
  </si>
  <si>
    <r>
      <t xml:space="preserve">16 H, 17 M, 18 V w/ </t>
    </r>
    <r>
      <rPr>
        <b/>
        <sz val="10"/>
        <color indexed="8"/>
        <rFont val="Arial"/>
        <family val="2"/>
      </rPr>
      <t>Thunder</t>
    </r>
    <r>
      <rPr>
        <sz val="10"/>
        <color indexed="8"/>
        <rFont val="Arial"/>
        <family val="2"/>
      </rPr>
      <t xml:space="preserve"> Shs; 19-21 L Rn</t>
    </r>
  </si>
  <si>
    <t>13 L, 1430 H, 16 L, 17 H, 18,1930-20 L Shs</t>
  </si>
  <si>
    <t>*13:35</t>
  </si>
  <si>
    <t>Variable Wind Direction Days - 2nd: VRB (00-18); 3rd: VRB (11-00); 4th: VRB (00-11, 22-00); 5th: E v SW (10-12)</t>
  </si>
  <si>
    <t xml:space="preserve">16-22 bk S Rn (19-20 M-H) </t>
  </si>
  <si>
    <t>0930 M, 16 H, 1630 H, 19-20 L Shs</t>
  </si>
  <si>
    <t>f-p:p/b</t>
  </si>
  <si>
    <t>21-23 L Rn</t>
  </si>
  <si>
    <t>f;b:o</t>
  </si>
  <si>
    <t>06 M Sh</t>
  </si>
  <si>
    <t>c-p:f-c</t>
  </si>
  <si>
    <t>c-p:p-o</t>
  </si>
  <si>
    <t>b-o:h-o</t>
  </si>
  <si>
    <t>o-f:p-b</t>
  </si>
  <si>
    <t>o-b:o-b</t>
  </si>
  <si>
    <t>h-c:f</t>
  </si>
  <si>
    <t/>
  </si>
  <si>
    <t>b-f:p-f</t>
  </si>
  <si>
    <t>b-f:b</t>
  </si>
  <si>
    <r>
      <t>Heat</t>
    </r>
    <r>
      <rPr>
        <sz val="10"/>
        <color indexed="8"/>
        <rFont val="Arial"/>
        <family val="2"/>
      </rPr>
      <t xml:space="preserve">; </t>
    </r>
    <r>
      <rPr>
        <sz val="9"/>
        <color indexed="8"/>
        <rFont val="Arial"/>
        <family val="2"/>
      </rPr>
      <t>0630-0730 L Shs/Rn</t>
    </r>
  </si>
  <si>
    <t>b-c:p;c</t>
  </si>
  <si>
    <t>05-08 M Shs; 09-13 L/M Rn; 15, 17 L Shs</t>
  </si>
  <si>
    <t>b;p:p</t>
  </si>
  <si>
    <t>b:o;h</t>
  </si>
  <si>
    <r>
      <t xml:space="preserve">20 L Sh </t>
    </r>
    <r>
      <rPr>
        <sz val="1"/>
        <color indexed="8"/>
        <rFont val="Arial"/>
        <family val="2"/>
      </rPr>
      <t>yy</t>
    </r>
  </si>
  <si>
    <t>p:o;b</t>
  </si>
  <si>
    <t>1430-17 H Shs</t>
  </si>
  <si>
    <t>p:p-b</t>
  </si>
  <si>
    <r>
      <t>01,02,20 M Shs</t>
    </r>
    <r>
      <rPr>
        <sz val="1"/>
        <color indexed="8"/>
        <rFont val="Arial"/>
        <family val="2"/>
      </rPr>
      <t xml:space="preserve"> yy</t>
    </r>
  </si>
  <si>
    <t>c-b:f</t>
  </si>
  <si>
    <t>b;f:f-b</t>
  </si>
  <si>
    <t>09-11 L Shs (08 M), 15 V Sh</t>
  </si>
  <si>
    <t>o-p:h-o</t>
  </si>
  <si>
    <t>04 M, 07,08 L Shs</t>
  </si>
  <si>
    <t>c-o</t>
  </si>
  <si>
    <r>
      <t>19-20 L Rn, -00 bk S</t>
    </r>
    <r>
      <rPr>
        <sz val="1"/>
        <color indexed="8"/>
        <rFont val="Arial"/>
        <family val="2"/>
      </rPr>
      <t xml:space="preserve"> yy</t>
    </r>
  </si>
  <si>
    <t>b-o:b-p</t>
  </si>
  <si>
    <t>o/h;b</t>
  </si>
  <si>
    <r>
      <t>17-20 L bk Rn</t>
    </r>
    <r>
      <rPr>
        <sz val="1"/>
        <color indexed="8"/>
        <rFont val="Arial"/>
        <family val="2"/>
      </rPr>
      <t xml:space="preserve"> yy</t>
    </r>
  </si>
  <si>
    <t>1330-19 H Shs (16 T)</t>
  </si>
  <si>
    <t>c:p-f</t>
  </si>
  <si>
    <t>p;b:o-c</t>
  </si>
  <si>
    <t>1330-1530 M Rn</t>
  </si>
  <si>
    <t>b;h:h-c</t>
  </si>
  <si>
    <t>u</t>
  </si>
  <si>
    <t>08-11 M/H Rn, -20 bk L Dz</t>
  </si>
  <si>
    <r>
      <t xml:space="preserve">07 L Sh </t>
    </r>
    <r>
      <rPr>
        <sz val="1"/>
        <color indexed="21"/>
        <rFont val="Arial"/>
        <family val="2"/>
      </rPr>
      <t>yy</t>
    </r>
  </si>
  <si>
    <t>0930-1130 M/H Rn; 22- S bk Rn</t>
  </si>
  <si>
    <r>
      <t xml:space="preserve">00-05 M, 08-12 L, 16 V w/ </t>
    </r>
    <r>
      <rPr>
        <b/>
        <sz val="10"/>
        <color indexed="21"/>
        <rFont val="Arial"/>
        <family val="2"/>
      </rPr>
      <t>Thunder</t>
    </r>
    <r>
      <rPr>
        <sz val="10"/>
        <color indexed="21"/>
        <rFont val="Arial"/>
        <family val="2"/>
      </rPr>
      <t>, 18 H Shs</t>
    </r>
  </si>
  <si>
    <r>
      <t xml:space="preserve">12, 15, 17 L-M Shs </t>
    </r>
    <r>
      <rPr>
        <sz val="1"/>
        <color indexed="21"/>
        <rFont val="Arial"/>
        <family val="2"/>
      </rPr>
      <t>yy</t>
    </r>
  </si>
  <si>
    <r>
      <t xml:space="preserve">poss 19 L Sh </t>
    </r>
    <r>
      <rPr>
        <sz val="1"/>
        <color indexed="21"/>
        <rFont val="Arial"/>
        <family val="2"/>
      </rPr>
      <t>yy</t>
    </r>
  </si>
  <si>
    <t>00:03*</t>
  </si>
  <si>
    <t>*11:20</t>
  </si>
  <si>
    <t>*13:00</t>
  </si>
  <si>
    <t>23:25*</t>
  </si>
  <si>
    <t>Variable Wind Direction Days - 2nd: VRB (00-16); 23rd: E v W (ad)</t>
  </si>
  <si>
    <r>
      <t xml:space="preserve">22nd, 00-17 and 24th, 08 to 29th, 19 is logged data and has no webcam imagery. Cells in teal refer to  unreliable data (wind values </t>
    </r>
    <r>
      <rPr>
        <b/>
        <sz val="10"/>
        <color indexed="21"/>
        <rFont val="Arial"/>
      </rPr>
      <t>±</t>
    </r>
    <r>
      <rPr>
        <b/>
        <sz val="10"/>
        <color indexed="21"/>
        <rFont val="Arial"/>
        <family val="2"/>
      </rPr>
      <t>10%, sun hours from EGLL, some events unverifiable).</t>
    </r>
  </si>
  <si>
    <t>unknown</t>
  </si>
  <si>
    <t>h-p:f;c</t>
  </si>
  <si>
    <t>h-c:c-f</t>
  </si>
  <si>
    <t>o-p:f-b</t>
  </si>
  <si>
    <t>late am L Dz Shs, 13-1430 M-H Rn; 23- S Rn</t>
  </si>
  <si>
    <t>14:00*</t>
  </si>
  <si>
    <t>05-11 bk L Rn; 15-17 T Sh</t>
  </si>
  <si>
    <t>*21:10</t>
  </si>
  <si>
    <t>11:35*</t>
  </si>
  <si>
    <r>
      <t>00-030, 20-21 S/L Rn/Dz</t>
    </r>
    <r>
      <rPr>
        <sz val="1"/>
        <color indexed="8"/>
        <rFont val="Arial"/>
        <family val="2"/>
      </rPr>
      <t xml:space="preserve"> yy</t>
    </r>
  </si>
  <si>
    <t>o;b/h</t>
  </si>
  <si>
    <t>02 M/H Sh</t>
  </si>
  <si>
    <r>
      <t>21-00 L Rn/Dz Shs</t>
    </r>
    <r>
      <rPr>
        <sz val="1"/>
        <color indexed="8"/>
        <rFont val="Arial"/>
        <family val="2"/>
      </rPr>
      <t xml:space="preserve"> yy</t>
    </r>
  </si>
  <si>
    <r>
      <t xml:space="preserve">2330 L Sh </t>
    </r>
    <r>
      <rPr>
        <sz val="1"/>
        <color indexed="8"/>
        <rFont val="Arial"/>
        <family val="2"/>
      </rPr>
      <t>yy</t>
    </r>
  </si>
  <si>
    <t>6th - Torrential rain caused by v. slow moving active cold front</t>
  </si>
  <si>
    <t>o/b</t>
  </si>
  <si>
    <r>
      <t>1430 M Sh</t>
    </r>
    <r>
      <rPr>
        <sz val="1"/>
        <color indexed="8"/>
        <rFont val="Arial"/>
        <family val="2"/>
      </rPr>
      <t xml:space="preserve"> yy</t>
    </r>
  </si>
  <si>
    <t>b-f:f-b</t>
  </si>
  <si>
    <t>03-04 M Rn; 17-1830 L-H Shs</t>
  </si>
  <si>
    <t>o-b:f-c</t>
  </si>
  <si>
    <r>
      <t xml:space="preserve">0230 M Sh </t>
    </r>
    <r>
      <rPr>
        <sz val="1"/>
        <color indexed="8"/>
        <rFont val="Arial"/>
        <family val="2"/>
      </rPr>
      <t>yy</t>
    </r>
  </si>
  <si>
    <t>p:b-f</t>
  </si>
  <si>
    <r>
      <t>1330 H Sh</t>
    </r>
    <r>
      <rPr>
        <sz val="1"/>
        <color indexed="8"/>
        <rFont val="Arial"/>
        <family val="2"/>
      </rPr>
      <t xml:space="preserve"> yy</t>
    </r>
  </si>
  <si>
    <t>c-f:f;p</t>
  </si>
  <si>
    <t>c-h:f/p</t>
  </si>
  <si>
    <t>b-f:f;p</t>
  </si>
  <si>
    <t>p;b:b</t>
  </si>
  <si>
    <t>15-17,1830 L-M Shs</t>
  </si>
  <si>
    <t>f/p:b</t>
  </si>
  <si>
    <r>
      <t xml:space="preserve">17 S Sh </t>
    </r>
    <r>
      <rPr>
        <sz val="1"/>
        <color indexed="8"/>
        <rFont val="Arial"/>
        <family val="2"/>
      </rPr>
      <t>yy</t>
    </r>
  </si>
  <si>
    <t>f:p-b</t>
  </si>
  <si>
    <t>22- S-L Rn</t>
  </si>
  <si>
    <t>o:p;f</t>
  </si>
  <si>
    <r>
      <t xml:space="preserve">00-05 bk L Rn/Dz </t>
    </r>
    <r>
      <rPr>
        <sz val="1"/>
        <color indexed="8"/>
        <rFont val="Arial"/>
        <family val="2"/>
      </rPr>
      <t>yy</t>
    </r>
  </si>
  <si>
    <t>f/p:p-o</t>
  </si>
  <si>
    <t>f:c</t>
  </si>
  <si>
    <t>c-f:h;p</t>
  </si>
  <si>
    <t>08-09 L Dz; 18 H Sh</t>
  </si>
  <si>
    <t>o:c</t>
  </si>
  <si>
    <r>
      <t xml:space="preserve">07-08 </t>
    </r>
    <r>
      <rPr>
        <b/>
        <sz val="10"/>
        <color indexed="8"/>
        <rFont val="Arial"/>
        <family val="2"/>
      </rPr>
      <t>Dense Fog</t>
    </r>
    <r>
      <rPr>
        <sz val="10"/>
        <color indexed="8"/>
        <rFont val="Arial"/>
        <family val="2"/>
      </rPr>
      <t>, L Dz</t>
    </r>
  </si>
  <si>
    <t>Manual</t>
  </si>
  <si>
    <t>Auto</t>
  </si>
  <si>
    <t>Variable Wind Direction Days - 16th: E v W (08-22); 29th: E/NE mostly, S 16-21;</t>
  </si>
  <si>
    <t>13th: 11u Humidity rise in 2 minutes, 1.5C Temp drop in 10 mins, at 1340</t>
  </si>
  <si>
    <t>18th: single tip of 0.3mm re-assigned to 17th (no evidence of rain on radar or webcam)</t>
  </si>
  <si>
    <t>p:c</t>
  </si>
  <si>
    <t>b:b-o</t>
  </si>
  <si>
    <t xml:space="preserve">b;p:o/b </t>
  </si>
  <si>
    <r>
      <t>1730 L Sh</t>
    </r>
    <r>
      <rPr>
        <sz val="1"/>
        <color indexed="8"/>
        <rFont val="Arial"/>
        <family val="2"/>
      </rPr>
      <t xml:space="preserve"> yy</t>
    </r>
  </si>
  <si>
    <t>h/p:f</t>
  </si>
  <si>
    <t>01-02 L/M Rn, 04 H Sh; 16,22 L Shs</t>
  </si>
  <si>
    <t>o:b-f</t>
  </si>
  <si>
    <r>
      <t>01 L Rn</t>
    </r>
    <r>
      <rPr>
        <sz val="1"/>
        <color indexed="8"/>
        <rFont val="Arial"/>
        <family val="2"/>
      </rPr>
      <t xml:space="preserve"> yy</t>
    </r>
  </si>
  <si>
    <r>
      <t>poss 06 L Rn/Dz; 23 L Sh</t>
    </r>
    <r>
      <rPr>
        <sz val="1"/>
        <color indexed="8"/>
        <rFont val="Arial"/>
        <family val="2"/>
      </rPr>
      <t xml:space="preserve"> yy</t>
    </r>
  </si>
  <si>
    <t>02-09 bk L Rn</t>
  </si>
  <si>
    <t>p:h-o</t>
  </si>
  <si>
    <t>b:o-p</t>
  </si>
  <si>
    <t>o;b:b-o</t>
  </si>
  <si>
    <t>c:o-f</t>
  </si>
  <si>
    <t>c-p:b-o</t>
  </si>
  <si>
    <t>f;c</t>
  </si>
  <si>
    <t>0030 L Sh; 02 H Sh, - 03 L Rn</t>
  </si>
  <si>
    <t>c;f:f-o</t>
  </si>
  <si>
    <t>o-h:f-c</t>
  </si>
  <si>
    <t>h;b</t>
  </si>
  <si>
    <r>
      <t>22-23 L Rn</t>
    </r>
    <r>
      <rPr>
        <sz val="1"/>
        <color indexed="8"/>
        <rFont val="Arial"/>
        <family val="2"/>
      </rPr>
      <t xml:space="preserve"> yy</t>
    </r>
  </si>
  <si>
    <t>15 H Sh</t>
  </si>
  <si>
    <t>b:f;b</t>
  </si>
  <si>
    <t>03-06, 08, 11-12, 14, 17 L-M Shs; 21-22 L Rn</t>
  </si>
  <si>
    <t>03-06, 10-15 bk S Rn/Dz; 2130 M Sh</t>
  </si>
  <si>
    <t>c:c;b</t>
  </si>
  <si>
    <t>Variable Wind Direction Days - 4th: N b S (14-18), 15th: N-S via E VRB; 27th: E-S var (00-18), S-W (-00); 28th: W v E (02-14)</t>
  </si>
  <si>
    <t>DATA LOSS (WD not receiving WMR signal): 1645-200, 2nd; temp/hum data reconstructed</t>
  </si>
  <si>
    <t>4th-5th: Wind data loss at multiple times (generally overnight)</t>
  </si>
  <si>
    <t>23rd: 3.6 °C/h cold front drop to 03:05 (-1.1 in 10m)</t>
  </si>
  <si>
    <r>
      <t xml:space="preserve">25th-26th: </t>
    </r>
    <r>
      <rPr>
        <b/>
        <sz val="10"/>
        <color indexed="8"/>
        <rFont val="Arial"/>
        <family val="2"/>
      </rPr>
      <t>3</t>
    </r>
    <r>
      <rPr>
        <sz val="10"/>
        <color indexed="8"/>
        <rFont val="Arial"/>
        <family val="2"/>
      </rPr>
      <t xml:space="preserve"> rainbows observed on webcam (one double)</t>
    </r>
  </si>
  <si>
    <t>18:00*</t>
  </si>
  <si>
    <t>21:15*</t>
  </si>
  <si>
    <t>b/o:f</t>
  </si>
  <si>
    <t>0530 H Sh</t>
  </si>
  <si>
    <t>f-p:p-b</t>
  </si>
  <si>
    <r>
      <t xml:space="preserve">19, 2330 L Shs </t>
    </r>
    <r>
      <rPr>
        <sz val="1"/>
        <color indexed="8"/>
        <rFont val="Arial"/>
        <family val="2"/>
      </rPr>
      <t>yy</t>
    </r>
  </si>
  <si>
    <t>08 M Sh; 1630-1730 M/H Rn; 23- S Rn</t>
  </si>
  <si>
    <t>o:p:b-o</t>
  </si>
  <si>
    <t>00-09 M-H (occ. L/bk) Rn</t>
  </si>
  <si>
    <t>h/b:o</t>
  </si>
  <si>
    <r>
      <t>poss 16 Dz</t>
    </r>
    <r>
      <rPr>
        <sz val="1"/>
        <color indexed="8"/>
        <rFont val="Arial"/>
        <family val="2"/>
      </rPr>
      <t xml:space="preserve"> yy</t>
    </r>
  </si>
  <si>
    <t>November 
.
2011</t>
  </si>
  <si>
    <t>b;o</t>
  </si>
  <si>
    <r>
      <t xml:space="preserve">poss eve Dz </t>
    </r>
    <r>
      <rPr>
        <sz val="1"/>
        <color indexed="8"/>
        <rFont val="Arial"/>
        <family val="2"/>
      </rPr>
      <t>yy</t>
    </r>
  </si>
  <si>
    <t>Dz spells throughout (partic early and late)</t>
  </si>
  <si>
    <t>b;o:b-p</t>
  </si>
  <si>
    <t>O.night Dz spells</t>
  </si>
  <si>
    <r>
      <t>am Light Fog; 23-00 L bk Rn</t>
    </r>
    <r>
      <rPr>
        <sz val="1"/>
        <color indexed="8"/>
        <rFont val="Arial"/>
        <family val="2"/>
      </rPr>
      <t xml:space="preserve"> yy</t>
    </r>
  </si>
  <si>
    <t>c;h</t>
  </si>
  <si>
    <r>
      <t>poss Dz</t>
    </r>
    <r>
      <rPr>
        <sz val="1"/>
        <color indexed="8"/>
        <rFont val="Arial"/>
        <family val="2"/>
      </rPr>
      <t xml:space="preserve"> yy</t>
    </r>
  </si>
  <si>
    <t>b:p-c</t>
  </si>
  <si>
    <t>f:p</t>
  </si>
  <si>
    <t>b-c:c</t>
  </si>
  <si>
    <r>
      <t xml:space="preserve">am </t>
    </r>
    <r>
      <rPr>
        <b/>
        <sz val="10"/>
        <color indexed="8"/>
        <rFont val="Arial"/>
        <family val="2"/>
      </rPr>
      <t>Dense Fog</t>
    </r>
  </si>
  <si>
    <r>
      <t xml:space="preserve">am </t>
    </r>
    <r>
      <rPr>
        <b/>
        <sz val="10"/>
        <color indexed="8"/>
        <rFont val="Arial"/>
        <family val="2"/>
      </rPr>
      <t>Dense Fog</t>
    </r>
    <r>
      <rPr>
        <sz val="10"/>
        <color indexed="8"/>
        <rFont val="Arial"/>
        <family val="2"/>
      </rPr>
      <t xml:space="preserve">; </t>
    </r>
    <r>
      <rPr>
        <sz val="9"/>
        <color indexed="8"/>
        <rFont val="Arial"/>
        <family val="2"/>
      </rPr>
      <t>07, 17 L Shs</t>
    </r>
  </si>
  <si>
    <t>o-h:h-b</t>
  </si>
  <si>
    <r>
      <t>0830 L Sh</t>
    </r>
    <r>
      <rPr>
        <sz val="1"/>
        <color indexed="8"/>
        <rFont val="Arial"/>
        <family val="2"/>
      </rPr>
      <t xml:space="preserve"> yy</t>
    </r>
  </si>
  <si>
    <r>
      <t xml:space="preserve">06 L Sh; 17 M Sh w/ L Rn </t>
    </r>
    <r>
      <rPr>
        <sz val="1"/>
        <color indexed="8"/>
        <rFont val="Arial"/>
        <family val="2"/>
      </rPr>
      <t>yy</t>
    </r>
  </si>
  <si>
    <r>
      <t>15 L Sh; 23- bk L Rn</t>
    </r>
    <r>
      <rPr>
        <sz val="1"/>
        <color indexed="8"/>
        <rFont val="Arial"/>
        <family val="2"/>
      </rPr>
      <t xml:space="preserve"> yy</t>
    </r>
  </si>
  <si>
    <t>01:20*</t>
  </si>
  <si>
    <t>23:11*</t>
  </si>
  <si>
    <t>Variable Wind Direction Days - 22nd: E to NW (13z)</t>
  </si>
  <si>
    <t>6th: 00-08 data corrupted - reconstructed</t>
  </si>
  <si>
    <t>20th: Fog induced a false tip - removed</t>
  </si>
  <si>
    <t>24th: False (dew-induced?) tip - removed</t>
  </si>
  <si>
    <t>7th-9th wet hours need checking - drizzle is hard to detect</t>
  </si>
  <si>
    <t>b;p:o</t>
  </si>
  <si>
    <t>00-02 bk L Rn, 07 M Sh; 1630-2230 L Rn</t>
  </si>
  <si>
    <t>c:h;c</t>
  </si>
  <si>
    <r>
      <t>22-00 bk S Rn</t>
    </r>
    <r>
      <rPr>
        <sz val="1"/>
        <color indexed="8"/>
        <rFont val="Arial"/>
        <family val="2"/>
      </rPr>
      <t xml:space="preserve"> yy</t>
    </r>
  </si>
  <si>
    <r>
      <t>00-02 bk S Rn</t>
    </r>
    <r>
      <rPr>
        <sz val="1"/>
        <color indexed="8"/>
        <rFont val="Arial"/>
        <family val="2"/>
      </rPr>
      <t xml:space="preserve"> yy</t>
    </r>
  </si>
  <si>
    <r>
      <t>14, 19 L,M Shs</t>
    </r>
    <r>
      <rPr>
        <sz val="1"/>
        <color indexed="8"/>
        <rFont val="Arial"/>
        <family val="2"/>
      </rPr>
      <t xml:space="preserve"> yy</t>
    </r>
  </si>
  <si>
    <t>c-p:p/b</t>
  </si>
  <si>
    <t>f:b</t>
  </si>
  <si>
    <r>
      <t>17 L Rn</t>
    </r>
    <r>
      <rPr>
        <sz val="1"/>
        <color indexed="8"/>
        <rFont val="Arial"/>
        <family val="2"/>
      </rPr>
      <t xml:space="preserve"> yy</t>
    </r>
  </si>
  <si>
    <r>
      <t>04 L Sh</t>
    </r>
    <r>
      <rPr>
        <sz val="1"/>
        <color indexed="8"/>
        <rFont val="Arial"/>
        <family val="2"/>
      </rPr>
      <t xml:space="preserve"> yy</t>
    </r>
  </si>
  <si>
    <r>
      <t>19 M Sh; pm L Dz Shs</t>
    </r>
    <r>
      <rPr>
        <sz val="1"/>
        <color indexed="8"/>
        <rFont val="Arial"/>
        <family val="2"/>
      </rPr>
      <t xml:space="preserve"> yy</t>
    </r>
  </si>
  <si>
    <t>c:c-f</t>
  </si>
  <si>
    <t>07, 10 L Shs; 19-21 M-H Rn</t>
  </si>
  <si>
    <t>19- L Rn</t>
  </si>
  <si>
    <t>c-f:f</t>
  </si>
  <si>
    <t>-02 M Rn; 04 V Sh</t>
  </si>
  <si>
    <r>
      <t>1630 M Sh</t>
    </r>
    <r>
      <rPr>
        <sz val="1"/>
        <color indexed="8"/>
        <rFont val="Arial"/>
        <family val="2"/>
      </rPr>
      <t xml:space="preserve"> yy</t>
    </r>
  </si>
  <si>
    <t>c:b</t>
  </si>
  <si>
    <t>05 L Sh; 22- L Rn</t>
  </si>
  <si>
    <r>
      <t xml:space="preserve">-03, 0530-09 L Rn, -10 L Slt &amp; </t>
    </r>
    <r>
      <rPr>
        <b/>
        <sz val="10"/>
        <color indexed="8"/>
        <rFont val="Arial"/>
        <family val="2"/>
      </rPr>
      <t>M Sn</t>
    </r>
    <r>
      <rPr>
        <sz val="10"/>
        <color indexed="8"/>
        <rFont val="Arial"/>
        <family val="2"/>
      </rPr>
      <t>; 19 L Sh</t>
    </r>
  </si>
  <si>
    <t>c-o:f/p</t>
  </si>
  <si>
    <r>
      <t>10 L, 19 M Shs</t>
    </r>
    <r>
      <rPr>
        <sz val="1"/>
        <color indexed="8"/>
        <rFont val="Arial"/>
        <family val="2"/>
      </rPr>
      <t xml:space="preserve"> yy</t>
    </r>
  </si>
  <si>
    <r>
      <t>Air Frost</t>
    </r>
    <r>
      <rPr>
        <sz val="10"/>
        <color indexed="8"/>
        <rFont val="Arial"/>
        <family val="2"/>
      </rPr>
      <t>; 12-1730 L Rn (16 M)</t>
    </r>
  </si>
  <si>
    <t>c;f:o</t>
  </si>
  <si>
    <r>
      <t>21- S Rn</t>
    </r>
    <r>
      <rPr>
        <sz val="1"/>
        <color indexed="8"/>
        <rFont val="Arial"/>
        <family val="2"/>
      </rPr>
      <t xml:space="preserve"> yy</t>
    </r>
  </si>
  <si>
    <t>-05 S Rn/Dz, some day Dz</t>
  </si>
  <si>
    <t>h-c:c</t>
  </si>
  <si>
    <t>15-19 L Rn (1620 H)</t>
  </si>
  <si>
    <r>
      <t>21-23 S Rn</t>
    </r>
    <r>
      <rPr>
        <sz val="1"/>
        <color indexed="8"/>
        <rFont val="Arial"/>
        <family val="2"/>
      </rPr>
      <t xml:space="preserve"> yy</t>
    </r>
  </si>
  <si>
    <t>b/o</t>
  </si>
  <si>
    <t>b-o:b-f</t>
  </si>
  <si>
    <t>09-11, 13 L Shs; 1630-18 L Rn (1730 H)</t>
  </si>
  <si>
    <t>14-18 L Rn, 20-22 L Shs</t>
  </si>
  <si>
    <r>
      <t>21, 23 L/M Shs</t>
    </r>
    <r>
      <rPr>
        <sz val="1"/>
        <color indexed="8"/>
        <rFont val="Arial"/>
        <family val="2"/>
      </rPr>
      <t xml:space="preserve"> yy</t>
    </r>
  </si>
  <si>
    <t>Variable Wind Direction Days - 16th: E b W  (ad)</t>
  </si>
  <si>
    <t>Wind sensor failure: no data 15th at 06z to 21st at 16z - data reconstructed with local PWS data</t>
  </si>
  <si>
    <t>21:30*</t>
  </si>
  <si>
    <t>21:40*</t>
  </si>
  <si>
    <t>18:25*</t>
  </si>
  <si>
    <t>14:24*</t>
  </si>
  <si>
    <t>17:40*</t>
  </si>
  <si>
    <t>16:18*</t>
  </si>
  <si>
    <t>03:20*</t>
  </si>
  <si>
    <t>00:15*</t>
  </si>
  <si>
    <t>18:54*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</si>
</sst>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0.0"/>
    <numFmt numFmtId="165" formatCode="0.000"/>
    <numFmt numFmtId="166" formatCode="0.0000"/>
    <numFmt numFmtId="172" formatCode="0.0%"/>
  </numFmts>
  <fonts count="158" x14ac:knownFonts="1">
    <font>
      <sz val="10"/>
      <name val="Arial"/>
    </font>
    <font>
      <sz val="12"/>
      <name val="Arial"/>
      <family val="2"/>
    </font>
    <font>
      <sz val="12"/>
      <color indexed="22"/>
      <name val="Arial"/>
      <family val="2"/>
    </font>
    <font>
      <b/>
      <sz val="10"/>
      <name val="Arial"/>
      <family val="2"/>
    </font>
    <font>
      <sz val="8"/>
      <name val="Arial"/>
    </font>
    <font>
      <sz val="10"/>
      <color indexed="8"/>
      <name val="Arial"/>
    </font>
    <font>
      <b/>
      <sz val="10"/>
      <color indexed="54"/>
      <name val="Arial"/>
      <family val="2"/>
    </font>
    <font>
      <sz val="13"/>
      <name val="Arial"/>
      <family val="2"/>
    </font>
    <font>
      <b/>
      <sz val="10"/>
      <color indexed="46"/>
      <name val="Arial"/>
      <family val="2"/>
    </font>
    <font>
      <sz val="10"/>
      <name val="Arial"/>
      <family val="2"/>
    </font>
    <font>
      <sz val="10"/>
      <color indexed="10"/>
      <name val="Arial"/>
    </font>
    <font>
      <b/>
      <sz val="10"/>
      <color indexed="20"/>
      <name val="Arial"/>
      <family val="2"/>
    </font>
    <font>
      <b/>
      <sz val="10"/>
      <color indexed="63"/>
      <name val="Arial"/>
      <family val="2"/>
    </font>
    <font>
      <b/>
      <sz val="10"/>
      <color indexed="8"/>
      <name val="Arial"/>
      <family val="2"/>
    </font>
    <font>
      <b/>
      <sz val="10"/>
      <color indexed="22"/>
      <name val="Arial"/>
      <family val="2"/>
    </font>
    <font>
      <sz val="10"/>
      <color indexed="22"/>
      <name val="Arial"/>
      <family val="2"/>
    </font>
    <font>
      <sz val="10"/>
      <color indexed="8"/>
      <name val="Arial"/>
      <family val="2"/>
    </font>
    <font>
      <sz val="10"/>
      <color indexed="17"/>
      <name val="Arial"/>
      <family val="2"/>
    </font>
    <font>
      <sz val="10"/>
      <color indexed="46"/>
      <name val="Arial"/>
      <family val="2"/>
    </font>
    <font>
      <sz val="10"/>
      <color indexed="23"/>
      <name val="Arial"/>
      <family val="2"/>
    </font>
    <font>
      <b/>
      <sz val="10"/>
      <color indexed="23"/>
      <name val="Arial"/>
      <family val="2"/>
    </font>
    <font>
      <sz val="10"/>
      <color indexed="63"/>
      <name val="Arial"/>
      <family val="2"/>
    </font>
    <font>
      <sz val="10"/>
      <color indexed="61"/>
      <name val="Arial"/>
      <family val="2"/>
    </font>
    <font>
      <sz val="11"/>
      <name val="Arial"/>
      <family val="2"/>
    </font>
    <font>
      <sz val="9"/>
      <name val="Arial"/>
    </font>
    <font>
      <sz val="9"/>
      <name val="Arial"/>
      <family val="2"/>
    </font>
    <font>
      <b/>
      <sz val="10"/>
      <color indexed="10"/>
      <name val="Arial"/>
      <family val="2"/>
    </font>
    <font>
      <sz val="8"/>
      <name val="Arial"/>
      <family val="2"/>
    </font>
    <font>
      <b/>
      <sz val="12"/>
      <name val="Arial"/>
      <family val="2"/>
    </font>
    <font>
      <sz val="9.5"/>
      <name val="Arial"/>
      <family val="2"/>
    </font>
    <font>
      <b/>
      <sz val="10"/>
      <color indexed="61"/>
      <name val="Arial"/>
      <family val="2"/>
    </font>
    <font>
      <b/>
      <sz val="10"/>
      <color indexed="53"/>
      <name val="Arial"/>
      <family val="2"/>
    </font>
    <font>
      <sz val="10"/>
      <color indexed="53"/>
      <name val="Arial"/>
      <family val="2"/>
    </font>
    <font>
      <i/>
      <sz val="10"/>
      <name val="Arial"/>
      <family val="2"/>
    </font>
    <font>
      <sz val="10"/>
      <color indexed="53"/>
      <name val="Arial"/>
    </font>
    <font>
      <b/>
      <sz val="10"/>
      <color indexed="17"/>
      <name val="Arial"/>
      <family val="2"/>
    </font>
    <font>
      <sz val="10"/>
      <color indexed="12"/>
      <name val="Arial"/>
      <family val="2"/>
    </font>
    <font>
      <b/>
      <sz val="9"/>
      <color indexed="12"/>
      <name val="Arial"/>
      <family val="2"/>
    </font>
    <font>
      <b/>
      <sz val="10"/>
      <color indexed="18"/>
      <name val="Arial"/>
      <family val="2"/>
    </font>
    <font>
      <b/>
      <sz val="9"/>
      <color indexed="20"/>
      <name val="Arial"/>
      <family val="2"/>
    </font>
    <font>
      <b/>
      <sz val="10"/>
      <color indexed="57"/>
      <name val="Arial"/>
      <family val="2"/>
    </font>
    <font>
      <sz val="10"/>
      <color indexed="48"/>
      <name val="Arial"/>
      <family val="2"/>
    </font>
    <font>
      <sz val="10"/>
      <color indexed="52"/>
      <name val="Arial"/>
      <family val="2"/>
    </font>
    <font>
      <sz val="8"/>
      <color indexed="8"/>
      <name val="Arial"/>
      <family val="2"/>
    </font>
    <font>
      <sz val="10"/>
      <color indexed="10"/>
      <name val="Arial"/>
      <family val="2"/>
    </font>
    <font>
      <sz val="9"/>
      <color indexed="23"/>
      <name val="Arial"/>
      <family val="2"/>
    </font>
    <font>
      <sz val="10"/>
      <color indexed="49"/>
      <name val="Arial"/>
      <family val="2"/>
    </font>
    <font>
      <b/>
      <sz val="10"/>
      <color indexed="52"/>
      <name val="Arial"/>
      <family val="2"/>
    </font>
    <font>
      <sz val="9"/>
      <color indexed="14"/>
      <name val="Arial"/>
    </font>
    <font>
      <sz val="9"/>
      <color indexed="8"/>
      <name val="Arial"/>
      <family val="2"/>
    </font>
    <font>
      <sz val="9"/>
      <color indexed="22"/>
      <name val="Arial"/>
      <family val="2"/>
    </font>
    <font>
      <u/>
      <sz val="10"/>
      <color indexed="12"/>
      <name val="Arial"/>
    </font>
    <font>
      <b/>
      <sz val="9"/>
      <color indexed="17"/>
      <name val="Arial"/>
      <family val="2"/>
    </font>
    <font>
      <sz val="10"/>
      <color indexed="12"/>
      <name val="Arial"/>
    </font>
    <font>
      <sz val="8"/>
      <color indexed="55"/>
      <name val="Arial"/>
      <family val="2"/>
    </font>
    <font>
      <sz val="1"/>
      <color indexed="8"/>
      <name val="Arial"/>
      <family val="2"/>
    </font>
    <font>
      <b/>
      <sz val="8"/>
      <name val="Arial"/>
      <family val="2"/>
    </font>
    <font>
      <b/>
      <sz val="9"/>
      <name val="Arial"/>
      <family val="2"/>
    </font>
    <font>
      <b/>
      <sz val="8"/>
      <name val="Arial"/>
    </font>
    <font>
      <b/>
      <sz val="10"/>
      <color indexed="22"/>
      <name val="Arial"/>
    </font>
    <font>
      <b/>
      <sz val="10"/>
      <color indexed="12"/>
      <name val="Arial"/>
      <family val="2"/>
    </font>
    <font>
      <sz val="9"/>
      <color indexed="20"/>
      <name val="Arial"/>
      <family val="2"/>
    </font>
    <font>
      <sz val="9"/>
      <color indexed="48"/>
      <name val="Arial"/>
      <family val="2"/>
    </font>
    <font>
      <sz val="10"/>
      <color indexed="57"/>
      <name val="Arial"/>
      <family val="2"/>
    </font>
    <font>
      <b/>
      <sz val="9"/>
      <color indexed="23"/>
      <name val="Arial"/>
      <family val="2"/>
    </font>
    <font>
      <b/>
      <sz val="10"/>
      <color indexed="48"/>
      <name val="Arial"/>
      <family val="2"/>
    </font>
    <font>
      <b/>
      <sz val="10"/>
      <color indexed="43"/>
      <name val="Arial"/>
      <family val="2"/>
    </font>
    <font>
      <b/>
      <sz val="10"/>
      <color indexed="13"/>
      <name val="Arial"/>
      <family val="2"/>
    </font>
    <font>
      <b/>
      <sz val="10"/>
      <color indexed="49"/>
      <name val="Arial"/>
      <family val="2"/>
    </font>
    <font>
      <b/>
      <sz val="10"/>
      <color indexed="40"/>
      <name val="Arial"/>
      <family val="2"/>
    </font>
    <font>
      <b/>
      <sz val="10"/>
      <color indexed="14"/>
      <name val="Arial"/>
      <family val="2"/>
    </font>
    <font>
      <b/>
      <sz val="10"/>
      <color indexed="62"/>
      <name val="Arial"/>
      <family val="2"/>
    </font>
    <font>
      <sz val="12"/>
      <color indexed="48"/>
      <name val="Arial"/>
      <family val="2"/>
    </font>
    <font>
      <b/>
      <sz val="10"/>
      <color indexed="47"/>
      <name val="Arial"/>
      <family val="2"/>
    </font>
    <font>
      <b/>
      <sz val="10"/>
      <color indexed="51"/>
      <name val="Arial"/>
      <family val="2"/>
    </font>
    <font>
      <b/>
      <sz val="10"/>
      <color indexed="52"/>
      <name val="Arial"/>
    </font>
    <font>
      <b/>
      <sz val="10"/>
      <color indexed="17"/>
      <name val="Arial"/>
    </font>
    <font>
      <b/>
      <sz val="9"/>
      <color indexed="44"/>
      <name val="Arial"/>
      <family val="2"/>
    </font>
    <font>
      <b/>
      <sz val="10"/>
      <color indexed="44"/>
      <name val="Arial"/>
      <family val="2"/>
    </font>
    <font>
      <b/>
      <sz val="9"/>
      <color indexed="47"/>
      <name val="Arial"/>
      <family val="2"/>
    </font>
    <font>
      <b/>
      <sz val="10"/>
      <color indexed="55"/>
      <name val="Arial"/>
      <family val="2"/>
    </font>
    <font>
      <sz val="12"/>
      <color indexed="10"/>
      <name val="Arial"/>
      <family val="2"/>
    </font>
    <font>
      <vertAlign val="superscript"/>
      <sz val="12"/>
      <color indexed="10"/>
      <name val="Arial"/>
      <family val="2"/>
    </font>
    <font>
      <sz val="12"/>
      <color indexed="19"/>
      <name val="Arial"/>
      <family val="2"/>
    </font>
    <font>
      <sz val="12"/>
      <color indexed="54"/>
      <name val="Arial"/>
      <family val="2"/>
    </font>
    <font>
      <sz val="12"/>
      <color indexed="20"/>
      <name val="Arial"/>
      <family val="2"/>
    </font>
    <font>
      <sz val="10"/>
      <color indexed="20"/>
      <name val="Arial"/>
      <family val="2"/>
    </font>
    <font>
      <sz val="9"/>
      <color indexed="10"/>
      <name val="Arial"/>
      <family val="2"/>
    </font>
    <font>
      <b/>
      <sz val="10"/>
      <color indexed="50"/>
      <name val="Arial"/>
      <family val="2"/>
    </font>
    <font>
      <sz val="12"/>
      <color indexed="13"/>
      <name val="Arial"/>
      <family val="2"/>
    </font>
    <font>
      <sz val="12"/>
      <color indexed="49"/>
      <name val="Arial"/>
      <family val="2"/>
    </font>
    <font>
      <sz val="12"/>
      <color indexed="16"/>
      <name val="Arial"/>
      <family val="2"/>
    </font>
    <font>
      <sz val="10"/>
      <color indexed="16"/>
      <name val="Arial"/>
      <family val="2"/>
    </font>
    <font>
      <sz val="12"/>
      <color indexed="21"/>
      <name val="Arial"/>
      <family val="2"/>
    </font>
    <font>
      <sz val="10"/>
      <color indexed="48"/>
      <name val="Arial"/>
    </font>
    <font>
      <b/>
      <sz val="10"/>
      <color indexed="53"/>
      <name val="Arial"/>
    </font>
    <font>
      <b/>
      <sz val="10"/>
      <color indexed="12"/>
      <name val="Arial"/>
    </font>
    <font>
      <b/>
      <sz val="8"/>
      <color indexed="8"/>
      <name val="Arial"/>
      <family val="2"/>
    </font>
    <font>
      <i/>
      <sz val="10"/>
      <color indexed="10"/>
      <name val="Arial"/>
      <family val="2"/>
    </font>
    <font>
      <b/>
      <sz val="10"/>
      <color indexed="58"/>
      <name val="Arial"/>
      <family val="2"/>
    </font>
    <font>
      <b/>
      <sz val="9"/>
      <color indexed="48"/>
      <name val="Arial"/>
      <family val="2"/>
    </font>
    <font>
      <b/>
      <sz val="10"/>
      <color indexed="21"/>
      <name val="Arial"/>
      <family val="2"/>
    </font>
    <font>
      <sz val="12"/>
      <color indexed="21"/>
      <name val="Arial"/>
    </font>
    <font>
      <sz val="10"/>
      <color indexed="55"/>
      <name val="Arial"/>
    </font>
    <font>
      <sz val="8"/>
      <color indexed="55"/>
      <name val="Arial"/>
    </font>
    <font>
      <b/>
      <sz val="10"/>
      <color indexed="60"/>
      <name val="Arial"/>
      <family val="2"/>
    </font>
    <font>
      <sz val="12"/>
      <name val="Arial"/>
    </font>
    <font>
      <b/>
      <vertAlign val="subscript"/>
      <sz val="10"/>
      <name val="Arial"/>
      <family val="2"/>
    </font>
    <font>
      <b/>
      <sz val="9"/>
      <color indexed="14"/>
      <name val="Arial"/>
      <family val="2"/>
    </font>
    <font>
      <b/>
      <sz val="9"/>
      <color indexed="40"/>
      <name val="Arial"/>
      <family val="2"/>
    </font>
    <font>
      <b/>
      <sz val="9"/>
      <color indexed="13"/>
      <name val="Arial"/>
      <family val="2"/>
    </font>
    <font>
      <b/>
      <sz val="8"/>
      <color indexed="12"/>
      <name val="Arial"/>
      <family val="2"/>
    </font>
    <font>
      <b/>
      <sz val="8"/>
      <color indexed="53"/>
      <name val="Arial"/>
      <family val="2"/>
    </font>
    <font>
      <sz val="10"/>
      <color indexed="21"/>
      <name val="Arial"/>
      <family val="2"/>
    </font>
    <font>
      <sz val="10"/>
      <color indexed="50"/>
      <name val="Arial"/>
      <family val="2"/>
    </font>
    <font>
      <sz val="10"/>
      <color indexed="54"/>
      <name val="Arial"/>
      <family val="2"/>
    </font>
    <font>
      <sz val="10"/>
      <color indexed="19"/>
      <name val="Arial"/>
    </font>
    <font>
      <sz val="10"/>
      <color indexed="23"/>
      <name val="Arial"/>
    </font>
    <font>
      <sz val="11.5"/>
      <color indexed="20"/>
      <name val="Arial"/>
      <family val="2"/>
    </font>
    <font>
      <sz val="10"/>
      <color indexed="13"/>
      <name val="Arial"/>
      <family val="2"/>
    </font>
    <font>
      <sz val="10"/>
      <color indexed="54"/>
      <name val="Arial"/>
    </font>
    <font>
      <b/>
      <sz val="8"/>
      <color indexed="54"/>
      <name val="Arial"/>
      <family val="2"/>
    </font>
    <font>
      <sz val="10"/>
      <color indexed="58"/>
      <name val="Arial"/>
      <family val="2"/>
    </font>
    <font>
      <b/>
      <sz val="8"/>
      <color indexed="10"/>
      <name val="Arial"/>
      <family val="2"/>
    </font>
    <font>
      <b/>
      <sz val="8"/>
      <color indexed="48"/>
      <name val="Arial"/>
      <family val="2"/>
    </font>
    <font>
      <sz val="10"/>
      <color indexed="49"/>
      <name val="Arial"/>
    </font>
    <font>
      <sz val="10"/>
      <color indexed="19"/>
      <name val="Arial"/>
      <family val="2"/>
    </font>
    <font>
      <b/>
      <sz val="10"/>
      <color indexed="16"/>
      <name val="Arial"/>
      <family val="2"/>
    </font>
    <font>
      <sz val="10"/>
      <color indexed="44"/>
      <name val="Arial"/>
      <family val="2"/>
    </font>
    <font>
      <sz val="10"/>
      <color indexed="13"/>
      <name val="Arial"/>
    </font>
    <font>
      <b/>
      <sz val="10"/>
      <color indexed="13"/>
      <name val="Arial"/>
    </font>
    <font>
      <vertAlign val="superscript"/>
      <sz val="12"/>
      <color indexed="48"/>
      <name val="Arial"/>
      <family val="2"/>
    </font>
    <font>
      <b/>
      <sz val="9"/>
      <color indexed="8"/>
      <name val="Arial"/>
      <family val="2"/>
    </font>
    <font>
      <i/>
      <sz val="10"/>
      <color indexed="8"/>
      <name val="Arial"/>
      <family val="2"/>
    </font>
    <font>
      <b/>
      <sz val="7"/>
      <color indexed="54"/>
      <name val="Arial"/>
      <family val="2"/>
    </font>
    <font>
      <sz val="8"/>
      <color indexed="62"/>
      <name val="Arial"/>
      <family val="2"/>
    </font>
    <font>
      <sz val="9"/>
      <color indexed="12"/>
      <name val="Arial"/>
      <family val="2"/>
    </font>
    <font>
      <sz val="9"/>
      <color indexed="53"/>
      <name val="Arial"/>
      <family val="2"/>
    </font>
    <font>
      <sz val="9"/>
      <color indexed="57"/>
      <name val="Arial"/>
      <family val="2"/>
    </font>
    <font>
      <sz val="9"/>
      <color indexed="48"/>
      <name val="Arial"/>
    </font>
    <font>
      <sz val="11"/>
      <color indexed="57"/>
      <name val="Arial"/>
      <family val="2"/>
    </font>
    <font>
      <sz val="9"/>
      <color indexed="53"/>
      <name val="Arial"/>
    </font>
    <font>
      <sz val="9"/>
      <color indexed="49"/>
      <name val="Arial"/>
      <family val="2"/>
    </font>
    <font>
      <sz val="9"/>
      <color indexed="49"/>
      <name val="Arial"/>
    </font>
    <font>
      <sz val="9"/>
      <color indexed="19"/>
      <name val="Arial"/>
    </font>
    <font>
      <sz val="8"/>
      <color indexed="48"/>
      <name val="Arial"/>
    </font>
    <font>
      <sz val="7"/>
      <color indexed="22"/>
      <name val="Arial"/>
      <family val="2"/>
    </font>
    <font>
      <b/>
      <sz val="9.5"/>
      <color indexed="44"/>
      <name val="Arial"/>
      <family val="2"/>
    </font>
    <font>
      <b/>
      <sz val="9.5"/>
      <color indexed="47"/>
      <name val="Arial"/>
      <family val="2"/>
    </font>
    <font>
      <sz val="8"/>
      <color indexed="10"/>
      <name val="Arial"/>
    </font>
    <font>
      <u/>
      <sz val="10"/>
      <color indexed="12"/>
      <name val="Arial"/>
      <family val="2"/>
    </font>
    <font>
      <b/>
      <sz val="10"/>
      <color indexed="9"/>
      <name val="Arial"/>
      <family val="2"/>
    </font>
    <font>
      <sz val="10"/>
      <color indexed="9"/>
      <name val="Arial"/>
      <family val="2"/>
    </font>
    <font>
      <sz val="9"/>
      <color indexed="10"/>
      <name val="Arial"/>
    </font>
    <font>
      <sz val="9"/>
      <color indexed="21"/>
      <name val="Arial"/>
      <family val="2"/>
    </font>
    <font>
      <sz val="1"/>
      <color indexed="21"/>
      <name val="Arial"/>
      <family val="2"/>
    </font>
    <font>
      <sz val="8"/>
      <color indexed="21"/>
      <name val="Arial"/>
      <family val="2"/>
    </font>
    <font>
      <b/>
      <sz val="10"/>
      <color indexed="21"/>
      <name val="Arial"/>
    </font>
  </fonts>
  <fills count="8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41"/>
        <bgColor indexed="64"/>
      </patternFill>
    </fill>
  </fills>
  <borders count="76">
    <border>
      <left/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23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55"/>
      </top>
      <bottom/>
      <diagonal/>
    </border>
    <border>
      <left style="medium">
        <color indexed="64"/>
      </left>
      <right/>
      <top style="thin">
        <color indexed="55"/>
      </top>
      <bottom/>
      <diagonal/>
    </border>
    <border>
      <left/>
      <right/>
      <top style="thin">
        <color indexed="55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thick">
        <color indexed="63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thin">
        <color indexed="55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/>
      <bottom style="thin">
        <color indexed="22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23"/>
      </left>
      <right style="thin">
        <color indexed="64"/>
      </right>
      <top/>
      <bottom/>
      <diagonal/>
    </border>
    <border>
      <left/>
      <right style="medium">
        <color indexed="55"/>
      </right>
      <top/>
      <bottom/>
      <diagonal/>
    </border>
    <border>
      <left/>
      <right style="medium">
        <color indexed="55"/>
      </right>
      <top/>
      <bottom style="medium">
        <color indexed="64"/>
      </bottom>
      <diagonal/>
    </border>
    <border>
      <left/>
      <right style="thin">
        <color indexed="55"/>
      </right>
      <top/>
      <bottom/>
      <diagonal/>
    </border>
    <border>
      <left/>
      <right style="thin">
        <color indexed="22"/>
      </right>
      <top/>
      <bottom/>
      <diagonal/>
    </border>
    <border>
      <left/>
      <right style="medium">
        <color indexed="23"/>
      </right>
      <top/>
      <bottom style="thin">
        <color indexed="64"/>
      </bottom>
      <diagonal/>
    </border>
    <border>
      <left/>
      <right style="medium">
        <color indexed="23"/>
      </right>
      <top/>
      <bottom/>
      <diagonal/>
    </border>
    <border>
      <left/>
      <right style="medium">
        <color indexed="23"/>
      </right>
      <top/>
      <bottom style="medium">
        <color indexed="64"/>
      </bottom>
      <diagonal/>
    </border>
    <border>
      <left style="medium">
        <color indexed="23"/>
      </left>
      <right/>
      <top style="thin">
        <color indexed="64"/>
      </top>
      <bottom/>
      <diagonal/>
    </border>
    <border>
      <left/>
      <right style="thick">
        <color indexed="23"/>
      </right>
      <top/>
      <bottom/>
      <diagonal/>
    </border>
    <border>
      <left/>
      <right/>
      <top/>
      <bottom style="thin">
        <color indexed="55"/>
      </bottom>
      <diagonal/>
    </border>
    <border>
      <left/>
      <right/>
      <top style="thin">
        <color indexed="55"/>
      </top>
      <bottom style="thin">
        <color indexed="55"/>
      </bottom>
      <diagonal/>
    </border>
    <border>
      <left style="thin">
        <color indexed="64"/>
      </left>
      <right style="thin">
        <color indexed="55"/>
      </right>
      <top style="thin">
        <color indexed="55"/>
      </top>
      <bottom style="thin">
        <color indexed="64"/>
      </bottom>
      <diagonal/>
    </border>
    <border>
      <left style="thin">
        <color indexed="55"/>
      </left>
      <right style="thin">
        <color indexed="64"/>
      </right>
      <top style="thin">
        <color indexed="55"/>
      </top>
      <bottom style="thin">
        <color indexed="64"/>
      </bottom>
      <diagonal/>
    </border>
    <border>
      <left style="medium">
        <color indexed="23"/>
      </left>
      <right style="thin">
        <color indexed="55"/>
      </right>
      <top style="thin">
        <color indexed="55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64"/>
      </bottom>
      <diagonal/>
    </border>
    <border>
      <left style="thin">
        <color indexed="55"/>
      </left>
      <right style="medium">
        <color indexed="64"/>
      </right>
      <top style="thin">
        <color indexed="55"/>
      </top>
      <bottom style="thin">
        <color indexed="64"/>
      </bottom>
      <diagonal/>
    </border>
    <border>
      <left/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 style="thin">
        <color indexed="22"/>
      </right>
      <top style="thin">
        <color indexed="22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/>
      <top style="thin">
        <color indexed="22"/>
      </top>
      <bottom/>
      <diagonal/>
    </border>
    <border>
      <left style="thin">
        <color indexed="22"/>
      </left>
      <right/>
      <top style="thin">
        <color indexed="22"/>
      </top>
      <bottom style="thin">
        <color indexed="22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22"/>
      </bottom>
      <diagonal/>
    </border>
    <border>
      <left/>
      <right style="thin">
        <color indexed="64"/>
      </right>
      <top/>
      <bottom style="thin">
        <color indexed="22"/>
      </bottom>
      <diagonal/>
    </border>
    <border>
      <left/>
      <right/>
      <top style="thin">
        <color indexed="22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55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23"/>
      </right>
      <top style="medium">
        <color indexed="64"/>
      </top>
      <bottom/>
      <diagonal/>
    </border>
    <border>
      <left style="medium">
        <color indexed="23"/>
      </left>
      <right style="thin">
        <color indexed="55"/>
      </right>
      <top style="medium">
        <color indexed="64"/>
      </top>
      <bottom style="thin">
        <color indexed="55"/>
      </bottom>
      <diagonal/>
    </border>
    <border>
      <left style="thin">
        <color indexed="55"/>
      </left>
      <right style="thin">
        <color indexed="55"/>
      </right>
      <top style="medium">
        <color indexed="64"/>
      </top>
      <bottom style="thin">
        <color indexed="55"/>
      </bottom>
      <diagonal/>
    </border>
    <border>
      <left style="thin">
        <color indexed="55"/>
      </left>
      <right style="medium">
        <color indexed="64"/>
      </right>
      <top style="medium">
        <color indexed="64"/>
      </top>
      <bottom style="thin">
        <color indexed="55"/>
      </bottom>
      <diagonal/>
    </border>
    <border>
      <left style="thin">
        <color indexed="64"/>
      </left>
      <right style="thin">
        <color indexed="55"/>
      </right>
      <top/>
      <bottom style="thin">
        <color indexed="55"/>
      </bottom>
      <diagonal/>
    </border>
    <border>
      <left style="thin">
        <color indexed="55"/>
      </left>
      <right style="thin">
        <color indexed="64"/>
      </right>
      <top/>
      <bottom style="thin">
        <color indexed="55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55"/>
      </right>
      <top style="medium">
        <color indexed="64"/>
      </top>
      <bottom/>
      <diagonal/>
    </border>
    <border>
      <left/>
      <right style="medium">
        <color indexed="55"/>
      </right>
      <top/>
      <bottom style="thin">
        <color indexed="64"/>
      </bottom>
      <diagonal/>
    </border>
    <border>
      <left style="thin">
        <color indexed="64"/>
      </left>
      <right style="thin">
        <color indexed="55"/>
      </right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22"/>
      </right>
      <top/>
      <bottom style="thin">
        <color indexed="22"/>
      </bottom>
      <diagonal/>
    </border>
    <border>
      <left style="thin">
        <color indexed="22"/>
      </left>
      <right/>
      <top/>
      <bottom style="thin">
        <color indexed="22"/>
      </bottom>
      <diagonal/>
    </border>
    <border>
      <left style="thin">
        <color indexed="64"/>
      </left>
      <right/>
      <top style="thin">
        <color indexed="22"/>
      </top>
      <bottom/>
      <diagonal/>
    </border>
    <border>
      <left/>
      <right style="thin">
        <color indexed="64"/>
      </right>
      <top style="thin">
        <color indexed="22"/>
      </top>
      <bottom/>
      <diagonal/>
    </border>
    <border>
      <left style="thin">
        <color indexed="64"/>
      </left>
      <right/>
      <top/>
      <bottom style="thin">
        <color indexed="23"/>
      </bottom>
      <diagonal/>
    </border>
    <border>
      <left/>
      <right/>
      <top/>
      <bottom style="thin">
        <color indexed="23"/>
      </bottom>
      <diagonal/>
    </border>
    <border>
      <left/>
      <right style="thin">
        <color indexed="64"/>
      </right>
      <top/>
      <bottom style="thin">
        <color indexed="23"/>
      </bottom>
      <diagonal/>
    </border>
  </borders>
  <cellStyleXfs count="2">
    <xf numFmtId="0" fontId="0" fillId="0" borderId="0"/>
    <xf numFmtId="0" fontId="51" fillId="0" borderId="0" applyNumberFormat="0" applyFill="0" applyBorder="0" applyAlignment="0" applyProtection="0">
      <alignment vertical="top"/>
      <protection locked="0"/>
    </xf>
  </cellStyleXfs>
  <cellXfs count="876">
    <xf numFmtId="0" fontId="0" fillId="0" borderId="0" xfId="0"/>
    <xf numFmtId="0" fontId="0" fillId="0" borderId="0" xfId="0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3" fillId="0" borderId="0" xfId="0" applyFont="1" applyAlignment="1">
      <alignment horizontal="center" vertical="center"/>
    </xf>
    <xf numFmtId="1" fontId="3" fillId="0" borderId="0" xfId="0" applyNumberFormat="1" applyFont="1" applyAlignment="1">
      <alignment horizontal="center" vertical="center"/>
    </xf>
    <xf numFmtId="0" fontId="0" fillId="2" borderId="0" xfId="0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" fontId="6" fillId="0" borderId="0" xfId="0" applyNumberFormat="1" applyFont="1" applyAlignment="1">
      <alignment horizontal="center" vertical="center"/>
    </xf>
    <xf numFmtId="0" fontId="0" fillId="0" borderId="0" xfId="0" applyFill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2" fontId="3" fillId="0" borderId="0" xfId="0" applyNumberFormat="1" applyFont="1" applyAlignment="1">
      <alignment horizontal="center" vertical="center"/>
    </xf>
    <xf numFmtId="2" fontId="9" fillId="0" borderId="0" xfId="0" applyNumberFormat="1" applyFont="1" applyAlignment="1">
      <alignment horizontal="center" vertical="center"/>
    </xf>
    <xf numFmtId="164" fontId="11" fillId="0" borderId="0" xfId="0" applyNumberFormat="1" applyFont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14" fillId="2" borderId="0" xfId="0" applyFont="1" applyFill="1" applyAlignment="1">
      <alignment horizontal="center" vertical="center"/>
    </xf>
    <xf numFmtId="164" fontId="15" fillId="2" borderId="0" xfId="0" applyNumberFormat="1" applyFont="1" applyFill="1" applyBorder="1" applyAlignment="1">
      <alignment horizontal="center" vertical="center"/>
    </xf>
    <xf numFmtId="164" fontId="15" fillId="2" borderId="0" xfId="0" applyNumberFormat="1" applyFont="1" applyFill="1" applyAlignment="1">
      <alignment horizontal="center" vertical="center"/>
    </xf>
    <xf numFmtId="2" fontId="15" fillId="2" borderId="0" xfId="0" applyNumberFormat="1" applyFont="1" applyFill="1" applyAlignment="1">
      <alignment horizontal="center" vertical="center"/>
    </xf>
    <xf numFmtId="0" fontId="15" fillId="2" borderId="0" xfId="0" applyFont="1" applyFill="1" applyAlignment="1">
      <alignment horizontal="center" vertical="center"/>
    </xf>
    <xf numFmtId="0" fontId="9" fillId="0" borderId="0" xfId="0" applyFont="1" applyAlignment="1">
      <alignment horizontal="center" vertical="center"/>
    </xf>
    <xf numFmtId="1" fontId="9" fillId="0" borderId="0" xfId="0" applyNumberFormat="1" applyFont="1" applyAlignment="1">
      <alignment horizontal="center" vertical="center"/>
    </xf>
    <xf numFmtId="164" fontId="16" fillId="0" borderId="0" xfId="0" applyNumberFormat="1" applyFont="1" applyFill="1" applyBorder="1" applyAlignment="1">
      <alignment horizontal="center" vertical="center"/>
    </xf>
    <xf numFmtId="1" fontId="16" fillId="0" borderId="0" xfId="0" applyNumberFormat="1" applyFont="1" applyFill="1" applyBorder="1" applyAlignment="1">
      <alignment horizontal="center" vertical="center"/>
    </xf>
    <xf numFmtId="164" fontId="9" fillId="0" borderId="0" xfId="0" applyNumberFormat="1" applyFont="1" applyAlignment="1">
      <alignment horizontal="center" vertical="center"/>
    </xf>
    <xf numFmtId="164" fontId="16" fillId="0" borderId="0" xfId="0" applyNumberFormat="1" applyFont="1" applyAlignment="1">
      <alignment horizontal="center" vertical="center"/>
    </xf>
    <xf numFmtId="1" fontId="16" fillId="0" borderId="0" xfId="0" applyNumberFormat="1" applyFont="1" applyAlignment="1">
      <alignment horizontal="center" vertical="center"/>
    </xf>
    <xf numFmtId="0" fontId="9" fillId="3" borderId="0" xfId="0" applyFont="1" applyFill="1" applyAlignment="1">
      <alignment horizontal="center" vertical="center"/>
    </xf>
    <xf numFmtId="164" fontId="16" fillId="3" borderId="0" xfId="0" applyNumberFormat="1" applyFont="1" applyFill="1" applyBorder="1" applyAlignment="1">
      <alignment horizontal="center" vertical="center"/>
    </xf>
    <xf numFmtId="1" fontId="16" fillId="3" borderId="0" xfId="0" applyNumberFormat="1" applyFont="1" applyFill="1" applyBorder="1" applyAlignment="1">
      <alignment horizontal="center" vertical="center"/>
    </xf>
    <xf numFmtId="164" fontId="18" fillId="3" borderId="0" xfId="0" applyNumberFormat="1" applyFont="1" applyFill="1" applyAlignment="1">
      <alignment horizontal="center" vertical="center"/>
    </xf>
    <xf numFmtId="164" fontId="9" fillId="3" borderId="0" xfId="0" applyNumberFormat="1" applyFont="1" applyFill="1" applyAlignment="1">
      <alignment horizontal="center" vertical="center"/>
    </xf>
    <xf numFmtId="1" fontId="9" fillId="3" borderId="0" xfId="0" applyNumberFormat="1" applyFont="1" applyFill="1" applyAlignment="1">
      <alignment horizontal="center" vertical="center"/>
    </xf>
    <xf numFmtId="0" fontId="19" fillId="3" borderId="0" xfId="0" applyFont="1" applyFill="1" applyAlignment="1">
      <alignment horizontal="center" vertical="center"/>
    </xf>
    <xf numFmtId="0" fontId="20" fillId="3" borderId="0" xfId="0" applyFont="1" applyFill="1" applyAlignment="1">
      <alignment horizontal="center" vertical="center"/>
    </xf>
    <xf numFmtId="164" fontId="19" fillId="3" borderId="0" xfId="0" applyNumberFormat="1" applyFont="1" applyFill="1" applyAlignment="1">
      <alignment horizontal="center" vertical="center"/>
    </xf>
    <xf numFmtId="1" fontId="19" fillId="3" borderId="0" xfId="0" applyNumberFormat="1" applyFont="1" applyFill="1" applyAlignment="1">
      <alignment horizontal="center" vertical="center"/>
    </xf>
    <xf numFmtId="164" fontId="9" fillId="0" borderId="0" xfId="0" applyNumberFormat="1" applyFont="1" applyBorder="1" applyAlignment="1">
      <alignment horizontal="center" vertical="center"/>
    </xf>
    <xf numFmtId="0" fontId="21" fillId="4" borderId="0" xfId="0" applyFont="1" applyFill="1" applyAlignment="1">
      <alignment horizontal="center" vertical="center"/>
    </xf>
    <xf numFmtId="0" fontId="12" fillId="4" borderId="0" xfId="0" applyFont="1" applyFill="1" applyAlignment="1">
      <alignment horizontal="center" vertical="center"/>
    </xf>
    <xf numFmtId="164" fontId="21" fillId="4" borderId="0" xfId="0" applyNumberFormat="1" applyFont="1" applyFill="1" applyAlignment="1">
      <alignment horizontal="center" vertical="center"/>
    </xf>
    <xf numFmtId="164" fontId="12" fillId="4" borderId="0" xfId="0" applyNumberFormat="1" applyFont="1" applyFill="1" applyAlignment="1">
      <alignment horizontal="center" vertical="center"/>
    </xf>
    <xf numFmtId="1" fontId="21" fillId="4" borderId="0" xfId="0" applyNumberFormat="1" applyFont="1" applyFill="1" applyAlignment="1">
      <alignment horizontal="center" vertical="center"/>
    </xf>
    <xf numFmtId="1" fontId="12" fillId="4" borderId="0" xfId="0" applyNumberFormat="1" applyFont="1" applyFill="1" applyAlignment="1">
      <alignment horizontal="center" vertical="center"/>
    </xf>
    <xf numFmtId="1" fontId="25" fillId="0" borderId="0" xfId="0" applyNumberFormat="1" applyFont="1" applyAlignment="1">
      <alignment horizontal="center" vertical="center"/>
    </xf>
    <xf numFmtId="164" fontId="13" fillId="0" borderId="0" xfId="0" applyNumberFormat="1" applyFont="1" applyAlignment="1">
      <alignment horizontal="center" vertical="center"/>
    </xf>
    <xf numFmtId="164" fontId="13" fillId="0" borderId="0" xfId="0" applyNumberFormat="1" applyFont="1" applyFill="1" applyBorder="1" applyAlignment="1">
      <alignment horizontal="center" vertical="center"/>
    </xf>
    <xf numFmtId="1" fontId="9" fillId="0" borderId="0" xfId="0" applyNumberFormat="1" applyFont="1" applyFill="1" applyBorder="1" applyAlignment="1">
      <alignment horizontal="center" vertical="center"/>
    </xf>
    <xf numFmtId="2" fontId="16" fillId="0" borderId="0" xfId="0" applyNumberFormat="1" applyFont="1" applyAlignment="1">
      <alignment horizontal="center" vertical="center"/>
    </xf>
    <xf numFmtId="164" fontId="16" fillId="2" borderId="0" xfId="0" applyNumberFormat="1" applyFont="1" applyFill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9" fillId="0" borderId="0" xfId="0" applyFont="1" applyBorder="1" applyAlignment="1">
      <alignment horizontal="center" vertical="center"/>
    </xf>
    <xf numFmtId="1" fontId="13" fillId="0" borderId="0" xfId="0" applyNumberFormat="1" applyFont="1" applyAlignment="1">
      <alignment horizontal="center" vertical="center"/>
    </xf>
    <xf numFmtId="164" fontId="16" fillId="2" borderId="0" xfId="0" applyNumberFormat="1" applyFont="1" applyFill="1" applyAlignment="1">
      <alignment horizontal="center" vertical="center"/>
    </xf>
    <xf numFmtId="164" fontId="14" fillId="2" borderId="0" xfId="0" applyNumberFormat="1" applyFont="1" applyFill="1" applyAlignment="1">
      <alignment horizontal="center" vertical="center"/>
    </xf>
    <xf numFmtId="164" fontId="9" fillId="2" borderId="0" xfId="0" applyNumberFormat="1" applyFont="1" applyFill="1" applyAlignment="1">
      <alignment horizontal="center" vertical="center"/>
    </xf>
    <xf numFmtId="164" fontId="6" fillId="0" borderId="0" xfId="0" applyNumberFormat="1" applyFont="1" applyAlignment="1">
      <alignment horizontal="center" vertical="center"/>
    </xf>
    <xf numFmtId="2" fontId="16" fillId="2" borderId="0" xfId="0" applyNumberFormat="1" applyFont="1" applyFill="1" applyAlignment="1">
      <alignment horizontal="center" vertical="center"/>
    </xf>
    <xf numFmtId="0" fontId="16" fillId="0" borderId="0" xfId="0" applyFont="1" applyFill="1" applyBorder="1" applyAlignment="1">
      <alignment horizontal="center" vertical="center"/>
    </xf>
    <xf numFmtId="164" fontId="15" fillId="3" borderId="0" xfId="0" applyNumberFormat="1" applyFont="1" applyFill="1" applyAlignment="1">
      <alignment horizontal="center" vertical="center"/>
    </xf>
    <xf numFmtId="2" fontId="15" fillId="4" borderId="0" xfId="0" applyNumberFormat="1" applyFont="1" applyFill="1" applyAlignment="1">
      <alignment horizontal="center" vertical="center"/>
    </xf>
    <xf numFmtId="164" fontId="15" fillId="5" borderId="0" xfId="0" applyNumberFormat="1" applyFont="1" applyFill="1" applyAlignment="1">
      <alignment horizontal="center" vertical="center"/>
    </xf>
    <xf numFmtId="0" fontId="9" fillId="5" borderId="0" xfId="0" applyFont="1" applyFill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1" fontId="9" fillId="5" borderId="0" xfId="0" applyNumberFormat="1" applyFont="1" applyFill="1" applyAlignment="1">
      <alignment horizontal="center" vertical="center"/>
    </xf>
    <xf numFmtId="164" fontId="9" fillId="5" borderId="0" xfId="0" applyNumberFormat="1" applyFont="1" applyFill="1" applyAlignment="1">
      <alignment horizontal="center" vertical="center"/>
    </xf>
    <xf numFmtId="0" fontId="9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1" fontId="9" fillId="2" borderId="0" xfId="0" applyNumberFormat="1" applyFont="1" applyFill="1" applyBorder="1" applyAlignment="1">
      <alignment horizontal="center" vertical="center"/>
    </xf>
    <xf numFmtId="1" fontId="9" fillId="2" borderId="0" xfId="0" applyNumberFormat="1" applyFont="1" applyFill="1" applyAlignment="1">
      <alignment horizontal="center" vertical="center"/>
    </xf>
    <xf numFmtId="164" fontId="3" fillId="2" borderId="0" xfId="0" applyNumberFormat="1" applyFont="1" applyFill="1" applyAlignment="1">
      <alignment horizontal="center" vertical="center"/>
    </xf>
    <xf numFmtId="0" fontId="16" fillId="2" borderId="0" xfId="0" applyFont="1" applyFill="1" applyAlignment="1">
      <alignment horizontal="center" vertical="center"/>
    </xf>
    <xf numFmtId="0" fontId="19" fillId="2" borderId="0" xfId="0" applyFont="1" applyFill="1" applyAlignment="1">
      <alignment horizontal="center" vertical="center"/>
    </xf>
    <xf numFmtId="0" fontId="21" fillId="2" borderId="0" xfId="0" applyFont="1" applyFill="1" applyAlignment="1">
      <alignment horizontal="center" vertical="center"/>
    </xf>
    <xf numFmtId="0" fontId="22" fillId="2" borderId="0" xfId="0" applyFont="1" applyFill="1" applyAlignment="1">
      <alignment horizontal="center" vertical="center"/>
    </xf>
    <xf numFmtId="164" fontId="19" fillId="2" borderId="0" xfId="0" applyNumberFormat="1" applyFont="1" applyFill="1" applyAlignment="1">
      <alignment horizontal="center" vertical="center"/>
    </xf>
    <xf numFmtId="164" fontId="21" fillId="2" borderId="0" xfId="0" applyNumberFormat="1" applyFont="1" applyFill="1" applyAlignment="1">
      <alignment horizontal="center" vertical="center"/>
    </xf>
    <xf numFmtId="0" fontId="9" fillId="6" borderId="0" xfId="0" applyFont="1" applyFill="1" applyAlignment="1">
      <alignment horizontal="center" vertical="center"/>
    </xf>
    <xf numFmtId="0" fontId="19" fillId="6" borderId="0" xfId="0" applyFont="1" applyFill="1" applyAlignment="1">
      <alignment horizontal="center" vertical="center"/>
    </xf>
    <xf numFmtId="0" fontId="21" fillId="6" borderId="0" xfId="0" applyFont="1" applyFill="1" applyAlignment="1">
      <alignment horizontal="center" vertical="center"/>
    </xf>
    <xf numFmtId="0" fontId="3" fillId="6" borderId="0" xfId="0" applyFont="1" applyFill="1" applyAlignment="1">
      <alignment horizontal="center" vertical="center"/>
    </xf>
    <xf numFmtId="1" fontId="9" fillId="6" borderId="0" xfId="0" applyNumberFormat="1" applyFont="1" applyFill="1" applyAlignment="1">
      <alignment horizontal="center" vertical="center"/>
    </xf>
    <xf numFmtId="164" fontId="9" fillId="6" borderId="0" xfId="0" applyNumberFormat="1" applyFont="1" applyFill="1" applyAlignment="1">
      <alignment horizontal="center" vertical="center"/>
    </xf>
    <xf numFmtId="1" fontId="3" fillId="2" borderId="0" xfId="0" applyNumberFormat="1" applyFont="1" applyFill="1" applyAlignment="1">
      <alignment horizontal="center" vertical="center"/>
    </xf>
    <xf numFmtId="164" fontId="9" fillId="0" borderId="0" xfId="0" applyNumberFormat="1" applyFont="1" applyAlignment="1">
      <alignment horizontal="left" vertical="center"/>
    </xf>
    <xf numFmtId="0" fontId="1" fillId="2" borderId="0" xfId="0" applyFont="1" applyFill="1" applyAlignment="1">
      <alignment horizontal="center" vertical="center" wrapText="1"/>
    </xf>
    <xf numFmtId="0" fontId="0" fillId="4" borderId="0" xfId="0" applyFill="1" applyAlignment="1">
      <alignment horizontal="center" vertical="center"/>
    </xf>
    <xf numFmtId="0" fontId="9" fillId="4" borderId="0" xfId="0" applyFont="1" applyFill="1" applyAlignment="1">
      <alignment horizontal="center" vertical="center"/>
    </xf>
    <xf numFmtId="2" fontId="9" fillId="0" borderId="1" xfId="0" applyNumberFormat="1" applyFont="1" applyBorder="1" applyAlignment="1">
      <alignment horizontal="center" vertical="center"/>
    </xf>
    <xf numFmtId="164" fontId="9" fillId="0" borderId="2" xfId="0" applyNumberFormat="1" applyFont="1" applyBorder="1" applyAlignment="1">
      <alignment horizontal="center" vertical="center"/>
    </xf>
    <xf numFmtId="164" fontId="9" fillId="0" borderId="3" xfId="0" applyNumberFormat="1" applyFont="1" applyBorder="1" applyAlignment="1">
      <alignment horizontal="center" vertical="center"/>
    </xf>
    <xf numFmtId="2" fontId="9" fillId="0" borderId="2" xfId="0" applyNumberFormat="1" applyFont="1" applyBorder="1" applyAlignment="1">
      <alignment horizontal="center" vertical="center"/>
    </xf>
    <xf numFmtId="9" fontId="9" fillId="0" borderId="0" xfId="0" applyNumberFormat="1" applyFont="1" applyAlignment="1">
      <alignment horizontal="center" vertical="center"/>
    </xf>
    <xf numFmtId="164" fontId="32" fillId="0" borderId="0" xfId="0" applyNumberFormat="1" applyFont="1" applyFill="1" applyBorder="1" applyAlignment="1">
      <alignment horizontal="center" vertical="center"/>
    </xf>
    <xf numFmtId="0" fontId="0" fillId="6" borderId="0" xfId="0" applyFill="1" applyAlignment="1">
      <alignment horizontal="center" vertical="center"/>
    </xf>
    <xf numFmtId="2" fontId="9" fillId="0" borderId="4" xfId="0" applyNumberFormat="1" applyFont="1" applyBorder="1" applyAlignment="1">
      <alignment horizontal="center" vertical="center"/>
    </xf>
    <xf numFmtId="0" fontId="26" fillId="0" borderId="0" xfId="0" applyFont="1" applyAlignment="1">
      <alignment horizontal="center" vertical="center"/>
    </xf>
    <xf numFmtId="1" fontId="33" fillId="0" borderId="0" xfId="0" applyNumberFormat="1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164" fontId="16" fillId="0" borderId="0" xfId="0" applyNumberFormat="1" applyFont="1" applyBorder="1" applyAlignment="1">
      <alignment horizontal="center" vertical="center"/>
    </xf>
    <xf numFmtId="164" fontId="16" fillId="0" borderId="3" xfId="0" applyNumberFormat="1" applyFont="1" applyBorder="1" applyAlignment="1">
      <alignment horizontal="center" vertical="center"/>
    </xf>
    <xf numFmtId="165" fontId="9" fillId="0" borderId="0" xfId="0" applyNumberFormat="1" applyFont="1" applyAlignment="1">
      <alignment horizontal="center" vertical="center"/>
    </xf>
    <xf numFmtId="0" fontId="0" fillId="0" borderId="0" xfId="0" applyAlignment="1">
      <alignment horizontal="left" vertical="center"/>
    </xf>
    <xf numFmtId="3" fontId="9" fillId="0" borderId="0" xfId="0" applyNumberFormat="1" applyFont="1" applyAlignment="1">
      <alignment horizontal="center" vertical="center"/>
    </xf>
    <xf numFmtId="0" fontId="0" fillId="0" borderId="0" xfId="0" applyBorder="1" applyAlignment="1">
      <alignment horizontal="center" vertical="center"/>
    </xf>
    <xf numFmtId="164" fontId="9" fillId="0" borderId="5" xfId="0" applyNumberFormat="1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64" fontId="0" fillId="0" borderId="6" xfId="0" applyNumberFormat="1" applyBorder="1" applyAlignment="1">
      <alignment horizontal="center" vertical="center"/>
    </xf>
    <xf numFmtId="1" fontId="27" fillId="0" borderId="0" xfId="0" applyNumberFormat="1" applyFont="1" applyAlignment="1">
      <alignment horizontal="center" vertical="center"/>
    </xf>
    <xf numFmtId="164" fontId="9" fillId="2" borderId="0" xfId="0" applyNumberFormat="1" applyFont="1" applyFill="1" applyBorder="1" applyAlignment="1">
      <alignment horizontal="center" vertical="center"/>
    </xf>
    <xf numFmtId="0" fontId="41" fillId="0" borderId="0" xfId="0" applyFont="1" applyAlignment="1">
      <alignment horizontal="center" vertical="center"/>
    </xf>
    <xf numFmtId="164" fontId="16" fillId="3" borderId="0" xfId="0" applyNumberFormat="1" applyFont="1" applyFill="1" applyAlignment="1">
      <alignment horizontal="center" vertical="center"/>
    </xf>
    <xf numFmtId="0" fontId="13" fillId="0" borderId="0" xfId="0" applyFont="1" applyAlignment="1" applyProtection="1">
      <alignment horizontal="center" vertical="center"/>
    </xf>
    <xf numFmtId="164" fontId="25" fillId="0" borderId="0" xfId="0" applyNumberFormat="1" applyFont="1" applyAlignment="1">
      <alignment horizontal="center" vertical="center"/>
    </xf>
    <xf numFmtId="9" fontId="0" fillId="0" borderId="0" xfId="0" applyNumberFormat="1" applyAlignment="1">
      <alignment horizontal="center" vertical="center"/>
    </xf>
    <xf numFmtId="164" fontId="0" fillId="6" borderId="0" xfId="0" applyNumberFormat="1" applyFill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1" fontId="9" fillId="0" borderId="0" xfId="0" applyNumberFormat="1" applyFont="1" applyBorder="1" applyAlignment="1">
      <alignment horizontal="center" vertical="center"/>
    </xf>
    <xf numFmtId="1" fontId="9" fillId="0" borderId="3" xfId="0" applyNumberFormat="1" applyFont="1" applyBorder="1" applyAlignment="1">
      <alignment horizontal="center" vertical="center"/>
    </xf>
    <xf numFmtId="165" fontId="45" fillId="0" borderId="0" xfId="0" applyNumberFormat="1" applyFont="1" applyAlignment="1">
      <alignment horizontal="right" vertical="center" indent="1"/>
    </xf>
    <xf numFmtId="0" fontId="26" fillId="0" borderId="0" xfId="0" applyFont="1" applyAlignment="1" applyProtection="1">
      <alignment horizontal="center" vertical="center"/>
    </xf>
    <xf numFmtId="2" fontId="9" fillId="0" borderId="0" xfId="0" applyNumberFormat="1" applyFont="1" applyBorder="1" applyAlignment="1">
      <alignment horizontal="right" vertical="center" indent="1"/>
    </xf>
    <xf numFmtId="0" fontId="16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164" fontId="4" fillId="0" borderId="0" xfId="0" applyNumberFormat="1" applyFont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" fontId="4" fillId="0" borderId="0" xfId="0" applyNumberFormat="1" applyFont="1" applyAlignment="1">
      <alignment horizontal="center" vertical="center"/>
    </xf>
    <xf numFmtId="164" fontId="42" fillId="2" borderId="7" xfId="0" applyNumberFormat="1" applyFont="1" applyFill="1" applyBorder="1" applyAlignment="1">
      <alignment horizontal="center" vertical="center"/>
    </xf>
    <xf numFmtId="164" fontId="40" fillId="0" borderId="0" xfId="0" applyNumberFormat="1" applyFont="1" applyAlignment="1">
      <alignment horizontal="center" vertical="center"/>
    </xf>
    <xf numFmtId="1" fontId="40" fillId="0" borderId="0" xfId="0" applyNumberFormat="1" applyFont="1" applyAlignment="1">
      <alignment horizontal="center" vertical="center"/>
    </xf>
    <xf numFmtId="164" fontId="50" fillId="0" borderId="7" xfId="0" applyNumberFormat="1" applyFont="1" applyBorder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3" fillId="2" borderId="0" xfId="0" applyFont="1" applyFill="1" applyAlignment="1">
      <alignment horizontal="center" vertical="center" wrapText="1"/>
    </xf>
    <xf numFmtId="0" fontId="16" fillId="2" borderId="0" xfId="0" applyNumberFormat="1" applyFont="1" applyFill="1" applyAlignment="1">
      <alignment horizontal="center" vertical="center"/>
    </xf>
    <xf numFmtId="164" fontId="36" fillId="2" borderId="0" xfId="0" applyNumberFormat="1" applyFont="1" applyFill="1" applyAlignment="1">
      <alignment horizontal="center" vertical="center"/>
    </xf>
    <xf numFmtId="164" fontId="4" fillId="2" borderId="0" xfId="0" applyNumberFormat="1" applyFont="1" applyFill="1" applyAlignment="1">
      <alignment horizontal="center" vertical="center"/>
    </xf>
    <xf numFmtId="164" fontId="1" fillId="2" borderId="0" xfId="0" applyNumberFormat="1" applyFont="1" applyFill="1" applyAlignment="1">
      <alignment horizontal="center" vertical="center" wrapText="1"/>
    </xf>
    <xf numFmtId="9" fontId="3" fillId="0" borderId="0" xfId="0" applyNumberFormat="1" applyFont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164" fontId="54" fillId="0" borderId="0" xfId="0" applyNumberFormat="1" applyFont="1" applyAlignment="1">
      <alignment horizontal="center" vertical="center"/>
    </xf>
    <xf numFmtId="0" fontId="27" fillId="0" borderId="0" xfId="0" applyFont="1" applyAlignment="1">
      <alignment horizontal="center" vertical="center"/>
    </xf>
    <xf numFmtId="2" fontId="9" fillId="0" borderId="9" xfId="0" applyNumberFormat="1" applyFont="1" applyBorder="1" applyAlignment="1">
      <alignment horizontal="center" vertical="center"/>
    </xf>
    <xf numFmtId="164" fontId="5" fillId="0" borderId="0" xfId="0" applyNumberFormat="1" applyFont="1" applyAlignment="1">
      <alignment horizontal="center" vertical="center"/>
    </xf>
    <xf numFmtId="2" fontId="4" fillId="0" borderId="0" xfId="0" applyNumberFormat="1" applyFont="1" applyAlignment="1">
      <alignment horizontal="center" vertical="center"/>
    </xf>
    <xf numFmtId="0" fontId="9" fillId="0" borderId="0" xfId="0" applyNumberFormat="1" applyFont="1" applyAlignment="1">
      <alignment horizontal="center" vertical="center"/>
    </xf>
    <xf numFmtId="164" fontId="54" fillId="0" borderId="0" xfId="0" applyNumberFormat="1" applyFont="1" applyAlignment="1">
      <alignment horizontal="left" vertical="center"/>
    </xf>
    <xf numFmtId="0" fontId="56" fillId="0" borderId="0" xfId="0" applyFont="1" applyAlignment="1">
      <alignment horizontal="center" vertical="center"/>
    </xf>
    <xf numFmtId="164" fontId="56" fillId="0" borderId="0" xfId="0" applyNumberFormat="1" applyFont="1" applyAlignment="1">
      <alignment horizontal="center" vertical="center"/>
    </xf>
    <xf numFmtId="164" fontId="59" fillId="2" borderId="0" xfId="0" applyNumberFormat="1" applyFont="1" applyFill="1" applyAlignment="1">
      <alignment horizontal="center" vertical="center"/>
    </xf>
    <xf numFmtId="0" fontId="54" fillId="0" borderId="0" xfId="0" applyFont="1" applyAlignment="1">
      <alignment horizontal="center" vertical="center"/>
    </xf>
    <xf numFmtId="164" fontId="3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35" fillId="0" borderId="0" xfId="0" applyNumberFormat="1" applyFont="1" applyAlignment="1">
      <alignment horizontal="center" vertical="center"/>
    </xf>
    <xf numFmtId="1" fontId="61" fillId="0" borderId="0" xfId="0" applyNumberFormat="1" applyFont="1" applyAlignment="1">
      <alignment horizontal="center" vertical="center"/>
    </xf>
    <xf numFmtId="1" fontId="62" fillId="0" borderId="0" xfId="0" applyNumberFormat="1" applyFont="1" applyAlignment="1">
      <alignment horizontal="center" vertical="center"/>
    </xf>
    <xf numFmtId="1" fontId="47" fillId="0" borderId="0" xfId="0" applyNumberFormat="1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9" fillId="2" borderId="10" xfId="0" applyFont="1" applyFill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2" borderId="11" xfId="0" applyFont="1" applyFill="1" applyBorder="1" applyAlignment="1">
      <alignment horizontal="center" vertical="center"/>
    </xf>
    <xf numFmtId="0" fontId="9" fillId="2" borderId="12" xfId="0" applyFont="1" applyFill="1" applyBorder="1" applyAlignment="1">
      <alignment horizontal="center" vertical="center"/>
    </xf>
    <xf numFmtId="164" fontId="63" fillId="0" borderId="0" xfId="0" applyNumberFormat="1" applyFont="1" applyAlignment="1">
      <alignment horizontal="center" vertical="center"/>
    </xf>
    <xf numFmtId="164" fontId="36" fillId="0" borderId="0" xfId="0" applyNumberFormat="1" applyFont="1" applyFill="1" applyBorder="1" applyAlignment="1">
      <alignment horizontal="center" vertical="center"/>
    </xf>
    <xf numFmtId="1" fontId="9" fillId="0" borderId="2" xfId="0" applyNumberFormat="1" applyFont="1" applyBorder="1" applyAlignment="1">
      <alignment horizontal="center" vertical="center"/>
    </xf>
    <xf numFmtId="1" fontId="16" fillId="0" borderId="0" xfId="0" applyNumberFormat="1" applyFont="1" applyBorder="1" applyAlignment="1">
      <alignment horizontal="center" vertical="center"/>
    </xf>
    <xf numFmtId="0" fontId="9" fillId="2" borderId="0" xfId="0" applyFont="1" applyFill="1" applyBorder="1" applyAlignment="1">
      <alignment horizontal="center" vertical="center"/>
    </xf>
    <xf numFmtId="164" fontId="9" fillId="0" borderId="13" xfId="0" applyNumberFormat="1" applyFont="1" applyBorder="1" applyAlignment="1">
      <alignment horizontal="center" vertical="center"/>
    </xf>
    <xf numFmtId="1" fontId="0" fillId="0" borderId="0" xfId="0" applyNumberFormat="1" applyBorder="1" applyAlignment="1">
      <alignment horizontal="center" vertical="center"/>
    </xf>
    <xf numFmtId="1" fontId="8" fillId="0" borderId="4" xfId="0" applyNumberFormat="1" applyFont="1" applyBorder="1" applyAlignment="1">
      <alignment horizontal="center" vertical="center"/>
    </xf>
    <xf numFmtId="0" fontId="52" fillId="0" borderId="0" xfId="0" applyFont="1" applyBorder="1" applyAlignment="1">
      <alignment horizontal="center" vertical="center"/>
    </xf>
    <xf numFmtId="0" fontId="45" fillId="2" borderId="0" xfId="0" applyFont="1" applyFill="1" applyAlignment="1">
      <alignment horizontal="center" vertical="center"/>
    </xf>
    <xf numFmtId="0" fontId="45" fillId="0" borderId="0" xfId="0" applyFont="1" applyAlignment="1">
      <alignment horizontal="center" vertical="center"/>
    </xf>
    <xf numFmtId="164" fontId="45" fillId="0" borderId="0" xfId="0" applyNumberFormat="1" applyFont="1" applyAlignment="1">
      <alignment horizontal="center" vertical="center"/>
    </xf>
    <xf numFmtId="0" fontId="64" fillId="0" borderId="2" xfId="0" applyFont="1" applyBorder="1" applyAlignment="1">
      <alignment horizontal="center" vertical="center"/>
    </xf>
    <xf numFmtId="164" fontId="45" fillId="2" borderId="0" xfId="0" applyNumberFormat="1" applyFont="1" applyFill="1" applyAlignment="1">
      <alignment horizontal="center" vertical="center"/>
    </xf>
    <xf numFmtId="1" fontId="45" fillId="0" borderId="0" xfId="0" applyNumberFormat="1" applyFont="1" applyAlignment="1">
      <alignment horizontal="center" vertical="center"/>
    </xf>
    <xf numFmtId="1" fontId="45" fillId="2" borderId="0" xfId="0" applyNumberFormat="1" applyFont="1" applyFill="1" applyAlignment="1">
      <alignment horizontal="center" vertical="center"/>
    </xf>
    <xf numFmtId="0" fontId="45" fillId="6" borderId="0" xfId="0" applyFont="1" applyFill="1" applyAlignment="1">
      <alignment horizontal="center" vertical="center"/>
    </xf>
    <xf numFmtId="0" fontId="65" fillId="0" borderId="0" xfId="0" applyFont="1" applyAlignment="1">
      <alignment horizontal="center" vertical="center"/>
    </xf>
    <xf numFmtId="164" fontId="66" fillId="2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/>
    </xf>
    <xf numFmtId="164" fontId="65" fillId="0" borderId="0" xfId="0" applyNumberFormat="1" applyFont="1" applyAlignment="1">
      <alignment horizontal="center" vertical="center"/>
    </xf>
    <xf numFmtId="0" fontId="20" fillId="0" borderId="0" xfId="0" applyFont="1" applyAlignment="1">
      <alignment horizontal="center" vertical="center"/>
    </xf>
    <xf numFmtId="2" fontId="20" fillId="0" borderId="0" xfId="0" applyNumberFormat="1" applyFont="1" applyAlignment="1">
      <alignment horizontal="center" vertical="center"/>
    </xf>
    <xf numFmtId="0" fontId="67" fillId="2" borderId="0" xfId="0" applyFont="1" applyFill="1" applyAlignment="1">
      <alignment horizontal="center" vertical="center"/>
    </xf>
    <xf numFmtId="0" fontId="68" fillId="0" borderId="0" xfId="0" applyFont="1" applyAlignment="1">
      <alignment horizontal="center" vertical="center"/>
    </xf>
    <xf numFmtId="1" fontId="3" fillId="0" borderId="0" xfId="0" applyNumberFormat="1" applyFont="1" applyBorder="1" applyAlignment="1">
      <alignment horizontal="center" vertical="center"/>
    </xf>
    <xf numFmtId="1" fontId="13" fillId="0" borderId="0" xfId="0" applyNumberFormat="1" applyFont="1" applyBorder="1" applyAlignment="1">
      <alignment horizontal="center" vertical="center"/>
    </xf>
    <xf numFmtId="164" fontId="74" fillId="0" borderId="0" xfId="0" applyNumberFormat="1" applyFont="1" applyFill="1" applyAlignment="1">
      <alignment horizontal="center" vertical="center"/>
    </xf>
    <xf numFmtId="0" fontId="67" fillId="2" borderId="14" xfId="0" applyFont="1" applyFill="1" applyBorder="1" applyAlignment="1">
      <alignment horizontal="center" vertical="center"/>
    </xf>
    <xf numFmtId="0" fontId="15" fillId="2" borderId="0" xfId="0" applyFont="1" applyFill="1" applyBorder="1" applyAlignment="1">
      <alignment horizontal="center" vertical="center"/>
    </xf>
    <xf numFmtId="164" fontId="4" fillId="2" borderId="0" xfId="0" applyNumberFormat="1" applyFont="1" applyFill="1" applyBorder="1" applyAlignment="1">
      <alignment horizontal="center" vertical="center"/>
    </xf>
    <xf numFmtId="0" fontId="14" fillId="2" borderId="15" xfId="0" applyFont="1" applyFill="1" applyBorder="1" applyAlignment="1">
      <alignment horizontal="center" vertical="center"/>
    </xf>
    <xf numFmtId="0" fontId="15" fillId="2" borderId="15" xfId="0" applyFont="1" applyFill="1" applyBorder="1" applyAlignment="1">
      <alignment horizontal="center" vertical="center"/>
    </xf>
    <xf numFmtId="0" fontId="9" fillId="2" borderId="15" xfId="0" applyFont="1" applyFill="1" applyBorder="1" applyAlignment="1">
      <alignment horizontal="center" vertical="center"/>
    </xf>
    <xf numFmtId="164" fontId="4" fillId="2" borderId="15" xfId="0" applyNumberFormat="1" applyFont="1" applyFill="1" applyBorder="1" applyAlignment="1">
      <alignment horizontal="center" vertical="center"/>
    </xf>
    <xf numFmtId="9" fontId="0" fillId="0" borderId="1" xfId="0" applyNumberFormat="1" applyBorder="1" applyAlignment="1">
      <alignment horizontal="center" vertical="center"/>
    </xf>
    <xf numFmtId="164" fontId="9" fillId="2" borderId="16" xfId="0" applyNumberFormat="1" applyFont="1" applyFill="1" applyBorder="1" applyAlignment="1">
      <alignment horizontal="center" vertical="center"/>
    </xf>
    <xf numFmtId="9" fontId="0" fillId="2" borderId="1" xfId="0" applyNumberFormat="1" applyFill="1" applyBorder="1" applyAlignment="1">
      <alignment horizontal="center" vertical="center"/>
    </xf>
    <xf numFmtId="0" fontId="15" fillId="2" borderId="13" xfId="0" applyFont="1" applyFill="1" applyBorder="1" applyAlignment="1">
      <alignment horizontal="center" vertical="center"/>
    </xf>
    <xf numFmtId="164" fontId="16" fillId="0" borderId="13" xfId="0" applyNumberFormat="1" applyFont="1" applyBorder="1" applyAlignment="1">
      <alignment horizontal="center" vertical="center"/>
    </xf>
    <xf numFmtId="0" fontId="9" fillId="2" borderId="13" xfId="0" applyFont="1" applyFill="1" applyBorder="1" applyAlignment="1">
      <alignment horizontal="center" vertical="center"/>
    </xf>
    <xf numFmtId="164" fontId="4" fillId="2" borderId="13" xfId="0" applyNumberFormat="1" applyFont="1" applyFill="1" applyBorder="1" applyAlignment="1">
      <alignment horizontal="center" vertical="center"/>
    </xf>
    <xf numFmtId="0" fontId="14" fillId="2" borderId="3" xfId="0" applyFont="1" applyFill="1" applyBorder="1" applyAlignment="1">
      <alignment horizontal="center" vertical="center"/>
    </xf>
    <xf numFmtId="0" fontId="60" fillId="0" borderId="3" xfId="0" applyFont="1" applyBorder="1" applyAlignment="1">
      <alignment horizontal="center" vertical="center"/>
    </xf>
    <xf numFmtId="0" fontId="31" fillId="0" borderId="3" xfId="0" applyFont="1" applyBorder="1" applyAlignment="1">
      <alignment horizontal="center" vertical="center" wrapText="1"/>
    </xf>
    <xf numFmtId="0" fontId="11" fillId="0" borderId="3" xfId="0" applyFont="1" applyBorder="1" applyAlignment="1">
      <alignment horizontal="center" vertical="center" wrapText="1"/>
    </xf>
    <xf numFmtId="0" fontId="40" fillId="0" borderId="3" xfId="0" applyFont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/>
    </xf>
    <xf numFmtId="164" fontId="56" fillId="2" borderId="3" xfId="0" applyNumberFormat="1" applyFont="1" applyFill="1" applyBorder="1" applyAlignment="1">
      <alignment horizontal="center" vertical="center"/>
    </xf>
    <xf numFmtId="0" fontId="65" fillId="0" borderId="3" xfId="0" applyFont="1" applyBorder="1" applyAlignment="1">
      <alignment horizontal="center" vertical="center"/>
    </xf>
    <xf numFmtId="1" fontId="75" fillId="0" borderId="0" xfId="0" applyNumberFormat="1" applyFont="1" applyBorder="1" applyAlignment="1">
      <alignment horizontal="center" vertical="center"/>
    </xf>
    <xf numFmtId="1" fontId="76" fillId="0" borderId="0" xfId="0" applyNumberFormat="1" applyFont="1" applyBorder="1" applyAlignment="1">
      <alignment horizontal="center" vertical="center"/>
    </xf>
    <xf numFmtId="164" fontId="78" fillId="0" borderId="7" xfId="0" applyNumberFormat="1" applyFont="1" applyBorder="1" applyAlignment="1">
      <alignment horizontal="center" vertical="center" wrapText="1"/>
    </xf>
    <xf numFmtId="164" fontId="77" fillId="0" borderId="7" xfId="0" applyNumberFormat="1" applyFont="1" applyBorder="1" applyAlignment="1">
      <alignment horizontal="center" vertical="center" wrapText="1"/>
    </xf>
    <xf numFmtId="0" fontId="78" fillId="0" borderId="7" xfId="0" applyFont="1" applyBorder="1" applyAlignment="1">
      <alignment horizontal="center" vertical="center"/>
    </xf>
    <xf numFmtId="0" fontId="26" fillId="0" borderId="0" xfId="0" applyFont="1" applyAlignment="1">
      <alignment horizontal="center" vertical="center" wrapText="1"/>
    </xf>
    <xf numFmtId="2" fontId="65" fillId="0" borderId="1" xfId="0" applyNumberFormat="1" applyFont="1" applyBorder="1" applyAlignment="1">
      <alignment horizontal="center" vertical="center"/>
    </xf>
    <xf numFmtId="1" fontId="65" fillId="0" borderId="17" xfId="0" applyNumberFormat="1" applyFont="1" applyBorder="1" applyAlignment="1">
      <alignment horizontal="center" vertical="center"/>
    </xf>
    <xf numFmtId="2" fontId="6" fillId="0" borderId="0" xfId="0" applyNumberFormat="1" applyFont="1" applyAlignment="1">
      <alignment horizontal="center" vertical="center"/>
    </xf>
    <xf numFmtId="0" fontId="65" fillId="0" borderId="18" xfId="0" applyFont="1" applyBorder="1" applyAlignment="1">
      <alignment horizontal="center" vertical="center"/>
    </xf>
    <xf numFmtId="0" fontId="0" fillId="2" borderId="0" xfId="0" applyFill="1" applyBorder="1" applyAlignment="1">
      <alignment horizontal="center" vertical="center"/>
    </xf>
    <xf numFmtId="0" fontId="3" fillId="4" borderId="0" xfId="0" applyFont="1" applyFill="1" applyAlignment="1">
      <alignment horizontal="center" vertical="center"/>
    </xf>
    <xf numFmtId="1" fontId="9" fillId="4" borderId="0" xfId="0" applyNumberFormat="1" applyFont="1" applyFill="1" applyAlignment="1">
      <alignment horizontal="center" vertical="center"/>
    </xf>
    <xf numFmtId="9" fontId="9" fillId="4" borderId="0" xfId="0" applyNumberFormat="1" applyFont="1" applyFill="1" applyAlignment="1">
      <alignment horizontal="center" vertical="center"/>
    </xf>
    <xf numFmtId="9" fontId="0" fillId="4" borderId="0" xfId="0" applyNumberFormat="1" applyFill="1" applyAlignment="1">
      <alignment horizontal="right" vertical="center" indent="1"/>
    </xf>
    <xf numFmtId="0" fontId="9" fillId="4" borderId="0" xfId="0" applyFont="1" applyFill="1" applyAlignment="1">
      <alignment horizontal="right" vertical="center" indent="1"/>
    </xf>
    <xf numFmtId="164" fontId="9" fillId="4" borderId="0" xfId="0" applyNumberFormat="1" applyFont="1" applyFill="1" applyAlignment="1">
      <alignment horizontal="left" vertical="center" indent="2"/>
    </xf>
    <xf numFmtId="164" fontId="9" fillId="4" borderId="0" xfId="0" applyNumberFormat="1" applyFont="1" applyFill="1" applyBorder="1" applyAlignment="1">
      <alignment horizontal="left" vertical="center" indent="2"/>
    </xf>
    <xf numFmtId="0" fontId="67" fillId="2" borderId="0" xfId="0" applyFont="1" applyFill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164" fontId="60" fillId="0" borderId="4" xfId="0" applyNumberFormat="1" applyFont="1" applyBorder="1" applyAlignment="1">
      <alignment horizontal="center" vertical="center"/>
    </xf>
    <xf numFmtId="164" fontId="31" fillId="0" borderId="4" xfId="0" applyNumberFormat="1" applyFont="1" applyBorder="1" applyAlignment="1">
      <alignment horizontal="center" vertical="center"/>
    </xf>
    <xf numFmtId="164" fontId="11" fillId="0" borderId="4" xfId="0" applyNumberFormat="1" applyFont="1" applyBorder="1" applyAlignment="1">
      <alignment horizontal="center" vertical="center"/>
    </xf>
    <xf numFmtId="164" fontId="40" fillId="0" borderId="19" xfId="0" applyNumberFormat="1" applyFont="1" applyBorder="1" applyAlignment="1">
      <alignment horizontal="center" vertical="center"/>
    </xf>
    <xf numFmtId="0" fontId="4" fillId="0" borderId="0" xfId="0" applyFont="1" applyAlignment="1">
      <alignment horizontal="right" vertical="center"/>
    </xf>
    <xf numFmtId="0" fontId="24" fillId="0" borderId="6" xfId="0" applyFont="1" applyBorder="1" applyAlignment="1">
      <alignment horizontal="center" vertical="center"/>
    </xf>
    <xf numFmtId="0" fontId="24" fillId="0" borderId="3" xfId="0" applyFont="1" applyBorder="1" applyAlignment="1">
      <alignment horizontal="center" vertical="center"/>
    </xf>
    <xf numFmtId="164" fontId="0" fillId="0" borderId="3" xfId="0" applyNumberFormat="1" applyBorder="1" applyAlignment="1">
      <alignment horizontal="center" vertical="center"/>
    </xf>
    <xf numFmtId="0" fontId="9" fillId="2" borderId="3" xfId="0" applyFont="1" applyFill="1" applyBorder="1" applyAlignment="1">
      <alignment horizontal="center" vertical="center"/>
    </xf>
    <xf numFmtId="2" fontId="9" fillId="0" borderId="3" xfId="0" applyNumberFormat="1" applyFont="1" applyBorder="1" applyAlignment="1">
      <alignment horizontal="center" vertical="center"/>
    </xf>
    <xf numFmtId="0" fontId="15" fillId="2" borderId="3" xfId="0" applyFont="1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9" fillId="6" borderId="3" xfId="0" applyFont="1" applyFill="1" applyBorder="1" applyAlignment="1">
      <alignment horizontal="center" vertical="center"/>
    </xf>
    <xf numFmtId="0" fontId="15" fillId="2" borderId="6" xfId="0" applyFont="1" applyFill="1" applyBorder="1" applyAlignment="1">
      <alignment horizontal="center" vertical="center"/>
    </xf>
    <xf numFmtId="0" fontId="24" fillId="0" borderId="5" xfId="0" applyFont="1" applyBorder="1" applyAlignment="1">
      <alignment horizontal="center" vertical="center"/>
    </xf>
    <xf numFmtId="0" fontId="24" fillId="0" borderId="2" xfId="0" applyFont="1" applyBorder="1" applyAlignment="1">
      <alignment horizontal="center" vertical="center"/>
    </xf>
    <xf numFmtId="0" fontId="24" fillId="0" borderId="4" xfId="0" applyFont="1" applyBorder="1" applyAlignment="1">
      <alignment horizontal="center" vertical="center"/>
    </xf>
    <xf numFmtId="164" fontId="44" fillId="0" borderId="4" xfId="0" applyNumberFormat="1" applyFont="1" applyBorder="1" applyAlignment="1">
      <alignment horizontal="center" vertical="center"/>
    </xf>
    <xf numFmtId="164" fontId="44" fillId="0" borderId="2" xfId="0" applyNumberFormat="1" applyFont="1" applyBorder="1" applyAlignment="1">
      <alignment horizontal="center" vertical="center"/>
    </xf>
    <xf numFmtId="1" fontId="44" fillId="0" borderId="4" xfId="0" applyNumberFormat="1" applyFont="1" applyBorder="1" applyAlignment="1">
      <alignment horizontal="center" vertical="center"/>
    </xf>
    <xf numFmtId="164" fontId="44" fillId="0" borderId="19" xfId="0" applyNumberFormat="1" applyFont="1" applyBorder="1" applyAlignment="1">
      <alignment horizontal="center" vertical="center"/>
    </xf>
    <xf numFmtId="1" fontId="4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center" vertical="center"/>
    </xf>
    <xf numFmtId="1" fontId="16" fillId="0" borderId="13" xfId="0" applyNumberFormat="1" applyFont="1" applyBorder="1" applyAlignment="1">
      <alignment horizontal="center" vertical="center"/>
    </xf>
    <xf numFmtId="9" fontId="16" fillId="0" borderId="17" xfId="0" applyNumberFormat="1" applyFont="1" applyBorder="1" applyAlignment="1">
      <alignment horizontal="center" vertical="center" wrapText="1"/>
    </xf>
    <xf numFmtId="0" fontId="11" fillId="2" borderId="0" xfId="0" applyFont="1" applyFill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44" fillId="0" borderId="0" xfId="0" applyNumberFormat="1" applyFont="1" applyAlignment="1">
      <alignment horizontal="center" vertical="center"/>
    </xf>
    <xf numFmtId="1" fontId="26" fillId="0" borderId="0" xfId="0" applyNumberFormat="1" applyFont="1" applyAlignment="1">
      <alignment horizontal="center" vertical="center"/>
    </xf>
    <xf numFmtId="0" fontId="41" fillId="3" borderId="0" xfId="0" applyFont="1" applyFill="1" applyAlignment="1">
      <alignment horizontal="center" vertical="center"/>
    </xf>
    <xf numFmtId="9" fontId="65" fillId="0" borderId="0" xfId="0" applyNumberFormat="1" applyFont="1" applyAlignment="1">
      <alignment horizontal="center" vertical="center"/>
    </xf>
    <xf numFmtId="164" fontId="88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30" fillId="0" borderId="0" xfId="0" applyFont="1" applyAlignment="1">
      <alignment horizontal="center" vertical="center"/>
    </xf>
    <xf numFmtId="164" fontId="26" fillId="0" borderId="0" xfId="0" applyNumberFormat="1" applyFont="1" applyAlignment="1">
      <alignment horizontal="center" vertical="center"/>
    </xf>
    <xf numFmtId="164" fontId="25" fillId="0" borderId="0" xfId="0" applyNumberFormat="1" applyFont="1" applyFill="1" applyAlignment="1">
      <alignment horizontal="center" vertical="center" wrapText="1"/>
    </xf>
    <xf numFmtId="2" fontId="62" fillId="0" borderId="0" xfId="0" applyNumberFormat="1" applyFont="1" applyAlignment="1">
      <alignment horizontal="left" vertical="center"/>
    </xf>
    <xf numFmtId="164" fontId="41" fillId="3" borderId="0" xfId="0" applyNumberFormat="1" applyFont="1" applyFill="1" applyAlignment="1">
      <alignment horizontal="center" vertical="center"/>
    </xf>
    <xf numFmtId="164" fontId="36" fillId="3" borderId="0" xfId="0" applyNumberFormat="1" applyFont="1" applyFill="1" applyAlignment="1">
      <alignment horizontal="center" vertical="center"/>
    </xf>
    <xf numFmtId="1" fontId="31" fillId="0" borderId="0" xfId="0" applyNumberFormat="1" applyFont="1" applyAlignment="1">
      <alignment horizontal="center" vertical="center"/>
    </xf>
    <xf numFmtId="1" fontId="32" fillId="3" borderId="0" xfId="0" applyNumberFormat="1" applyFont="1" applyFill="1" applyAlignment="1">
      <alignment horizontal="center" vertical="center"/>
    </xf>
    <xf numFmtId="164" fontId="95" fillId="0" borderId="0" xfId="0" applyNumberFormat="1" applyFont="1" applyAlignment="1">
      <alignment horizontal="center" vertical="center"/>
    </xf>
    <xf numFmtId="164" fontId="96" fillId="0" borderId="0" xfId="0" applyNumberFormat="1" applyFont="1" applyAlignment="1">
      <alignment horizontal="center" vertical="center"/>
    </xf>
    <xf numFmtId="0" fontId="53" fillId="0" borderId="20" xfId="0" applyFont="1" applyBorder="1" applyAlignment="1">
      <alignment horizontal="center" vertical="center"/>
    </xf>
    <xf numFmtId="0" fontId="34" fillId="0" borderId="20" xfId="0" applyFont="1" applyBorder="1" applyAlignment="1">
      <alignment horizontal="center" vertical="center"/>
    </xf>
    <xf numFmtId="0" fontId="97" fillId="0" borderId="0" xfId="0" applyFont="1" applyAlignment="1" applyProtection="1">
      <alignment horizontal="center" vertical="center"/>
    </xf>
    <xf numFmtId="0" fontId="97" fillId="0" borderId="0" xfId="0" applyFont="1" applyAlignment="1">
      <alignment horizontal="center" vertical="center"/>
    </xf>
    <xf numFmtId="0" fontId="24" fillId="0" borderId="21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24" fillId="0" borderId="13" xfId="0" applyFont="1" applyBorder="1" applyAlignment="1">
      <alignment horizontal="center" vertical="center"/>
    </xf>
    <xf numFmtId="164" fontId="50" fillId="0" borderId="22" xfId="0" applyNumberFormat="1" applyFont="1" applyBorder="1" applyAlignment="1">
      <alignment horizontal="center" vertical="center"/>
    </xf>
    <xf numFmtId="0" fontId="42" fillId="2" borderId="2" xfId="0" applyFont="1" applyFill="1" applyBorder="1" applyAlignment="1">
      <alignment horizontal="center" vertical="center"/>
    </xf>
    <xf numFmtId="0" fontId="42" fillId="3" borderId="0" xfId="0" applyFont="1" applyFill="1" applyBorder="1" applyAlignment="1">
      <alignment horizontal="center" vertical="center"/>
    </xf>
    <xf numFmtId="164" fontId="42" fillId="6" borderId="2" xfId="0" applyNumberFormat="1" applyFont="1" applyFill="1" applyBorder="1" applyAlignment="1">
      <alignment horizontal="center" vertical="center"/>
    </xf>
    <xf numFmtId="164" fontId="42" fillId="3" borderId="2" xfId="0" applyNumberFormat="1" applyFont="1" applyFill="1" applyBorder="1" applyAlignment="1">
      <alignment horizontal="center" vertical="center"/>
    </xf>
    <xf numFmtId="164" fontId="73" fillId="0" borderId="2" xfId="0" applyNumberFormat="1" applyFont="1" applyBorder="1" applyAlignment="1">
      <alignment horizontal="center" vertical="center" wrapText="1"/>
    </xf>
    <xf numFmtId="164" fontId="79" fillId="0" borderId="2" xfId="0" applyNumberFormat="1" applyFont="1" applyBorder="1" applyAlignment="1">
      <alignment horizontal="center" vertical="center" wrapText="1"/>
    </xf>
    <xf numFmtId="0" fontId="42" fillId="4" borderId="0" xfId="0" applyFont="1" applyFill="1" applyBorder="1" applyAlignment="1">
      <alignment horizontal="center" vertical="center"/>
    </xf>
    <xf numFmtId="164" fontId="42" fillId="4" borderId="2" xfId="0" applyNumberFormat="1" applyFont="1" applyFill="1" applyBorder="1" applyAlignment="1">
      <alignment horizontal="center" vertical="center"/>
    </xf>
    <xf numFmtId="0" fontId="73" fillId="0" borderId="2" xfId="0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44" fillId="0" borderId="0" xfId="0" applyNumberFormat="1" applyFont="1" applyAlignment="1">
      <alignment horizontal="center" vertical="center"/>
    </xf>
    <xf numFmtId="0" fontId="31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164" fontId="35" fillId="0" borderId="0" xfId="0" applyNumberFormat="1" applyFont="1" applyAlignment="1">
      <alignment horizontal="center" vertical="center"/>
    </xf>
    <xf numFmtId="164" fontId="17" fillId="3" borderId="0" xfId="0" applyNumberFormat="1" applyFont="1" applyFill="1" applyAlignment="1">
      <alignment horizontal="center" vertical="center"/>
    </xf>
    <xf numFmtId="164" fontId="17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center" vertical="center"/>
    </xf>
    <xf numFmtId="164" fontId="10" fillId="0" borderId="0" xfId="0" applyNumberFormat="1" applyFont="1" applyAlignment="1">
      <alignment horizontal="center" vertical="center"/>
    </xf>
    <xf numFmtId="164" fontId="101" fillId="0" borderId="0" xfId="0" applyNumberFormat="1" applyFont="1" applyAlignment="1">
      <alignment horizontal="center" vertical="center"/>
    </xf>
    <xf numFmtId="164" fontId="43" fillId="0" borderId="0" xfId="0" applyNumberFormat="1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1" fontId="5" fillId="0" borderId="0" xfId="0" applyNumberFormat="1" applyFont="1" applyAlignment="1">
      <alignment horizontal="center" vertical="center"/>
    </xf>
    <xf numFmtId="164" fontId="70" fillId="0" borderId="0" xfId="0" applyNumberFormat="1" applyFont="1" applyAlignment="1">
      <alignment horizontal="center" vertical="center"/>
    </xf>
    <xf numFmtId="0" fontId="68" fillId="0" borderId="0" xfId="0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85" fillId="2" borderId="0" xfId="0" applyFont="1" applyFill="1" applyAlignment="1">
      <alignment horizontal="center" vertical="center" wrapText="1"/>
    </xf>
    <xf numFmtId="164" fontId="11" fillId="2" borderId="0" xfId="0" applyNumberFormat="1" applyFont="1" applyFill="1" applyAlignment="1">
      <alignment horizontal="center" vertical="center"/>
    </xf>
    <xf numFmtId="0" fontId="3" fillId="2" borderId="0" xfId="0" applyFont="1" applyFill="1" applyBorder="1" applyAlignment="1">
      <alignment horizontal="center" vertical="center"/>
    </xf>
    <xf numFmtId="164" fontId="60" fillId="2" borderId="0" xfId="0" applyNumberFormat="1" applyFont="1" applyFill="1" applyAlignment="1">
      <alignment horizontal="center" vertical="center"/>
    </xf>
    <xf numFmtId="164" fontId="31" fillId="2" borderId="0" xfId="0" applyNumberFormat="1" applyFont="1" applyFill="1" applyAlignment="1">
      <alignment horizontal="center" vertical="center"/>
    </xf>
    <xf numFmtId="164" fontId="70" fillId="2" borderId="0" xfId="0" applyNumberFormat="1" applyFont="1" applyFill="1" applyAlignment="1">
      <alignment horizontal="center" vertical="center"/>
    </xf>
    <xf numFmtId="164" fontId="69" fillId="2" borderId="0" xfId="0" applyNumberFormat="1" applyFont="1" applyFill="1" applyAlignment="1">
      <alignment horizontal="center" vertical="center"/>
    </xf>
    <xf numFmtId="0" fontId="101" fillId="2" borderId="0" xfId="0" applyFont="1" applyFill="1" applyAlignment="1">
      <alignment horizontal="center" vertical="center"/>
    </xf>
    <xf numFmtId="0" fontId="99" fillId="2" borderId="0" xfId="0" applyFont="1" applyFill="1" applyAlignment="1">
      <alignment horizontal="center" vertical="center"/>
    </xf>
    <xf numFmtId="0" fontId="13" fillId="2" borderId="0" xfId="0" applyFont="1" applyFill="1" applyAlignment="1">
      <alignment horizontal="center" vertical="center"/>
    </xf>
    <xf numFmtId="0" fontId="68" fillId="2" borderId="0" xfId="0" applyFont="1" applyFill="1" applyBorder="1" applyAlignment="1">
      <alignment horizontal="center" vertical="center"/>
    </xf>
    <xf numFmtId="164" fontId="99" fillId="0" borderId="0" xfId="0" applyNumberFormat="1" applyFont="1" applyAlignment="1">
      <alignment horizontal="center" vertical="center"/>
    </xf>
    <xf numFmtId="1" fontId="25" fillId="0" borderId="0" xfId="0" applyNumberFormat="1" applyFont="1" applyFill="1" applyAlignment="1">
      <alignment horizontal="center" vertical="center" wrapText="1"/>
    </xf>
    <xf numFmtId="9" fontId="65" fillId="0" borderId="0" xfId="0" applyNumberFormat="1" applyFont="1" applyFill="1" applyAlignment="1">
      <alignment horizontal="center" vertical="center" wrapText="1"/>
    </xf>
    <xf numFmtId="0" fontId="103" fillId="2" borderId="0" xfId="0" applyFont="1" applyFill="1" applyAlignment="1">
      <alignment horizontal="center" vertical="center"/>
    </xf>
    <xf numFmtId="1" fontId="0" fillId="6" borderId="0" xfId="0" applyNumberFormat="1" applyFill="1" applyAlignment="1">
      <alignment horizontal="center" vertical="center"/>
    </xf>
    <xf numFmtId="0" fontId="4" fillId="6" borderId="0" xfId="0" applyFont="1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164" fontId="0" fillId="3" borderId="0" xfId="0" applyNumberFormat="1" applyFill="1" applyAlignment="1">
      <alignment horizontal="center" vertical="center"/>
    </xf>
    <xf numFmtId="0" fontId="3" fillId="0" borderId="0" xfId="0" quotePrefix="1" applyFont="1" applyAlignment="1">
      <alignment horizontal="center" vertical="center"/>
    </xf>
    <xf numFmtId="164" fontId="104" fillId="0" borderId="3" xfId="0" applyNumberFormat="1" applyFont="1" applyBorder="1" applyAlignment="1">
      <alignment horizontal="center" vertical="center"/>
    </xf>
    <xf numFmtId="0" fontId="58" fillId="0" borderId="0" xfId="0" applyFont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20" fontId="0" fillId="0" borderId="0" xfId="0" applyNumberFormat="1" applyAlignment="1">
      <alignment horizontal="center" vertical="center"/>
    </xf>
    <xf numFmtId="0" fontId="47" fillId="0" borderId="0" xfId="0" applyFont="1" applyAlignment="1">
      <alignment horizontal="center" vertical="center"/>
    </xf>
    <xf numFmtId="0" fontId="35" fillId="0" borderId="0" xfId="0" applyFont="1" applyAlignment="1">
      <alignment horizontal="center" vertical="center"/>
    </xf>
    <xf numFmtId="20" fontId="26" fillId="0" borderId="0" xfId="0" applyNumberFormat="1" applyFont="1" applyAlignment="1">
      <alignment horizontal="center" vertical="center"/>
    </xf>
    <xf numFmtId="20" fontId="35" fillId="0" borderId="0" xfId="0" applyNumberFormat="1" applyFont="1" applyAlignment="1">
      <alignment horizontal="center" vertical="center"/>
    </xf>
    <xf numFmtId="20" fontId="47" fillId="0" borderId="0" xfId="0" applyNumberFormat="1" applyFont="1" applyAlignment="1">
      <alignment horizontal="center" vertical="center"/>
    </xf>
    <xf numFmtId="20" fontId="31" fillId="0" borderId="0" xfId="0" applyNumberFormat="1" applyFont="1" applyAlignment="1">
      <alignment horizontal="center" vertical="center"/>
    </xf>
    <xf numFmtId="20" fontId="60" fillId="0" borderId="0" xfId="0" applyNumberFormat="1" applyFont="1" applyAlignment="1">
      <alignment horizontal="center" vertical="center"/>
    </xf>
    <xf numFmtId="1" fontId="16" fillId="0" borderId="23" xfId="0" applyNumberFormat="1" applyFont="1" applyBorder="1" applyAlignment="1">
      <alignment horizontal="center" vertical="center"/>
    </xf>
    <xf numFmtId="1" fontId="16" fillId="2" borderId="23" xfId="0" applyNumberFormat="1" applyFont="1" applyFill="1" applyBorder="1" applyAlignment="1">
      <alignment horizontal="center" vertical="center"/>
    </xf>
    <xf numFmtId="1" fontId="16" fillId="0" borderId="24" xfId="0" applyNumberFormat="1" applyFont="1" applyBorder="1" applyAlignment="1">
      <alignment horizontal="center" vertical="center"/>
    </xf>
    <xf numFmtId="164" fontId="16" fillId="0" borderId="23" xfId="0" applyNumberFormat="1" applyFont="1" applyBorder="1" applyAlignment="1">
      <alignment horizontal="center" vertical="center"/>
    </xf>
    <xf numFmtId="164" fontId="16" fillId="2" borderId="23" xfId="0" applyNumberFormat="1" applyFont="1" applyFill="1" applyBorder="1" applyAlignment="1">
      <alignment horizontal="center" vertical="center"/>
    </xf>
    <xf numFmtId="164" fontId="16" fillId="0" borderId="24" xfId="0" applyNumberFormat="1" applyFont="1" applyBorder="1" applyAlignment="1">
      <alignment horizontal="center" vertical="center"/>
    </xf>
    <xf numFmtId="2" fontId="113" fillId="0" borderId="0" xfId="0" applyNumberFormat="1" applyFont="1" applyAlignment="1">
      <alignment horizontal="center" vertical="center"/>
    </xf>
    <xf numFmtId="2" fontId="36" fillId="0" borderId="0" xfId="0" applyNumberFormat="1" applyFont="1" applyAlignment="1">
      <alignment horizontal="center" vertical="center"/>
    </xf>
    <xf numFmtId="2" fontId="32" fillId="0" borderId="0" xfId="0" applyNumberFormat="1" applyFont="1" applyAlignment="1">
      <alignment horizontal="center" vertical="center"/>
    </xf>
    <xf numFmtId="2" fontId="86" fillId="0" borderId="0" xfId="0" applyNumberFormat="1" applyFont="1" applyAlignment="1">
      <alignment horizontal="center" vertical="center"/>
    </xf>
    <xf numFmtId="2" fontId="63" fillId="0" borderId="0" xfId="0" applyNumberFormat="1" applyFont="1" applyAlignment="1">
      <alignment horizontal="center" vertical="center"/>
    </xf>
    <xf numFmtId="164" fontId="42" fillId="0" borderId="0" xfId="0" applyNumberFormat="1" applyFont="1" applyAlignment="1">
      <alignment horizontal="center" vertical="center"/>
    </xf>
    <xf numFmtId="164" fontId="115" fillId="0" borderId="0" xfId="0" applyNumberFormat="1" applyFont="1" applyAlignment="1">
      <alignment horizontal="center" vertical="center"/>
    </xf>
    <xf numFmtId="2" fontId="10" fillId="0" borderId="0" xfId="0" applyNumberFormat="1" applyFont="1" applyAlignment="1">
      <alignment horizontal="center" vertical="center"/>
    </xf>
    <xf numFmtId="2" fontId="116" fillId="0" borderId="0" xfId="0" applyNumberFormat="1" applyFont="1" applyAlignment="1">
      <alignment horizontal="center" vertical="center"/>
    </xf>
    <xf numFmtId="0" fontId="36" fillId="0" borderId="0" xfId="0" applyNumberFormat="1" applyFont="1" applyAlignment="1">
      <alignment horizontal="center" vertical="center"/>
    </xf>
    <xf numFmtId="0" fontId="32" fillId="0" borderId="0" xfId="0" applyNumberFormat="1" applyFont="1" applyAlignment="1">
      <alignment horizontal="center" vertical="center"/>
    </xf>
    <xf numFmtId="0" fontId="17" fillId="0" borderId="0" xfId="0" applyNumberFormat="1" applyFont="1" applyAlignment="1">
      <alignment horizontal="center" vertical="center"/>
    </xf>
    <xf numFmtId="0" fontId="9" fillId="2" borderId="0" xfId="0" applyNumberFormat="1" applyFont="1" applyFill="1" applyAlignment="1">
      <alignment horizontal="center" vertical="center"/>
    </xf>
    <xf numFmtId="0" fontId="3" fillId="0" borderId="0" xfId="0" applyFont="1" applyAlignment="1">
      <alignment horizontal="right" vertical="center" indent="1"/>
    </xf>
    <xf numFmtId="164" fontId="6" fillId="2" borderId="0" xfId="0" applyNumberFormat="1" applyFont="1" applyFill="1" applyAlignment="1">
      <alignment horizontal="center" vertical="center"/>
    </xf>
    <xf numFmtId="164" fontId="8" fillId="2" borderId="0" xfId="0" applyNumberFormat="1" applyFont="1" applyFill="1" applyBorder="1" applyAlignment="1">
      <alignment horizontal="center" vertical="center"/>
    </xf>
    <xf numFmtId="0" fontId="117" fillId="3" borderId="0" xfId="0" applyFont="1" applyFill="1" applyAlignment="1">
      <alignment horizontal="center" vertical="center"/>
    </xf>
    <xf numFmtId="0" fontId="40" fillId="0" borderId="25" xfId="0" applyFont="1" applyBorder="1" applyAlignment="1">
      <alignment horizontal="center" vertical="center"/>
    </xf>
    <xf numFmtId="0" fontId="9" fillId="2" borderId="25" xfId="0" applyFont="1" applyFill="1" applyBorder="1" applyAlignment="1">
      <alignment horizontal="center" vertical="center"/>
    </xf>
    <xf numFmtId="164" fontId="9" fillId="0" borderId="25" xfId="0" applyNumberFormat="1" applyFont="1" applyBorder="1" applyAlignment="1">
      <alignment horizontal="center" vertical="center"/>
    </xf>
    <xf numFmtId="164" fontId="16" fillId="0" borderId="25" xfId="0" applyNumberFormat="1" applyFont="1" applyBorder="1" applyAlignment="1">
      <alignment horizontal="center" vertical="center"/>
    </xf>
    <xf numFmtId="2" fontId="16" fillId="0" borderId="25" xfId="0" applyNumberFormat="1" applyFont="1" applyBorder="1" applyAlignment="1">
      <alignment horizontal="center" vertical="center"/>
    </xf>
    <xf numFmtId="164" fontId="24" fillId="0" borderId="0" xfId="0" applyNumberFormat="1" applyFont="1" applyAlignment="1">
      <alignment horizontal="center" vertical="center"/>
    </xf>
    <xf numFmtId="0" fontId="26" fillId="0" borderId="25" xfId="0" applyFont="1" applyBorder="1" applyAlignment="1">
      <alignment horizontal="center" vertical="center"/>
    </xf>
    <xf numFmtId="0" fontId="0" fillId="2" borderId="25" xfId="0" applyFill="1" applyBorder="1" applyAlignment="1">
      <alignment horizontal="center" vertical="center"/>
    </xf>
    <xf numFmtId="164" fontId="16" fillId="0" borderId="26" xfId="0" applyNumberFormat="1" applyFont="1" applyBorder="1" applyAlignment="1">
      <alignment horizontal="center" vertical="center"/>
    </xf>
    <xf numFmtId="0" fontId="30" fillId="0" borderId="26" xfId="0" applyFont="1" applyBorder="1" applyAlignment="1">
      <alignment horizontal="center" vertical="center"/>
    </xf>
    <xf numFmtId="1" fontId="9" fillId="2" borderId="26" xfId="0" applyNumberFormat="1" applyFont="1" applyFill="1" applyBorder="1" applyAlignment="1">
      <alignment horizontal="center" vertical="center"/>
    </xf>
    <xf numFmtId="1" fontId="16" fillId="0" borderId="26" xfId="0" applyNumberFormat="1" applyFont="1" applyBorder="1" applyAlignment="1">
      <alignment horizontal="center" vertical="center"/>
    </xf>
    <xf numFmtId="172" fontId="0" fillId="0" borderId="0" xfId="0" applyNumberFormat="1" applyAlignment="1">
      <alignment horizontal="center" vertical="center"/>
    </xf>
    <xf numFmtId="1" fontId="30" fillId="0" borderId="0" xfId="0" applyNumberFormat="1" applyFont="1" applyAlignment="1">
      <alignment horizontal="center" vertical="center"/>
    </xf>
    <xf numFmtId="164" fontId="115" fillId="0" borderId="0" xfId="0" applyNumberFormat="1" applyFont="1" applyBorder="1" applyAlignment="1">
      <alignment horizontal="center" vertical="center"/>
    </xf>
    <xf numFmtId="1" fontId="22" fillId="0" borderId="0" xfId="0" applyNumberFormat="1" applyFont="1" applyAlignment="1">
      <alignment horizontal="center" vertical="center"/>
    </xf>
    <xf numFmtId="164" fontId="22" fillId="0" borderId="0" xfId="0" applyNumberFormat="1" applyFont="1" applyAlignment="1">
      <alignment horizontal="center" vertical="center"/>
    </xf>
    <xf numFmtId="2" fontId="115" fillId="0" borderId="0" xfId="0" applyNumberFormat="1" applyFont="1" applyAlignment="1">
      <alignment horizontal="center" vertical="center"/>
    </xf>
    <xf numFmtId="164" fontId="120" fillId="0" borderId="0" xfId="0" applyNumberFormat="1" applyFont="1" applyAlignment="1">
      <alignment horizontal="center" vertical="center"/>
    </xf>
    <xf numFmtId="2" fontId="65" fillId="0" borderId="0" xfId="0" applyNumberFormat="1" applyFont="1" applyAlignment="1">
      <alignment horizontal="center" vertical="center"/>
    </xf>
    <xf numFmtId="2" fontId="62" fillId="0" borderId="0" xfId="0" applyNumberFormat="1" applyFont="1" applyAlignment="1">
      <alignment horizontal="center" vertical="center"/>
    </xf>
    <xf numFmtId="0" fontId="3" fillId="0" borderId="3" xfId="0" applyFont="1" applyBorder="1" applyAlignment="1">
      <alignment horizontal="right" vertical="center" indent="1"/>
    </xf>
    <xf numFmtId="164" fontId="16" fillId="0" borderId="3" xfId="0" applyNumberFormat="1" applyFont="1" applyFill="1" applyBorder="1" applyAlignment="1">
      <alignment horizontal="center" vertical="center"/>
    </xf>
    <xf numFmtId="164" fontId="16" fillId="2" borderId="3" xfId="0" applyNumberFormat="1" applyFont="1" applyFill="1" applyBorder="1" applyAlignment="1">
      <alignment horizontal="center" vertical="center"/>
    </xf>
    <xf numFmtId="164" fontId="0" fillId="0" borderId="0" xfId="0" applyNumberFormat="1" applyBorder="1" applyAlignment="1">
      <alignment horizontal="center" vertical="center"/>
    </xf>
    <xf numFmtId="164" fontId="121" fillId="0" borderId="0" xfId="0" applyNumberFormat="1" applyFont="1" applyAlignment="1">
      <alignment horizontal="center"/>
    </xf>
    <xf numFmtId="164" fontId="49" fillId="0" borderId="0" xfId="0" applyNumberFormat="1" applyFont="1" applyFill="1" applyBorder="1" applyAlignment="1">
      <alignment horizontal="center" vertical="center"/>
    </xf>
    <xf numFmtId="2" fontId="114" fillId="0" borderId="0" xfId="0" applyNumberFormat="1" applyFont="1" applyAlignment="1">
      <alignment horizontal="center" vertical="center"/>
    </xf>
    <xf numFmtId="2" fontId="122" fillId="0" borderId="0" xfId="0" applyNumberFormat="1" applyFont="1" applyAlignment="1">
      <alignment horizontal="center" vertical="center"/>
    </xf>
    <xf numFmtId="0" fontId="123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41" fillId="0" borderId="0" xfId="0" applyNumberFormat="1" applyFont="1" applyAlignment="1">
      <alignment horizontal="center" vertical="center"/>
    </xf>
    <xf numFmtId="9" fontId="67" fillId="2" borderId="0" xfId="0" applyNumberFormat="1" applyFont="1" applyFill="1" applyAlignment="1">
      <alignment horizontal="center" vertical="center"/>
    </xf>
    <xf numFmtId="1" fontId="127" fillId="0" borderId="0" xfId="0" applyNumberFormat="1" applyFont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164" fontId="16" fillId="4" borderId="0" xfId="0" applyNumberFormat="1" applyFont="1" applyFill="1" applyBorder="1" applyAlignment="1">
      <alignment horizontal="center" vertical="center"/>
    </xf>
    <xf numFmtId="164" fontId="13" fillId="4" borderId="0" xfId="0" applyNumberFormat="1" applyFont="1" applyFill="1" applyBorder="1" applyAlignment="1">
      <alignment horizontal="center" vertical="center"/>
    </xf>
    <xf numFmtId="164" fontId="9" fillId="4" borderId="0" xfId="0" applyNumberFormat="1" applyFont="1" applyFill="1" applyAlignment="1">
      <alignment horizontal="center" vertical="center"/>
    </xf>
    <xf numFmtId="0" fontId="19" fillId="4" borderId="0" xfId="0" applyFont="1" applyFill="1" applyAlignment="1">
      <alignment horizontal="center" vertical="center"/>
    </xf>
    <xf numFmtId="0" fontId="37" fillId="4" borderId="0" xfId="0" applyFont="1" applyFill="1" applyAlignment="1">
      <alignment horizontal="center" vertical="center"/>
    </xf>
    <xf numFmtId="0" fontId="48" fillId="4" borderId="0" xfId="0" applyFont="1" applyFill="1" applyAlignment="1">
      <alignment horizontal="center" vertical="center"/>
    </xf>
    <xf numFmtId="164" fontId="3" fillId="4" borderId="0" xfId="0" applyNumberFormat="1" applyFont="1" applyFill="1" applyAlignment="1">
      <alignment horizontal="center" vertical="center"/>
    </xf>
    <xf numFmtId="1" fontId="16" fillId="4" borderId="0" xfId="0" applyNumberFormat="1" applyFont="1" applyFill="1" applyAlignment="1">
      <alignment horizontal="center" vertical="center"/>
    </xf>
    <xf numFmtId="1" fontId="0" fillId="4" borderId="0" xfId="0" applyNumberFormat="1" applyFill="1" applyAlignment="1">
      <alignment horizontal="center" vertical="center"/>
    </xf>
    <xf numFmtId="0" fontId="67" fillId="4" borderId="0" xfId="0" applyFont="1" applyFill="1" applyBorder="1" applyAlignment="1">
      <alignment horizontal="center" vertical="center"/>
    </xf>
    <xf numFmtId="1" fontId="3" fillId="4" borderId="0" xfId="0" applyNumberFormat="1" applyFont="1" applyFill="1" applyAlignment="1">
      <alignment horizontal="center" vertical="center"/>
    </xf>
    <xf numFmtId="165" fontId="9" fillId="4" borderId="0" xfId="0" applyNumberFormat="1" applyFont="1" applyFill="1" applyAlignment="1">
      <alignment horizontal="center" vertical="center"/>
    </xf>
    <xf numFmtId="165" fontId="38" fillId="4" borderId="0" xfId="0" applyNumberFormat="1" applyFont="1" applyFill="1" applyAlignment="1">
      <alignment horizontal="center" vertical="center"/>
    </xf>
    <xf numFmtId="165" fontId="39" fillId="4" borderId="3" xfId="0" applyNumberFormat="1" applyFont="1" applyFill="1" applyBorder="1" applyAlignment="1">
      <alignment horizontal="center" vertical="center"/>
    </xf>
    <xf numFmtId="1" fontId="45" fillId="4" borderId="0" xfId="0" applyNumberFormat="1" applyFont="1" applyFill="1" applyAlignment="1">
      <alignment horizontal="center" vertical="center"/>
    </xf>
    <xf numFmtId="165" fontId="64" fillId="4" borderId="0" xfId="0" applyNumberFormat="1" applyFont="1" applyFill="1" applyAlignment="1">
      <alignment horizontal="center" vertical="center"/>
    </xf>
    <xf numFmtId="164" fontId="124" fillId="0" borderId="0" xfId="0" applyNumberFormat="1" applyFont="1" applyAlignment="1">
      <alignment horizontal="center" vertical="center"/>
    </xf>
    <xf numFmtId="0" fontId="129" fillId="2" borderId="0" xfId="0" applyFont="1" applyFill="1" applyAlignment="1">
      <alignment horizontal="center" vertical="center"/>
    </xf>
    <xf numFmtId="9" fontId="0" fillId="4" borderId="0" xfId="0" applyNumberFormat="1" applyFill="1" applyAlignment="1">
      <alignment horizontal="left" vertical="center"/>
    </xf>
    <xf numFmtId="0" fontId="130" fillId="2" borderId="0" xfId="0" applyFont="1" applyFill="1" applyAlignment="1">
      <alignment horizontal="center" vertical="center"/>
    </xf>
    <xf numFmtId="164" fontId="16" fillId="4" borderId="0" xfId="0" applyNumberFormat="1" applyFont="1" applyFill="1" applyAlignment="1">
      <alignment horizontal="center" vertical="center"/>
    </xf>
    <xf numFmtId="0" fontId="16" fillId="4" borderId="0" xfId="0" applyFont="1" applyFill="1" applyAlignment="1">
      <alignment horizontal="center" vertical="center"/>
    </xf>
    <xf numFmtId="9" fontId="45" fillId="0" borderId="0" xfId="0" applyNumberFormat="1" applyFont="1" applyAlignment="1">
      <alignment horizontal="center" vertical="center"/>
    </xf>
    <xf numFmtId="0" fontId="44" fillId="0" borderId="0" xfId="0" applyFont="1" applyBorder="1" applyAlignment="1">
      <alignment horizontal="center" vertical="center" wrapText="1"/>
    </xf>
    <xf numFmtId="0" fontId="65" fillId="0" borderId="25" xfId="0" applyFont="1" applyBorder="1" applyAlignment="1">
      <alignment horizontal="center" vertical="center"/>
    </xf>
    <xf numFmtId="0" fontId="0" fillId="5" borderId="25" xfId="0" applyFill="1" applyBorder="1" applyAlignment="1">
      <alignment horizontal="center" vertical="center"/>
    </xf>
    <xf numFmtId="164" fontId="5" fillId="0" borderId="25" xfId="0" applyNumberFormat="1" applyFont="1" applyFill="1" applyBorder="1" applyAlignment="1">
      <alignment horizontal="center" vertical="center"/>
    </xf>
    <xf numFmtId="9" fontId="68" fillId="0" borderId="0" xfId="0" applyNumberFormat="1" applyFont="1" applyFill="1" applyAlignment="1">
      <alignment horizontal="center" vertical="center"/>
    </xf>
    <xf numFmtId="9" fontId="129" fillId="2" borderId="0" xfId="0" applyNumberFormat="1" applyFont="1" applyFill="1" applyAlignment="1">
      <alignment horizontal="center" vertical="center"/>
    </xf>
    <xf numFmtId="9" fontId="46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20" fontId="24" fillId="0" borderId="0" xfId="0" applyNumberFormat="1" applyFont="1" applyAlignment="1">
      <alignment horizontal="center" vertical="center"/>
    </xf>
    <xf numFmtId="1" fontId="68" fillId="0" borderId="0" xfId="0" applyNumberFormat="1" applyFont="1" applyAlignment="1">
      <alignment horizontal="center" vertical="center"/>
    </xf>
    <xf numFmtId="0" fontId="123" fillId="0" borderId="0" xfId="0" applyFont="1" applyAlignment="1" applyProtection="1">
      <alignment horizontal="center" vertical="center"/>
    </xf>
    <xf numFmtId="164" fontId="9" fillId="2" borderId="2" xfId="0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16" fillId="0" borderId="0" xfId="0" applyFont="1" applyFill="1" applyBorder="1" applyAlignment="1">
      <alignment horizontal="center" vertical="center" wrapText="1"/>
    </xf>
    <xf numFmtId="0" fontId="87" fillId="0" borderId="0" xfId="0" applyFont="1" applyFill="1" applyBorder="1" applyAlignment="1">
      <alignment horizontal="center" vertical="center" wrapText="1"/>
    </xf>
    <xf numFmtId="164" fontId="62" fillId="0" borderId="0" xfId="0" applyNumberFormat="1" applyFont="1" applyAlignment="1">
      <alignment horizontal="center" vertical="center"/>
    </xf>
    <xf numFmtId="164" fontId="46" fillId="0" borderId="0" xfId="0" applyNumberFormat="1" applyFont="1" applyFill="1" applyBorder="1" applyAlignment="1">
      <alignment horizontal="center" vertical="center"/>
    </xf>
    <xf numFmtId="164" fontId="46" fillId="0" borderId="0" xfId="0" applyNumberFormat="1" applyFont="1" applyAlignment="1">
      <alignment horizontal="center" vertical="center"/>
    </xf>
    <xf numFmtId="1" fontId="46" fillId="0" borderId="0" xfId="0" applyNumberFormat="1" applyFont="1" applyFill="1" applyBorder="1" applyAlignment="1">
      <alignment horizontal="center" vertical="center"/>
    </xf>
    <xf numFmtId="0" fontId="46" fillId="2" borderId="0" xfId="0" applyFont="1" applyFill="1" applyAlignment="1">
      <alignment horizontal="center" vertical="center"/>
    </xf>
    <xf numFmtId="164" fontId="125" fillId="0" borderId="0" xfId="0" applyNumberFormat="1" applyFont="1" applyAlignment="1">
      <alignment horizontal="center" vertical="center"/>
    </xf>
    <xf numFmtId="20" fontId="16" fillId="0" borderId="0" xfId="0" applyNumberFormat="1" applyFont="1" applyAlignment="1">
      <alignment horizontal="center" vertical="center"/>
    </xf>
    <xf numFmtId="9" fontId="129" fillId="2" borderId="3" xfId="0" applyNumberFormat="1" applyFont="1" applyFill="1" applyBorder="1" applyAlignment="1">
      <alignment horizontal="center" vertical="center"/>
    </xf>
    <xf numFmtId="9" fontId="46" fillId="0" borderId="3" xfId="0" applyNumberFormat="1" applyFont="1" applyBorder="1" applyAlignment="1">
      <alignment horizontal="center" vertical="center"/>
    </xf>
    <xf numFmtId="9" fontId="16" fillId="0" borderId="0" xfId="0" applyNumberFormat="1" applyFont="1" applyFill="1" applyBorder="1" applyAlignment="1">
      <alignment horizontal="center" vertical="center"/>
    </xf>
    <xf numFmtId="9" fontId="5" fillId="0" borderId="0" xfId="0" applyNumberFormat="1" applyFont="1" applyFill="1" applyBorder="1" applyAlignment="1">
      <alignment horizontal="center" vertical="center"/>
    </xf>
    <xf numFmtId="1" fontId="5" fillId="0" borderId="0" xfId="0" applyNumberFormat="1" applyFont="1" applyFill="1" applyBorder="1" applyAlignment="1">
      <alignment horizontal="center" vertical="center"/>
    </xf>
    <xf numFmtId="9" fontId="5" fillId="0" borderId="0" xfId="0" applyNumberFormat="1" applyFont="1" applyBorder="1" applyAlignment="1">
      <alignment horizontal="center" vertical="center"/>
    </xf>
    <xf numFmtId="1" fontId="5" fillId="0" borderId="0" xfId="0" applyNumberFormat="1" applyFont="1" applyBorder="1" applyAlignment="1">
      <alignment horizontal="center" vertical="center"/>
    </xf>
    <xf numFmtId="9" fontId="5" fillId="0" borderId="0" xfId="0" applyNumberFormat="1" applyFont="1" applyAlignment="1">
      <alignment horizontal="center" vertical="center"/>
    </xf>
    <xf numFmtId="9" fontId="49" fillId="0" borderId="0" xfId="0" applyNumberFormat="1" applyFont="1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5" fillId="0" borderId="0" xfId="0" applyNumberFormat="1" applyFont="1" applyAlignment="1">
      <alignment horizontal="center" vertical="center"/>
    </xf>
    <xf numFmtId="164" fontId="129" fillId="2" borderId="0" xfId="0" applyNumberFormat="1" applyFont="1" applyFill="1" applyAlignment="1">
      <alignment horizontal="center" vertical="center"/>
    </xf>
    <xf numFmtId="0" fontId="119" fillId="2" borderId="3" xfId="0" applyFont="1" applyFill="1" applyBorder="1" applyAlignment="1">
      <alignment horizontal="center" vertical="center"/>
    </xf>
    <xf numFmtId="0" fontId="65" fillId="0" borderId="0" xfId="0" applyFont="1" applyBorder="1" applyAlignment="1">
      <alignment horizontal="center" vertical="center"/>
    </xf>
    <xf numFmtId="0" fontId="24" fillId="0" borderId="0" xfId="0" applyFont="1" applyAlignment="1">
      <alignment horizontal="center" vertical="center"/>
    </xf>
    <xf numFmtId="1" fontId="125" fillId="0" borderId="0" xfId="0" applyNumberFormat="1" applyFont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164" fontId="5" fillId="2" borderId="0" xfId="0" applyNumberFormat="1" applyFont="1" applyFill="1" applyAlignment="1">
      <alignment horizontal="center" vertical="center"/>
    </xf>
    <xf numFmtId="20" fontId="16" fillId="0" borderId="3" xfId="0" applyNumberFormat="1" applyFont="1" applyBorder="1" applyAlignment="1">
      <alignment horizontal="center" vertical="center"/>
    </xf>
    <xf numFmtId="0" fontId="10" fillId="0" borderId="0" xfId="0" applyNumberFormat="1" applyFont="1" applyAlignment="1">
      <alignment horizontal="center" vertical="center"/>
    </xf>
    <xf numFmtId="9" fontId="65" fillId="0" borderId="0" xfId="0" applyNumberFormat="1" applyFont="1" applyBorder="1" applyAlignment="1">
      <alignment horizontal="center" vertical="center"/>
    </xf>
    <xf numFmtId="164" fontId="65" fillId="0" borderId="0" xfId="0" applyNumberFormat="1" applyFont="1" applyBorder="1" applyAlignment="1">
      <alignment horizontal="center" vertical="center"/>
    </xf>
    <xf numFmtId="164" fontId="5" fillId="0" borderId="0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 vertical="center"/>
    </xf>
    <xf numFmtId="0" fontId="31" fillId="0" borderId="0" xfId="0" applyFont="1" applyBorder="1" applyAlignment="1">
      <alignment horizontal="center" vertical="center" wrapText="1"/>
    </xf>
    <xf numFmtId="0" fontId="11" fillId="0" borderId="0" xfId="0" applyFont="1" applyBorder="1" applyAlignment="1">
      <alignment horizontal="center" vertical="center" wrapText="1"/>
    </xf>
    <xf numFmtId="0" fontId="40" fillId="0" borderId="0" xfId="0" applyFont="1" applyBorder="1" applyAlignment="1">
      <alignment horizontal="center" vertical="center" wrapText="1"/>
    </xf>
    <xf numFmtId="0" fontId="25" fillId="0" borderId="0" xfId="0" applyFont="1" applyAlignment="1">
      <alignment horizontal="center" vertical="center"/>
    </xf>
    <xf numFmtId="164" fontId="57" fillId="0" borderId="0" xfId="0" applyNumberFormat="1" applyFont="1" applyAlignment="1">
      <alignment horizontal="center" vertical="center"/>
    </xf>
    <xf numFmtId="0" fontId="57" fillId="0" borderId="0" xfId="0" applyFont="1" applyAlignment="1">
      <alignment horizontal="center" vertical="center"/>
    </xf>
    <xf numFmtId="1" fontId="24" fillId="0" borderId="0" xfId="0" applyNumberFormat="1" applyFont="1" applyAlignment="1">
      <alignment horizontal="center" vertical="center"/>
    </xf>
    <xf numFmtId="2" fontId="24" fillId="0" borderId="0" xfId="0" applyNumberFormat="1" applyFont="1" applyAlignment="1">
      <alignment horizontal="center" vertical="center"/>
    </xf>
    <xf numFmtId="164" fontId="49" fillId="0" borderId="0" xfId="0" applyNumberFormat="1" applyFont="1" applyAlignment="1">
      <alignment horizontal="center" vertical="center"/>
    </xf>
    <xf numFmtId="9" fontId="24" fillId="0" borderId="0" xfId="0" applyNumberFormat="1" applyFont="1" applyAlignment="1">
      <alignment horizontal="center" vertical="center"/>
    </xf>
    <xf numFmtId="0" fontId="25" fillId="2" borderId="0" xfId="0" applyFont="1" applyFill="1" applyAlignment="1">
      <alignment horizontal="center" vertical="center"/>
    </xf>
    <xf numFmtId="0" fontId="132" fillId="0" borderId="0" xfId="0" applyFont="1" applyAlignment="1">
      <alignment horizontal="center" vertical="center"/>
    </xf>
    <xf numFmtId="0" fontId="25" fillId="0" borderId="3" xfId="0" applyFont="1" applyBorder="1" applyAlignment="1">
      <alignment horizontal="center" vertical="center"/>
    </xf>
    <xf numFmtId="0" fontId="25" fillId="2" borderId="3" xfId="0" applyFont="1" applyFill="1" applyBorder="1" applyAlignment="1">
      <alignment horizontal="center" vertical="center"/>
    </xf>
    <xf numFmtId="9" fontId="49" fillId="0" borderId="0" xfId="0" applyNumberFormat="1" applyFont="1" applyAlignment="1">
      <alignment horizontal="center" vertical="center"/>
    </xf>
    <xf numFmtId="20" fontId="25" fillId="0" borderId="0" xfId="0" applyNumberFormat="1" applyFont="1" applyAlignment="1">
      <alignment horizontal="center" vertical="center"/>
    </xf>
    <xf numFmtId="0" fontId="16" fillId="0" borderId="0" xfId="0" applyNumberFormat="1" applyFont="1" applyFill="1" applyAlignment="1">
      <alignment horizontal="center" vertical="center"/>
    </xf>
    <xf numFmtId="164" fontId="0" fillId="0" borderId="25" xfId="0" applyNumberFormat="1" applyFill="1" applyBorder="1" applyAlignment="1">
      <alignment horizontal="center" vertical="center"/>
    </xf>
    <xf numFmtId="164" fontId="0" fillId="0" borderId="25" xfId="0" applyNumberFormat="1" applyFill="1" applyBorder="1" applyAlignment="1">
      <alignment horizontal="center" vertical="center" wrapText="1"/>
    </xf>
    <xf numFmtId="0" fontId="46" fillId="0" borderId="0" xfId="0" applyFont="1" applyBorder="1" applyAlignment="1">
      <alignment horizontal="center" vertical="center"/>
    </xf>
    <xf numFmtId="164" fontId="46" fillId="2" borderId="0" xfId="0" applyNumberFormat="1" applyFont="1" applyFill="1" applyBorder="1" applyAlignment="1">
      <alignment horizontal="center" vertical="center"/>
    </xf>
    <xf numFmtId="164" fontId="41" fillId="0" borderId="0" xfId="0" applyNumberFormat="1" applyFont="1" applyFill="1" applyAlignment="1">
      <alignment horizontal="center" vertical="center" wrapText="1"/>
    </xf>
    <xf numFmtId="9" fontId="94" fillId="0" borderId="0" xfId="0" applyNumberFormat="1" applyFont="1" applyAlignment="1">
      <alignment horizontal="center" vertical="center"/>
    </xf>
    <xf numFmtId="9" fontId="9" fillId="0" borderId="0" xfId="0" applyNumberFormat="1" applyFont="1" applyFill="1" applyBorder="1" applyAlignment="1">
      <alignment horizontal="center" vertical="center"/>
    </xf>
    <xf numFmtId="9" fontId="9" fillId="2" borderId="0" xfId="0" applyNumberFormat="1" applyFont="1" applyFill="1" applyBorder="1" applyAlignment="1">
      <alignment horizontal="center" vertical="center"/>
    </xf>
    <xf numFmtId="9" fontId="9" fillId="0" borderId="13" xfId="0" applyNumberFormat="1" applyFont="1" applyFill="1" applyBorder="1" applyAlignment="1">
      <alignment horizontal="center" vertical="center"/>
    </xf>
    <xf numFmtId="164" fontId="65" fillId="0" borderId="27" xfId="0" applyNumberFormat="1" applyFont="1" applyBorder="1" applyAlignment="1">
      <alignment horizontal="center" vertical="center"/>
    </xf>
    <xf numFmtId="9" fontId="0" fillId="0" borderId="28" xfId="0" applyNumberFormat="1" applyBorder="1" applyAlignment="1">
      <alignment horizontal="center" vertical="center"/>
    </xf>
    <xf numFmtId="9" fontId="0" fillId="2" borderId="28" xfId="0" applyNumberFormat="1" applyFill="1" applyBorder="1" applyAlignment="1">
      <alignment horizontal="center" vertical="center"/>
    </xf>
    <xf numFmtId="9" fontId="0" fillId="0" borderId="29" xfId="0" applyNumberFormat="1" applyBorder="1" applyAlignment="1">
      <alignment horizontal="center" vertical="center"/>
    </xf>
    <xf numFmtId="1" fontId="9" fillId="0" borderId="30" xfId="0" applyNumberFormat="1" applyFont="1" applyBorder="1" applyAlignment="1">
      <alignment horizontal="center" vertical="center"/>
    </xf>
    <xf numFmtId="0" fontId="9" fillId="5" borderId="0" xfId="0" applyFont="1" applyFill="1" applyBorder="1" applyAlignment="1">
      <alignment horizontal="center" vertical="center"/>
    </xf>
    <xf numFmtId="0" fontId="9" fillId="3" borderId="0" xfId="0" applyFont="1" applyFill="1" applyBorder="1" applyAlignment="1">
      <alignment horizontal="center" vertical="center"/>
    </xf>
    <xf numFmtId="0" fontId="41" fillId="0" borderId="0" xfId="0" applyFont="1" applyBorder="1" applyAlignment="1">
      <alignment horizontal="center" vertical="center"/>
    </xf>
    <xf numFmtId="0" fontId="41" fillId="3" borderId="0" xfId="0" applyFont="1" applyFill="1" applyBorder="1" applyAlignment="1">
      <alignment horizontal="center" vertical="center"/>
    </xf>
    <xf numFmtId="1" fontId="41" fillId="0" borderId="0" xfId="0" applyNumberFormat="1" applyFont="1" applyBorder="1" applyAlignment="1">
      <alignment horizontal="center" vertical="center"/>
    </xf>
    <xf numFmtId="164" fontId="62" fillId="0" borderId="0" xfId="0" applyNumberFormat="1" applyFont="1" applyBorder="1" applyAlignment="1">
      <alignment horizontal="left" vertical="center"/>
    </xf>
    <xf numFmtId="9" fontId="41" fillId="0" borderId="0" xfId="0" applyNumberFormat="1" applyFont="1" applyBorder="1" applyAlignment="1">
      <alignment horizontal="left" vertical="center"/>
    </xf>
    <xf numFmtId="164" fontId="21" fillId="4" borderId="0" xfId="0" applyNumberFormat="1" applyFont="1" applyFill="1" applyBorder="1" applyAlignment="1">
      <alignment horizontal="center" vertical="center"/>
    </xf>
    <xf numFmtId="0" fontId="65" fillId="0" borderId="31" xfId="0" applyFont="1" applyBorder="1" applyAlignment="1">
      <alignment horizontal="center" vertical="center"/>
    </xf>
    <xf numFmtId="0" fontId="9" fillId="5" borderId="31" xfId="0" applyFont="1" applyFill="1" applyBorder="1" applyAlignment="1">
      <alignment horizontal="center" vertical="center"/>
    </xf>
    <xf numFmtId="9" fontId="9" fillId="0" borderId="31" xfId="0" applyNumberFormat="1" applyFont="1" applyBorder="1" applyAlignment="1">
      <alignment horizontal="center" vertical="center"/>
    </xf>
    <xf numFmtId="0" fontId="9" fillId="3" borderId="31" xfId="0" applyFont="1" applyFill="1" applyBorder="1" applyAlignment="1">
      <alignment horizontal="center" vertical="center"/>
    </xf>
    <xf numFmtId="0" fontId="41" fillId="0" borderId="31" xfId="0" applyFont="1" applyBorder="1" applyAlignment="1">
      <alignment horizontal="center" vertical="center"/>
    </xf>
    <xf numFmtId="0" fontId="41" fillId="3" borderId="31" xfId="0" applyFont="1" applyFill="1" applyBorder="1" applyAlignment="1">
      <alignment horizontal="center" vertical="center"/>
    </xf>
    <xf numFmtId="9" fontId="65" fillId="0" borderId="31" xfId="0" applyNumberFormat="1" applyFont="1" applyBorder="1" applyAlignment="1">
      <alignment horizontal="center" vertical="center"/>
    </xf>
    <xf numFmtId="164" fontId="62" fillId="0" borderId="31" xfId="0" applyNumberFormat="1" applyFont="1" applyBorder="1" applyAlignment="1">
      <alignment horizontal="left" vertical="center"/>
    </xf>
    <xf numFmtId="9" fontId="41" fillId="0" borderId="31" xfId="0" applyNumberFormat="1" applyFont="1" applyBorder="1" applyAlignment="1">
      <alignment horizontal="left" vertical="center"/>
    </xf>
    <xf numFmtId="164" fontId="21" fillId="4" borderId="31" xfId="0" applyNumberFormat="1" applyFont="1" applyFill="1" applyBorder="1" applyAlignment="1">
      <alignment horizontal="center" vertical="center"/>
    </xf>
    <xf numFmtId="172" fontId="9" fillId="0" borderId="31" xfId="0" applyNumberFormat="1" applyFont="1" applyBorder="1" applyAlignment="1">
      <alignment horizontal="center" vertical="center"/>
    </xf>
    <xf numFmtId="164" fontId="5" fillId="0" borderId="0" xfId="0" applyNumberFormat="1" applyFont="1" applyBorder="1" applyAlignment="1">
      <alignment horizontal="center" vertical="center" wrapText="1"/>
    </xf>
    <xf numFmtId="0" fontId="68" fillId="0" borderId="0" xfId="0" applyFont="1" applyFill="1" applyAlignment="1">
      <alignment horizontal="center" vertical="center"/>
    </xf>
    <xf numFmtId="9" fontId="0" fillId="2" borderId="0" xfId="0" applyNumberFormat="1" applyFill="1" applyAlignment="1">
      <alignment horizontal="left" vertical="center"/>
    </xf>
    <xf numFmtId="164" fontId="19" fillId="4" borderId="0" xfId="0" applyNumberFormat="1" applyFont="1" applyFill="1" applyAlignment="1">
      <alignment horizontal="center" vertical="center"/>
    </xf>
    <xf numFmtId="0" fontId="9" fillId="4" borderId="0" xfId="0" applyNumberFormat="1" applyFont="1" applyFill="1" applyAlignment="1">
      <alignment horizontal="center" vertical="center"/>
    </xf>
    <xf numFmtId="20" fontId="27" fillId="0" borderId="0" xfId="0" applyNumberFormat="1" applyFont="1" applyAlignment="1">
      <alignment horizontal="center" vertical="center"/>
    </xf>
    <xf numFmtId="0" fontId="5" fillId="0" borderId="0" xfId="0" applyNumberFormat="1" applyFont="1" applyAlignment="1">
      <alignment horizontal="center" vertical="center" wrapText="1"/>
    </xf>
    <xf numFmtId="0" fontId="51" fillId="2" borderId="0" xfId="1" applyFill="1" applyAlignment="1" applyProtection="1">
      <alignment horizontal="center" vertical="center"/>
    </xf>
    <xf numFmtId="164" fontId="41" fillId="0" borderId="0" xfId="0" applyNumberFormat="1" applyFont="1" applyAlignment="1">
      <alignment horizontal="left" vertical="center"/>
    </xf>
    <xf numFmtId="1" fontId="67" fillId="2" borderId="32" xfId="0" applyNumberFormat="1" applyFont="1" applyFill="1" applyBorder="1" applyAlignment="1">
      <alignment horizontal="center" vertical="center"/>
    </xf>
    <xf numFmtId="0" fontId="129" fillId="2" borderId="33" xfId="0" applyFont="1" applyFill="1" applyBorder="1" applyAlignment="1">
      <alignment horizontal="center" vertical="center"/>
    </xf>
    <xf numFmtId="9" fontId="67" fillId="2" borderId="12" xfId="0" applyNumberFormat="1" applyFont="1" applyFill="1" applyBorder="1" applyAlignment="1">
      <alignment horizontal="center" vertical="center"/>
    </xf>
    <xf numFmtId="164" fontId="119" fillId="2" borderId="34" xfId="0" applyNumberFormat="1" applyFont="1" applyFill="1" applyBorder="1" applyAlignment="1">
      <alignment horizontal="center" vertical="center" wrapText="1"/>
    </xf>
    <xf numFmtId="164" fontId="67" fillId="2" borderId="35" xfId="0" applyNumberFormat="1" applyFont="1" applyFill="1" applyBorder="1" applyAlignment="1">
      <alignment horizontal="center" vertical="center" wrapText="1"/>
    </xf>
    <xf numFmtId="0" fontId="67" fillId="2" borderId="36" xfId="0" applyFont="1" applyFill="1" applyBorder="1" applyAlignment="1">
      <alignment horizontal="center" vertical="center"/>
    </xf>
    <xf numFmtId="0" fontId="67" fillId="2" borderId="37" xfId="0" applyFont="1" applyFill="1" applyBorder="1" applyAlignment="1">
      <alignment horizontal="center" vertical="center"/>
    </xf>
    <xf numFmtId="164" fontId="67" fillId="2" borderId="38" xfId="0" applyNumberFormat="1" applyFont="1" applyFill="1" applyBorder="1" applyAlignment="1">
      <alignment horizontal="center" vertical="center"/>
    </xf>
    <xf numFmtId="172" fontId="24" fillId="0" borderId="0" xfId="0" applyNumberFormat="1" applyFont="1" applyAlignment="1">
      <alignment horizontal="center" vertical="center"/>
    </xf>
    <xf numFmtId="1" fontId="135" fillId="0" borderId="0" xfId="0" applyNumberFormat="1" applyFont="1" applyAlignment="1">
      <alignment horizontal="center" vertical="center"/>
    </xf>
    <xf numFmtId="1" fontId="134" fillId="0" borderId="0" xfId="0" applyNumberFormat="1" applyFont="1" applyAlignment="1">
      <alignment horizontal="center"/>
    </xf>
    <xf numFmtId="164" fontId="16" fillId="0" borderId="25" xfId="0" applyNumberFormat="1" applyFont="1" applyFill="1" applyBorder="1" applyAlignment="1">
      <alignment horizontal="center" vertical="center"/>
    </xf>
    <xf numFmtId="0" fontId="126" fillId="0" borderId="0" xfId="0" applyNumberFormat="1" applyFont="1" applyAlignment="1">
      <alignment horizontal="center" vertical="center"/>
    </xf>
    <xf numFmtId="164" fontId="25" fillId="0" borderId="0" xfId="0" applyNumberFormat="1" applyFont="1" applyFill="1" applyBorder="1" applyAlignment="1">
      <alignment horizontal="center" vertical="center" wrapText="1"/>
    </xf>
    <xf numFmtId="0" fontId="0" fillId="7" borderId="39" xfId="0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64" fontId="25" fillId="0" borderId="5" xfId="0" applyNumberFormat="1" applyFont="1" applyFill="1" applyBorder="1" applyAlignment="1">
      <alignment horizontal="center" vertical="center" wrapText="1"/>
    </xf>
    <xf numFmtId="9" fontId="9" fillId="0" borderId="41" xfId="0" applyNumberFormat="1" applyFont="1" applyFill="1" applyBorder="1" applyAlignment="1">
      <alignment horizontal="center" vertical="center"/>
    </xf>
    <xf numFmtId="0" fontId="0" fillId="7" borderId="42" xfId="0" applyFill="1" applyBorder="1" applyAlignment="1">
      <alignment horizontal="center" vertical="center"/>
    </xf>
    <xf numFmtId="0" fontId="139" fillId="0" borderId="0" xfId="0" applyFont="1" applyFill="1" applyBorder="1" applyAlignment="1">
      <alignment horizontal="center" vertical="center"/>
    </xf>
    <xf numFmtId="0" fontId="145" fillId="0" borderId="0" xfId="0" applyFont="1" applyFill="1" applyBorder="1" applyAlignment="1">
      <alignment horizontal="center" vertical="center"/>
    </xf>
    <xf numFmtId="9" fontId="0" fillId="7" borderId="43" xfId="0" applyNumberFormat="1" applyFill="1" applyBorder="1" applyAlignment="1">
      <alignment horizontal="center" vertical="center"/>
    </xf>
    <xf numFmtId="9" fontId="9" fillId="0" borderId="0" xfId="0" applyNumberFormat="1" applyFont="1" applyFill="1" applyBorder="1" applyAlignment="1">
      <alignment horizontal="center" vertical="center" wrapText="1"/>
    </xf>
    <xf numFmtId="0" fontId="13" fillId="0" borderId="6" xfId="0" applyFont="1" applyFill="1" applyBorder="1" applyAlignment="1">
      <alignment horizontal="center" vertical="center"/>
    </xf>
    <xf numFmtId="166" fontId="9" fillId="0" borderId="0" xfId="0" applyNumberFormat="1" applyFont="1" applyFill="1" applyBorder="1" applyAlignment="1">
      <alignment horizontal="center" vertical="center" wrapText="1"/>
    </xf>
    <xf numFmtId="164" fontId="16" fillId="0" borderId="0" xfId="0" applyNumberFormat="1" applyFont="1" applyFill="1" applyAlignment="1">
      <alignment horizontal="center" vertical="center"/>
    </xf>
    <xf numFmtId="1" fontId="16" fillId="0" borderId="0" xfId="0" applyNumberFormat="1" applyFont="1" applyFill="1" applyAlignment="1">
      <alignment horizontal="center" vertical="center"/>
    </xf>
    <xf numFmtId="0" fontId="16" fillId="0" borderId="0" xfId="0" applyFont="1" applyFill="1" applyAlignment="1">
      <alignment horizontal="center" vertical="center"/>
    </xf>
    <xf numFmtId="20" fontId="16" fillId="0" borderId="0" xfId="0" applyNumberFormat="1" applyFont="1" applyFill="1" applyAlignment="1">
      <alignment horizontal="center" vertical="center"/>
    </xf>
    <xf numFmtId="164" fontId="16" fillId="0" borderId="25" xfId="0" applyNumberFormat="1" applyFont="1" applyFill="1" applyBorder="1" applyAlignment="1">
      <alignment horizontal="center" vertical="center" wrapText="1"/>
    </xf>
    <xf numFmtId="164" fontId="16" fillId="0" borderId="0" xfId="0" applyNumberFormat="1" applyFont="1" applyFill="1" applyBorder="1" applyAlignment="1">
      <alignment horizontal="center" vertical="center" wrapText="1"/>
    </xf>
    <xf numFmtId="0" fontId="16" fillId="0" borderId="0" xfId="0" applyNumberFormat="1" applyFont="1" applyFill="1" applyAlignment="1">
      <alignment horizontal="center" vertical="center" wrapText="1"/>
    </xf>
    <xf numFmtId="20" fontId="16" fillId="0" borderId="3" xfId="0" applyNumberFormat="1" applyFont="1" applyFill="1" applyBorder="1" applyAlignment="1">
      <alignment horizontal="center" vertical="center"/>
    </xf>
    <xf numFmtId="164" fontId="132" fillId="0" borderId="25" xfId="0" applyNumberFormat="1" applyFont="1" applyFill="1" applyBorder="1" applyAlignment="1">
      <alignment horizontal="center" vertical="center"/>
    </xf>
    <xf numFmtId="0" fontId="44" fillId="0" borderId="0" xfId="0" applyNumberFormat="1" applyFont="1" applyFill="1" applyAlignment="1">
      <alignment horizontal="center" vertical="center"/>
    </xf>
    <xf numFmtId="1" fontId="9" fillId="0" borderId="31" xfId="0" applyNumberFormat="1" applyFont="1" applyBorder="1" applyAlignment="1">
      <alignment horizontal="center" vertical="center"/>
    </xf>
    <xf numFmtId="0" fontId="13" fillId="0" borderId="0" xfId="0" applyFont="1" applyFill="1" applyAlignment="1">
      <alignment horizontal="center" vertical="center"/>
    </xf>
    <xf numFmtId="0" fontId="126" fillId="0" borderId="0" xfId="0" applyNumberFormat="1" applyFont="1" applyFill="1" applyAlignment="1">
      <alignment horizontal="center" vertical="center"/>
    </xf>
    <xf numFmtId="0" fontId="43" fillId="0" borderId="0" xfId="0" applyFont="1" applyFill="1" applyAlignment="1">
      <alignment horizontal="center" vertical="center"/>
    </xf>
    <xf numFmtId="164" fontId="103" fillId="2" borderId="0" xfId="0" applyNumberFormat="1" applyFont="1" applyFill="1" applyAlignment="1">
      <alignment horizontal="center" vertical="center"/>
    </xf>
    <xf numFmtId="0" fontId="19" fillId="0" borderId="0" xfId="0" applyNumberFormat="1" applyFont="1" applyAlignment="1">
      <alignment horizontal="center" vertical="center"/>
    </xf>
    <xf numFmtId="164" fontId="20" fillId="0" borderId="0" xfId="0" applyNumberFormat="1" applyFont="1" applyAlignment="1">
      <alignment horizontal="center" vertical="center"/>
    </xf>
    <xf numFmtId="164" fontId="5" fillId="0" borderId="25" xfId="0" applyNumberFormat="1" applyFont="1" applyFill="1" applyBorder="1" applyAlignment="1">
      <alignment horizontal="center" vertical="center" wrapText="1"/>
    </xf>
    <xf numFmtId="0" fontId="16" fillId="0" borderId="0" xfId="0" applyNumberFormat="1" applyFont="1" applyBorder="1" applyAlignment="1">
      <alignment horizontal="center" vertical="center"/>
    </xf>
    <xf numFmtId="0" fontId="146" fillId="6" borderId="0" xfId="0" applyFont="1" applyFill="1" applyAlignment="1">
      <alignment horizontal="center" vertical="center"/>
    </xf>
    <xf numFmtId="0" fontId="24" fillId="2" borderId="0" xfId="0" applyFont="1" applyFill="1" applyAlignment="1">
      <alignment horizontal="center" vertical="center"/>
    </xf>
    <xf numFmtId="2" fontId="0" fillId="0" borderId="0" xfId="0" applyNumberFormat="1" applyAlignment="1">
      <alignment horizontal="left" vertical="center"/>
    </xf>
    <xf numFmtId="0" fontId="3" fillId="0" borderId="0" xfId="0" applyFont="1" applyAlignment="1">
      <alignment horizontal="left" vertical="center"/>
    </xf>
    <xf numFmtId="165" fontId="50" fillId="0" borderId="0" xfId="0" applyNumberFormat="1" applyFont="1" applyAlignment="1">
      <alignment horizontal="right" vertical="center" indent="1"/>
    </xf>
    <xf numFmtId="165" fontId="15" fillId="0" borderId="0" xfId="0" applyNumberFormat="1" applyFont="1" applyAlignment="1">
      <alignment horizontal="right" vertical="center"/>
    </xf>
    <xf numFmtId="0" fontId="139" fillId="0" borderId="0" xfId="0" applyFont="1" applyAlignment="1">
      <alignment horizontal="left" vertical="center"/>
    </xf>
    <xf numFmtId="164" fontId="100" fillId="0" borderId="0" xfId="0" applyNumberFormat="1" applyFont="1" applyFill="1" applyAlignment="1">
      <alignment horizontal="right" vertical="center" wrapText="1" indent="1"/>
    </xf>
    <xf numFmtId="165" fontId="87" fillId="0" borderId="0" xfId="0" applyNumberFormat="1" applyFont="1" applyAlignment="1">
      <alignment horizontal="center" vertical="center"/>
    </xf>
    <xf numFmtId="0" fontId="127" fillId="0" borderId="44" xfId="0" applyFont="1" applyBorder="1" applyAlignment="1">
      <alignment horizontal="center" vertical="center"/>
    </xf>
    <xf numFmtId="2" fontId="127" fillId="0" borderId="1" xfId="0" applyNumberFormat="1" applyFont="1" applyBorder="1" applyAlignment="1">
      <alignment horizontal="center" vertical="center"/>
    </xf>
    <xf numFmtId="0" fontId="127" fillId="0" borderId="1" xfId="0" applyFont="1" applyBorder="1" applyAlignment="1">
      <alignment horizontal="center" vertical="center"/>
    </xf>
    <xf numFmtId="9" fontId="0" fillId="6" borderId="0" xfId="0" applyNumberFormat="1" applyFill="1" applyAlignment="1">
      <alignment horizontal="center" vertical="center"/>
    </xf>
    <xf numFmtId="2" fontId="25" fillId="0" borderId="0" xfId="0" applyNumberFormat="1" applyFont="1" applyAlignment="1">
      <alignment horizontal="center" vertical="center"/>
    </xf>
    <xf numFmtId="164" fontId="149" fillId="0" borderId="0" xfId="0" applyNumberFormat="1" applyFont="1" applyAlignment="1">
      <alignment horizontal="center" vertical="center"/>
    </xf>
    <xf numFmtId="9" fontId="3" fillId="0" borderId="0" xfId="0" applyNumberFormat="1" applyFont="1" applyBorder="1" applyAlignment="1">
      <alignment horizontal="center" vertical="center"/>
    </xf>
    <xf numFmtId="164" fontId="71" fillId="0" borderId="0" xfId="0" applyNumberFormat="1" applyFont="1" applyAlignment="1">
      <alignment horizontal="center" vertical="center"/>
    </xf>
    <xf numFmtId="164" fontId="68" fillId="0" borderId="0" xfId="0" applyNumberFormat="1" applyFont="1" applyAlignment="1">
      <alignment horizontal="center" vertical="center"/>
    </xf>
    <xf numFmtId="1" fontId="116" fillId="0" borderId="0" xfId="0" applyNumberFormat="1" applyFont="1" applyAlignment="1">
      <alignment horizontal="center" vertical="center"/>
    </xf>
    <xf numFmtId="0" fontId="44" fillId="0" borderId="0" xfId="0" applyFont="1" applyFill="1" applyAlignment="1">
      <alignment horizontal="center" vertical="center"/>
    </xf>
    <xf numFmtId="0" fontId="151" fillId="0" borderId="0" xfId="0" applyFont="1" applyAlignment="1">
      <alignment horizontal="center" vertical="center"/>
    </xf>
    <xf numFmtId="164" fontId="152" fillId="0" borderId="0" xfId="0" applyNumberFormat="1" applyFont="1" applyAlignment="1">
      <alignment horizontal="center" vertical="center"/>
    </xf>
    <xf numFmtId="164" fontId="152" fillId="0" borderId="25" xfId="0" applyNumberFormat="1" applyFont="1" applyBorder="1" applyAlignment="1">
      <alignment horizontal="center" vertical="center"/>
    </xf>
    <xf numFmtId="1" fontId="152" fillId="0" borderId="0" xfId="0" applyNumberFormat="1" applyFont="1" applyAlignment="1">
      <alignment horizontal="center" vertical="center"/>
    </xf>
    <xf numFmtId="1" fontId="152" fillId="0" borderId="26" xfId="0" applyNumberFormat="1" applyFont="1" applyBorder="1" applyAlignment="1">
      <alignment horizontal="center" vertical="center"/>
    </xf>
    <xf numFmtId="0" fontId="152" fillId="2" borderId="0" xfId="0" applyFont="1" applyFill="1" applyAlignment="1">
      <alignment horizontal="center" vertical="center"/>
    </xf>
    <xf numFmtId="0" fontId="150" fillId="0" borderId="0" xfId="0" applyFont="1" applyAlignment="1">
      <alignment horizontal="center" vertical="center" wrapText="1"/>
    </xf>
    <xf numFmtId="0" fontId="150" fillId="0" borderId="0" xfId="0" applyFont="1" applyBorder="1" applyAlignment="1">
      <alignment horizontal="center" vertical="center" wrapText="1"/>
    </xf>
    <xf numFmtId="0" fontId="150" fillId="0" borderId="0" xfId="0" applyFont="1" applyBorder="1" applyAlignment="1">
      <alignment horizontal="center" vertical="center"/>
    </xf>
    <xf numFmtId="0" fontId="51" fillId="0" borderId="0" xfId="1" applyAlignment="1" applyProtection="1">
      <alignment horizontal="center" vertical="center" wrapText="1"/>
    </xf>
    <xf numFmtId="9" fontId="46" fillId="0" borderId="31" xfId="0" applyNumberFormat="1" applyFont="1" applyBorder="1" applyAlignment="1">
      <alignment horizontal="center" vertical="center"/>
    </xf>
    <xf numFmtId="0" fontId="16" fillId="0" borderId="0" xfId="0" applyNumberFormat="1" applyFont="1" applyFill="1" applyBorder="1" applyAlignment="1">
      <alignment horizontal="center" vertical="center"/>
    </xf>
    <xf numFmtId="0" fontId="13" fillId="0" borderId="0" xfId="0" applyNumberFormat="1" applyFont="1" applyBorder="1" applyAlignment="1">
      <alignment horizontal="center" vertical="center"/>
    </xf>
    <xf numFmtId="164" fontId="68" fillId="0" borderId="0" xfId="0" applyNumberFormat="1" applyFont="1" applyBorder="1" applyAlignment="1">
      <alignment horizontal="center" vertical="center"/>
    </xf>
    <xf numFmtId="164" fontId="74" fillId="0" borderId="0" xfId="0" applyNumberFormat="1" applyFont="1" applyFill="1" applyBorder="1" applyAlignment="1">
      <alignment horizontal="center" vertical="center"/>
    </xf>
    <xf numFmtId="0" fontId="3" fillId="0" borderId="0" xfId="0" applyFont="1" applyAlignment="1">
      <alignment horizontal="right" vertical="center"/>
    </xf>
    <xf numFmtId="165" fontId="12" fillId="0" borderId="0" xfId="0" applyNumberFormat="1" applyFont="1" applyAlignment="1">
      <alignment horizontal="center" vertical="center"/>
    </xf>
    <xf numFmtId="0" fontId="49" fillId="0" borderId="0" xfId="0" applyFont="1" applyFill="1" applyAlignment="1">
      <alignment horizontal="center" vertical="center"/>
    </xf>
    <xf numFmtId="9" fontId="43" fillId="0" borderId="0" xfId="0" applyNumberFormat="1" applyFont="1" applyAlignment="1">
      <alignment horizontal="center" vertical="center"/>
    </xf>
    <xf numFmtId="164" fontId="16" fillId="0" borderId="0" xfId="0" applyNumberFormat="1" applyFont="1" applyFill="1" applyAlignment="1">
      <alignment horizontal="center" vertical="center" wrapText="1"/>
    </xf>
    <xf numFmtId="164" fontId="3" fillId="0" borderId="0" xfId="0" applyNumberFormat="1" applyFont="1" applyBorder="1" applyAlignment="1">
      <alignment horizontal="center" vertical="center"/>
    </xf>
    <xf numFmtId="0" fontId="105" fillId="0" borderId="0" xfId="0" applyFont="1" applyBorder="1" applyAlignment="1">
      <alignment horizontal="center" vertical="center"/>
    </xf>
    <xf numFmtId="0" fontId="28" fillId="0" borderId="0" xfId="0" applyFont="1"/>
    <xf numFmtId="0" fontId="1" fillId="0" borderId="0" xfId="0" applyFont="1"/>
    <xf numFmtId="1" fontId="128" fillId="0" borderId="0" xfId="0" applyNumberFormat="1" applyFont="1" applyAlignment="1">
      <alignment horizontal="center" vertical="center"/>
    </xf>
    <xf numFmtId="0" fontId="41" fillId="0" borderId="8" xfId="0" applyFont="1" applyFill="1" applyBorder="1" applyAlignment="1">
      <alignment horizontal="center" vertical="center" wrapText="1"/>
    </xf>
    <xf numFmtId="0" fontId="41" fillId="0" borderId="0" xfId="0" applyFont="1" applyFill="1" applyBorder="1" applyAlignment="1">
      <alignment horizontal="center" vertical="center" wrapText="1"/>
    </xf>
    <xf numFmtId="164" fontId="113" fillId="0" borderId="0" xfId="0" applyNumberFormat="1" applyFont="1" applyFill="1" applyAlignment="1">
      <alignment horizontal="center" vertical="center"/>
    </xf>
    <xf numFmtId="0" fontId="133" fillId="0" borderId="0" xfId="0" applyNumberFormat="1" applyFont="1" applyFill="1" applyAlignment="1">
      <alignment horizontal="center" vertical="center"/>
    </xf>
    <xf numFmtId="164" fontId="113" fillId="0" borderId="0" xfId="0" applyNumberFormat="1" applyFont="1" applyFill="1" applyBorder="1" applyAlignment="1">
      <alignment horizontal="center" vertical="center"/>
    </xf>
    <xf numFmtId="0" fontId="113" fillId="0" borderId="0" xfId="0" applyNumberFormat="1" applyFont="1" applyFill="1" applyAlignment="1">
      <alignment horizontal="center" vertical="center"/>
    </xf>
    <xf numFmtId="164" fontId="154" fillId="0" borderId="0" xfId="0" applyNumberFormat="1" applyFont="1" applyFill="1" applyBorder="1" applyAlignment="1">
      <alignment horizontal="center" vertical="center"/>
    </xf>
    <xf numFmtId="164" fontId="156" fillId="0" borderId="0" xfId="0" applyNumberFormat="1" applyFont="1" applyFill="1" applyBorder="1" applyAlignment="1">
      <alignment horizontal="center" vertical="center"/>
    </xf>
    <xf numFmtId="0" fontId="33" fillId="0" borderId="3" xfId="0" applyFont="1" applyBorder="1" applyAlignment="1">
      <alignment horizontal="center" vertical="center"/>
    </xf>
    <xf numFmtId="164" fontId="126" fillId="0" borderId="0" xfId="0" applyNumberFormat="1" applyFont="1" applyAlignment="1">
      <alignment horizontal="center" vertical="center" wrapText="1"/>
    </xf>
    <xf numFmtId="0" fontId="3" fillId="0" borderId="8" xfId="0" applyFont="1" applyBorder="1" applyAlignment="1">
      <alignment horizontal="center" vertical="center" wrapText="1"/>
    </xf>
    <xf numFmtId="9" fontId="16" fillId="0" borderId="31" xfId="0" applyNumberFormat="1" applyFont="1" applyBorder="1" applyAlignment="1">
      <alignment horizontal="center" vertical="center"/>
    </xf>
    <xf numFmtId="164" fontId="126" fillId="4" borderId="0" xfId="0" applyNumberFormat="1" applyFont="1" applyFill="1" applyAlignment="1">
      <alignment horizontal="center" vertical="center" wrapText="1"/>
    </xf>
    <xf numFmtId="0" fontId="49" fillId="0" borderId="0" xfId="0" applyFont="1" applyAlignment="1">
      <alignment horizontal="center" vertical="center"/>
    </xf>
    <xf numFmtId="0" fontId="43" fillId="0" borderId="0" xfId="0" applyFont="1" applyAlignment="1">
      <alignment horizontal="center" vertical="center"/>
    </xf>
    <xf numFmtId="0" fontId="13" fillId="0" borderId="0" xfId="0" applyFont="1" applyFill="1" applyBorder="1" applyAlignment="1">
      <alignment horizontal="center" vertical="center"/>
    </xf>
    <xf numFmtId="164" fontId="16" fillId="0" borderId="0" xfId="0" quotePrefix="1" applyNumberFormat="1" applyFont="1" applyFill="1" applyBorder="1" applyAlignment="1">
      <alignment horizontal="center" vertical="center"/>
    </xf>
    <xf numFmtId="0" fontId="16" fillId="0" borderId="0" xfId="0" quotePrefix="1" applyFont="1" applyAlignment="1">
      <alignment horizontal="center" vertical="center"/>
    </xf>
    <xf numFmtId="20" fontId="16" fillId="0" borderId="0" xfId="0" applyNumberFormat="1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9" fillId="0" borderId="8" xfId="0" applyFont="1" applyBorder="1" applyAlignment="1">
      <alignment horizontal="center" vertical="center"/>
    </xf>
    <xf numFmtId="0" fontId="9" fillId="0" borderId="2" xfId="0" applyFont="1" applyBorder="1" applyAlignment="1">
      <alignment horizontal="center" vertical="center"/>
    </xf>
    <xf numFmtId="0" fontId="119" fillId="2" borderId="67" xfId="1" applyNumberFormat="1" applyFont="1" applyFill="1" applyBorder="1" applyAlignment="1" applyProtection="1">
      <alignment horizontal="center" vertical="center"/>
    </xf>
    <xf numFmtId="0" fontId="119" fillId="2" borderId="68" xfId="1" applyNumberFormat="1" applyFont="1" applyFill="1" applyBorder="1" applyAlignment="1" applyProtection="1">
      <alignment horizontal="center" vertical="center"/>
    </xf>
    <xf numFmtId="0" fontId="84" fillId="0" borderId="49" xfId="0" applyFont="1" applyBorder="1" applyAlignment="1">
      <alignment horizontal="center" vertical="center"/>
    </xf>
    <xf numFmtId="0" fontId="84" fillId="0" borderId="6" xfId="0" applyFont="1" applyBorder="1" applyAlignment="1">
      <alignment horizontal="center" vertical="center"/>
    </xf>
    <xf numFmtId="0" fontId="84" fillId="0" borderId="5" xfId="0" applyFont="1" applyBorder="1" applyAlignment="1">
      <alignment horizontal="center" vertical="center"/>
    </xf>
    <xf numFmtId="0" fontId="6" fillId="0" borderId="45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164" fontId="23" fillId="7" borderId="69" xfId="0" applyNumberFormat="1" applyFont="1" applyFill="1" applyBorder="1" applyAlignment="1">
      <alignment horizontal="center" vertical="center" wrapText="1"/>
    </xf>
    <xf numFmtId="164" fontId="23" fillId="7" borderId="70" xfId="0" applyNumberFormat="1" applyFont="1" applyFill="1" applyBorder="1" applyAlignment="1">
      <alignment horizontal="center" vertical="center" wrapText="1"/>
    </xf>
    <xf numFmtId="164" fontId="100" fillId="0" borderId="0" xfId="0" applyNumberFormat="1" applyFont="1" applyFill="1" applyAlignment="1">
      <alignment horizontal="center" vertical="center" wrapText="1"/>
    </xf>
    <xf numFmtId="165" fontId="9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35" fillId="0" borderId="65" xfId="0" applyFont="1" applyBorder="1" applyAlignment="1">
      <alignment horizontal="center" vertical="center" wrapText="1"/>
    </xf>
    <xf numFmtId="0" fontId="35" fillId="0" borderId="66" xfId="0" applyFont="1" applyBorder="1" applyAlignment="1">
      <alignment horizontal="center" vertical="center" wrapText="1"/>
    </xf>
    <xf numFmtId="0" fontId="30" fillId="0" borderId="65" xfId="0" applyFont="1" applyBorder="1" applyAlignment="1">
      <alignment horizontal="center" vertical="center" wrapText="1"/>
    </xf>
    <xf numFmtId="0" fontId="30" fillId="0" borderId="66" xfId="0" applyFont="1" applyBorder="1" applyAlignment="1">
      <alignment horizontal="center" vertical="center" wrapText="1"/>
    </xf>
    <xf numFmtId="0" fontId="26" fillId="0" borderId="65" xfId="0" applyFont="1" applyBorder="1" applyAlignment="1">
      <alignment horizontal="center" vertical="center" wrapText="1"/>
    </xf>
    <xf numFmtId="0" fontId="26" fillId="0" borderId="66" xfId="0" applyFont="1" applyBorder="1" applyAlignment="1">
      <alignment horizontal="center" vertical="center" wrapText="1"/>
    </xf>
    <xf numFmtId="0" fontId="101" fillId="0" borderId="15" xfId="0" applyFont="1" applyBorder="1" applyAlignment="1">
      <alignment horizontal="center" vertical="center" wrapText="1"/>
    </xf>
    <xf numFmtId="0" fontId="101" fillId="0" borderId="3" xfId="0" applyFont="1" applyBorder="1" applyAlignment="1">
      <alignment horizontal="center" vertical="center" wrapText="1"/>
    </xf>
    <xf numFmtId="164" fontId="25" fillId="0" borderId="0" xfId="0" applyNumberFormat="1" applyFont="1" applyFill="1" applyAlignment="1">
      <alignment horizontal="center" vertical="center" wrapText="1"/>
    </xf>
    <xf numFmtId="1" fontId="25" fillId="0" borderId="0" xfId="0" applyNumberFormat="1" applyFont="1" applyFill="1" applyAlignment="1">
      <alignment horizontal="center" vertical="center" wrapText="1"/>
    </xf>
    <xf numFmtId="0" fontId="24" fillId="0" borderId="0" xfId="0" applyFont="1" applyAlignment="1">
      <alignment horizontal="center" vertical="center" wrapText="1"/>
    </xf>
    <xf numFmtId="166" fontId="127" fillId="0" borderId="0" xfId="0" applyNumberFormat="1" applyFont="1" applyAlignment="1">
      <alignment horizontal="center" vertical="center"/>
    </xf>
    <xf numFmtId="0" fontId="9" fillId="0" borderId="6" xfId="0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164" fontId="65" fillId="0" borderId="0" xfId="0" applyNumberFormat="1" applyFont="1" applyAlignment="1">
      <alignment horizontal="center" vertical="center"/>
    </xf>
    <xf numFmtId="164" fontId="126" fillId="0" borderId="0" xfId="0" applyNumberFormat="1" applyFont="1" applyAlignment="1">
      <alignment horizontal="center" vertical="center" wrapText="1"/>
    </xf>
    <xf numFmtId="0" fontId="1" fillId="0" borderId="0" xfId="0" applyFont="1" applyBorder="1" applyAlignment="1">
      <alignment horizontal="center" vertical="center"/>
    </xf>
    <xf numFmtId="0" fontId="90" fillId="0" borderId="0" xfId="0" applyFont="1" applyAlignment="1">
      <alignment horizontal="center" vertical="center" wrapText="1"/>
    </xf>
    <xf numFmtId="0" fontId="93" fillId="0" borderId="0" xfId="0" applyFont="1" applyAlignment="1">
      <alignment horizontal="center" vertical="center" wrapText="1"/>
    </xf>
    <xf numFmtId="164" fontId="72" fillId="0" borderId="0" xfId="0" applyNumberFormat="1" applyFont="1" applyAlignment="1">
      <alignment horizontal="center" vertical="center" wrapText="1"/>
    </xf>
    <xf numFmtId="164" fontId="72" fillId="0" borderId="0" xfId="0" applyNumberFormat="1" applyFont="1" applyBorder="1" applyAlignment="1">
      <alignment horizontal="center" vertical="center" wrapText="1"/>
    </xf>
    <xf numFmtId="164" fontId="72" fillId="0" borderId="31" xfId="0" applyNumberFormat="1" applyFont="1" applyBorder="1" applyAlignment="1">
      <alignment horizontal="center" vertical="center" wrapText="1"/>
    </xf>
    <xf numFmtId="0" fontId="77" fillId="0" borderId="7" xfId="0" applyFont="1" applyBorder="1" applyAlignment="1">
      <alignment horizontal="center" vertical="center" wrapText="1"/>
    </xf>
    <xf numFmtId="0" fontId="79" fillId="0" borderId="2" xfId="0" applyFont="1" applyBorder="1" applyAlignment="1">
      <alignment horizontal="center" vertical="center" wrapText="1"/>
    </xf>
    <xf numFmtId="0" fontId="118" fillId="0" borderId="0" xfId="0" applyFont="1" applyBorder="1" applyAlignment="1">
      <alignment horizontal="center" vertical="center"/>
    </xf>
    <xf numFmtId="0" fontId="84" fillId="0" borderId="0" xfId="0" applyFont="1" applyAlignment="1">
      <alignment horizontal="center" vertical="center"/>
    </xf>
    <xf numFmtId="0" fontId="115" fillId="0" borderId="0" xfId="0" applyFont="1" applyAlignment="1">
      <alignment horizontal="center" vertical="center"/>
    </xf>
    <xf numFmtId="0" fontId="100" fillId="0" borderId="0" xfId="0" applyFont="1" applyAlignment="1">
      <alignment horizontal="center" vertical="center" wrapText="1"/>
    </xf>
    <xf numFmtId="0" fontId="127" fillId="0" borderId="57" xfId="0" applyFont="1" applyBorder="1" applyAlignment="1">
      <alignment horizontal="center" vertical="center"/>
    </xf>
    <xf numFmtId="0" fontId="127" fillId="0" borderId="3" xfId="0" applyFont="1" applyBorder="1" applyAlignment="1">
      <alignment horizontal="center" vertical="center"/>
    </xf>
    <xf numFmtId="0" fontId="127" fillId="0" borderId="4" xfId="0" applyFont="1" applyBorder="1" applyAlignment="1">
      <alignment horizontal="center" vertical="center"/>
    </xf>
    <xf numFmtId="49" fontId="7" fillId="0" borderId="0" xfId="0" applyNumberFormat="1" applyFont="1" applyAlignment="1">
      <alignment horizontal="center" vertical="center" wrapText="1"/>
    </xf>
    <xf numFmtId="49" fontId="9" fillId="0" borderId="0" xfId="0" applyNumberFormat="1" applyFont="1" applyAlignment="1">
      <alignment horizontal="center" vertical="center" wrapText="1"/>
    </xf>
    <xf numFmtId="164" fontId="128" fillId="3" borderId="0" xfId="0" applyNumberFormat="1" applyFont="1" applyFill="1" applyAlignment="1">
      <alignment horizontal="center" vertical="center"/>
    </xf>
    <xf numFmtId="1" fontId="128" fillId="0" borderId="0" xfId="0" applyNumberFormat="1" applyFont="1" applyAlignment="1">
      <alignment horizontal="center" vertical="center"/>
    </xf>
    <xf numFmtId="0" fontId="128" fillId="0" borderId="0" xfId="0" applyNumberFormat="1" applyFont="1" applyAlignment="1">
      <alignment horizontal="center" vertical="center"/>
    </xf>
    <xf numFmtId="0" fontId="83" fillId="0" borderId="0" xfId="0" applyFont="1" applyAlignment="1">
      <alignment horizontal="center" vertical="center" wrapText="1"/>
    </xf>
    <xf numFmtId="0" fontId="89" fillId="2" borderId="0" xfId="0" applyFont="1" applyFill="1" applyBorder="1" applyAlignment="1">
      <alignment horizontal="center" vertical="center" wrapText="1"/>
    </xf>
    <xf numFmtId="0" fontId="89" fillId="2" borderId="3" xfId="0" applyFont="1" applyFill="1" applyBorder="1" applyAlignment="1">
      <alignment horizontal="center" vertical="center" wrapText="1"/>
    </xf>
    <xf numFmtId="0" fontId="24" fillId="0" borderId="0" xfId="0" applyFont="1" applyAlignment="1">
      <alignment horizontal="center" vertical="center"/>
    </xf>
    <xf numFmtId="0" fontId="106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164" fontId="9" fillId="0" borderId="0" xfId="0" applyNumberFormat="1" applyFont="1" applyAlignment="1">
      <alignment horizontal="center" vertical="center"/>
    </xf>
    <xf numFmtId="0" fontId="42" fillId="0" borderId="0" xfId="0" applyFont="1" applyBorder="1" applyAlignment="1">
      <alignment horizontal="center" vertical="center"/>
    </xf>
    <xf numFmtId="0" fontId="42" fillId="0" borderId="2" xfId="0" applyFont="1" applyBorder="1" applyAlignment="1">
      <alignment horizontal="center" vertical="center"/>
    </xf>
    <xf numFmtId="164" fontId="78" fillId="0" borderId="0" xfId="0" applyNumberFormat="1" applyFont="1" applyAlignment="1">
      <alignment horizontal="center" vertical="center"/>
    </xf>
    <xf numFmtId="0" fontId="80" fillId="0" borderId="0" xfId="0" applyFont="1" applyBorder="1" applyAlignment="1">
      <alignment horizontal="center" vertical="center" wrapText="1"/>
    </xf>
    <xf numFmtId="0" fontId="80" fillId="0" borderId="2" xfId="0" applyFont="1" applyBorder="1" applyAlignment="1">
      <alignment horizontal="center" vertical="center" wrapText="1"/>
    </xf>
    <xf numFmtId="0" fontId="91" fillId="0" borderId="56" xfId="0" applyFont="1" applyBorder="1" applyAlignment="1">
      <alignment horizontal="center" vertical="center"/>
    </xf>
    <xf numFmtId="0" fontId="91" fillId="0" borderId="15" xfId="0" applyFont="1" applyBorder="1" applyAlignment="1">
      <alignment horizontal="center" vertical="center"/>
    </xf>
    <xf numFmtId="0" fontId="91" fillId="0" borderId="64" xfId="0" applyFont="1" applyBorder="1" applyAlignment="1">
      <alignment horizontal="center" vertical="center"/>
    </xf>
    <xf numFmtId="0" fontId="80" fillId="0" borderId="0" xfId="0" applyFont="1" applyBorder="1" applyAlignment="1">
      <alignment horizontal="center" vertical="center"/>
    </xf>
    <xf numFmtId="0" fontId="80" fillId="0" borderId="2" xfId="0" applyFont="1" applyBorder="1" applyAlignment="1">
      <alignment horizontal="center" vertical="center"/>
    </xf>
    <xf numFmtId="2" fontId="29" fillId="0" borderId="16" xfId="0" applyNumberFormat="1" applyFont="1" applyBorder="1" applyAlignment="1">
      <alignment horizontal="center" vertical="center"/>
    </xf>
    <xf numFmtId="2" fontId="29" fillId="0" borderId="0" xfId="0" applyNumberFormat="1" applyFont="1" applyBorder="1" applyAlignment="1">
      <alignment horizontal="center" vertical="center"/>
    </xf>
    <xf numFmtId="2" fontId="29" fillId="0" borderId="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9" fontId="65" fillId="0" borderId="0" xfId="0" applyNumberFormat="1" applyFont="1" applyFill="1" applyAlignment="1">
      <alignment horizontal="center" vertical="center" wrapText="1"/>
    </xf>
    <xf numFmtId="164" fontId="31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164" fontId="9" fillId="7" borderId="39" xfId="0" applyNumberFormat="1" applyFont="1" applyFill="1" applyBorder="1" applyAlignment="1">
      <alignment horizontal="center" vertical="center" wrapText="1"/>
    </xf>
    <xf numFmtId="165" fontId="127" fillId="7" borderId="50" xfId="0" applyNumberFormat="1" applyFont="1" applyFill="1" applyBorder="1" applyAlignment="1">
      <alignment horizontal="center" vertical="center"/>
    </xf>
    <xf numFmtId="165" fontId="127" fillId="7" borderId="51" xfId="0" applyNumberFormat="1" applyFont="1" applyFill="1" applyBorder="1" applyAlignment="1">
      <alignment horizontal="center" vertical="center"/>
    </xf>
    <xf numFmtId="0" fontId="3" fillId="7" borderId="43" xfId="0" applyFont="1" applyFill="1" applyBorder="1" applyAlignment="1">
      <alignment horizontal="center" vertical="center"/>
    </xf>
    <xf numFmtId="9" fontId="67" fillId="2" borderId="62" xfId="0" applyNumberFormat="1" applyFont="1" applyFill="1" applyBorder="1" applyAlignment="1">
      <alignment horizontal="center" vertical="center"/>
    </xf>
    <xf numFmtId="9" fontId="67" fillId="2" borderId="63" xfId="0" applyNumberFormat="1" applyFont="1" applyFill="1" applyBorder="1" applyAlignment="1">
      <alignment horizontal="center" vertical="center"/>
    </xf>
    <xf numFmtId="0" fontId="3" fillId="0" borderId="56" xfId="0" applyFont="1" applyBorder="1" applyAlignment="1">
      <alignment horizontal="center" vertical="center"/>
    </xf>
    <xf numFmtId="0" fontId="3" fillId="0" borderId="15" xfId="0" applyFont="1" applyBorder="1" applyAlignment="1">
      <alignment horizontal="center" vertical="center"/>
    </xf>
    <xf numFmtId="0" fontId="3" fillId="0" borderId="57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164" fontId="65" fillId="0" borderId="15" xfId="0" applyNumberFormat="1" applyFont="1" applyBorder="1" applyAlignment="1">
      <alignment horizontal="center" vertical="center"/>
    </xf>
    <xf numFmtId="164" fontId="65" fillId="0" borderId="58" xfId="0" applyNumberFormat="1" applyFont="1" applyBorder="1" applyAlignment="1">
      <alignment horizontal="center" vertical="center"/>
    </xf>
    <xf numFmtId="0" fontId="67" fillId="2" borderId="59" xfId="0" applyFont="1" applyFill="1" applyBorder="1" applyAlignment="1">
      <alignment horizontal="center" vertical="center"/>
    </xf>
    <xf numFmtId="0" fontId="67" fillId="2" borderId="60" xfId="0" applyFont="1" applyFill="1" applyBorder="1" applyAlignment="1">
      <alignment horizontal="center" vertical="center"/>
    </xf>
    <xf numFmtId="0" fontId="67" fillId="2" borderId="61" xfId="0" applyFont="1" applyFill="1" applyBorder="1" applyAlignment="1">
      <alignment horizontal="center" vertical="center"/>
    </xf>
    <xf numFmtId="164" fontId="9" fillId="0" borderId="16" xfId="0" applyNumberFormat="1" applyFont="1" applyBorder="1" applyAlignment="1">
      <alignment horizontal="center" vertical="center"/>
    </xf>
    <xf numFmtId="164" fontId="9" fillId="0" borderId="0" xfId="0" applyNumberFormat="1" applyFont="1" applyBorder="1" applyAlignment="1">
      <alignment horizontal="center" vertical="center"/>
    </xf>
    <xf numFmtId="0" fontId="127" fillId="0" borderId="16" xfId="0" applyFont="1" applyBorder="1" applyAlignment="1">
      <alignment horizontal="center" vertical="center"/>
    </xf>
    <xf numFmtId="0" fontId="127" fillId="0" borderId="0" xfId="0" applyFont="1" applyBorder="1" applyAlignment="1">
      <alignment horizontal="center" vertical="center"/>
    </xf>
    <xf numFmtId="0" fontId="87" fillId="0" borderId="49" xfId="0" applyFont="1" applyFill="1" applyBorder="1" applyAlignment="1">
      <alignment horizontal="center" vertical="center" wrapText="1"/>
    </xf>
    <xf numFmtId="0" fontId="87" fillId="0" borderId="6" xfId="0" applyFont="1" applyFill="1" applyBorder="1" applyAlignment="1">
      <alignment horizontal="center" vertical="center" wrapText="1"/>
    </xf>
    <xf numFmtId="0" fontId="87" fillId="0" borderId="5" xfId="0" applyFont="1" applyFill="1" applyBorder="1" applyAlignment="1">
      <alignment horizontal="center" vertical="center" wrapText="1"/>
    </xf>
    <xf numFmtId="0" fontId="87" fillId="0" borderId="8" xfId="0" applyFont="1" applyFill="1" applyBorder="1" applyAlignment="1">
      <alignment horizontal="center" vertical="center" wrapText="1"/>
    </xf>
    <xf numFmtId="0" fontId="87" fillId="0" borderId="0" xfId="0" applyFont="1" applyFill="1" applyBorder="1" applyAlignment="1">
      <alignment horizontal="center" vertical="center" wrapText="1"/>
    </xf>
    <xf numFmtId="0" fontId="87" fillId="0" borderId="2" xfId="0" applyFont="1" applyFill="1" applyBorder="1" applyAlignment="1">
      <alignment horizontal="center" vertical="center" wrapText="1"/>
    </xf>
    <xf numFmtId="164" fontId="70" fillId="0" borderId="0" xfId="0" applyNumberFormat="1" applyFont="1" applyAlignment="1">
      <alignment horizontal="center" vertical="center"/>
    </xf>
    <xf numFmtId="0" fontId="9" fillId="0" borderId="16" xfId="0" applyFont="1" applyBorder="1" applyAlignment="1">
      <alignment horizontal="center" vertical="center"/>
    </xf>
    <xf numFmtId="0" fontId="9" fillId="0" borderId="0" xfId="0" applyFont="1" applyBorder="1" applyAlignment="1">
      <alignment horizontal="center" vertical="center"/>
    </xf>
    <xf numFmtId="1" fontId="29" fillId="0" borderId="16" xfId="0" applyNumberFormat="1" applyFont="1" applyBorder="1" applyAlignment="1">
      <alignment horizontal="center" vertical="center"/>
    </xf>
    <xf numFmtId="1" fontId="29" fillId="0" borderId="0" xfId="0" applyNumberFormat="1" applyFont="1" applyBorder="1" applyAlignment="1">
      <alignment horizontal="center" vertical="center"/>
    </xf>
    <xf numFmtId="0" fontId="29" fillId="0" borderId="2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45" xfId="0" applyFont="1" applyBorder="1" applyAlignment="1">
      <alignment horizontal="center" vertical="center"/>
    </xf>
    <xf numFmtId="0" fontId="3" fillId="0" borderId="49" xfId="0" applyFont="1" applyBorder="1" applyAlignment="1">
      <alignment horizontal="center" vertical="center"/>
    </xf>
    <xf numFmtId="0" fontId="65" fillId="0" borderId="54" xfId="0" applyFont="1" applyBorder="1" applyAlignment="1">
      <alignment horizontal="center" vertical="center"/>
    </xf>
    <xf numFmtId="0" fontId="65" fillId="0" borderId="32" xfId="0" applyFont="1" applyBorder="1" applyAlignment="1">
      <alignment horizontal="center" vertical="center"/>
    </xf>
    <xf numFmtId="164" fontId="9" fillId="0" borderId="52" xfId="0" applyNumberFormat="1" applyFont="1" applyBorder="1" applyAlignment="1">
      <alignment horizontal="center" vertical="center"/>
    </xf>
    <xf numFmtId="164" fontId="9" fillId="0" borderId="13" xfId="0" applyNumberFormat="1" applyFont="1" applyBorder="1" applyAlignment="1">
      <alignment horizontal="center" vertical="center"/>
    </xf>
    <xf numFmtId="0" fontId="3" fillId="0" borderId="55" xfId="0" applyFont="1" applyBorder="1" applyAlignment="1">
      <alignment horizontal="center" vertical="center"/>
    </xf>
    <xf numFmtId="0" fontId="3" fillId="0" borderId="50" xfId="0" applyFont="1" applyBorder="1" applyAlignment="1">
      <alignment horizontal="center" vertical="center" wrapText="1"/>
    </xf>
    <xf numFmtId="0" fontId="3" fillId="0" borderId="41" xfId="0" applyFont="1" applyBorder="1" applyAlignment="1">
      <alignment horizontal="center" vertical="center" wrapText="1"/>
    </xf>
    <xf numFmtId="0" fontId="3" fillId="0" borderId="51" xfId="0" applyFont="1" applyBorder="1" applyAlignment="1">
      <alignment horizontal="center" vertical="center" wrapText="1"/>
    </xf>
    <xf numFmtId="0" fontId="65" fillId="0" borderId="52" xfId="0" applyFont="1" applyBorder="1" applyAlignment="1">
      <alignment horizontal="center" vertical="center"/>
    </xf>
    <xf numFmtId="0" fontId="65" fillId="0" borderId="13" xfId="0" applyFont="1" applyBorder="1" applyAlignment="1">
      <alignment horizontal="center" vertical="center"/>
    </xf>
    <xf numFmtId="0" fontId="98" fillId="0" borderId="45" xfId="0" applyFont="1" applyFill="1" applyBorder="1" applyAlignment="1">
      <alignment horizontal="center" vertical="center" wrapText="1"/>
    </xf>
    <xf numFmtId="0" fontId="98" fillId="0" borderId="3" xfId="0" applyFont="1" applyFill="1" applyBorder="1" applyAlignment="1">
      <alignment horizontal="center" vertical="center" wrapText="1"/>
    </xf>
    <xf numFmtId="0" fontId="98" fillId="0" borderId="4" xfId="0" applyFont="1" applyFill="1" applyBorder="1" applyAlignment="1">
      <alignment horizontal="center" vertical="center" wrapText="1"/>
    </xf>
    <xf numFmtId="0" fontId="17" fillId="0" borderId="8" xfId="0" applyFont="1" applyFill="1" applyBorder="1" applyAlignment="1">
      <alignment horizontal="center" vertical="center" wrapText="1"/>
    </xf>
    <xf numFmtId="0" fontId="17" fillId="0" borderId="0" xfId="0" applyFont="1" applyFill="1" applyBorder="1" applyAlignment="1">
      <alignment horizontal="center" vertical="center" wrapText="1"/>
    </xf>
    <xf numFmtId="0" fontId="17" fillId="0" borderId="2" xfId="0" applyFont="1" applyFill="1" applyBorder="1" applyAlignment="1">
      <alignment horizontal="center" vertical="center" wrapText="1"/>
    </xf>
    <xf numFmtId="0" fontId="65" fillId="0" borderId="16" xfId="0" applyFont="1" applyBorder="1" applyAlignment="1">
      <alignment horizontal="center" vertical="center"/>
    </xf>
    <xf numFmtId="0" fontId="65" fillId="0" borderId="0" xfId="0" applyFont="1" applyBorder="1" applyAlignment="1">
      <alignment horizontal="center" vertical="center"/>
    </xf>
    <xf numFmtId="0" fontId="3" fillId="0" borderId="53" xfId="0" applyFont="1" applyBorder="1" applyAlignment="1">
      <alignment horizontal="center" vertical="center"/>
    </xf>
    <xf numFmtId="0" fontId="139" fillId="0" borderId="0" xfId="0" applyFont="1" applyAlignment="1">
      <alignment horizontal="center" vertical="center" wrapText="1"/>
    </xf>
    <xf numFmtId="0" fontId="63" fillId="0" borderId="46" xfId="0" applyFont="1" applyFill="1" applyBorder="1" applyAlignment="1">
      <alignment horizontal="center" vertical="center" wrapText="1"/>
    </xf>
    <xf numFmtId="0" fontId="63" fillId="0" borderId="20" xfId="0" applyFont="1" applyFill="1" applyBorder="1" applyAlignment="1">
      <alignment horizontal="center" vertical="center" wrapText="1"/>
    </xf>
    <xf numFmtId="0" fontId="63" fillId="0" borderId="47" xfId="0" applyFont="1" applyFill="1" applyBorder="1" applyAlignment="1">
      <alignment horizontal="center" vertical="center" wrapText="1"/>
    </xf>
    <xf numFmtId="0" fontId="24" fillId="0" borderId="3" xfId="0" applyFont="1" applyBorder="1" applyAlignment="1">
      <alignment horizontal="center" vertical="center"/>
    </xf>
    <xf numFmtId="164" fontId="25" fillId="7" borderId="49" xfId="0" applyNumberFormat="1" applyFont="1" applyFill="1" applyBorder="1" applyAlignment="1">
      <alignment horizontal="center" vertical="center" wrapText="1"/>
    </xf>
    <xf numFmtId="164" fontId="25" fillId="7" borderId="5" xfId="0" applyNumberFormat="1" applyFont="1" applyFill="1" applyBorder="1" applyAlignment="1">
      <alignment horizontal="center" vertical="center" wrapText="1"/>
    </xf>
    <xf numFmtId="164" fontId="25" fillId="7" borderId="8" xfId="0" applyNumberFormat="1" applyFont="1" applyFill="1" applyBorder="1" applyAlignment="1">
      <alignment horizontal="center" vertical="center" wrapText="1"/>
    </xf>
    <xf numFmtId="164" fontId="25" fillId="7" borderId="2" xfId="0" applyNumberFormat="1" applyFont="1" applyFill="1" applyBorder="1" applyAlignment="1">
      <alignment horizontal="center" vertical="center" wrapText="1"/>
    </xf>
    <xf numFmtId="164" fontId="25" fillId="7" borderId="45" xfId="0" applyNumberFormat="1" applyFont="1" applyFill="1" applyBorder="1" applyAlignment="1">
      <alignment horizontal="center" vertical="center" wrapText="1"/>
    </xf>
    <xf numFmtId="164" fontId="25" fillId="7" borderId="4" xfId="0" applyNumberFormat="1" applyFont="1" applyFill="1" applyBorder="1" applyAlignment="1">
      <alignment horizontal="center" vertical="center" wrapText="1"/>
    </xf>
    <xf numFmtId="164" fontId="3" fillId="0" borderId="0" xfId="0" applyNumberFormat="1" applyFont="1" applyBorder="1" applyAlignment="1">
      <alignment horizontal="center" vertical="center"/>
    </xf>
    <xf numFmtId="0" fontId="105" fillId="0" borderId="0" xfId="0" applyFont="1" applyBorder="1" applyAlignment="1">
      <alignment horizontal="center" vertical="center"/>
    </xf>
    <xf numFmtId="164" fontId="69" fillId="0" borderId="0" xfId="0" applyNumberFormat="1" applyFont="1" applyAlignment="1">
      <alignment horizontal="center" vertical="center"/>
    </xf>
    <xf numFmtId="1" fontId="3" fillId="0" borderId="0" xfId="0" applyNumberFormat="1" applyFont="1" applyAlignment="1">
      <alignment horizontal="center" vertical="center"/>
    </xf>
    <xf numFmtId="0" fontId="142" fillId="0" borderId="0" xfId="0" applyFont="1" applyAlignment="1">
      <alignment horizontal="center" vertical="center" wrapText="1"/>
    </xf>
    <xf numFmtId="0" fontId="136" fillId="0" borderId="0" xfId="0" applyFont="1" applyAlignment="1">
      <alignment horizontal="center" vertical="center" wrapText="1"/>
    </xf>
    <xf numFmtId="0" fontId="24" fillId="7" borderId="0" xfId="0" applyFont="1" applyFill="1" applyAlignment="1">
      <alignment horizontal="center" vertical="center" wrapText="1"/>
    </xf>
    <xf numFmtId="0" fontId="6" fillId="0" borderId="0" xfId="0" applyFont="1" applyAlignment="1">
      <alignment horizontal="center" vertical="center"/>
    </xf>
    <xf numFmtId="0" fontId="58" fillId="0" borderId="0" xfId="0" applyFont="1" applyAlignment="1">
      <alignment horizontal="center" vertical="center"/>
    </xf>
    <xf numFmtId="0" fontId="16" fillId="0" borderId="46" xfId="0" applyFont="1" applyFill="1" applyBorder="1" applyAlignment="1">
      <alignment horizontal="center" vertical="center" wrapText="1"/>
    </xf>
    <xf numFmtId="0" fontId="16" fillId="0" borderId="20" xfId="0" applyFont="1" applyFill="1" applyBorder="1" applyAlignment="1">
      <alignment horizontal="center" vertical="center" wrapText="1"/>
    </xf>
    <xf numFmtId="0" fontId="16" fillId="0" borderId="47" xfId="0" applyFont="1" applyFill="1" applyBorder="1" applyAlignment="1">
      <alignment horizontal="center" vertical="center" wrapText="1"/>
    </xf>
    <xf numFmtId="0" fontId="0" fillId="0" borderId="8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41" fillId="0" borderId="8" xfId="0" applyFont="1" applyFill="1" applyBorder="1" applyAlignment="1">
      <alignment horizontal="center" vertical="center" wrapText="1"/>
    </xf>
    <xf numFmtId="0" fontId="41" fillId="0" borderId="0" xfId="0" applyFont="1" applyFill="1" applyBorder="1" applyAlignment="1">
      <alignment horizontal="center" vertical="center" wrapText="1"/>
    </xf>
    <xf numFmtId="0" fontId="41" fillId="0" borderId="2" xfId="0" applyFont="1" applyFill="1" applyBorder="1" applyAlignment="1">
      <alignment horizontal="center" vertical="center" wrapText="1"/>
    </xf>
    <xf numFmtId="0" fontId="147" fillId="4" borderId="48" xfId="0" applyFont="1" applyFill="1" applyBorder="1" applyAlignment="1">
      <alignment horizontal="center" vertical="center" wrapText="1"/>
    </xf>
    <xf numFmtId="0" fontId="147" fillId="4" borderId="0" xfId="0" applyFont="1" applyFill="1" applyBorder="1" applyAlignment="1">
      <alignment horizontal="center" vertical="center" wrapText="1"/>
    </xf>
    <xf numFmtId="0" fontId="153" fillId="0" borderId="0" xfId="0" applyFont="1" applyBorder="1" applyAlignment="1">
      <alignment horizontal="center" vertical="center" wrapText="1"/>
    </xf>
    <xf numFmtId="0" fontId="153" fillId="0" borderId="3" xfId="0" applyFont="1" applyBorder="1" applyAlignment="1">
      <alignment horizontal="center" vertical="center" wrapText="1"/>
    </xf>
    <xf numFmtId="0" fontId="126" fillId="0" borderId="0" xfId="0" applyFont="1" applyAlignment="1">
      <alignment horizontal="center" vertical="center"/>
    </xf>
    <xf numFmtId="0" fontId="9" fillId="0" borderId="45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0" fontId="57" fillId="0" borderId="0" xfId="0" applyFont="1" applyAlignment="1">
      <alignment horizontal="center" vertical="center" wrapText="1"/>
    </xf>
    <xf numFmtId="0" fontId="68" fillId="0" borderId="0" xfId="0" applyFont="1" applyBorder="1" applyAlignment="1">
      <alignment horizontal="center" vertical="center"/>
    </xf>
    <xf numFmtId="0" fontId="36" fillId="0" borderId="8" xfId="0" applyFont="1" applyFill="1" applyBorder="1" applyAlignment="1">
      <alignment horizontal="center" vertical="center" wrapText="1"/>
    </xf>
    <xf numFmtId="0" fontId="36" fillId="0" borderId="0" xfId="0" applyFont="1" applyFill="1" applyBorder="1" applyAlignment="1">
      <alignment horizontal="center" vertical="center" wrapText="1"/>
    </xf>
    <xf numFmtId="0" fontId="36" fillId="0" borderId="2" xfId="0" applyFont="1" applyFill="1" applyBorder="1" applyAlignment="1">
      <alignment horizontal="center" vertical="center" wrapText="1"/>
    </xf>
    <xf numFmtId="0" fontId="0" fillId="0" borderId="8" xfId="0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0" fontId="16" fillId="0" borderId="71" xfId="0" applyFont="1" applyFill="1" applyBorder="1" applyAlignment="1">
      <alignment horizontal="center" vertical="center" wrapText="1"/>
    </xf>
    <xf numFmtId="0" fontId="16" fillId="0" borderId="48" xfId="0" applyFont="1" applyFill="1" applyBorder="1" applyAlignment="1">
      <alignment horizontal="center" vertical="center" wrapText="1"/>
    </xf>
    <xf numFmtId="0" fontId="16" fillId="0" borderId="72" xfId="0" applyFont="1" applyFill="1" applyBorder="1" applyAlignment="1">
      <alignment horizontal="center" vertical="center" wrapText="1"/>
    </xf>
    <xf numFmtId="0" fontId="16" fillId="0" borderId="8" xfId="0" applyFont="1" applyFill="1" applyBorder="1" applyAlignment="1">
      <alignment horizontal="center" vertical="center" wrapText="1"/>
    </xf>
    <xf numFmtId="0" fontId="16" fillId="0" borderId="0" xfId="0" applyFont="1" applyFill="1" applyBorder="1" applyAlignment="1">
      <alignment horizontal="center" vertical="center" wrapText="1"/>
    </xf>
    <xf numFmtId="0" fontId="16" fillId="0" borderId="2" xfId="0" applyFont="1" applyFill="1" applyBorder="1" applyAlignment="1">
      <alignment horizontal="center" vertical="center" wrapText="1"/>
    </xf>
    <xf numFmtId="0" fontId="92" fillId="0" borderId="8" xfId="0" applyFont="1" applyFill="1" applyBorder="1" applyAlignment="1">
      <alignment horizontal="center" vertical="center" wrapText="1"/>
    </xf>
    <xf numFmtId="0" fontId="92" fillId="0" borderId="0" xfId="0" applyFont="1" applyFill="1" applyBorder="1" applyAlignment="1">
      <alignment horizontal="center" vertical="center" wrapText="1"/>
    </xf>
    <xf numFmtId="0" fontId="92" fillId="0" borderId="2" xfId="0" applyFont="1" applyFill="1" applyBorder="1" applyAlignment="1">
      <alignment horizontal="center" vertical="center" wrapText="1"/>
    </xf>
    <xf numFmtId="0" fontId="5" fillId="0" borderId="0" xfId="1" quotePrefix="1" applyFont="1" applyAlignment="1" applyProtection="1">
      <alignment horizontal="center" vertical="center" wrapText="1"/>
    </xf>
    <xf numFmtId="0" fontId="5" fillId="0" borderId="0" xfId="1" applyFont="1" applyAlignment="1" applyProtection="1">
      <alignment horizontal="center" vertical="center" wrapText="1"/>
    </xf>
    <xf numFmtId="0" fontId="87" fillId="0" borderId="0" xfId="0" applyFont="1" applyAlignment="1">
      <alignment horizontal="center" vertical="center" wrapText="1"/>
    </xf>
    <xf numFmtId="0" fontId="153" fillId="0" borderId="0" xfId="0" applyFont="1" applyAlignment="1">
      <alignment horizontal="center" vertical="center" wrapText="1"/>
    </xf>
    <xf numFmtId="49" fontId="7" fillId="0" borderId="8" xfId="0" applyNumberFormat="1" applyFont="1" applyBorder="1" applyAlignment="1">
      <alignment horizontal="center" vertical="center" wrapText="1"/>
    </xf>
    <xf numFmtId="49" fontId="9" fillId="0" borderId="8" xfId="0" applyNumberFormat="1" applyFont="1" applyBorder="1" applyAlignment="1">
      <alignment horizontal="center" vertical="center" wrapText="1"/>
    </xf>
    <xf numFmtId="164" fontId="13" fillId="0" borderId="0" xfId="0" applyNumberFormat="1" applyFont="1" applyAlignment="1">
      <alignment horizontal="center" vertical="center"/>
    </xf>
    <xf numFmtId="0" fontId="0" fillId="0" borderId="45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164" fontId="9" fillId="0" borderId="2" xfId="0" applyNumberFormat="1" applyFont="1" applyBorder="1" applyAlignment="1">
      <alignment horizontal="center" vertical="center"/>
    </xf>
    <xf numFmtId="164" fontId="9" fillId="0" borderId="19" xfId="0" applyNumberFormat="1" applyFont="1" applyBorder="1" applyAlignment="1">
      <alignment horizontal="center" vertical="center"/>
    </xf>
    <xf numFmtId="0" fontId="63" fillId="0" borderId="8" xfId="0" applyFont="1" applyFill="1" applyBorder="1" applyAlignment="1">
      <alignment horizontal="center" vertical="center" wrapText="1"/>
    </xf>
    <xf numFmtId="0" fontId="63" fillId="0" borderId="0" xfId="0" applyFont="1" applyFill="1" applyBorder="1" applyAlignment="1">
      <alignment horizontal="center" vertical="center" wrapText="1"/>
    </xf>
    <xf numFmtId="0" fontId="63" fillId="0" borderId="2" xfId="0" applyFont="1" applyFill="1" applyBorder="1" applyAlignment="1">
      <alignment horizontal="center" vertical="center" wrapText="1"/>
    </xf>
    <xf numFmtId="0" fontId="141" fillId="0" borderId="0" xfId="0" applyFont="1" applyFill="1" applyAlignment="1">
      <alignment horizontal="center" vertical="center" wrapText="1"/>
    </xf>
    <xf numFmtId="0" fontId="16" fillId="0" borderId="45" xfId="0" applyFont="1" applyFill="1" applyBorder="1" applyAlignment="1">
      <alignment horizontal="center" vertical="center" wrapText="1"/>
    </xf>
    <xf numFmtId="0" fontId="16" fillId="0" borderId="3" xfId="0" applyFont="1" applyFill="1" applyBorder="1" applyAlignment="1">
      <alignment horizontal="center" vertical="center" wrapText="1"/>
    </xf>
    <xf numFmtId="0" fontId="16" fillId="0" borderId="4" xfId="0" applyFont="1" applyFill="1" applyBorder="1" applyAlignment="1">
      <alignment horizontal="center" vertical="center" wrapText="1"/>
    </xf>
    <xf numFmtId="0" fontId="49" fillId="0" borderId="8" xfId="0" applyFont="1" applyFill="1" applyBorder="1" applyAlignment="1">
      <alignment horizontal="center" vertical="center" wrapText="1"/>
    </xf>
    <xf numFmtId="0" fontId="49" fillId="0" borderId="0" xfId="0" applyFont="1" applyFill="1" applyBorder="1" applyAlignment="1">
      <alignment horizontal="center" vertical="center" wrapText="1"/>
    </xf>
    <xf numFmtId="0" fontId="49" fillId="0" borderId="2" xfId="0" applyFont="1" applyFill="1" applyBorder="1" applyAlignment="1">
      <alignment horizontal="center" vertical="center" wrapText="1"/>
    </xf>
    <xf numFmtId="0" fontId="16" fillId="0" borderId="8" xfId="0" applyFont="1" applyBorder="1" applyAlignment="1">
      <alignment horizontal="center" vertical="center"/>
    </xf>
    <xf numFmtId="0" fontId="16" fillId="0" borderId="0" xfId="0" applyFont="1" applyBorder="1" applyAlignment="1">
      <alignment horizontal="center" vertical="center"/>
    </xf>
    <xf numFmtId="0" fontId="16" fillId="0" borderId="2" xfId="0" applyFont="1" applyBorder="1" applyAlignment="1">
      <alignment horizontal="center" vertical="center"/>
    </xf>
    <xf numFmtId="0" fontId="16" fillId="0" borderId="8" xfId="0" applyFont="1" applyFill="1" applyBorder="1" applyAlignment="1">
      <alignment horizontal="center" vertical="center"/>
    </xf>
    <xf numFmtId="0" fontId="16" fillId="0" borderId="0" xfId="0" applyFont="1" applyFill="1" applyBorder="1" applyAlignment="1">
      <alignment horizontal="center" vertical="center"/>
    </xf>
    <xf numFmtId="0" fontId="16" fillId="0" borderId="2" xfId="0" applyFont="1" applyFill="1" applyBorder="1" applyAlignment="1">
      <alignment horizontal="center" vertical="center"/>
    </xf>
    <xf numFmtId="0" fontId="133" fillId="0" borderId="45" xfId="0" applyFont="1" applyFill="1" applyBorder="1" applyAlignment="1">
      <alignment horizontal="center" vertical="center" wrapText="1"/>
    </xf>
    <xf numFmtId="0" fontId="133" fillId="0" borderId="3" xfId="0" applyFont="1" applyFill="1" applyBorder="1" applyAlignment="1">
      <alignment horizontal="center" vertical="center" wrapText="1"/>
    </xf>
    <xf numFmtId="0" fontId="133" fillId="0" borderId="4" xfId="0" applyFont="1" applyFill="1" applyBorder="1" applyAlignment="1">
      <alignment horizontal="center" vertical="center" wrapText="1"/>
    </xf>
    <xf numFmtId="0" fontId="101" fillId="0" borderId="8" xfId="0" applyFont="1" applyFill="1" applyBorder="1" applyAlignment="1">
      <alignment horizontal="center" vertical="center" wrapText="1"/>
    </xf>
    <xf numFmtId="0" fontId="101" fillId="0" borderId="0" xfId="0" applyFont="1" applyFill="1" applyBorder="1" applyAlignment="1">
      <alignment horizontal="center" vertical="center" wrapText="1"/>
    </xf>
    <xf numFmtId="0" fontId="101" fillId="0" borderId="2" xfId="0" applyFont="1" applyFill="1" applyBorder="1" applyAlignment="1">
      <alignment horizontal="center" vertical="center" wrapText="1"/>
    </xf>
    <xf numFmtId="0" fontId="101" fillId="0" borderId="46" xfId="0" applyFont="1" applyFill="1" applyBorder="1" applyAlignment="1">
      <alignment horizontal="center" vertical="center" wrapText="1"/>
    </xf>
    <xf numFmtId="0" fontId="101" fillId="0" borderId="20" xfId="0" applyFont="1" applyFill="1" applyBorder="1" applyAlignment="1">
      <alignment horizontal="center" vertical="center" wrapText="1"/>
    </xf>
    <xf numFmtId="0" fontId="101" fillId="0" borderId="47" xfId="0" applyFont="1" applyFill="1" applyBorder="1" applyAlignment="1">
      <alignment horizontal="center" vertical="center" wrapText="1"/>
    </xf>
    <xf numFmtId="0" fontId="62" fillId="0" borderId="8" xfId="0" applyFont="1" applyFill="1" applyBorder="1" applyAlignment="1">
      <alignment horizontal="center" vertical="center" wrapText="1"/>
    </xf>
    <xf numFmtId="0" fontId="62" fillId="0" borderId="0" xfId="0" applyFont="1" applyFill="1" applyBorder="1" applyAlignment="1">
      <alignment horizontal="center" vertical="center" wrapText="1"/>
    </xf>
    <xf numFmtId="0" fontId="143" fillId="0" borderId="0" xfId="0" applyFont="1" applyAlignment="1">
      <alignment horizontal="center" vertical="center" wrapText="1"/>
    </xf>
    <xf numFmtId="0" fontId="144" fillId="0" borderId="0" xfId="0" applyFont="1" applyAlignment="1">
      <alignment horizontal="center" vertical="center" wrapText="1"/>
    </xf>
    <xf numFmtId="0" fontId="17" fillId="0" borderId="45" xfId="0" applyFont="1" applyFill="1" applyBorder="1" applyAlignment="1">
      <alignment horizontal="center" vertical="center" wrapText="1"/>
    </xf>
    <xf numFmtId="0" fontId="17" fillId="0" borderId="3" xfId="0" applyFont="1" applyFill="1" applyBorder="1" applyAlignment="1">
      <alignment horizontal="center" vertical="center" wrapText="1"/>
    </xf>
    <xf numFmtId="0" fontId="17" fillId="0" borderId="4" xfId="0" applyFont="1" applyFill="1" applyBorder="1" applyAlignment="1">
      <alignment horizontal="center" vertical="center" wrapText="1"/>
    </xf>
    <xf numFmtId="0" fontId="44" fillId="0" borderId="8" xfId="0" applyFont="1" applyFill="1" applyBorder="1" applyAlignment="1">
      <alignment horizontal="center" vertical="center" wrapText="1"/>
    </xf>
    <xf numFmtId="0" fontId="44" fillId="0" borderId="0" xfId="0" applyFont="1" applyFill="1" applyBorder="1" applyAlignment="1">
      <alignment horizontal="center" vertical="center" wrapText="1"/>
    </xf>
    <xf numFmtId="0" fontId="44" fillId="0" borderId="2" xfId="0" applyFont="1" applyFill="1" applyBorder="1" applyAlignment="1">
      <alignment horizontal="center" vertical="center" wrapText="1"/>
    </xf>
    <xf numFmtId="0" fontId="44" fillId="0" borderId="73" xfId="0" applyFont="1" applyFill="1" applyBorder="1" applyAlignment="1">
      <alignment horizontal="center" vertical="center" wrapText="1"/>
    </xf>
    <xf numFmtId="0" fontId="44" fillId="0" borderId="74" xfId="0" applyFont="1" applyFill="1" applyBorder="1" applyAlignment="1">
      <alignment horizontal="center" vertical="center" wrapText="1"/>
    </xf>
    <xf numFmtId="0" fontId="44" fillId="0" borderId="75" xfId="0" applyFont="1" applyFill="1" applyBorder="1" applyAlignment="1">
      <alignment horizontal="center" vertical="center" wrapText="1"/>
    </xf>
    <xf numFmtId="0" fontId="36" fillId="0" borderId="71" xfId="0" applyFont="1" applyFill="1" applyBorder="1" applyAlignment="1">
      <alignment horizontal="center" vertical="center" wrapText="1"/>
    </xf>
    <xf numFmtId="0" fontId="36" fillId="0" borderId="48" xfId="0" applyFont="1" applyFill="1" applyBorder="1" applyAlignment="1">
      <alignment horizontal="center" vertical="center" wrapText="1"/>
    </xf>
    <xf numFmtId="0" fontId="36" fillId="0" borderId="72" xfId="0" applyFont="1" applyFill="1" applyBorder="1" applyAlignment="1">
      <alignment horizontal="center" vertical="center" wrapText="1"/>
    </xf>
    <xf numFmtId="0" fontId="41" fillId="0" borderId="8" xfId="0" applyFont="1" applyFill="1" applyBorder="1" applyAlignment="1">
      <alignment horizontal="center" vertical="center"/>
    </xf>
    <xf numFmtId="0" fontId="41" fillId="0" borderId="0" xfId="0" applyFont="1" applyFill="1" applyBorder="1" applyAlignment="1">
      <alignment horizontal="center" vertical="center"/>
    </xf>
    <xf numFmtId="0" fontId="41" fillId="0" borderId="2" xfId="0" applyFont="1" applyFill="1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1657"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condense val="0"/>
        <extend val="0"/>
        <color indexed="23"/>
      </font>
    </dxf>
    <dxf>
      <font>
        <b/>
        <i val="0"/>
        <condense val="0"/>
        <extend val="0"/>
        <color indexed="8"/>
      </font>
    </dxf>
    <dxf>
      <font>
        <condense val="0"/>
        <extend val="0"/>
        <color indexed="23"/>
      </font>
    </dxf>
    <dxf>
      <font>
        <b/>
        <i val="0"/>
        <condense val="0"/>
        <extend val="0"/>
      </font>
    </dxf>
    <dxf>
      <font>
        <b val="0"/>
        <i val="0"/>
        <condense val="0"/>
        <extend val="0"/>
        <color indexed="55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48"/>
      </font>
    </dxf>
    <dxf>
      <font>
        <condense val="0"/>
        <extend val="0"/>
        <color indexed="22"/>
      </font>
    </dxf>
    <dxf>
      <font>
        <b/>
        <i val="0"/>
        <condense val="0"/>
        <extend val="0"/>
        <color indexed="9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63"/>
      </font>
    </dxf>
    <dxf>
      <font>
        <b/>
        <i val="0"/>
        <condense val="0"/>
        <extend val="0"/>
        <color indexed="10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  <color indexed="63"/>
      </font>
    </dxf>
    <dxf>
      <font>
        <b/>
        <i val="0"/>
        <condense val="0"/>
        <extend val="0"/>
        <color indexed="10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  <color indexed="63"/>
      </font>
    </dxf>
    <dxf>
      <font>
        <b/>
        <i val="0"/>
        <condense val="0"/>
        <extend val="0"/>
        <color indexed="10"/>
      </font>
    </dxf>
    <dxf>
      <font>
        <condense val="0"/>
        <extend val="0"/>
        <color indexed="23"/>
      </font>
    </dxf>
    <dxf>
      <font>
        <b/>
        <i val="0"/>
        <condense val="0"/>
        <extend val="0"/>
        <color indexed="49"/>
      </font>
    </dxf>
    <dxf>
      <font>
        <condense val="0"/>
        <extend val="0"/>
        <color indexed="55"/>
      </font>
    </dxf>
    <dxf>
      <font>
        <b/>
        <i val="0"/>
        <condense val="0"/>
        <extend val="0"/>
        <color indexed="22"/>
      </font>
    </dxf>
    <dxf>
      <font>
        <b/>
        <i val="0"/>
        <condense val="0"/>
        <extend val="0"/>
        <color indexed="48"/>
      </font>
    </dxf>
    <dxf>
      <font>
        <b/>
        <i val="0"/>
        <condense val="0"/>
        <extend val="0"/>
        <color indexed="53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  <fill>
        <patternFill>
          <bgColor indexed="47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5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23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40"/>
      </font>
      <fill>
        <patternFill>
          <fgColor indexed="31"/>
          <bgColor indexed="34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  <color indexed="14"/>
      </font>
    </dxf>
    <dxf>
      <font>
        <b/>
        <i val="0"/>
        <condense val="0"/>
        <extend val="0"/>
        <color indexed="40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14"/>
      </font>
    </dxf>
    <dxf>
      <font>
        <b/>
        <i val="0"/>
        <condense val="0"/>
        <extend val="0"/>
        <color indexed="40"/>
      </font>
    </dxf>
    <dxf>
      <font>
        <b/>
        <i val="0"/>
        <condense val="0"/>
        <extend val="0"/>
        <color indexed="14"/>
      </font>
    </dxf>
    <dxf>
      <font>
        <b/>
        <i val="0"/>
        <condense val="0"/>
        <extend val="0"/>
        <color indexed="40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14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  <color indexed="48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5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52"/>
      </font>
      <fill>
        <patternFill>
          <bgColor indexed="43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  <color indexed="17"/>
      </font>
      <fill>
        <patternFill>
          <bgColor indexed="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  <color indexed="52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 val="0"/>
        <i/>
        <condense val="0"/>
        <extend val="0"/>
        <color indexed="55"/>
      </font>
    </dxf>
    <dxf>
      <font>
        <b val="0"/>
        <i/>
        <condense val="0"/>
        <extend val="0"/>
        <color indexed="55"/>
      </font>
    </dxf>
    <dxf>
      <font>
        <condense val="0"/>
        <extend val="0"/>
        <color indexed="40"/>
      </font>
    </dxf>
    <dxf>
      <font>
        <b/>
        <i val="0"/>
        <condense val="0"/>
        <extend val="0"/>
        <color indexed="13"/>
      </font>
      <fill>
        <patternFill>
          <bgColor indexed="22"/>
        </patternFill>
      </fill>
    </dxf>
    <dxf>
      <font>
        <b/>
        <i val="0"/>
        <condense val="0"/>
        <extend val="0"/>
        <color indexed="53"/>
      </font>
      <fill>
        <patternFill>
          <bgColor indexed="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  <color indexed="50"/>
      </font>
      <border>
        <left/>
        <right/>
        <top/>
        <bottom/>
      </border>
    </dxf>
    <dxf>
      <font>
        <b/>
        <i val="0"/>
        <condense val="0"/>
        <extend val="0"/>
        <color indexed="58"/>
      </font>
    </dxf>
    <dxf>
      <font>
        <b/>
        <i val="0"/>
        <condense val="0"/>
        <extend val="0"/>
        <color indexed="12"/>
      </font>
      <fill>
        <patternFill>
          <bgColor indexed="43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  <color indexed="40"/>
      </font>
    </dxf>
    <dxf>
      <font>
        <b/>
        <i val="0"/>
        <condense val="0"/>
        <extend val="0"/>
        <color indexed="14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8"/>
      </font>
    </dxf>
    <dxf>
      <font>
        <b/>
        <i val="0"/>
        <condense val="0"/>
        <extend val="0"/>
        <color indexed="50"/>
      </font>
    </dxf>
    <dxf>
      <font>
        <b/>
        <i val="0"/>
        <condense val="0"/>
        <extend val="0"/>
        <color indexed="58"/>
      </font>
    </dxf>
    <dxf>
      <font>
        <b/>
        <i val="0"/>
        <condense val="0"/>
        <extend val="0"/>
        <color indexed="50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</font>
    </dxf>
    <dxf>
      <font>
        <condense val="0"/>
        <extend val="0"/>
        <color indexed="55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23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47"/>
      </font>
    </dxf>
    <dxf>
      <font>
        <b/>
        <i val="0"/>
        <condense val="0"/>
        <extend val="0"/>
        <color indexed="48"/>
      </font>
    </dxf>
    <dxf>
      <font>
        <b/>
        <i val="0"/>
        <condense val="0"/>
        <extend val="0"/>
        <color indexed="13"/>
      </font>
      <fill>
        <patternFill>
          <bgColor indexed="22"/>
        </patternFill>
      </fill>
    </dxf>
    <dxf>
      <font>
        <b/>
        <i val="0"/>
        <condense val="0"/>
        <extend val="0"/>
        <color indexed="63"/>
      </font>
    </dxf>
    <dxf>
      <font>
        <b/>
        <i val="0"/>
        <condense val="0"/>
        <extend val="0"/>
        <color indexed="8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5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condense val="0"/>
        <extend val="0"/>
        <color indexed="55"/>
      </font>
    </dxf>
    <dxf>
      <font>
        <b/>
        <i val="0"/>
        <condense val="0"/>
        <extend val="0"/>
        <color indexed="48"/>
      </font>
      <fill>
        <patternFill patternType="none">
          <bgColor indexed="65"/>
        </patternFill>
      </fill>
    </dxf>
    <dxf>
      <font>
        <b val="0"/>
        <i val="0"/>
        <condense val="0"/>
        <extend val="0"/>
        <color indexed="55"/>
      </font>
    </dxf>
    <dxf>
      <font>
        <b/>
        <i val="0"/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53"/>
      </font>
    </dxf>
    <dxf>
      <font>
        <b/>
        <i val="0"/>
        <condense val="0"/>
        <extend val="0"/>
        <color indexed="53"/>
      </font>
    </dxf>
    <dxf>
      <font>
        <condense val="0"/>
        <extend val="0"/>
        <color indexed="23"/>
      </font>
    </dxf>
    <dxf>
      <font>
        <b/>
        <i val="0"/>
        <condense val="0"/>
        <extend val="0"/>
      </font>
    </dxf>
    <dxf>
      <font>
        <condense val="0"/>
        <extend val="0"/>
        <color indexed="23"/>
      </font>
    </dxf>
    <dxf>
      <font>
        <b/>
        <i val="0"/>
        <condense val="0"/>
        <extend val="0"/>
      </font>
    </dxf>
    <dxf>
      <font>
        <b val="0"/>
        <i/>
        <condense val="0"/>
        <extend val="0"/>
        <color indexed="23"/>
      </font>
      <fill>
        <patternFill patternType="none">
          <bgColor indexed="65"/>
        </patternFill>
      </fill>
    </dxf>
    <dxf>
      <font>
        <b val="0"/>
        <i/>
        <condense val="0"/>
        <extend val="0"/>
        <color indexed="55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  <fill>
        <patternFill>
          <bgColor indexed="44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14"/>
      </font>
    </dxf>
    <dxf>
      <font>
        <condense val="0"/>
        <extend val="0"/>
        <color indexed="40"/>
      </font>
    </dxf>
    <dxf>
      <font>
        <b/>
        <i val="0"/>
        <condense val="0"/>
        <extend val="0"/>
        <color indexed="14"/>
      </font>
    </dxf>
    <dxf>
      <font>
        <condense val="0"/>
        <extend val="0"/>
        <color indexed="23"/>
      </font>
    </dxf>
    <dxf>
      <font>
        <b/>
        <i val="0"/>
        <condense val="0"/>
        <extend val="0"/>
      </font>
    </dxf>
    <dxf>
      <font>
        <condense val="0"/>
        <extend val="0"/>
        <color indexed="23"/>
      </font>
    </dxf>
    <dxf>
      <font>
        <b/>
        <i val="0"/>
        <condense val="0"/>
        <extend val="0"/>
      </font>
    </dxf>
    <dxf>
      <font>
        <b val="0"/>
        <i/>
        <condense val="0"/>
        <extend val="0"/>
        <color indexed="23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44"/>
      </font>
    </dxf>
    <dxf>
      <font>
        <condense val="0"/>
        <extend val="0"/>
        <color indexed="12"/>
      </font>
    </dxf>
    <dxf>
      <font>
        <b/>
        <i val="0"/>
        <condense val="0"/>
        <extend val="0"/>
        <color indexed="10"/>
      </font>
    </dxf>
    <dxf>
      <font>
        <condense val="0"/>
        <extend val="0"/>
        <color indexed="55"/>
      </font>
    </dxf>
    <dxf>
      <font>
        <condense val="0"/>
        <extend val="0"/>
        <color indexed="22"/>
      </font>
    </dxf>
    <dxf>
      <font>
        <b/>
        <i val="0"/>
        <condense val="0"/>
        <extend val="0"/>
        <color indexed="48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47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condense val="0"/>
        <extend val="0"/>
        <color indexed="23"/>
      </font>
    </dxf>
    <dxf>
      <font>
        <b/>
        <i val="0"/>
        <condense val="0"/>
        <extend val="0"/>
        <color indexed="8"/>
      </font>
    </dxf>
    <dxf>
      <font>
        <condense val="0"/>
        <extend val="0"/>
        <color indexed="23"/>
      </font>
    </dxf>
    <dxf>
      <font>
        <b/>
        <i val="0"/>
        <condense val="0"/>
        <extend val="0"/>
      </font>
    </dxf>
    <dxf>
      <font>
        <b val="0"/>
        <i val="0"/>
        <condense val="0"/>
        <extend val="0"/>
        <color indexed="55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48"/>
      </font>
    </dxf>
    <dxf>
      <font>
        <condense val="0"/>
        <extend val="0"/>
        <color indexed="22"/>
      </font>
    </dxf>
    <dxf>
      <font>
        <b/>
        <i val="0"/>
        <condense val="0"/>
        <extend val="0"/>
        <color indexed="63"/>
      </font>
    </dxf>
    <dxf>
      <font>
        <b/>
        <i val="0"/>
        <condense val="0"/>
        <extend val="0"/>
        <color indexed="10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  <color indexed="63"/>
      </font>
    </dxf>
    <dxf>
      <font>
        <b/>
        <i val="0"/>
        <condense val="0"/>
        <extend val="0"/>
        <color indexed="10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  <color indexed="63"/>
      </font>
    </dxf>
    <dxf>
      <font>
        <b/>
        <i val="0"/>
        <condense val="0"/>
        <extend val="0"/>
        <color indexed="10"/>
      </font>
    </dxf>
    <dxf>
      <font>
        <condense val="0"/>
        <extend val="0"/>
        <color indexed="23"/>
      </font>
    </dxf>
    <dxf>
      <font>
        <b/>
        <i val="0"/>
        <condense val="0"/>
        <extend val="0"/>
        <color indexed="49"/>
      </font>
    </dxf>
    <dxf>
      <font>
        <condense val="0"/>
        <extend val="0"/>
        <color indexed="55"/>
      </font>
    </dxf>
    <dxf>
      <font>
        <b/>
        <i val="0"/>
        <condense val="0"/>
        <extend val="0"/>
        <color indexed="22"/>
      </font>
    </dxf>
    <dxf>
      <font>
        <b/>
        <i val="0"/>
        <condense val="0"/>
        <extend val="0"/>
        <color indexed="48"/>
      </font>
    </dxf>
    <dxf>
      <font>
        <b/>
        <i val="0"/>
        <condense val="0"/>
        <extend val="0"/>
        <color indexed="53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  <fill>
        <patternFill>
          <bgColor indexed="47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  <color indexed="48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5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23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40"/>
      </font>
      <fill>
        <patternFill>
          <fgColor indexed="31"/>
          <bgColor indexed="34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  <color indexed="14"/>
      </font>
    </dxf>
    <dxf>
      <font>
        <b/>
        <i val="0"/>
        <condense val="0"/>
        <extend val="0"/>
        <color indexed="40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14"/>
      </font>
    </dxf>
    <dxf>
      <font>
        <b/>
        <i val="0"/>
        <condense val="0"/>
        <extend val="0"/>
        <color indexed="40"/>
      </font>
    </dxf>
    <dxf>
      <font>
        <b/>
        <i val="0"/>
        <condense val="0"/>
        <extend val="0"/>
        <color indexed="14"/>
      </font>
    </dxf>
    <dxf>
      <font>
        <b/>
        <i val="0"/>
        <condense val="0"/>
        <extend val="0"/>
        <color indexed="40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14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  <color indexed="48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5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52"/>
      </font>
      <fill>
        <patternFill>
          <bgColor indexed="43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  <color indexed="17"/>
      </font>
      <fill>
        <patternFill>
          <bgColor indexed="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  <color indexed="52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 val="0"/>
        <i/>
        <condense val="0"/>
        <extend val="0"/>
        <color indexed="55"/>
      </font>
    </dxf>
    <dxf>
      <font>
        <b val="0"/>
        <i/>
        <condense val="0"/>
        <extend val="0"/>
        <color indexed="55"/>
      </font>
    </dxf>
    <dxf>
      <font>
        <condense val="0"/>
        <extend val="0"/>
        <color indexed="40"/>
      </font>
    </dxf>
    <dxf>
      <font>
        <b/>
        <i val="0"/>
        <condense val="0"/>
        <extend val="0"/>
        <color indexed="13"/>
      </font>
      <fill>
        <patternFill>
          <bgColor indexed="22"/>
        </patternFill>
      </fill>
    </dxf>
    <dxf>
      <font>
        <b/>
        <i val="0"/>
        <condense val="0"/>
        <extend val="0"/>
        <color indexed="53"/>
      </font>
      <fill>
        <patternFill>
          <bgColor indexed="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  <color indexed="50"/>
      </font>
      <border>
        <left/>
        <right/>
        <top/>
        <bottom/>
      </border>
    </dxf>
    <dxf>
      <font>
        <b/>
        <i val="0"/>
        <condense val="0"/>
        <extend val="0"/>
        <color indexed="58"/>
      </font>
    </dxf>
    <dxf>
      <font>
        <b/>
        <i val="0"/>
        <condense val="0"/>
        <extend val="0"/>
        <color indexed="12"/>
      </font>
      <fill>
        <patternFill>
          <bgColor indexed="43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  <color indexed="40"/>
      </font>
    </dxf>
    <dxf>
      <font>
        <b/>
        <i val="0"/>
        <condense val="0"/>
        <extend val="0"/>
        <color indexed="14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8"/>
      </font>
    </dxf>
    <dxf>
      <font>
        <b/>
        <i val="0"/>
        <condense val="0"/>
        <extend val="0"/>
        <color indexed="50"/>
      </font>
    </dxf>
    <dxf>
      <font>
        <b/>
        <i val="0"/>
        <condense val="0"/>
        <extend val="0"/>
        <color indexed="58"/>
      </font>
    </dxf>
    <dxf>
      <font>
        <b/>
        <i val="0"/>
        <condense val="0"/>
        <extend val="0"/>
        <color indexed="50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</font>
    </dxf>
    <dxf>
      <font>
        <condense val="0"/>
        <extend val="0"/>
        <color indexed="55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23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47"/>
      </font>
    </dxf>
    <dxf>
      <font>
        <b/>
        <i val="0"/>
        <condense val="0"/>
        <extend val="0"/>
        <color indexed="48"/>
      </font>
    </dxf>
    <dxf>
      <font>
        <b/>
        <i val="0"/>
        <condense val="0"/>
        <extend val="0"/>
        <color indexed="13"/>
      </font>
      <fill>
        <patternFill>
          <bgColor indexed="22"/>
        </patternFill>
      </fill>
    </dxf>
    <dxf>
      <font>
        <b/>
        <i val="0"/>
        <condense val="0"/>
        <extend val="0"/>
        <color indexed="63"/>
      </font>
    </dxf>
    <dxf>
      <font>
        <b/>
        <i val="0"/>
        <condense val="0"/>
        <extend val="0"/>
        <color indexed="8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5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condense val="0"/>
        <extend val="0"/>
        <color indexed="55"/>
      </font>
    </dxf>
    <dxf>
      <font>
        <b/>
        <i val="0"/>
        <condense val="0"/>
        <extend val="0"/>
        <color indexed="48"/>
      </font>
      <fill>
        <patternFill patternType="none">
          <bgColor indexed="65"/>
        </patternFill>
      </fill>
    </dxf>
    <dxf>
      <font>
        <b val="0"/>
        <i val="0"/>
        <condense val="0"/>
        <extend val="0"/>
        <color indexed="55"/>
      </font>
    </dxf>
    <dxf>
      <font>
        <b/>
        <i val="0"/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53"/>
      </font>
    </dxf>
    <dxf>
      <font>
        <b/>
        <i val="0"/>
        <condense val="0"/>
        <extend val="0"/>
        <color indexed="53"/>
      </font>
    </dxf>
    <dxf>
      <font>
        <condense val="0"/>
        <extend val="0"/>
        <color indexed="23"/>
      </font>
    </dxf>
    <dxf>
      <font>
        <b/>
        <i val="0"/>
        <condense val="0"/>
        <extend val="0"/>
      </font>
    </dxf>
    <dxf>
      <font>
        <condense val="0"/>
        <extend val="0"/>
        <color indexed="23"/>
      </font>
    </dxf>
    <dxf>
      <font>
        <b/>
        <i val="0"/>
        <condense val="0"/>
        <extend val="0"/>
      </font>
    </dxf>
    <dxf>
      <font>
        <b val="0"/>
        <i/>
        <condense val="0"/>
        <extend val="0"/>
        <color indexed="23"/>
      </font>
      <fill>
        <patternFill patternType="none">
          <bgColor indexed="65"/>
        </patternFill>
      </fill>
    </dxf>
    <dxf>
      <font>
        <b val="0"/>
        <i/>
        <condense val="0"/>
        <extend val="0"/>
        <color indexed="55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  <fill>
        <patternFill>
          <bgColor indexed="44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14"/>
      </font>
    </dxf>
    <dxf>
      <font>
        <condense val="0"/>
        <extend val="0"/>
        <color indexed="40"/>
      </font>
    </dxf>
    <dxf>
      <font>
        <b/>
        <i val="0"/>
        <condense val="0"/>
        <extend val="0"/>
        <color indexed="14"/>
      </font>
    </dxf>
    <dxf>
      <font>
        <condense val="0"/>
        <extend val="0"/>
        <color indexed="23"/>
      </font>
    </dxf>
    <dxf>
      <font>
        <b/>
        <i val="0"/>
        <condense val="0"/>
        <extend val="0"/>
      </font>
    </dxf>
    <dxf>
      <font>
        <condense val="0"/>
        <extend val="0"/>
        <color indexed="23"/>
      </font>
    </dxf>
    <dxf>
      <font>
        <b/>
        <i val="0"/>
        <condense val="0"/>
        <extend val="0"/>
      </font>
    </dxf>
    <dxf>
      <font>
        <b val="0"/>
        <i/>
        <condense val="0"/>
        <extend val="0"/>
        <color indexed="23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44"/>
      </font>
    </dxf>
    <dxf>
      <font>
        <b/>
        <i val="0"/>
        <condense val="0"/>
        <extend val="0"/>
        <color indexed="10"/>
      </font>
    </dxf>
    <dxf>
      <font>
        <condense val="0"/>
        <extend val="0"/>
        <color indexed="55"/>
      </font>
    </dxf>
    <dxf>
      <font>
        <condense val="0"/>
        <extend val="0"/>
        <color indexed="22"/>
      </font>
    </dxf>
    <dxf>
      <font>
        <b/>
        <i val="0"/>
        <condense val="0"/>
        <extend val="0"/>
        <color indexed="48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47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condense val="0"/>
        <extend val="0"/>
        <color indexed="23"/>
      </font>
    </dxf>
    <dxf>
      <font>
        <b/>
        <i val="0"/>
        <condense val="0"/>
        <extend val="0"/>
        <color indexed="8"/>
      </font>
    </dxf>
    <dxf>
      <font>
        <condense val="0"/>
        <extend val="0"/>
        <color indexed="23"/>
      </font>
    </dxf>
    <dxf>
      <font>
        <b/>
        <i val="0"/>
        <condense val="0"/>
        <extend val="0"/>
      </font>
    </dxf>
    <dxf>
      <font>
        <b val="0"/>
        <i val="0"/>
        <condense val="0"/>
        <extend val="0"/>
        <color indexed="55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48"/>
      </font>
    </dxf>
    <dxf>
      <font>
        <condense val="0"/>
        <extend val="0"/>
        <color indexed="22"/>
      </font>
    </dxf>
    <dxf>
      <font>
        <b/>
        <i val="0"/>
        <condense val="0"/>
        <extend val="0"/>
        <color indexed="63"/>
      </font>
    </dxf>
    <dxf>
      <font>
        <b/>
        <i val="0"/>
        <condense val="0"/>
        <extend val="0"/>
        <color indexed="10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  <color indexed="63"/>
      </font>
    </dxf>
    <dxf>
      <font>
        <b/>
        <i val="0"/>
        <condense val="0"/>
        <extend val="0"/>
        <color indexed="10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  <color indexed="63"/>
      </font>
    </dxf>
    <dxf>
      <font>
        <b/>
        <i val="0"/>
        <condense val="0"/>
        <extend val="0"/>
        <color indexed="10"/>
      </font>
    </dxf>
    <dxf>
      <font>
        <condense val="0"/>
        <extend val="0"/>
        <color indexed="23"/>
      </font>
    </dxf>
    <dxf>
      <font>
        <b/>
        <i val="0"/>
        <condense val="0"/>
        <extend val="0"/>
        <color indexed="49"/>
      </font>
    </dxf>
    <dxf>
      <font>
        <condense val="0"/>
        <extend val="0"/>
        <color indexed="55"/>
      </font>
    </dxf>
    <dxf>
      <font>
        <b/>
        <i val="0"/>
        <condense val="0"/>
        <extend val="0"/>
        <color indexed="22"/>
      </font>
    </dxf>
    <dxf>
      <font>
        <b/>
        <i val="0"/>
        <condense val="0"/>
        <extend val="0"/>
        <color indexed="48"/>
      </font>
    </dxf>
    <dxf>
      <font>
        <b/>
        <i val="0"/>
        <condense val="0"/>
        <extend val="0"/>
        <color indexed="53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  <fill>
        <patternFill>
          <bgColor indexed="47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  <color indexed="48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5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23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40"/>
      </font>
      <fill>
        <patternFill>
          <fgColor indexed="31"/>
          <bgColor indexed="34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  <color indexed="14"/>
      </font>
    </dxf>
    <dxf>
      <font>
        <b/>
        <i val="0"/>
        <condense val="0"/>
        <extend val="0"/>
        <color indexed="40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14"/>
      </font>
    </dxf>
    <dxf>
      <font>
        <b/>
        <i val="0"/>
        <condense val="0"/>
        <extend val="0"/>
        <color indexed="40"/>
      </font>
    </dxf>
    <dxf>
      <font>
        <b/>
        <i val="0"/>
        <condense val="0"/>
        <extend val="0"/>
        <color indexed="14"/>
      </font>
    </dxf>
    <dxf>
      <font>
        <b/>
        <i val="0"/>
        <condense val="0"/>
        <extend val="0"/>
        <color indexed="40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14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  <color indexed="48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5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52"/>
      </font>
      <fill>
        <patternFill>
          <bgColor indexed="43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  <color indexed="17"/>
      </font>
      <fill>
        <patternFill>
          <bgColor indexed="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  <color indexed="52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 val="0"/>
        <i/>
        <condense val="0"/>
        <extend val="0"/>
        <color indexed="55"/>
      </font>
    </dxf>
    <dxf>
      <font>
        <b val="0"/>
        <i/>
        <condense val="0"/>
        <extend val="0"/>
        <color indexed="55"/>
      </font>
    </dxf>
    <dxf>
      <font>
        <condense val="0"/>
        <extend val="0"/>
        <color indexed="40"/>
      </font>
    </dxf>
    <dxf>
      <font>
        <b/>
        <i val="0"/>
        <condense val="0"/>
        <extend val="0"/>
        <color indexed="13"/>
      </font>
      <fill>
        <patternFill>
          <bgColor indexed="22"/>
        </patternFill>
      </fill>
    </dxf>
    <dxf>
      <font>
        <b/>
        <i val="0"/>
        <condense val="0"/>
        <extend val="0"/>
        <color indexed="53"/>
      </font>
      <fill>
        <patternFill>
          <bgColor indexed="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  <color indexed="50"/>
      </font>
      <border>
        <left/>
        <right/>
        <top/>
        <bottom/>
      </border>
    </dxf>
    <dxf>
      <font>
        <b/>
        <i val="0"/>
        <condense val="0"/>
        <extend val="0"/>
        <color indexed="58"/>
      </font>
    </dxf>
    <dxf>
      <font>
        <b/>
        <i val="0"/>
        <condense val="0"/>
        <extend val="0"/>
        <color indexed="12"/>
      </font>
      <fill>
        <patternFill>
          <bgColor indexed="43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  <color indexed="40"/>
      </font>
    </dxf>
    <dxf>
      <font>
        <b/>
        <i val="0"/>
        <condense val="0"/>
        <extend val="0"/>
        <color indexed="14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8"/>
      </font>
    </dxf>
    <dxf>
      <font>
        <b/>
        <i val="0"/>
        <condense val="0"/>
        <extend val="0"/>
        <color indexed="50"/>
      </font>
    </dxf>
    <dxf>
      <font>
        <b/>
        <i val="0"/>
        <condense val="0"/>
        <extend val="0"/>
        <color indexed="58"/>
      </font>
    </dxf>
    <dxf>
      <font>
        <b/>
        <i val="0"/>
        <condense val="0"/>
        <extend val="0"/>
        <color indexed="50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</font>
    </dxf>
    <dxf>
      <font>
        <condense val="0"/>
        <extend val="0"/>
        <color indexed="55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23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47"/>
      </font>
    </dxf>
    <dxf>
      <font>
        <b/>
        <i val="0"/>
        <condense val="0"/>
        <extend val="0"/>
        <color indexed="48"/>
      </font>
    </dxf>
    <dxf>
      <font>
        <b/>
        <i val="0"/>
        <condense val="0"/>
        <extend val="0"/>
        <color indexed="13"/>
      </font>
      <fill>
        <patternFill>
          <bgColor indexed="22"/>
        </patternFill>
      </fill>
    </dxf>
    <dxf>
      <font>
        <b/>
        <i val="0"/>
        <condense val="0"/>
        <extend val="0"/>
        <color indexed="63"/>
      </font>
    </dxf>
    <dxf>
      <font>
        <b/>
        <i val="0"/>
        <condense val="0"/>
        <extend val="0"/>
        <color indexed="8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5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condense val="0"/>
        <extend val="0"/>
        <color indexed="55"/>
      </font>
    </dxf>
    <dxf>
      <font>
        <b/>
        <i val="0"/>
        <condense val="0"/>
        <extend val="0"/>
        <color indexed="48"/>
      </font>
      <fill>
        <patternFill patternType="none">
          <bgColor indexed="65"/>
        </patternFill>
      </fill>
    </dxf>
    <dxf>
      <font>
        <b val="0"/>
        <i val="0"/>
        <condense val="0"/>
        <extend val="0"/>
        <color indexed="55"/>
      </font>
    </dxf>
    <dxf>
      <font>
        <b/>
        <i val="0"/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53"/>
      </font>
    </dxf>
    <dxf>
      <font>
        <b/>
        <i val="0"/>
        <condense val="0"/>
        <extend val="0"/>
        <color indexed="53"/>
      </font>
    </dxf>
    <dxf>
      <font>
        <condense val="0"/>
        <extend val="0"/>
        <color indexed="23"/>
      </font>
    </dxf>
    <dxf>
      <font>
        <b/>
        <i val="0"/>
        <condense val="0"/>
        <extend val="0"/>
      </font>
    </dxf>
    <dxf>
      <font>
        <condense val="0"/>
        <extend val="0"/>
        <color indexed="23"/>
      </font>
    </dxf>
    <dxf>
      <font>
        <b/>
        <i val="0"/>
        <condense val="0"/>
        <extend val="0"/>
      </font>
    </dxf>
    <dxf>
      <font>
        <b val="0"/>
        <i/>
        <condense val="0"/>
        <extend val="0"/>
        <color indexed="23"/>
      </font>
      <fill>
        <patternFill patternType="none">
          <bgColor indexed="65"/>
        </patternFill>
      </fill>
    </dxf>
    <dxf>
      <font>
        <b val="0"/>
        <i/>
        <condense val="0"/>
        <extend val="0"/>
        <color indexed="55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  <fill>
        <patternFill>
          <bgColor indexed="44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14"/>
      </font>
    </dxf>
    <dxf>
      <font>
        <condense val="0"/>
        <extend val="0"/>
        <color indexed="40"/>
      </font>
    </dxf>
    <dxf>
      <font>
        <b/>
        <i val="0"/>
        <condense val="0"/>
        <extend val="0"/>
        <color indexed="14"/>
      </font>
    </dxf>
    <dxf>
      <font>
        <condense val="0"/>
        <extend val="0"/>
        <color indexed="23"/>
      </font>
    </dxf>
    <dxf>
      <font>
        <b/>
        <i val="0"/>
        <condense val="0"/>
        <extend val="0"/>
      </font>
    </dxf>
    <dxf>
      <font>
        <condense val="0"/>
        <extend val="0"/>
        <color indexed="23"/>
      </font>
    </dxf>
    <dxf>
      <font>
        <b/>
        <i val="0"/>
        <condense val="0"/>
        <extend val="0"/>
      </font>
    </dxf>
    <dxf>
      <font>
        <b val="0"/>
        <i/>
        <condense val="0"/>
        <extend val="0"/>
        <color indexed="23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44"/>
      </font>
    </dxf>
    <dxf>
      <font>
        <b/>
        <i val="0"/>
        <condense val="0"/>
        <extend val="0"/>
        <color indexed="10"/>
      </font>
    </dxf>
    <dxf>
      <font>
        <condense val="0"/>
        <extend val="0"/>
        <color indexed="55"/>
      </font>
    </dxf>
    <dxf>
      <font>
        <condense val="0"/>
        <extend val="0"/>
        <color indexed="22"/>
      </font>
    </dxf>
    <dxf>
      <font>
        <b/>
        <i val="0"/>
        <condense val="0"/>
        <extend val="0"/>
        <color indexed="48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47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condense val="0"/>
        <extend val="0"/>
        <color indexed="23"/>
      </font>
    </dxf>
    <dxf>
      <font>
        <b/>
        <i val="0"/>
        <condense val="0"/>
        <extend val="0"/>
        <color indexed="8"/>
      </font>
    </dxf>
    <dxf>
      <font>
        <condense val="0"/>
        <extend val="0"/>
        <color indexed="23"/>
      </font>
    </dxf>
    <dxf>
      <font>
        <b/>
        <i val="0"/>
        <condense val="0"/>
        <extend val="0"/>
      </font>
    </dxf>
    <dxf>
      <font>
        <b val="0"/>
        <i val="0"/>
        <condense val="0"/>
        <extend val="0"/>
        <color indexed="55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48"/>
      </font>
    </dxf>
    <dxf>
      <font>
        <condense val="0"/>
        <extend val="0"/>
        <color indexed="22"/>
      </font>
    </dxf>
    <dxf>
      <font>
        <b/>
        <i val="0"/>
        <condense val="0"/>
        <extend val="0"/>
        <color indexed="63"/>
      </font>
    </dxf>
    <dxf>
      <font>
        <b/>
        <i val="0"/>
        <condense val="0"/>
        <extend val="0"/>
        <color indexed="10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  <color indexed="63"/>
      </font>
    </dxf>
    <dxf>
      <font>
        <b/>
        <i val="0"/>
        <condense val="0"/>
        <extend val="0"/>
        <color indexed="10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  <color indexed="63"/>
      </font>
    </dxf>
    <dxf>
      <font>
        <b/>
        <i val="0"/>
        <condense val="0"/>
        <extend val="0"/>
        <color indexed="10"/>
      </font>
    </dxf>
    <dxf>
      <font>
        <condense val="0"/>
        <extend val="0"/>
        <color indexed="23"/>
      </font>
    </dxf>
    <dxf>
      <font>
        <b/>
        <i val="0"/>
        <condense val="0"/>
        <extend val="0"/>
        <color indexed="49"/>
      </font>
    </dxf>
    <dxf>
      <font>
        <condense val="0"/>
        <extend val="0"/>
        <color indexed="55"/>
      </font>
    </dxf>
    <dxf>
      <font>
        <b/>
        <i val="0"/>
        <condense val="0"/>
        <extend val="0"/>
        <color indexed="22"/>
      </font>
    </dxf>
    <dxf>
      <font>
        <b/>
        <i val="0"/>
        <condense val="0"/>
        <extend val="0"/>
        <color indexed="48"/>
      </font>
    </dxf>
    <dxf>
      <font>
        <b/>
        <i val="0"/>
        <condense val="0"/>
        <extend val="0"/>
        <color indexed="53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  <fill>
        <patternFill>
          <bgColor indexed="47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  <color indexed="48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5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23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40"/>
      </font>
      <fill>
        <patternFill>
          <fgColor indexed="31"/>
          <bgColor indexed="34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  <color indexed="14"/>
      </font>
    </dxf>
    <dxf>
      <font>
        <b/>
        <i val="0"/>
        <condense val="0"/>
        <extend val="0"/>
        <color indexed="40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14"/>
      </font>
    </dxf>
    <dxf>
      <font>
        <b/>
        <i val="0"/>
        <condense val="0"/>
        <extend val="0"/>
        <color indexed="40"/>
      </font>
    </dxf>
    <dxf>
      <font>
        <b/>
        <i val="0"/>
        <condense val="0"/>
        <extend val="0"/>
        <color indexed="14"/>
      </font>
    </dxf>
    <dxf>
      <font>
        <b/>
        <i val="0"/>
        <condense val="0"/>
        <extend val="0"/>
        <color indexed="40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14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  <color indexed="48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5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52"/>
      </font>
      <fill>
        <patternFill>
          <bgColor indexed="43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  <color indexed="17"/>
      </font>
      <fill>
        <patternFill>
          <bgColor indexed="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  <color indexed="52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 val="0"/>
        <i/>
        <condense val="0"/>
        <extend val="0"/>
        <color indexed="55"/>
      </font>
    </dxf>
    <dxf>
      <font>
        <b val="0"/>
        <i/>
        <condense val="0"/>
        <extend val="0"/>
        <color indexed="55"/>
      </font>
    </dxf>
    <dxf>
      <font>
        <b/>
        <i val="0"/>
        <condense val="0"/>
        <extend val="0"/>
      </font>
    </dxf>
    <dxf>
      <font>
        <condense val="0"/>
        <extend val="0"/>
        <color indexed="40"/>
      </font>
    </dxf>
    <dxf>
      <font>
        <b/>
        <i val="0"/>
        <condense val="0"/>
        <extend val="0"/>
        <color indexed="13"/>
      </font>
      <fill>
        <patternFill>
          <bgColor indexed="22"/>
        </patternFill>
      </fill>
    </dxf>
    <dxf>
      <font>
        <b/>
        <i val="0"/>
        <condense val="0"/>
        <extend val="0"/>
        <color indexed="53"/>
      </font>
      <fill>
        <patternFill>
          <bgColor indexed="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  <color indexed="50"/>
      </font>
      <border>
        <left/>
        <right/>
        <top/>
        <bottom/>
      </border>
    </dxf>
    <dxf>
      <font>
        <b/>
        <i val="0"/>
        <condense val="0"/>
        <extend val="0"/>
        <color indexed="58"/>
      </font>
    </dxf>
    <dxf>
      <font>
        <b/>
        <i val="0"/>
        <condense val="0"/>
        <extend val="0"/>
        <color indexed="12"/>
      </font>
      <fill>
        <patternFill>
          <bgColor indexed="43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  <color indexed="40"/>
      </font>
    </dxf>
    <dxf>
      <font>
        <b/>
        <i val="0"/>
        <condense val="0"/>
        <extend val="0"/>
        <color indexed="14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8"/>
      </font>
    </dxf>
    <dxf>
      <font>
        <b/>
        <i val="0"/>
        <condense val="0"/>
        <extend val="0"/>
        <color indexed="50"/>
      </font>
    </dxf>
    <dxf>
      <font>
        <b/>
        <i val="0"/>
        <condense val="0"/>
        <extend val="0"/>
        <color indexed="58"/>
      </font>
    </dxf>
    <dxf>
      <font>
        <b/>
        <i val="0"/>
        <condense val="0"/>
        <extend val="0"/>
        <color indexed="50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</font>
    </dxf>
    <dxf>
      <font>
        <condense val="0"/>
        <extend val="0"/>
        <color indexed="55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23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47"/>
      </font>
    </dxf>
    <dxf>
      <font>
        <b/>
        <i val="0"/>
        <condense val="0"/>
        <extend val="0"/>
        <color indexed="48"/>
      </font>
    </dxf>
    <dxf>
      <font>
        <b/>
        <i val="0"/>
        <condense val="0"/>
        <extend val="0"/>
        <color indexed="13"/>
      </font>
      <fill>
        <patternFill>
          <bgColor indexed="22"/>
        </patternFill>
      </fill>
    </dxf>
    <dxf>
      <font>
        <b/>
        <i val="0"/>
        <condense val="0"/>
        <extend val="0"/>
        <color indexed="63"/>
      </font>
    </dxf>
    <dxf>
      <font>
        <b/>
        <i val="0"/>
        <condense val="0"/>
        <extend val="0"/>
        <color indexed="8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5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condense val="0"/>
        <extend val="0"/>
        <color indexed="55"/>
      </font>
    </dxf>
    <dxf>
      <font>
        <b/>
        <i val="0"/>
        <condense val="0"/>
        <extend val="0"/>
        <color indexed="48"/>
      </font>
      <fill>
        <patternFill patternType="none">
          <bgColor indexed="65"/>
        </patternFill>
      </fill>
    </dxf>
    <dxf>
      <font>
        <b val="0"/>
        <i val="0"/>
        <condense val="0"/>
        <extend val="0"/>
        <color indexed="55"/>
      </font>
    </dxf>
    <dxf>
      <font>
        <b/>
        <i val="0"/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53"/>
      </font>
    </dxf>
    <dxf>
      <font>
        <b/>
        <i val="0"/>
        <condense val="0"/>
        <extend val="0"/>
        <color indexed="53"/>
      </font>
    </dxf>
    <dxf>
      <font>
        <condense val="0"/>
        <extend val="0"/>
        <color indexed="23"/>
      </font>
    </dxf>
    <dxf>
      <font>
        <b/>
        <i val="0"/>
        <condense val="0"/>
        <extend val="0"/>
      </font>
    </dxf>
    <dxf>
      <font>
        <condense val="0"/>
        <extend val="0"/>
        <color indexed="23"/>
      </font>
    </dxf>
    <dxf>
      <font>
        <b/>
        <i val="0"/>
        <condense val="0"/>
        <extend val="0"/>
      </font>
    </dxf>
    <dxf>
      <font>
        <b val="0"/>
        <i/>
        <condense val="0"/>
        <extend val="0"/>
        <color indexed="23"/>
      </font>
      <fill>
        <patternFill patternType="none">
          <bgColor indexed="65"/>
        </patternFill>
      </fill>
    </dxf>
    <dxf>
      <font>
        <b val="0"/>
        <i/>
        <condense val="0"/>
        <extend val="0"/>
        <color indexed="55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  <fill>
        <patternFill>
          <bgColor indexed="44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14"/>
      </font>
    </dxf>
    <dxf>
      <font>
        <condense val="0"/>
        <extend val="0"/>
        <color indexed="40"/>
      </font>
    </dxf>
    <dxf>
      <font>
        <b/>
        <i val="0"/>
        <condense val="0"/>
        <extend val="0"/>
        <color indexed="14"/>
      </font>
    </dxf>
    <dxf>
      <font>
        <condense val="0"/>
        <extend val="0"/>
        <color indexed="23"/>
      </font>
    </dxf>
    <dxf>
      <font>
        <b/>
        <i val="0"/>
        <condense val="0"/>
        <extend val="0"/>
      </font>
    </dxf>
    <dxf>
      <font>
        <condense val="0"/>
        <extend val="0"/>
        <color indexed="23"/>
      </font>
    </dxf>
    <dxf>
      <font>
        <b/>
        <i val="0"/>
        <condense val="0"/>
        <extend val="0"/>
      </font>
    </dxf>
    <dxf>
      <font>
        <b val="0"/>
        <i/>
        <condense val="0"/>
        <extend val="0"/>
        <color indexed="23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44"/>
      </font>
    </dxf>
    <dxf>
      <font>
        <b/>
        <i val="0"/>
        <condense val="0"/>
        <extend val="0"/>
        <color indexed="10"/>
      </font>
    </dxf>
    <dxf>
      <font>
        <condense val="0"/>
        <extend val="0"/>
        <color indexed="55"/>
      </font>
    </dxf>
    <dxf>
      <font>
        <condense val="0"/>
        <extend val="0"/>
        <color indexed="22"/>
      </font>
    </dxf>
    <dxf>
      <font>
        <b/>
        <i val="0"/>
        <condense val="0"/>
        <extend val="0"/>
        <color indexed="48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4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  <fill>
        <patternFill patternType="none">
          <bgColor indexed="65"/>
        </patternFill>
      </fill>
      <border>
        <left/>
        <right/>
        <top/>
        <bottom/>
      </border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53"/>
      </font>
      <fill>
        <patternFill>
          <bgColor indexed="47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  <color indexed="12"/>
      </font>
      <fill>
        <patternFill patternType="none">
          <bgColor indexed="65"/>
        </patternFill>
      </fill>
      <border>
        <left/>
        <right/>
        <top/>
        <bottom/>
      </border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condense val="0"/>
        <extend val="0"/>
        <color indexed="23"/>
      </font>
    </dxf>
    <dxf>
      <font>
        <b/>
        <i val="0"/>
        <condense val="0"/>
        <extend val="0"/>
        <color indexed="8"/>
      </font>
    </dxf>
    <dxf>
      <font>
        <condense val="0"/>
        <extend val="0"/>
        <color indexed="23"/>
      </font>
    </dxf>
    <dxf>
      <font>
        <b/>
        <i val="0"/>
        <condense val="0"/>
        <extend val="0"/>
      </font>
    </dxf>
    <dxf>
      <font>
        <b val="0"/>
        <i val="0"/>
        <condense val="0"/>
        <extend val="0"/>
        <color indexed="55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48"/>
      </font>
    </dxf>
    <dxf>
      <font>
        <condense val="0"/>
        <extend val="0"/>
        <color indexed="22"/>
      </font>
    </dxf>
    <dxf>
      <font>
        <b/>
        <i val="0"/>
        <condense val="0"/>
        <extend val="0"/>
        <color indexed="63"/>
      </font>
    </dxf>
    <dxf>
      <font>
        <b/>
        <i val="0"/>
        <condense val="0"/>
        <extend val="0"/>
        <color indexed="10"/>
      </font>
      <fill>
        <patternFill patternType="none">
          <bgColor indexed="65"/>
        </patternFill>
      </fill>
      <border>
        <left/>
        <right/>
        <top/>
        <bottom/>
      </border>
    </dxf>
    <dxf>
      <font>
        <b/>
        <i val="0"/>
        <condense val="0"/>
        <extend val="0"/>
        <color indexed="63"/>
      </font>
    </dxf>
    <dxf>
      <font>
        <b/>
        <i val="0"/>
        <condense val="0"/>
        <extend val="0"/>
        <color indexed="10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  <color indexed="63"/>
      </font>
    </dxf>
    <dxf>
      <font>
        <b/>
        <i val="0"/>
        <condense val="0"/>
        <extend val="0"/>
        <color indexed="10"/>
      </font>
    </dxf>
    <dxf>
      <font>
        <condense val="0"/>
        <extend val="0"/>
        <color indexed="23"/>
      </font>
    </dxf>
    <dxf>
      <font>
        <b/>
        <i val="0"/>
        <condense val="0"/>
        <extend val="0"/>
        <color indexed="49"/>
      </font>
    </dxf>
    <dxf>
      <font>
        <condense val="0"/>
        <extend val="0"/>
        <color indexed="55"/>
      </font>
    </dxf>
    <dxf>
      <font>
        <b/>
        <i val="0"/>
        <condense val="0"/>
        <extend val="0"/>
        <color indexed="22"/>
      </font>
    </dxf>
    <dxf>
      <font>
        <b/>
        <i val="0"/>
        <condense val="0"/>
        <extend val="0"/>
        <color indexed="48"/>
      </font>
    </dxf>
    <dxf>
      <font>
        <b/>
        <i val="0"/>
        <condense val="0"/>
        <extend val="0"/>
        <color indexed="48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5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23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40"/>
      </font>
      <fill>
        <patternFill>
          <fgColor indexed="31"/>
          <bgColor indexed="34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  <color indexed="14"/>
      </font>
    </dxf>
    <dxf>
      <font>
        <b/>
        <i val="0"/>
        <condense val="0"/>
        <extend val="0"/>
        <color indexed="40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14"/>
      </font>
    </dxf>
    <dxf>
      <font>
        <b/>
        <i val="0"/>
        <condense val="0"/>
        <extend val="0"/>
        <color indexed="40"/>
      </font>
    </dxf>
    <dxf>
      <font>
        <b/>
        <i val="0"/>
        <condense val="0"/>
        <extend val="0"/>
        <color indexed="14"/>
      </font>
    </dxf>
    <dxf>
      <font>
        <b/>
        <i val="0"/>
        <condense val="0"/>
        <extend val="0"/>
        <color indexed="40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14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  <color indexed="48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52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52"/>
      </font>
      <fill>
        <patternFill>
          <bgColor indexed="43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  <color indexed="17"/>
      </font>
      <fill>
        <patternFill>
          <bgColor indexed="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  <color indexed="52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 val="0"/>
        <i/>
        <condense val="0"/>
        <extend val="0"/>
        <color indexed="55"/>
      </font>
    </dxf>
    <dxf>
      <font>
        <b val="0"/>
        <i/>
        <condense val="0"/>
        <extend val="0"/>
        <color indexed="55"/>
      </font>
    </dxf>
    <dxf>
      <font>
        <b/>
        <i val="0"/>
        <condense val="0"/>
        <extend val="0"/>
      </font>
    </dxf>
    <dxf>
      <font>
        <condense val="0"/>
        <extend val="0"/>
        <color indexed="40"/>
      </font>
    </dxf>
    <dxf>
      <font>
        <b/>
        <i val="0"/>
        <condense val="0"/>
        <extend val="0"/>
        <color indexed="13"/>
      </font>
      <fill>
        <patternFill>
          <bgColor indexed="22"/>
        </patternFill>
      </fill>
    </dxf>
    <dxf>
      <font>
        <b/>
        <i val="0"/>
        <condense val="0"/>
        <extend val="0"/>
        <color indexed="53"/>
      </font>
      <fill>
        <patternFill>
          <bgColor indexed="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  <color indexed="50"/>
      </font>
      <border>
        <left/>
        <right/>
        <top/>
        <bottom/>
      </border>
    </dxf>
    <dxf>
      <font>
        <b/>
        <i val="0"/>
        <condense val="0"/>
        <extend val="0"/>
        <color indexed="58"/>
      </font>
    </dxf>
    <dxf>
      <font>
        <b/>
        <i val="0"/>
        <condense val="0"/>
        <extend val="0"/>
        <color indexed="12"/>
      </font>
      <fill>
        <patternFill>
          <bgColor indexed="43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  <color indexed="40"/>
      </font>
    </dxf>
    <dxf>
      <font>
        <b/>
        <i val="0"/>
        <condense val="0"/>
        <extend val="0"/>
        <color indexed="14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8"/>
      </font>
    </dxf>
    <dxf>
      <font>
        <b/>
        <i val="0"/>
        <condense val="0"/>
        <extend val="0"/>
        <color indexed="50"/>
      </font>
    </dxf>
    <dxf>
      <font>
        <b/>
        <i val="0"/>
        <condense val="0"/>
        <extend val="0"/>
        <color indexed="58"/>
      </font>
    </dxf>
    <dxf>
      <font>
        <b/>
        <i val="0"/>
        <condense val="0"/>
        <extend val="0"/>
        <color indexed="50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</font>
    </dxf>
    <dxf>
      <font>
        <condense val="0"/>
        <extend val="0"/>
        <color indexed="55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23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47"/>
      </font>
    </dxf>
    <dxf>
      <font>
        <b/>
        <i val="0"/>
        <condense val="0"/>
        <extend val="0"/>
        <color indexed="48"/>
      </font>
    </dxf>
    <dxf>
      <font>
        <b/>
        <i val="0"/>
        <condense val="0"/>
        <extend val="0"/>
        <color indexed="13"/>
      </font>
      <fill>
        <patternFill>
          <bgColor indexed="22"/>
        </patternFill>
      </fill>
    </dxf>
    <dxf>
      <font>
        <b/>
        <i val="0"/>
        <condense val="0"/>
        <extend val="0"/>
        <color indexed="63"/>
      </font>
    </dxf>
    <dxf>
      <font>
        <b/>
        <i val="0"/>
        <condense val="0"/>
        <extend val="0"/>
        <color indexed="8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5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condense val="0"/>
        <extend val="0"/>
        <color indexed="55"/>
      </font>
    </dxf>
    <dxf>
      <font>
        <b/>
        <i val="0"/>
        <condense val="0"/>
        <extend val="0"/>
        <color indexed="48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 val="0"/>
        <i val="0"/>
        <condense val="0"/>
        <extend val="0"/>
        <color indexed="55"/>
      </font>
    </dxf>
    <dxf>
      <font>
        <b/>
        <i val="0"/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53"/>
      </font>
    </dxf>
    <dxf>
      <font>
        <b/>
        <i val="0"/>
        <condense val="0"/>
        <extend val="0"/>
        <color indexed="53"/>
      </font>
    </dxf>
    <dxf>
      <font>
        <condense val="0"/>
        <extend val="0"/>
        <color indexed="23"/>
      </font>
    </dxf>
    <dxf>
      <font>
        <b/>
        <i val="0"/>
        <condense val="0"/>
        <extend val="0"/>
      </font>
    </dxf>
    <dxf>
      <font>
        <condense val="0"/>
        <extend val="0"/>
        <color indexed="23"/>
      </font>
    </dxf>
    <dxf>
      <font>
        <b/>
        <i val="0"/>
        <condense val="0"/>
        <extend val="0"/>
      </font>
    </dxf>
    <dxf>
      <font>
        <b val="0"/>
        <i/>
        <condense val="0"/>
        <extend val="0"/>
        <color indexed="23"/>
      </font>
      <fill>
        <patternFill patternType="none">
          <bgColor indexed="65"/>
        </patternFill>
      </fill>
    </dxf>
    <dxf>
      <font>
        <b val="0"/>
        <i/>
        <condense val="0"/>
        <extend val="0"/>
        <color indexed="55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  <fill>
        <patternFill>
          <bgColor indexed="44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14"/>
      </font>
    </dxf>
    <dxf>
      <font>
        <condense val="0"/>
        <extend val="0"/>
        <color indexed="40"/>
      </font>
    </dxf>
    <dxf>
      <font>
        <b/>
        <i val="0"/>
        <condense val="0"/>
        <extend val="0"/>
        <color indexed="14"/>
      </font>
    </dxf>
    <dxf>
      <font>
        <condense val="0"/>
        <extend val="0"/>
        <color indexed="23"/>
      </font>
    </dxf>
    <dxf>
      <font>
        <b/>
        <i val="0"/>
        <condense val="0"/>
        <extend val="0"/>
      </font>
    </dxf>
    <dxf>
      <font>
        <condense val="0"/>
        <extend val="0"/>
        <color indexed="23"/>
      </font>
    </dxf>
    <dxf>
      <font>
        <b/>
        <i val="0"/>
        <condense val="0"/>
        <extend val="0"/>
      </font>
    </dxf>
    <dxf>
      <font>
        <b val="0"/>
        <i/>
        <condense val="0"/>
        <extend val="0"/>
        <color indexed="23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44"/>
      </font>
    </dxf>
    <dxf>
      <font>
        <b/>
        <i val="0"/>
        <condense val="0"/>
        <extend val="0"/>
        <color indexed="10"/>
      </font>
    </dxf>
    <dxf>
      <font>
        <condense val="0"/>
        <extend val="0"/>
        <color indexed="55"/>
      </font>
    </dxf>
    <dxf>
      <font>
        <condense val="0"/>
        <extend val="0"/>
        <color indexed="22"/>
      </font>
    </dxf>
    <dxf>
      <font>
        <b/>
        <i val="0"/>
        <condense val="0"/>
        <extend val="0"/>
        <color indexed="48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47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condense val="0"/>
        <extend val="0"/>
        <color indexed="23"/>
      </font>
    </dxf>
    <dxf>
      <font>
        <b/>
        <i val="0"/>
        <condense val="0"/>
        <extend val="0"/>
        <color indexed="8"/>
      </font>
    </dxf>
    <dxf>
      <font>
        <condense val="0"/>
        <extend val="0"/>
        <color indexed="23"/>
      </font>
    </dxf>
    <dxf>
      <font>
        <b/>
        <i val="0"/>
        <condense val="0"/>
        <extend val="0"/>
      </font>
    </dxf>
    <dxf>
      <font>
        <b val="0"/>
        <i val="0"/>
        <condense val="0"/>
        <extend val="0"/>
        <color indexed="55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48"/>
      </font>
    </dxf>
    <dxf>
      <font>
        <condense val="0"/>
        <extend val="0"/>
        <color indexed="22"/>
      </font>
    </dxf>
    <dxf>
      <font>
        <b/>
        <i val="0"/>
        <condense val="0"/>
        <extend val="0"/>
        <color indexed="63"/>
      </font>
    </dxf>
    <dxf>
      <font>
        <b/>
        <i val="0"/>
        <condense val="0"/>
        <extend val="0"/>
        <color indexed="10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  <color indexed="63"/>
      </font>
    </dxf>
    <dxf>
      <font>
        <b/>
        <i val="0"/>
        <condense val="0"/>
        <extend val="0"/>
        <color indexed="10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  <color indexed="63"/>
      </font>
    </dxf>
    <dxf>
      <font>
        <b/>
        <i val="0"/>
        <condense val="0"/>
        <extend val="0"/>
        <color indexed="10"/>
      </font>
    </dxf>
    <dxf>
      <font>
        <condense val="0"/>
        <extend val="0"/>
        <color indexed="23"/>
      </font>
    </dxf>
    <dxf>
      <font>
        <b/>
        <i val="0"/>
        <condense val="0"/>
        <extend val="0"/>
        <color indexed="49"/>
      </font>
    </dxf>
    <dxf>
      <font>
        <condense val="0"/>
        <extend val="0"/>
        <color indexed="55"/>
      </font>
    </dxf>
    <dxf>
      <font>
        <b/>
        <i val="0"/>
        <condense val="0"/>
        <extend val="0"/>
        <color indexed="22"/>
      </font>
    </dxf>
    <dxf>
      <font>
        <b/>
        <i val="0"/>
        <condense val="0"/>
        <extend val="0"/>
        <color indexed="48"/>
      </font>
    </dxf>
    <dxf>
      <font>
        <b/>
        <i val="0"/>
        <condense val="0"/>
        <extend val="0"/>
        <color indexed="53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  <fill>
        <patternFill>
          <bgColor indexed="47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  <color indexed="48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5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23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40"/>
      </font>
      <fill>
        <patternFill>
          <fgColor indexed="31"/>
          <bgColor indexed="34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  <color indexed="14"/>
      </font>
    </dxf>
    <dxf>
      <font>
        <b/>
        <i val="0"/>
        <condense val="0"/>
        <extend val="0"/>
        <color indexed="40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14"/>
      </font>
    </dxf>
    <dxf>
      <font>
        <b/>
        <i val="0"/>
        <condense val="0"/>
        <extend val="0"/>
        <color indexed="40"/>
      </font>
    </dxf>
    <dxf>
      <font>
        <b/>
        <i val="0"/>
        <condense val="0"/>
        <extend val="0"/>
        <color indexed="14"/>
      </font>
    </dxf>
    <dxf>
      <font>
        <b/>
        <i val="0"/>
        <condense val="0"/>
        <extend val="0"/>
        <color indexed="40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14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  <color indexed="48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5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52"/>
      </font>
      <fill>
        <patternFill>
          <bgColor indexed="43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  <color indexed="17"/>
      </font>
      <fill>
        <patternFill>
          <bgColor indexed="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  <color indexed="52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 val="0"/>
        <i/>
        <condense val="0"/>
        <extend val="0"/>
        <color indexed="55"/>
      </font>
    </dxf>
    <dxf>
      <font>
        <b val="0"/>
        <i/>
        <condense val="0"/>
        <extend val="0"/>
        <color indexed="55"/>
      </font>
    </dxf>
    <dxf>
      <font>
        <condense val="0"/>
        <extend val="0"/>
        <color indexed="40"/>
      </font>
    </dxf>
    <dxf>
      <font>
        <b/>
        <i val="0"/>
        <condense val="0"/>
        <extend val="0"/>
        <color indexed="13"/>
      </font>
      <fill>
        <patternFill>
          <bgColor indexed="22"/>
        </patternFill>
      </fill>
    </dxf>
    <dxf>
      <font>
        <b/>
        <i val="0"/>
        <condense val="0"/>
        <extend val="0"/>
        <color indexed="53"/>
      </font>
      <fill>
        <patternFill>
          <bgColor indexed="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  <color indexed="50"/>
      </font>
      <border>
        <left/>
        <right/>
        <top/>
        <bottom/>
      </border>
    </dxf>
    <dxf>
      <font>
        <b/>
        <i val="0"/>
        <condense val="0"/>
        <extend val="0"/>
        <color indexed="58"/>
      </font>
    </dxf>
    <dxf>
      <font>
        <b/>
        <i val="0"/>
        <condense val="0"/>
        <extend val="0"/>
        <color indexed="12"/>
      </font>
      <fill>
        <patternFill>
          <bgColor indexed="43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  <color indexed="40"/>
      </font>
    </dxf>
    <dxf>
      <font>
        <b/>
        <i val="0"/>
        <condense val="0"/>
        <extend val="0"/>
        <color indexed="14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8"/>
      </font>
    </dxf>
    <dxf>
      <font>
        <b/>
        <i val="0"/>
        <condense val="0"/>
        <extend val="0"/>
        <color indexed="50"/>
      </font>
    </dxf>
    <dxf>
      <font>
        <b/>
        <i val="0"/>
        <condense val="0"/>
        <extend val="0"/>
        <color indexed="58"/>
      </font>
    </dxf>
    <dxf>
      <font>
        <b/>
        <i val="0"/>
        <condense val="0"/>
        <extend val="0"/>
        <color indexed="50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</font>
    </dxf>
    <dxf>
      <font>
        <condense val="0"/>
        <extend val="0"/>
        <color indexed="55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23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47"/>
      </font>
    </dxf>
    <dxf>
      <font>
        <b/>
        <i val="0"/>
        <condense val="0"/>
        <extend val="0"/>
        <color indexed="48"/>
      </font>
    </dxf>
    <dxf>
      <font>
        <b/>
        <i val="0"/>
        <condense val="0"/>
        <extend val="0"/>
        <color indexed="13"/>
      </font>
      <fill>
        <patternFill>
          <bgColor indexed="22"/>
        </patternFill>
      </fill>
    </dxf>
    <dxf>
      <font>
        <b/>
        <i val="0"/>
        <condense val="0"/>
        <extend val="0"/>
        <color indexed="63"/>
      </font>
    </dxf>
    <dxf>
      <font>
        <b/>
        <i val="0"/>
        <condense val="0"/>
        <extend val="0"/>
        <color indexed="8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5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condense val="0"/>
        <extend val="0"/>
        <color indexed="55"/>
      </font>
    </dxf>
    <dxf>
      <font>
        <b/>
        <i val="0"/>
        <condense val="0"/>
        <extend val="0"/>
        <color indexed="48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 val="0"/>
        <i val="0"/>
        <condense val="0"/>
        <extend val="0"/>
        <color indexed="55"/>
      </font>
    </dxf>
    <dxf>
      <font>
        <b/>
        <i val="0"/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53"/>
      </font>
    </dxf>
    <dxf>
      <font>
        <b/>
        <i val="0"/>
        <condense val="0"/>
        <extend val="0"/>
        <color indexed="53"/>
      </font>
    </dxf>
    <dxf>
      <font>
        <condense val="0"/>
        <extend val="0"/>
        <color indexed="23"/>
      </font>
    </dxf>
    <dxf>
      <font>
        <b/>
        <i val="0"/>
        <condense val="0"/>
        <extend val="0"/>
      </font>
    </dxf>
    <dxf>
      <font>
        <condense val="0"/>
        <extend val="0"/>
        <color indexed="23"/>
      </font>
    </dxf>
    <dxf>
      <font>
        <b/>
        <i val="0"/>
        <condense val="0"/>
        <extend val="0"/>
      </font>
    </dxf>
    <dxf>
      <font>
        <b val="0"/>
        <i/>
        <condense val="0"/>
        <extend val="0"/>
        <color indexed="23"/>
      </font>
      <fill>
        <patternFill patternType="none">
          <bgColor indexed="65"/>
        </patternFill>
      </fill>
    </dxf>
    <dxf>
      <font>
        <b val="0"/>
        <i/>
        <condense val="0"/>
        <extend val="0"/>
        <color indexed="55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  <fill>
        <patternFill>
          <bgColor indexed="44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14"/>
      </font>
    </dxf>
    <dxf>
      <font>
        <condense val="0"/>
        <extend val="0"/>
        <color indexed="40"/>
      </font>
    </dxf>
    <dxf>
      <font>
        <b/>
        <i val="0"/>
        <condense val="0"/>
        <extend val="0"/>
        <color indexed="14"/>
      </font>
    </dxf>
    <dxf>
      <font>
        <condense val="0"/>
        <extend val="0"/>
        <color indexed="23"/>
      </font>
    </dxf>
    <dxf>
      <font>
        <b/>
        <i val="0"/>
        <condense val="0"/>
        <extend val="0"/>
      </font>
    </dxf>
    <dxf>
      <font>
        <condense val="0"/>
        <extend val="0"/>
        <color indexed="23"/>
      </font>
    </dxf>
    <dxf>
      <font>
        <b/>
        <i val="0"/>
        <condense val="0"/>
        <extend val="0"/>
      </font>
    </dxf>
    <dxf>
      <font>
        <b val="0"/>
        <i/>
        <condense val="0"/>
        <extend val="0"/>
        <color indexed="23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44"/>
      </font>
    </dxf>
    <dxf>
      <font>
        <b/>
        <i val="0"/>
        <condense val="0"/>
        <extend val="0"/>
        <color indexed="10"/>
      </font>
    </dxf>
    <dxf>
      <font>
        <condense val="0"/>
        <extend val="0"/>
        <color indexed="55"/>
      </font>
    </dxf>
    <dxf>
      <font>
        <condense val="0"/>
        <extend val="0"/>
        <color indexed="22"/>
      </font>
    </dxf>
    <dxf>
      <font>
        <b/>
        <i val="0"/>
        <condense val="0"/>
        <extend val="0"/>
        <color indexed="48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47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condense val="0"/>
        <extend val="0"/>
        <color indexed="23"/>
      </font>
    </dxf>
    <dxf>
      <font>
        <b/>
        <i val="0"/>
        <condense val="0"/>
        <extend val="0"/>
        <color indexed="8"/>
      </font>
    </dxf>
    <dxf>
      <font>
        <condense val="0"/>
        <extend val="0"/>
        <color indexed="23"/>
      </font>
    </dxf>
    <dxf>
      <font>
        <b/>
        <i val="0"/>
        <condense val="0"/>
        <extend val="0"/>
      </font>
    </dxf>
    <dxf>
      <font>
        <b val="0"/>
        <i val="0"/>
        <condense val="0"/>
        <extend val="0"/>
        <color indexed="55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48"/>
      </font>
    </dxf>
    <dxf>
      <font>
        <condense val="0"/>
        <extend val="0"/>
        <color indexed="22"/>
      </font>
    </dxf>
    <dxf>
      <font>
        <b/>
        <i val="0"/>
        <condense val="0"/>
        <extend val="0"/>
        <color indexed="63"/>
      </font>
    </dxf>
    <dxf>
      <font>
        <b/>
        <i val="0"/>
        <condense val="0"/>
        <extend val="0"/>
        <color indexed="10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  <color indexed="63"/>
      </font>
    </dxf>
    <dxf>
      <font>
        <b/>
        <i val="0"/>
        <condense val="0"/>
        <extend val="0"/>
        <color indexed="10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  <color indexed="63"/>
      </font>
    </dxf>
    <dxf>
      <font>
        <b/>
        <i val="0"/>
        <condense val="0"/>
        <extend val="0"/>
        <color indexed="10"/>
      </font>
    </dxf>
    <dxf>
      <font>
        <condense val="0"/>
        <extend val="0"/>
        <color indexed="23"/>
      </font>
    </dxf>
    <dxf>
      <font>
        <b/>
        <i val="0"/>
        <condense val="0"/>
        <extend val="0"/>
        <color indexed="49"/>
      </font>
    </dxf>
    <dxf>
      <font>
        <condense val="0"/>
        <extend val="0"/>
        <color indexed="55"/>
      </font>
    </dxf>
    <dxf>
      <font>
        <b/>
        <i val="0"/>
        <condense val="0"/>
        <extend val="0"/>
        <color indexed="22"/>
      </font>
    </dxf>
    <dxf>
      <font>
        <b/>
        <i val="0"/>
        <condense val="0"/>
        <extend val="0"/>
        <color indexed="48"/>
      </font>
    </dxf>
    <dxf>
      <font>
        <b/>
        <i val="0"/>
        <condense val="0"/>
        <extend val="0"/>
        <color indexed="53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  <fill>
        <patternFill>
          <bgColor indexed="47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  <color indexed="48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5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23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40"/>
      </font>
      <fill>
        <patternFill>
          <fgColor indexed="31"/>
          <bgColor indexed="34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  <color indexed="14"/>
      </font>
    </dxf>
    <dxf>
      <font>
        <b/>
        <i val="0"/>
        <condense val="0"/>
        <extend val="0"/>
        <color indexed="40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14"/>
      </font>
    </dxf>
    <dxf>
      <font>
        <b/>
        <i val="0"/>
        <condense val="0"/>
        <extend val="0"/>
        <color indexed="40"/>
      </font>
    </dxf>
    <dxf>
      <font>
        <b/>
        <i val="0"/>
        <condense val="0"/>
        <extend val="0"/>
        <color indexed="14"/>
      </font>
    </dxf>
    <dxf>
      <font>
        <b/>
        <i val="0"/>
        <condense val="0"/>
        <extend val="0"/>
        <color indexed="40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14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  <color indexed="48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5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52"/>
      </font>
      <fill>
        <patternFill>
          <bgColor indexed="43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  <color indexed="17"/>
      </font>
      <fill>
        <patternFill>
          <bgColor indexed="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  <color indexed="52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 val="0"/>
        <i/>
        <condense val="0"/>
        <extend val="0"/>
        <color indexed="55"/>
      </font>
    </dxf>
    <dxf>
      <font>
        <b val="0"/>
        <i/>
        <condense val="0"/>
        <extend val="0"/>
        <color indexed="55"/>
      </font>
    </dxf>
    <dxf>
      <font>
        <b/>
        <i val="0"/>
        <condense val="0"/>
        <extend val="0"/>
      </font>
    </dxf>
    <dxf>
      <font>
        <condense val="0"/>
        <extend val="0"/>
        <color indexed="40"/>
      </font>
    </dxf>
    <dxf>
      <font>
        <b/>
        <i val="0"/>
        <condense val="0"/>
        <extend val="0"/>
        <color indexed="13"/>
      </font>
      <fill>
        <patternFill>
          <bgColor indexed="22"/>
        </patternFill>
      </fill>
    </dxf>
    <dxf>
      <font>
        <b/>
        <i val="0"/>
        <condense val="0"/>
        <extend val="0"/>
        <color indexed="53"/>
      </font>
      <fill>
        <patternFill>
          <bgColor indexed="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  <color indexed="50"/>
      </font>
      <border>
        <left/>
        <right/>
        <top/>
        <bottom/>
      </border>
    </dxf>
    <dxf>
      <font>
        <b/>
        <i val="0"/>
        <condense val="0"/>
        <extend val="0"/>
        <color indexed="58"/>
      </font>
    </dxf>
    <dxf>
      <font>
        <b/>
        <i val="0"/>
        <condense val="0"/>
        <extend val="0"/>
        <color indexed="12"/>
      </font>
      <fill>
        <patternFill>
          <bgColor indexed="43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  <color indexed="40"/>
      </font>
    </dxf>
    <dxf>
      <font>
        <b/>
        <i val="0"/>
        <condense val="0"/>
        <extend val="0"/>
        <color indexed="14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8"/>
      </font>
    </dxf>
    <dxf>
      <font>
        <b/>
        <i val="0"/>
        <condense val="0"/>
        <extend val="0"/>
        <color indexed="50"/>
      </font>
    </dxf>
    <dxf>
      <font>
        <b/>
        <i val="0"/>
        <condense val="0"/>
        <extend val="0"/>
        <color indexed="58"/>
      </font>
    </dxf>
    <dxf>
      <font>
        <b/>
        <i val="0"/>
        <condense val="0"/>
        <extend val="0"/>
        <color indexed="50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</font>
    </dxf>
    <dxf>
      <font>
        <condense val="0"/>
        <extend val="0"/>
        <color indexed="55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23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47"/>
      </font>
    </dxf>
    <dxf>
      <font>
        <b/>
        <i val="0"/>
        <condense val="0"/>
        <extend val="0"/>
        <color indexed="48"/>
      </font>
    </dxf>
    <dxf>
      <font>
        <b/>
        <i val="0"/>
        <condense val="0"/>
        <extend val="0"/>
        <color indexed="13"/>
      </font>
      <fill>
        <patternFill>
          <bgColor indexed="22"/>
        </patternFill>
      </fill>
    </dxf>
    <dxf>
      <font>
        <b/>
        <i val="0"/>
        <condense val="0"/>
        <extend val="0"/>
        <color indexed="63"/>
      </font>
    </dxf>
    <dxf>
      <font>
        <b/>
        <i val="0"/>
        <condense val="0"/>
        <extend val="0"/>
        <color indexed="8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5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condense val="0"/>
        <extend val="0"/>
        <color indexed="55"/>
      </font>
    </dxf>
    <dxf>
      <font>
        <b/>
        <i val="0"/>
        <condense val="0"/>
        <extend val="0"/>
        <color indexed="48"/>
      </font>
      <fill>
        <patternFill patternType="none">
          <bgColor indexed="65"/>
        </patternFill>
      </fill>
    </dxf>
    <dxf>
      <font>
        <b val="0"/>
        <i val="0"/>
        <condense val="0"/>
        <extend val="0"/>
        <color indexed="55"/>
      </font>
    </dxf>
    <dxf>
      <font>
        <b/>
        <i val="0"/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53"/>
      </font>
    </dxf>
    <dxf>
      <font>
        <b/>
        <i val="0"/>
        <condense val="0"/>
        <extend val="0"/>
        <color indexed="53"/>
      </font>
    </dxf>
    <dxf>
      <font>
        <condense val="0"/>
        <extend val="0"/>
        <color indexed="23"/>
      </font>
    </dxf>
    <dxf>
      <font>
        <b/>
        <i val="0"/>
        <condense val="0"/>
        <extend val="0"/>
      </font>
    </dxf>
    <dxf>
      <font>
        <condense val="0"/>
        <extend val="0"/>
        <color indexed="23"/>
      </font>
    </dxf>
    <dxf>
      <font>
        <b/>
        <i val="0"/>
        <condense val="0"/>
        <extend val="0"/>
      </font>
    </dxf>
    <dxf>
      <font>
        <b val="0"/>
        <i/>
        <condense val="0"/>
        <extend val="0"/>
        <color indexed="23"/>
      </font>
      <fill>
        <patternFill patternType="none">
          <bgColor indexed="65"/>
        </patternFill>
      </fill>
    </dxf>
    <dxf>
      <font>
        <b val="0"/>
        <i/>
        <condense val="0"/>
        <extend val="0"/>
        <color indexed="55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  <fill>
        <patternFill>
          <bgColor indexed="44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14"/>
      </font>
    </dxf>
    <dxf>
      <font>
        <condense val="0"/>
        <extend val="0"/>
        <color indexed="40"/>
      </font>
    </dxf>
    <dxf>
      <font>
        <b/>
        <i val="0"/>
        <condense val="0"/>
        <extend val="0"/>
        <color indexed="14"/>
      </font>
    </dxf>
    <dxf>
      <font>
        <condense val="0"/>
        <extend val="0"/>
        <color indexed="23"/>
      </font>
    </dxf>
    <dxf>
      <font>
        <b/>
        <i val="0"/>
        <condense val="0"/>
        <extend val="0"/>
      </font>
    </dxf>
    <dxf>
      <font>
        <condense val="0"/>
        <extend val="0"/>
        <color indexed="23"/>
      </font>
    </dxf>
    <dxf>
      <font>
        <b/>
        <i val="0"/>
        <condense val="0"/>
        <extend val="0"/>
      </font>
    </dxf>
    <dxf>
      <font>
        <b val="0"/>
        <i/>
        <condense val="0"/>
        <extend val="0"/>
        <color indexed="23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44"/>
      </font>
    </dxf>
    <dxf>
      <font>
        <b/>
        <i val="0"/>
        <condense val="0"/>
        <extend val="0"/>
        <color indexed="10"/>
      </font>
    </dxf>
    <dxf>
      <font>
        <condense val="0"/>
        <extend val="0"/>
        <color indexed="55"/>
      </font>
    </dxf>
    <dxf>
      <font>
        <condense val="0"/>
        <extend val="0"/>
        <color indexed="22"/>
      </font>
    </dxf>
    <dxf>
      <font>
        <b/>
        <i val="0"/>
        <condense val="0"/>
        <extend val="0"/>
        <color indexed="48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47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condense val="0"/>
        <extend val="0"/>
        <color indexed="23"/>
      </font>
    </dxf>
    <dxf>
      <font>
        <b/>
        <i val="0"/>
        <condense val="0"/>
        <extend val="0"/>
        <color indexed="8"/>
      </font>
    </dxf>
    <dxf>
      <font>
        <condense val="0"/>
        <extend val="0"/>
        <color indexed="23"/>
      </font>
    </dxf>
    <dxf>
      <font>
        <b/>
        <i val="0"/>
        <condense val="0"/>
        <extend val="0"/>
      </font>
    </dxf>
    <dxf>
      <font>
        <b val="0"/>
        <i val="0"/>
        <condense val="0"/>
        <extend val="0"/>
        <color indexed="55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48"/>
      </font>
    </dxf>
    <dxf>
      <font>
        <condense val="0"/>
        <extend val="0"/>
        <color indexed="22"/>
      </font>
    </dxf>
    <dxf>
      <font>
        <b/>
        <i val="0"/>
        <condense val="0"/>
        <extend val="0"/>
        <color indexed="63"/>
      </font>
    </dxf>
    <dxf>
      <font>
        <b/>
        <i val="0"/>
        <condense val="0"/>
        <extend val="0"/>
        <color indexed="10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  <color indexed="63"/>
      </font>
    </dxf>
    <dxf>
      <font>
        <b/>
        <i val="0"/>
        <condense val="0"/>
        <extend val="0"/>
        <color indexed="10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  <color indexed="63"/>
      </font>
    </dxf>
    <dxf>
      <font>
        <b/>
        <i val="0"/>
        <condense val="0"/>
        <extend val="0"/>
        <color indexed="10"/>
      </font>
    </dxf>
    <dxf>
      <font>
        <condense val="0"/>
        <extend val="0"/>
        <color indexed="23"/>
      </font>
    </dxf>
    <dxf>
      <font>
        <b/>
        <i val="0"/>
        <condense val="0"/>
        <extend val="0"/>
        <color indexed="49"/>
      </font>
    </dxf>
    <dxf>
      <font>
        <condense val="0"/>
        <extend val="0"/>
        <color indexed="55"/>
      </font>
    </dxf>
    <dxf>
      <font>
        <b/>
        <i val="0"/>
        <condense val="0"/>
        <extend val="0"/>
        <color indexed="22"/>
      </font>
    </dxf>
    <dxf>
      <font>
        <b/>
        <i val="0"/>
        <condense val="0"/>
        <extend val="0"/>
        <color indexed="48"/>
      </font>
    </dxf>
    <dxf>
      <font>
        <b/>
        <i val="0"/>
        <condense val="0"/>
        <extend val="0"/>
        <color indexed="53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  <fill>
        <patternFill>
          <bgColor indexed="47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  <color indexed="48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5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23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40"/>
      </font>
      <fill>
        <patternFill>
          <fgColor indexed="31"/>
          <bgColor indexed="34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  <color indexed="14"/>
      </font>
    </dxf>
    <dxf>
      <font>
        <b/>
        <i val="0"/>
        <condense val="0"/>
        <extend val="0"/>
        <color indexed="40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14"/>
      </font>
    </dxf>
    <dxf>
      <font>
        <b/>
        <i val="0"/>
        <condense val="0"/>
        <extend val="0"/>
        <color indexed="40"/>
      </font>
    </dxf>
    <dxf>
      <font>
        <b/>
        <i val="0"/>
        <condense val="0"/>
        <extend val="0"/>
        <color indexed="14"/>
      </font>
    </dxf>
    <dxf>
      <font>
        <b/>
        <i val="0"/>
        <condense val="0"/>
        <extend val="0"/>
        <color indexed="40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14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  <color indexed="48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5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52"/>
      </font>
      <fill>
        <patternFill>
          <bgColor indexed="43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  <color indexed="17"/>
      </font>
      <fill>
        <patternFill>
          <bgColor indexed="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  <color indexed="52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 val="0"/>
        <i/>
        <condense val="0"/>
        <extend val="0"/>
        <color indexed="55"/>
      </font>
    </dxf>
    <dxf>
      <font>
        <b val="0"/>
        <i/>
        <condense val="0"/>
        <extend val="0"/>
        <color indexed="55"/>
      </font>
    </dxf>
    <dxf>
      <font>
        <b/>
        <i val="0"/>
        <condense val="0"/>
        <extend val="0"/>
      </font>
    </dxf>
    <dxf>
      <font>
        <condense val="0"/>
        <extend val="0"/>
        <color indexed="40"/>
      </font>
    </dxf>
    <dxf>
      <font>
        <b/>
        <i val="0"/>
        <condense val="0"/>
        <extend val="0"/>
        <color indexed="13"/>
      </font>
      <fill>
        <patternFill>
          <bgColor indexed="22"/>
        </patternFill>
      </fill>
    </dxf>
    <dxf>
      <font>
        <b/>
        <i val="0"/>
        <condense val="0"/>
        <extend val="0"/>
        <color indexed="53"/>
      </font>
      <fill>
        <patternFill>
          <bgColor indexed="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  <color indexed="50"/>
      </font>
      <border>
        <left/>
        <right/>
        <top/>
        <bottom/>
      </border>
    </dxf>
    <dxf>
      <font>
        <b/>
        <i val="0"/>
        <condense val="0"/>
        <extend val="0"/>
        <color indexed="58"/>
      </font>
    </dxf>
    <dxf>
      <font>
        <b/>
        <i val="0"/>
        <condense val="0"/>
        <extend val="0"/>
        <color indexed="12"/>
      </font>
      <fill>
        <patternFill>
          <bgColor indexed="43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  <color indexed="40"/>
      </font>
    </dxf>
    <dxf>
      <font>
        <b/>
        <i val="0"/>
        <condense val="0"/>
        <extend val="0"/>
        <color indexed="14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8"/>
      </font>
    </dxf>
    <dxf>
      <font>
        <b/>
        <i val="0"/>
        <condense val="0"/>
        <extend val="0"/>
        <color indexed="50"/>
      </font>
    </dxf>
    <dxf>
      <font>
        <b/>
        <i val="0"/>
        <condense val="0"/>
        <extend val="0"/>
        <color indexed="58"/>
      </font>
    </dxf>
    <dxf>
      <font>
        <b/>
        <i val="0"/>
        <condense val="0"/>
        <extend val="0"/>
        <color indexed="50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</font>
    </dxf>
    <dxf>
      <font>
        <condense val="0"/>
        <extend val="0"/>
        <color indexed="55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23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47"/>
      </font>
    </dxf>
    <dxf>
      <font>
        <b/>
        <i val="0"/>
        <condense val="0"/>
        <extend val="0"/>
        <color indexed="48"/>
      </font>
    </dxf>
    <dxf>
      <font>
        <b/>
        <i val="0"/>
        <condense val="0"/>
        <extend val="0"/>
        <color indexed="13"/>
      </font>
      <fill>
        <patternFill>
          <bgColor indexed="22"/>
        </patternFill>
      </fill>
    </dxf>
    <dxf>
      <font>
        <b/>
        <i val="0"/>
        <condense val="0"/>
        <extend val="0"/>
        <color indexed="63"/>
      </font>
    </dxf>
    <dxf>
      <font>
        <b/>
        <i val="0"/>
        <condense val="0"/>
        <extend val="0"/>
        <color indexed="8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5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condense val="0"/>
        <extend val="0"/>
        <color indexed="55"/>
      </font>
    </dxf>
    <dxf>
      <font>
        <b/>
        <i val="0"/>
        <condense val="0"/>
        <extend val="0"/>
        <color indexed="48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 val="0"/>
        <i val="0"/>
        <condense val="0"/>
        <extend val="0"/>
        <color indexed="55"/>
      </font>
    </dxf>
    <dxf>
      <font>
        <b/>
        <i val="0"/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53"/>
      </font>
    </dxf>
    <dxf>
      <font>
        <b/>
        <i val="0"/>
        <condense val="0"/>
        <extend val="0"/>
        <color indexed="53"/>
      </font>
    </dxf>
    <dxf>
      <font>
        <condense val="0"/>
        <extend val="0"/>
        <color indexed="23"/>
      </font>
    </dxf>
    <dxf>
      <font>
        <b/>
        <i val="0"/>
        <condense val="0"/>
        <extend val="0"/>
      </font>
    </dxf>
    <dxf>
      <font>
        <condense val="0"/>
        <extend val="0"/>
        <color indexed="23"/>
      </font>
    </dxf>
    <dxf>
      <font>
        <b/>
        <i val="0"/>
        <condense val="0"/>
        <extend val="0"/>
      </font>
    </dxf>
    <dxf>
      <font>
        <b val="0"/>
        <i/>
        <condense val="0"/>
        <extend val="0"/>
        <color indexed="23"/>
      </font>
      <fill>
        <patternFill patternType="none">
          <bgColor indexed="65"/>
        </patternFill>
      </fill>
    </dxf>
    <dxf>
      <font>
        <b val="0"/>
        <i/>
        <condense val="0"/>
        <extend val="0"/>
        <color indexed="55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  <fill>
        <patternFill>
          <bgColor indexed="44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14"/>
      </font>
    </dxf>
    <dxf>
      <font>
        <condense val="0"/>
        <extend val="0"/>
        <color indexed="40"/>
      </font>
    </dxf>
    <dxf>
      <font>
        <b/>
        <i val="0"/>
        <condense val="0"/>
        <extend val="0"/>
        <color indexed="14"/>
      </font>
    </dxf>
    <dxf>
      <font>
        <condense val="0"/>
        <extend val="0"/>
        <color indexed="23"/>
      </font>
    </dxf>
    <dxf>
      <font>
        <b/>
        <i val="0"/>
        <condense val="0"/>
        <extend val="0"/>
      </font>
    </dxf>
    <dxf>
      <font>
        <condense val="0"/>
        <extend val="0"/>
        <color indexed="23"/>
      </font>
    </dxf>
    <dxf>
      <font>
        <b/>
        <i val="0"/>
        <condense val="0"/>
        <extend val="0"/>
      </font>
    </dxf>
    <dxf>
      <font>
        <b val="0"/>
        <i/>
        <condense val="0"/>
        <extend val="0"/>
        <color indexed="23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44"/>
      </font>
    </dxf>
    <dxf>
      <font>
        <b/>
        <i val="0"/>
        <condense val="0"/>
        <extend val="0"/>
        <color indexed="10"/>
      </font>
    </dxf>
    <dxf>
      <font>
        <condense val="0"/>
        <extend val="0"/>
        <color indexed="55"/>
      </font>
    </dxf>
    <dxf>
      <font>
        <condense val="0"/>
        <extend val="0"/>
        <color indexed="22"/>
      </font>
    </dxf>
    <dxf>
      <font>
        <b/>
        <i val="0"/>
        <condense val="0"/>
        <extend val="0"/>
        <color indexed="48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47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condense val="0"/>
        <extend val="0"/>
        <color indexed="23"/>
      </font>
    </dxf>
    <dxf>
      <font>
        <b/>
        <i val="0"/>
        <condense val="0"/>
        <extend val="0"/>
        <color indexed="8"/>
      </font>
    </dxf>
    <dxf>
      <font>
        <condense val="0"/>
        <extend val="0"/>
        <color indexed="23"/>
      </font>
    </dxf>
    <dxf>
      <font>
        <b/>
        <i val="0"/>
        <condense val="0"/>
        <extend val="0"/>
      </font>
    </dxf>
    <dxf>
      <font>
        <b val="0"/>
        <i val="0"/>
        <condense val="0"/>
        <extend val="0"/>
        <color indexed="55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48"/>
      </font>
    </dxf>
    <dxf>
      <font>
        <condense val="0"/>
        <extend val="0"/>
        <color indexed="22"/>
      </font>
    </dxf>
    <dxf>
      <font>
        <b/>
        <i val="0"/>
        <condense val="0"/>
        <extend val="0"/>
        <color indexed="63"/>
      </font>
    </dxf>
    <dxf>
      <font>
        <b/>
        <i val="0"/>
        <condense val="0"/>
        <extend val="0"/>
        <color indexed="10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  <color indexed="63"/>
      </font>
    </dxf>
    <dxf>
      <font>
        <b/>
        <i val="0"/>
        <condense val="0"/>
        <extend val="0"/>
        <color indexed="10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  <color indexed="63"/>
      </font>
    </dxf>
    <dxf>
      <font>
        <b/>
        <i val="0"/>
        <condense val="0"/>
        <extend val="0"/>
        <color indexed="10"/>
      </font>
    </dxf>
    <dxf>
      <font>
        <condense val="0"/>
        <extend val="0"/>
        <color indexed="23"/>
      </font>
    </dxf>
    <dxf>
      <font>
        <b/>
        <i val="0"/>
        <condense val="0"/>
        <extend val="0"/>
        <color indexed="49"/>
      </font>
    </dxf>
    <dxf>
      <font>
        <condense val="0"/>
        <extend val="0"/>
        <color indexed="55"/>
      </font>
    </dxf>
    <dxf>
      <font>
        <b/>
        <i val="0"/>
        <condense val="0"/>
        <extend val="0"/>
        <color indexed="22"/>
      </font>
    </dxf>
    <dxf>
      <font>
        <b/>
        <i val="0"/>
        <condense val="0"/>
        <extend val="0"/>
        <color indexed="48"/>
      </font>
    </dxf>
    <dxf>
      <font>
        <b/>
        <i val="0"/>
        <condense val="0"/>
        <extend val="0"/>
        <color indexed="53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  <fill>
        <patternFill>
          <bgColor indexed="47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  <color indexed="48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5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23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40"/>
      </font>
      <fill>
        <patternFill>
          <fgColor indexed="31"/>
          <bgColor indexed="34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  <color indexed="14"/>
      </font>
    </dxf>
    <dxf>
      <font>
        <b/>
        <i val="0"/>
        <condense val="0"/>
        <extend val="0"/>
        <color indexed="40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14"/>
      </font>
    </dxf>
    <dxf>
      <font>
        <b/>
        <i val="0"/>
        <condense val="0"/>
        <extend val="0"/>
        <color indexed="40"/>
      </font>
    </dxf>
    <dxf>
      <font>
        <b/>
        <i val="0"/>
        <condense val="0"/>
        <extend val="0"/>
        <color indexed="14"/>
      </font>
    </dxf>
    <dxf>
      <font>
        <b/>
        <i val="0"/>
        <condense val="0"/>
        <extend val="0"/>
        <color indexed="40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14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  <color indexed="48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5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52"/>
      </font>
      <fill>
        <patternFill>
          <bgColor indexed="43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  <color indexed="17"/>
      </font>
      <fill>
        <patternFill>
          <bgColor indexed="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  <color indexed="52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 val="0"/>
        <i/>
        <condense val="0"/>
        <extend val="0"/>
        <color indexed="55"/>
      </font>
    </dxf>
    <dxf>
      <font>
        <b val="0"/>
        <i/>
        <condense val="0"/>
        <extend val="0"/>
        <color indexed="55"/>
      </font>
    </dxf>
    <dxf>
      <font>
        <condense val="0"/>
        <extend val="0"/>
        <color indexed="40"/>
      </font>
    </dxf>
    <dxf>
      <font>
        <b/>
        <i val="0"/>
        <condense val="0"/>
        <extend val="0"/>
        <color indexed="13"/>
      </font>
      <fill>
        <patternFill>
          <bgColor indexed="22"/>
        </patternFill>
      </fill>
    </dxf>
    <dxf>
      <font>
        <b/>
        <i val="0"/>
        <condense val="0"/>
        <extend val="0"/>
        <color indexed="53"/>
      </font>
      <fill>
        <patternFill>
          <bgColor indexed="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  <color indexed="50"/>
      </font>
      <border>
        <left/>
        <right/>
        <top/>
        <bottom/>
      </border>
    </dxf>
    <dxf>
      <font>
        <b/>
        <i val="0"/>
        <condense val="0"/>
        <extend val="0"/>
        <color indexed="58"/>
      </font>
    </dxf>
    <dxf>
      <font>
        <b/>
        <i val="0"/>
        <condense val="0"/>
        <extend val="0"/>
        <color indexed="12"/>
      </font>
      <fill>
        <patternFill>
          <bgColor indexed="43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  <color indexed="40"/>
      </font>
    </dxf>
    <dxf>
      <font>
        <b/>
        <i val="0"/>
        <condense val="0"/>
        <extend val="0"/>
        <color indexed="14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8"/>
      </font>
    </dxf>
    <dxf>
      <font>
        <b/>
        <i val="0"/>
        <condense val="0"/>
        <extend val="0"/>
        <color indexed="50"/>
      </font>
    </dxf>
    <dxf>
      <font>
        <b/>
        <i val="0"/>
        <condense val="0"/>
        <extend val="0"/>
        <color indexed="58"/>
      </font>
    </dxf>
    <dxf>
      <font>
        <b/>
        <i val="0"/>
        <condense val="0"/>
        <extend val="0"/>
        <color indexed="50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</font>
    </dxf>
    <dxf>
      <font>
        <condense val="0"/>
        <extend val="0"/>
        <color indexed="55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23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47"/>
      </font>
    </dxf>
    <dxf>
      <font>
        <b/>
        <i val="0"/>
        <condense val="0"/>
        <extend val="0"/>
        <color indexed="48"/>
      </font>
    </dxf>
    <dxf>
      <font>
        <b/>
        <i val="0"/>
        <condense val="0"/>
        <extend val="0"/>
        <color indexed="13"/>
      </font>
      <fill>
        <patternFill>
          <bgColor indexed="22"/>
        </patternFill>
      </fill>
    </dxf>
    <dxf>
      <font>
        <b/>
        <i val="0"/>
        <condense val="0"/>
        <extend val="0"/>
        <color indexed="63"/>
      </font>
    </dxf>
    <dxf>
      <font>
        <b/>
        <i val="0"/>
        <condense val="0"/>
        <extend val="0"/>
        <color indexed="8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5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48"/>
      </font>
    </dxf>
    <dxf>
      <font>
        <condense val="0"/>
        <extend val="0"/>
        <color indexed="55"/>
      </font>
    </dxf>
    <dxf>
      <font>
        <b/>
        <i val="0"/>
        <condense val="0"/>
        <extend val="0"/>
        <color indexed="48"/>
      </font>
      <fill>
        <patternFill patternType="none">
          <bgColor indexed="65"/>
        </patternFill>
      </fill>
    </dxf>
    <dxf>
      <font>
        <b val="0"/>
        <i val="0"/>
        <condense val="0"/>
        <extend val="0"/>
        <color indexed="55"/>
      </font>
    </dxf>
    <dxf>
      <font>
        <b/>
        <i val="0"/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53"/>
      </font>
    </dxf>
    <dxf>
      <font>
        <b/>
        <i val="0"/>
        <condense val="0"/>
        <extend val="0"/>
        <color indexed="53"/>
      </font>
    </dxf>
    <dxf>
      <font>
        <condense val="0"/>
        <extend val="0"/>
        <color indexed="23"/>
      </font>
    </dxf>
    <dxf>
      <font>
        <b/>
        <i val="0"/>
        <condense val="0"/>
        <extend val="0"/>
      </font>
    </dxf>
    <dxf>
      <font>
        <condense val="0"/>
        <extend val="0"/>
        <color indexed="23"/>
      </font>
    </dxf>
    <dxf>
      <font>
        <b/>
        <i val="0"/>
        <condense val="0"/>
        <extend val="0"/>
      </font>
    </dxf>
    <dxf>
      <font>
        <b val="0"/>
        <i/>
        <condense val="0"/>
        <extend val="0"/>
        <color indexed="23"/>
      </font>
      <fill>
        <patternFill patternType="none">
          <bgColor indexed="65"/>
        </patternFill>
      </fill>
    </dxf>
    <dxf>
      <font>
        <b val="0"/>
        <i/>
        <condense val="0"/>
        <extend val="0"/>
        <color indexed="55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  <fill>
        <patternFill>
          <bgColor indexed="44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14"/>
      </font>
    </dxf>
    <dxf>
      <font>
        <condense val="0"/>
        <extend val="0"/>
        <color indexed="40"/>
      </font>
    </dxf>
    <dxf>
      <font>
        <b/>
        <i val="0"/>
        <condense val="0"/>
        <extend val="0"/>
        <color indexed="14"/>
      </font>
    </dxf>
    <dxf>
      <font>
        <condense val="0"/>
        <extend val="0"/>
        <color indexed="23"/>
      </font>
    </dxf>
    <dxf>
      <font>
        <b/>
        <i val="0"/>
        <condense val="0"/>
        <extend val="0"/>
      </font>
    </dxf>
    <dxf>
      <font>
        <condense val="0"/>
        <extend val="0"/>
        <color indexed="23"/>
      </font>
    </dxf>
    <dxf>
      <font>
        <b/>
        <i val="0"/>
        <condense val="0"/>
        <extend val="0"/>
      </font>
    </dxf>
    <dxf>
      <font>
        <b val="0"/>
        <i/>
        <condense val="0"/>
        <extend val="0"/>
        <color indexed="23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44"/>
      </font>
    </dxf>
    <dxf>
      <font>
        <b/>
        <i val="0"/>
        <condense val="0"/>
        <extend val="0"/>
        <color indexed="10"/>
      </font>
    </dxf>
    <dxf>
      <font>
        <condense val="0"/>
        <extend val="0"/>
        <color indexed="55"/>
      </font>
    </dxf>
    <dxf>
      <font>
        <condense val="0"/>
        <extend val="0"/>
        <color indexed="22"/>
      </font>
    </dxf>
    <dxf>
      <font>
        <b/>
        <i val="0"/>
        <condense val="0"/>
        <extend val="0"/>
        <color indexed="48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47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condense val="0"/>
        <extend val="0"/>
        <color indexed="23"/>
      </font>
    </dxf>
    <dxf>
      <font>
        <b/>
        <i val="0"/>
        <condense val="0"/>
        <extend val="0"/>
        <color indexed="8"/>
      </font>
    </dxf>
    <dxf>
      <font>
        <condense val="0"/>
        <extend val="0"/>
        <color indexed="23"/>
      </font>
    </dxf>
    <dxf>
      <font>
        <b/>
        <i val="0"/>
        <condense val="0"/>
        <extend val="0"/>
      </font>
    </dxf>
    <dxf>
      <font>
        <b val="0"/>
        <i val="0"/>
        <condense val="0"/>
        <extend val="0"/>
        <color indexed="55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48"/>
      </font>
    </dxf>
    <dxf>
      <font>
        <condense val="0"/>
        <extend val="0"/>
        <color indexed="22"/>
      </font>
    </dxf>
    <dxf>
      <font>
        <b/>
        <i val="0"/>
        <condense val="0"/>
        <extend val="0"/>
        <color indexed="63"/>
      </font>
    </dxf>
    <dxf>
      <font>
        <b/>
        <i val="0"/>
        <condense val="0"/>
        <extend val="0"/>
        <color indexed="10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  <color indexed="63"/>
      </font>
    </dxf>
    <dxf>
      <font>
        <b/>
        <i val="0"/>
        <condense val="0"/>
        <extend val="0"/>
        <color indexed="10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  <color indexed="63"/>
      </font>
    </dxf>
    <dxf>
      <font>
        <b/>
        <i val="0"/>
        <condense val="0"/>
        <extend val="0"/>
        <color indexed="10"/>
      </font>
    </dxf>
    <dxf>
      <font>
        <condense val="0"/>
        <extend val="0"/>
        <color indexed="23"/>
      </font>
    </dxf>
    <dxf>
      <font>
        <b/>
        <i val="0"/>
        <condense val="0"/>
        <extend val="0"/>
        <color indexed="49"/>
      </font>
    </dxf>
    <dxf>
      <font>
        <condense val="0"/>
        <extend val="0"/>
        <color indexed="55"/>
      </font>
    </dxf>
    <dxf>
      <font>
        <b/>
        <i val="0"/>
        <condense val="0"/>
        <extend val="0"/>
        <color indexed="22"/>
      </font>
    </dxf>
    <dxf>
      <font>
        <b/>
        <i val="0"/>
        <condense val="0"/>
        <extend val="0"/>
        <color indexed="48"/>
      </font>
    </dxf>
    <dxf>
      <font>
        <b/>
        <i val="0"/>
        <condense val="0"/>
        <extend val="0"/>
        <color indexed="53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  <fill>
        <patternFill>
          <bgColor indexed="47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  <color indexed="48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5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23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40"/>
      </font>
      <fill>
        <patternFill>
          <fgColor indexed="31"/>
          <bgColor indexed="34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  <color indexed="14"/>
      </font>
    </dxf>
    <dxf>
      <font>
        <b/>
        <i val="0"/>
        <condense val="0"/>
        <extend val="0"/>
        <color indexed="40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14"/>
      </font>
    </dxf>
    <dxf>
      <font>
        <b/>
        <i val="0"/>
        <condense val="0"/>
        <extend val="0"/>
        <color indexed="40"/>
      </font>
    </dxf>
    <dxf>
      <font>
        <b/>
        <i val="0"/>
        <condense val="0"/>
        <extend val="0"/>
        <color indexed="14"/>
      </font>
    </dxf>
    <dxf>
      <font>
        <b/>
        <i val="0"/>
        <condense val="0"/>
        <extend val="0"/>
        <color indexed="40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14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  <color indexed="48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5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52"/>
      </font>
      <fill>
        <patternFill>
          <bgColor indexed="43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  <color indexed="17"/>
      </font>
      <fill>
        <patternFill>
          <bgColor indexed="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  <color indexed="52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 val="0"/>
        <i/>
        <condense val="0"/>
        <extend val="0"/>
        <color indexed="55"/>
      </font>
    </dxf>
    <dxf>
      <font>
        <b val="0"/>
        <i/>
        <condense val="0"/>
        <extend val="0"/>
        <color indexed="55"/>
      </font>
    </dxf>
    <dxf>
      <font>
        <condense val="0"/>
        <extend val="0"/>
        <color indexed="40"/>
      </font>
    </dxf>
    <dxf>
      <font>
        <b/>
        <i val="0"/>
        <condense val="0"/>
        <extend val="0"/>
        <color indexed="13"/>
      </font>
      <fill>
        <patternFill>
          <bgColor indexed="22"/>
        </patternFill>
      </fill>
    </dxf>
    <dxf>
      <font>
        <b/>
        <i val="0"/>
        <condense val="0"/>
        <extend val="0"/>
        <color indexed="53"/>
      </font>
      <fill>
        <patternFill>
          <bgColor indexed="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  <color indexed="50"/>
      </font>
      <border>
        <left/>
        <right/>
        <top/>
        <bottom/>
      </border>
    </dxf>
    <dxf>
      <font>
        <b/>
        <i val="0"/>
        <condense val="0"/>
        <extend val="0"/>
        <color indexed="58"/>
      </font>
    </dxf>
    <dxf>
      <font>
        <b/>
        <i val="0"/>
        <condense val="0"/>
        <extend val="0"/>
        <color indexed="12"/>
      </font>
      <fill>
        <patternFill>
          <bgColor indexed="43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  <color indexed="40"/>
      </font>
    </dxf>
    <dxf>
      <font>
        <b/>
        <i val="0"/>
        <condense val="0"/>
        <extend val="0"/>
        <color indexed="14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8"/>
      </font>
    </dxf>
    <dxf>
      <font>
        <b/>
        <i val="0"/>
        <condense val="0"/>
        <extend val="0"/>
        <color indexed="50"/>
      </font>
    </dxf>
    <dxf>
      <font>
        <b/>
        <i val="0"/>
        <condense val="0"/>
        <extend val="0"/>
        <color indexed="58"/>
      </font>
    </dxf>
    <dxf>
      <font>
        <b/>
        <i val="0"/>
        <condense val="0"/>
        <extend val="0"/>
        <color indexed="50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</font>
    </dxf>
    <dxf>
      <font>
        <condense val="0"/>
        <extend val="0"/>
        <color indexed="55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23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47"/>
      </font>
    </dxf>
    <dxf>
      <font>
        <b/>
        <i val="0"/>
        <condense val="0"/>
        <extend val="0"/>
        <color indexed="48"/>
      </font>
    </dxf>
    <dxf>
      <font>
        <b/>
        <i val="0"/>
        <condense val="0"/>
        <extend val="0"/>
        <color indexed="13"/>
      </font>
      <fill>
        <patternFill>
          <bgColor indexed="22"/>
        </patternFill>
      </fill>
    </dxf>
    <dxf>
      <font>
        <b/>
        <i val="0"/>
        <condense val="0"/>
        <extend val="0"/>
        <color indexed="63"/>
      </font>
    </dxf>
    <dxf>
      <font>
        <b/>
        <i val="0"/>
        <condense val="0"/>
        <extend val="0"/>
        <color indexed="8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5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condense val="0"/>
        <extend val="0"/>
        <color indexed="55"/>
      </font>
    </dxf>
    <dxf>
      <font>
        <b/>
        <i val="0"/>
        <condense val="0"/>
        <extend val="0"/>
        <color indexed="48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 val="0"/>
        <i val="0"/>
        <condense val="0"/>
        <extend val="0"/>
        <color indexed="55"/>
      </font>
    </dxf>
    <dxf>
      <font>
        <b/>
        <i val="0"/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53"/>
      </font>
    </dxf>
    <dxf>
      <font>
        <b/>
        <i val="0"/>
        <condense val="0"/>
        <extend val="0"/>
        <color indexed="53"/>
      </font>
    </dxf>
    <dxf>
      <font>
        <condense val="0"/>
        <extend val="0"/>
        <color indexed="23"/>
      </font>
    </dxf>
    <dxf>
      <font>
        <b/>
        <i val="0"/>
        <condense val="0"/>
        <extend val="0"/>
      </font>
    </dxf>
    <dxf>
      <font>
        <condense val="0"/>
        <extend val="0"/>
        <color indexed="23"/>
      </font>
    </dxf>
    <dxf>
      <font>
        <b/>
        <i val="0"/>
        <condense val="0"/>
        <extend val="0"/>
      </font>
    </dxf>
    <dxf>
      <font>
        <b val="0"/>
        <i/>
        <condense val="0"/>
        <extend val="0"/>
        <color indexed="23"/>
      </font>
      <fill>
        <patternFill patternType="none">
          <bgColor indexed="65"/>
        </patternFill>
      </fill>
    </dxf>
    <dxf>
      <font>
        <b val="0"/>
        <i/>
        <condense val="0"/>
        <extend val="0"/>
        <color indexed="55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  <fill>
        <patternFill>
          <bgColor indexed="44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14"/>
      </font>
    </dxf>
    <dxf>
      <font>
        <condense val="0"/>
        <extend val="0"/>
        <color indexed="40"/>
      </font>
    </dxf>
    <dxf>
      <font>
        <b/>
        <i val="0"/>
        <condense val="0"/>
        <extend val="0"/>
        <color indexed="14"/>
      </font>
    </dxf>
    <dxf>
      <font>
        <condense val="0"/>
        <extend val="0"/>
        <color indexed="23"/>
      </font>
    </dxf>
    <dxf>
      <font>
        <b/>
        <i val="0"/>
        <condense val="0"/>
        <extend val="0"/>
      </font>
    </dxf>
    <dxf>
      <font>
        <condense val="0"/>
        <extend val="0"/>
        <color indexed="23"/>
      </font>
    </dxf>
    <dxf>
      <font>
        <b/>
        <i val="0"/>
        <condense val="0"/>
        <extend val="0"/>
      </font>
    </dxf>
    <dxf>
      <font>
        <b val="0"/>
        <i/>
        <condense val="0"/>
        <extend val="0"/>
        <color indexed="23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44"/>
      </font>
    </dxf>
    <dxf>
      <font>
        <b/>
        <i val="0"/>
        <condense val="0"/>
        <extend val="0"/>
        <color indexed="10"/>
      </font>
    </dxf>
    <dxf>
      <font>
        <condense val="0"/>
        <extend val="0"/>
        <color indexed="55"/>
      </font>
    </dxf>
    <dxf>
      <font>
        <condense val="0"/>
        <extend val="0"/>
        <color indexed="22"/>
      </font>
    </dxf>
    <dxf>
      <font>
        <b/>
        <i val="0"/>
        <condense val="0"/>
        <extend val="0"/>
        <color indexed="48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47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condense val="0"/>
        <extend val="0"/>
        <color indexed="23"/>
      </font>
    </dxf>
    <dxf>
      <font>
        <b/>
        <i val="0"/>
        <condense val="0"/>
        <extend val="0"/>
        <color indexed="8"/>
      </font>
    </dxf>
    <dxf>
      <font>
        <condense val="0"/>
        <extend val="0"/>
        <color indexed="23"/>
      </font>
    </dxf>
    <dxf>
      <font>
        <b/>
        <i val="0"/>
        <condense val="0"/>
        <extend val="0"/>
      </font>
    </dxf>
    <dxf>
      <font>
        <b val="0"/>
        <i val="0"/>
        <condense val="0"/>
        <extend val="0"/>
        <color indexed="55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48"/>
      </font>
    </dxf>
    <dxf>
      <font>
        <condense val="0"/>
        <extend val="0"/>
        <color indexed="22"/>
      </font>
    </dxf>
    <dxf>
      <font>
        <b/>
        <i val="0"/>
        <condense val="0"/>
        <extend val="0"/>
        <color indexed="63"/>
      </font>
    </dxf>
    <dxf>
      <font>
        <b/>
        <i val="0"/>
        <condense val="0"/>
        <extend val="0"/>
        <color indexed="10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  <color indexed="63"/>
      </font>
    </dxf>
    <dxf>
      <font>
        <b/>
        <i val="0"/>
        <condense val="0"/>
        <extend val="0"/>
        <color indexed="10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  <color indexed="63"/>
      </font>
    </dxf>
    <dxf>
      <font>
        <b/>
        <i val="0"/>
        <condense val="0"/>
        <extend val="0"/>
        <color indexed="10"/>
      </font>
    </dxf>
    <dxf>
      <font>
        <condense val="0"/>
        <extend val="0"/>
        <color indexed="23"/>
      </font>
    </dxf>
    <dxf>
      <font>
        <b/>
        <i val="0"/>
        <condense val="0"/>
        <extend val="0"/>
        <color indexed="49"/>
      </font>
    </dxf>
    <dxf>
      <font>
        <condense val="0"/>
        <extend val="0"/>
        <color indexed="55"/>
      </font>
    </dxf>
    <dxf>
      <font>
        <b/>
        <i val="0"/>
        <condense val="0"/>
        <extend val="0"/>
        <color indexed="22"/>
      </font>
    </dxf>
    <dxf>
      <font>
        <b/>
        <i val="0"/>
        <condense val="0"/>
        <extend val="0"/>
        <color indexed="48"/>
      </font>
    </dxf>
    <dxf>
      <font>
        <b/>
        <i val="0"/>
        <condense val="0"/>
        <extend val="0"/>
        <color indexed="53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  <fill>
        <patternFill>
          <bgColor indexed="47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  <color indexed="48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5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23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40"/>
      </font>
      <fill>
        <patternFill>
          <fgColor indexed="31"/>
          <bgColor indexed="34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  <color indexed="14"/>
      </font>
    </dxf>
    <dxf>
      <font>
        <b/>
        <i val="0"/>
        <condense val="0"/>
        <extend val="0"/>
        <color indexed="40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14"/>
      </font>
    </dxf>
    <dxf>
      <font>
        <b/>
        <i val="0"/>
        <condense val="0"/>
        <extend val="0"/>
        <color indexed="40"/>
      </font>
    </dxf>
    <dxf>
      <font>
        <b/>
        <i val="0"/>
        <condense val="0"/>
        <extend val="0"/>
        <color indexed="14"/>
      </font>
    </dxf>
    <dxf>
      <font>
        <b/>
        <i val="0"/>
        <condense val="0"/>
        <extend val="0"/>
        <color indexed="40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14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  <color indexed="48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5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52"/>
      </font>
      <fill>
        <patternFill>
          <bgColor indexed="43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  <color indexed="17"/>
      </font>
      <fill>
        <patternFill>
          <bgColor indexed="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  <color indexed="52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 val="0"/>
        <i/>
        <condense val="0"/>
        <extend val="0"/>
        <color indexed="55"/>
      </font>
    </dxf>
    <dxf>
      <font>
        <b val="0"/>
        <i/>
        <condense val="0"/>
        <extend val="0"/>
        <color indexed="55"/>
      </font>
    </dxf>
    <dxf>
      <font>
        <b/>
        <i val="0"/>
        <condense val="0"/>
        <extend val="0"/>
      </font>
    </dxf>
    <dxf>
      <font>
        <condense val="0"/>
        <extend val="0"/>
        <color indexed="40"/>
      </font>
    </dxf>
    <dxf>
      <font>
        <b/>
        <i val="0"/>
        <condense val="0"/>
        <extend val="0"/>
        <color indexed="13"/>
      </font>
      <fill>
        <patternFill>
          <bgColor indexed="22"/>
        </patternFill>
      </fill>
    </dxf>
    <dxf>
      <font>
        <b/>
        <i val="0"/>
        <condense val="0"/>
        <extend val="0"/>
        <color indexed="53"/>
      </font>
      <fill>
        <patternFill>
          <bgColor indexed="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  <color indexed="50"/>
      </font>
      <border>
        <left/>
        <right/>
        <top/>
        <bottom/>
      </border>
    </dxf>
    <dxf>
      <font>
        <b/>
        <i val="0"/>
        <condense val="0"/>
        <extend val="0"/>
        <color indexed="58"/>
      </font>
    </dxf>
    <dxf>
      <font>
        <b/>
        <i val="0"/>
        <condense val="0"/>
        <extend val="0"/>
        <color indexed="12"/>
      </font>
      <fill>
        <patternFill>
          <bgColor indexed="43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  <color indexed="40"/>
      </font>
    </dxf>
    <dxf>
      <font>
        <b/>
        <i val="0"/>
        <condense val="0"/>
        <extend val="0"/>
        <color indexed="14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8"/>
      </font>
    </dxf>
    <dxf>
      <font>
        <b/>
        <i val="0"/>
        <condense val="0"/>
        <extend val="0"/>
        <color indexed="50"/>
      </font>
    </dxf>
    <dxf>
      <font>
        <b/>
        <i val="0"/>
        <condense val="0"/>
        <extend val="0"/>
        <color indexed="58"/>
      </font>
    </dxf>
    <dxf>
      <font>
        <b/>
        <i val="0"/>
        <condense val="0"/>
        <extend val="0"/>
        <color indexed="50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</font>
    </dxf>
    <dxf>
      <font>
        <condense val="0"/>
        <extend val="0"/>
        <color indexed="55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23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47"/>
      </font>
    </dxf>
    <dxf>
      <font>
        <b/>
        <i val="0"/>
        <condense val="0"/>
        <extend val="0"/>
        <color indexed="48"/>
      </font>
    </dxf>
    <dxf>
      <font>
        <b/>
        <i val="0"/>
        <condense val="0"/>
        <extend val="0"/>
        <color indexed="13"/>
      </font>
      <fill>
        <patternFill>
          <bgColor indexed="22"/>
        </patternFill>
      </fill>
    </dxf>
    <dxf>
      <font>
        <b/>
        <i val="0"/>
        <condense val="0"/>
        <extend val="0"/>
        <color indexed="63"/>
      </font>
    </dxf>
    <dxf>
      <font>
        <b/>
        <i val="0"/>
        <condense val="0"/>
        <extend val="0"/>
        <color indexed="8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5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condense val="0"/>
        <extend val="0"/>
        <color indexed="55"/>
      </font>
    </dxf>
    <dxf>
      <font>
        <b/>
        <i val="0"/>
        <condense val="0"/>
        <extend val="0"/>
        <color indexed="48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 val="0"/>
        <i val="0"/>
        <condense val="0"/>
        <extend val="0"/>
        <color indexed="55"/>
      </font>
    </dxf>
    <dxf>
      <font>
        <b/>
        <i val="0"/>
        <condense val="0"/>
        <extend val="0"/>
        <color indexed="10"/>
      </font>
    </dxf>
    <dxf>
      <font>
        <condense val="0"/>
        <extend val="0"/>
        <color indexed="23"/>
      </font>
    </dxf>
    <dxf>
      <font>
        <b/>
        <i val="0"/>
        <condense val="0"/>
        <extend val="0"/>
      </font>
    </dxf>
    <dxf>
      <font>
        <condense val="0"/>
        <extend val="0"/>
        <color indexed="12"/>
      </font>
    </dxf>
    <dxf>
      <font>
        <condense val="0"/>
        <extend val="0"/>
        <color indexed="53"/>
      </font>
    </dxf>
    <dxf>
      <font>
        <b/>
        <i val="0"/>
        <condense val="0"/>
        <extend val="0"/>
        <color indexed="53"/>
      </font>
    </dxf>
    <dxf>
      <font>
        <condense val="0"/>
        <extend val="0"/>
        <color indexed="23"/>
      </font>
    </dxf>
    <dxf>
      <font>
        <b/>
        <i val="0"/>
        <condense val="0"/>
        <extend val="0"/>
      </font>
    </dxf>
    <dxf>
      <font>
        <condense val="0"/>
        <extend val="0"/>
        <color indexed="23"/>
      </font>
    </dxf>
    <dxf>
      <font>
        <b/>
        <i val="0"/>
        <condense val="0"/>
        <extend val="0"/>
      </font>
    </dxf>
    <dxf>
      <font>
        <condense val="0"/>
        <extend val="0"/>
        <color indexed="23"/>
      </font>
    </dxf>
    <dxf>
      <font>
        <b/>
        <i val="0"/>
        <condense val="0"/>
        <extend val="0"/>
      </font>
    </dxf>
    <dxf>
      <font>
        <condense val="0"/>
        <extend val="0"/>
        <color indexed="23"/>
      </font>
    </dxf>
    <dxf>
      <font>
        <b/>
        <i val="0"/>
        <condense val="0"/>
        <extend val="0"/>
      </font>
    </dxf>
    <dxf>
      <font>
        <b val="0"/>
        <i/>
        <condense val="0"/>
        <extend val="0"/>
        <color indexed="23"/>
      </font>
      <fill>
        <patternFill patternType="none">
          <bgColor indexed="65"/>
        </patternFill>
      </fill>
    </dxf>
    <dxf>
      <font>
        <b val="0"/>
        <i/>
        <condense val="0"/>
        <extend val="0"/>
        <color indexed="55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  <fill>
        <patternFill>
          <bgColor indexed="44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14"/>
      </font>
    </dxf>
    <dxf>
      <font>
        <condense val="0"/>
        <extend val="0"/>
        <color indexed="40"/>
      </font>
    </dxf>
    <dxf>
      <font>
        <b/>
        <i val="0"/>
        <condense val="0"/>
        <extend val="0"/>
        <color indexed="14"/>
      </font>
    </dxf>
    <dxf>
      <font>
        <condense val="0"/>
        <extend val="0"/>
        <color indexed="23"/>
      </font>
    </dxf>
    <dxf>
      <font>
        <b/>
        <i val="0"/>
        <condense val="0"/>
        <extend val="0"/>
      </font>
    </dxf>
    <dxf>
      <font>
        <condense val="0"/>
        <extend val="0"/>
        <color indexed="23"/>
      </font>
    </dxf>
    <dxf>
      <font>
        <b/>
        <i val="0"/>
        <condense val="0"/>
        <extend val="0"/>
      </font>
    </dxf>
    <dxf>
      <font>
        <b val="0"/>
        <i/>
        <condense val="0"/>
        <extend val="0"/>
        <color indexed="23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44"/>
      </font>
    </dxf>
    <dxf>
      <font>
        <b/>
        <i val="0"/>
        <condense val="0"/>
        <extend val="0"/>
        <color indexed="10"/>
      </font>
    </dxf>
    <dxf>
      <font>
        <condense val="0"/>
        <extend val="0"/>
        <color indexed="55"/>
      </font>
    </dxf>
    <dxf>
      <font>
        <condense val="0"/>
        <extend val="0"/>
        <color indexed="22"/>
      </font>
    </dxf>
    <dxf>
      <font>
        <b/>
        <i val="0"/>
        <condense val="0"/>
        <extend val="0"/>
        <color indexed="48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47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condense val="0"/>
        <extend val="0"/>
        <color indexed="23"/>
      </font>
    </dxf>
    <dxf>
      <font>
        <b/>
        <i val="0"/>
        <condense val="0"/>
        <extend val="0"/>
        <color indexed="8"/>
      </font>
    </dxf>
    <dxf>
      <font>
        <condense val="0"/>
        <extend val="0"/>
        <color indexed="23"/>
      </font>
    </dxf>
    <dxf>
      <font>
        <b/>
        <i val="0"/>
        <condense val="0"/>
        <extend val="0"/>
      </font>
    </dxf>
    <dxf>
      <font>
        <b val="0"/>
        <i val="0"/>
        <condense val="0"/>
        <extend val="0"/>
        <color indexed="55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48"/>
      </font>
    </dxf>
    <dxf>
      <font>
        <condense val="0"/>
        <extend val="0"/>
        <color indexed="22"/>
      </font>
    </dxf>
    <dxf>
      <font>
        <b/>
        <i val="0"/>
        <condense val="0"/>
        <extend val="0"/>
        <color indexed="63"/>
      </font>
    </dxf>
    <dxf>
      <font>
        <b/>
        <i val="0"/>
        <condense val="0"/>
        <extend val="0"/>
        <color indexed="10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  <color indexed="63"/>
      </font>
    </dxf>
    <dxf>
      <font>
        <b/>
        <i val="0"/>
        <condense val="0"/>
        <extend val="0"/>
        <color indexed="10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  <color indexed="63"/>
      </font>
    </dxf>
    <dxf>
      <font>
        <b/>
        <i val="0"/>
        <condense val="0"/>
        <extend val="0"/>
        <color indexed="10"/>
      </font>
    </dxf>
    <dxf>
      <font>
        <condense val="0"/>
        <extend val="0"/>
        <color indexed="23"/>
      </font>
    </dxf>
    <dxf>
      <font>
        <b/>
        <i val="0"/>
        <condense val="0"/>
        <extend val="0"/>
        <color indexed="49"/>
      </font>
    </dxf>
    <dxf>
      <font>
        <condense val="0"/>
        <extend val="0"/>
        <color indexed="55"/>
      </font>
    </dxf>
    <dxf>
      <font>
        <b/>
        <i val="0"/>
        <condense val="0"/>
        <extend val="0"/>
        <color indexed="22"/>
      </font>
    </dxf>
    <dxf>
      <font>
        <b/>
        <i val="0"/>
        <condense val="0"/>
        <extend val="0"/>
        <color indexed="48"/>
      </font>
    </dxf>
    <dxf>
      <font>
        <b/>
        <i val="0"/>
        <condense val="0"/>
        <extend val="0"/>
        <color indexed="53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  <fill>
        <patternFill>
          <bgColor indexed="47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  <color indexed="48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5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23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40"/>
      </font>
      <fill>
        <patternFill>
          <fgColor indexed="31"/>
          <bgColor indexed="34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  <color indexed="14"/>
      </font>
    </dxf>
    <dxf>
      <font>
        <b/>
        <i val="0"/>
        <condense val="0"/>
        <extend val="0"/>
        <color indexed="40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14"/>
      </font>
    </dxf>
    <dxf>
      <font>
        <b/>
        <i val="0"/>
        <condense val="0"/>
        <extend val="0"/>
        <color indexed="40"/>
      </font>
    </dxf>
    <dxf>
      <font>
        <b/>
        <i val="0"/>
        <condense val="0"/>
        <extend val="0"/>
        <color indexed="14"/>
      </font>
    </dxf>
    <dxf>
      <font>
        <b/>
        <i val="0"/>
        <condense val="0"/>
        <extend val="0"/>
        <color indexed="40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14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  <color indexed="48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5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52"/>
      </font>
      <fill>
        <patternFill>
          <bgColor indexed="43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  <color indexed="17"/>
      </font>
      <fill>
        <patternFill>
          <bgColor indexed="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  <color indexed="52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 val="0"/>
        <i/>
        <condense val="0"/>
        <extend val="0"/>
        <color indexed="55"/>
      </font>
    </dxf>
    <dxf>
      <font>
        <b val="0"/>
        <i/>
        <condense val="0"/>
        <extend val="0"/>
        <color indexed="55"/>
      </font>
    </dxf>
    <dxf>
      <font>
        <condense val="0"/>
        <extend val="0"/>
        <color indexed="40"/>
      </font>
    </dxf>
    <dxf>
      <font>
        <b/>
        <i val="0"/>
        <condense val="0"/>
        <extend val="0"/>
        <color indexed="13"/>
      </font>
      <fill>
        <patternFill>
          <bgColor indexed="22"/>
        </patternFill>
      </fill>
    </dxf>
    <dxf>
      <font>
        <b/>
        <i val="0"/>
        <condense val="0"/>
        <extend val="0"/>
        <color indexed="53"/>
      </font>
      <fill>
        <patternFill>
          <bgColor indexed="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  <color indexed="50"/>
      </font>
      <border>
        <left/>
        <right/>
        <top/>
        <bottom/>
      </border>
    </dxf>
    <dxf>
      <font>
        <b/>
        <i val="0"/>
        <condense val="0"/>
        <extend val="0"/>
        <color indexed="58"/>
      </font>
    </dxf>
    <dxf>
      <font>
        <b/>
        <i val="0"/>
        <condense val="0"/>
        <extend val="0"/>
        <color indexed="12"/>
      </font>
      <fill>
        <patternFill>
          <bgColor indexed="43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  <color indexed="40"/>
      </font>
    </dxf>
    <dxf>
      <font>
        <b/>
        <i val="0"/>
        <condense val="0"/>
        <extend val="0"/>
        <color indexed="14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8"/>
      </font>
    </dxf>
    <dxf>
      <font>
        <b/>
        <i val="0"/>
        <condense val="0"/>
        <extend val="0"/>
        <color indexed="50"/>
      </font>
    </dxf>
    <dxf>
      <font>
        <b/>
        <i val="0"/>
        <condense val="0"/>
        <extend val="0"/>
        <color indexed="58"/>
      </font>
    </dxf>
    <dxf>
      <font>
        <b/>
        <i val="0"/>
        <condense val="0"/>
        <extend val="0"/>
        <color indexed="50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</font>
    </dxf>
    <dxf>
      <font>
        <condense val="0"/>
        <extend val="0"/>
        <color indexed="55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23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47"/>
      </font>
    </dxf>
    <dxf>
      <font>
        <b/>
        <i val="0"/>
        <condense val="0"/>
        <extend val="0"/>
        <color indexed="48"/>
      </font>
    </dxf>
    <dxf>
      <font>
        <b/>
        <i val="0"/>
        <condense val="0"/>
        <extend val="0"/>
        <color indexed="13"/>
      </font>
      <fill>
        <patternFill>
          <bgColor indexed="22"/>
        </patternFill>
      </fill>
    </dxf>
    <dxf>
      <font>
        <b/>
        <i val="0"/>
        <condense val="0"/>
        <extend val="0"/>
        <color indexed="63"/>
      </font>
    </dxf>
    <dxf>
      <font>
        <b/>
        <i val="0"/>
        <condense val="0"/>
        <extend val="0"/>
        <color indexed="8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5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condense val="0"/>
        <extend val="0"/>
        <color indexed="55"/>
      </font>
    </dxf>
    <dxf>
      <font>
        <b/>
        <i val="0"/>
        <condense val="0"/>
        <extend val="0"/>
        <color indexed="48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 val="0"/>
        <i val="0"/>
        <condense val="0"/>
        <extend val="0"/>
        <color indexed="55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55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48"/>
      </font>
      <fill>
        <patternFill patternType="solid">
          <bgColor indexed="27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2"/>
      </font>
    </dxf>
    <dxf>
      <font>
        <condense val="0"/>
        <extend val="0"/>
        <color indexed="12"/>
      </font>
    </dxf>
    <dxf>
      <font>
        <condense val="0"/>
        <extend val="0"/>
        <color indexed="53"/>
      </font>
    </dxf>
    <dxf>
      <font>
        <b/>
        <i val="0"/>
        <condense val="0"/>
        <extend val="0"/>
        <color indexed="53"/>
      </font>
    </dxf>
    <dxf>
      <font>
        <condense val="0"/>
        <extend val="0"/>
        <color indexed="23"/>
      </font>
    </dxf>
    <dxf>
      <font>
        <b/>
        <i val="0"/>
        <condense val="0"/>
        <extend val="0"/>
      </font>
    </dxf>
    <dxf>
      <font>
        <condense val="0"/>
        <extend val="0"/>
        <color indexed="23"/>
      </font>
    </dxf>
    <dxf>
      <font>
        <b/>
        <i val="0"/>
        <condense val="0"/>
        <extend val="0"/>
      </font>
    </dxf>
    <dxf>
      <font>
        <b val="0"/>
        <i/>
        <condense val="0"/>
        <extend val="0"/>
        <color indexed="23"/>
      </font>
      <fill>
        <patternFill patternType="none">
          <bgColor indexed="65"/>
        </patternFill>
      </fill>
    </dxf>
    <dxf>
      <font>
        <b val="0"/>
        <i/>
        <condense val="0"/>
        <extend val="0"/>
        <color indexed="55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  <fill>
        <patternFill>
          <bgColor indexed="44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14"/>
      </font>
    </dxf>
    <dxf>
      <font>
        <condense val="0"/>
        <extend val="0"/>
        <color indexed="40"/>
      </font>
    </dxf>
    <dxf>
      <font>
        <b/>
        <i val="0"/>
        <condense val="0"/>
        <extend val="0"/>
        <color indexed="14"/>
      </font>
    </dxf>
    <dxf>
      <font>
        <condense val="0"/>
        <extend val="0"/>
        <color indexed="23"/>
      </font>
    </dxf>
    <dxf>
      <font>
        <b/>
        <i val="0"/>
        <condense val="0"/>
        <extend val="0"/>
      </font>
    </dxf>
    <dxf>
      <font>
        <condense val="0"/>
        <extend val="0"/>
        <color indexed="23"/>
      </font>
    </dxf>
    <dxf>
      <font>
        <b/>
        <i val="0"/>
        <condense val="0"/>
        <extend val="0"/>
      </font>
    </dxf>
    <dxf>
      <font>
        <b val="0"/>
        <i/>
        <condense val="0"/>
        <extend val="0"/>
        <color indexed="23"/>
      </font>
    </dxf>
    <dxf>
      <font>
        <b val="0"/>
        <i/>
        <condense val="0"/>
        <extend val="0"/>
        <color indexed="55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  <fill>
        <patternFill>
          <bgColor indexed="47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  <color indexed="44"/>
      </font>
    </dxf>
    <dxf>
      <font>
        <b/>
        <i val="0"/>
        <condense val="0"/>
        <extend val="0"/>
        <color indexed="10"/>
      </font>
    </dxf>
    <dxf>
      <font>
        <condense val="0"/>
        <extend val="0"/>
        <color indexed="55"/>
      </font>
    </dxf>
    <dxf>
      <font>
        <condense val="0"/>
        <extend val="0"/>
        <color indexed="22"/>
      </font>
    </dxf>
    <dxf>
      <font>
        <b/>
        <i val="0"/>
        <condense val="0"/>
        <extend val="0"/>
        <color indexed="48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47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7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 sz="14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Temperature / °C   </a:t>
            </a:r>
          </a:p>
        </c:rich>
      </c:tx>
      <c:layout>
        <c:manualLayout>
          <c:xMode val="edge"/>
          <c:yMode val="edge"/>
          <c:x val="0.450704353933713"/>
          <c:y val="2.112676056338028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882432125746363E-2"/>
          <c:y val="7.981229805363535E-2"/>
          <c:w val="0.95774676524787983"/>
          <c:h val="0.86971930673152642"/>
        </c:manualLayout>
      </c:layout>
      <c:lineChart>
        <c:grouping val="standard"/>
        <c:varyColors val="0"/>
        <c:ser>
          <c:idx val="0"/>
          <c:order val="0"/>
          <c:tx>
            <c:v>Min</c:v>
          </c:tx>
          <c:spPr>
            <a:ln w="38100">
              <a:solidFill>
                <a:srgbClr val="0000FF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JAN!$E$4:$E$34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JAN!$F$4:$F$34</c:f>
              <c:numCache>
                <c:formatCode>0.0</c:formatCode>
                <c:ptCount val="31"/>
                <c:pt idx="0">
                  <c:v>3.2</c:v>
                </c:pt>
                <c:pt idx="1">
                  <c:v>1.5</c:v>
                </c:pt>
                <c:pt idx="2">
                  <c:v>-0.9</c:v>
                </c:pt>
                <c:pt idx="3">
                  <c:v>2.6</c:v>
                </c:pt>
                <c:pt idx="4">
                  <c:v>4.0999999999999996</c:v>
                </c:pt>
                <c:pt idx="5">
                  <c:v>1.3</c:v>
                </c:pt>
                <c:pt idx="6">
                  <c:v>0.6</c:v>
                </c:pt>
                <c:pt idx="7">
                  <c:v>2.7</c:v>
                </c:pt>
                <c:pt idx="8">
                  <c:v>1.5</c:v>
                </c:pt>
                <c:pt idx="9">
                  <c:v>-0.7</c:v>
                </c:pt>
                <c:pt idx="10">
                  <c:v>4.0999999999999996</c:v>
                </c:pt>
                <c:pt idx="11">
                  <c:v>4.0999999999999996</c:v>
                </c:pt>
                <c:pt idx="12">
                  <c:v>11.4</c:v>
                </c:pt>
                <c:pt idx="13">
                  <c:v>7.8</c:v>
                </c:pt>
                <c:pt idx="14">
                  <c:v>7.8</c:v>
                </c:pt>
                <c:pt idx="15">
                  <c:v>9.8000000000000007</c:v>
                </c:pt>
                <c:pt idx="16">
                  <c:v>5.6</c:v>
                </c:pt>
                <c:pt idx="17">
                  <c:v>2.8</c:v>
                </c:pt>
                <c:pt idx="18">
                  <c:v>1.2</c:v>
                </c:pt>
                <c:pt idx="19">
                  <c:v>2.6</c:v>
                </c:pt>
                <c:pt idx="20">
                  <c:v>0</c:v>
                </c:pt>
                <c:pt idx="21">
                  <c:v>0.7</c:v>
                </c:pt>
                <c:pt idx="22">
                  <c:v>5.3</c:v>
                </c:pt>
                <c:pt idx="23">
                  <c:v>3.3</c:v>
                </c:pt>
                <c:pt idx="24">
                  <c:v>3.4</c:v>
                </c:pt>
                <c:pt idx="25">
                  <c:v>1.7</c:v>
                </c:pt>
                <c:pt idx="26">
                  <c:v>1.1000000000000001</c:v>
                </c:pt>
                <c:pt idx="27">
                  <c:v>-0.5</c:v>
                </c:pt>
                <c:pt idx="28">
                  <c:v>-0.1</c:v>
                </c:pt>
                <c:pt idx="29">
                  <c:v>-0.4</c:v>
                </c:pt>
                <c:pt idx="30">
                  <c:v>-0.7</c:v>
                </c:pt>
              </c:numCache>
            </c:numRef>
          </c:val>
          <c:smooth val="0"/>
        </c:ser>
        <c:ser>
          <c:idx val="1"/>
          <c:order val="1"/>
          <c:tx>
            <c:v>Max</c:v>
          </c:tx>
          <c:spPr>
            <a:ln w="38100">
              <a:solidFill>
                <a:srgbClr val="FF6600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993300"/>
              </a:solidFill>
              <a:ln>
                <a:solidFill>
                  <a:srgbClr val="993300"/>
                </a:solidFill>
                <a:prstDash val="solid"/>
              </a:ln>
            </c:spPr>
          </c:marker>
          <c:cat>
            <c:numRef>
              <c:f>JAN!$E$4:$E$34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JAN!$G$4:$G$34</c:f>
              <c:numCache>
                <c:formatCode>0.0</c:formatCode>
                <c:ptCount val="31"/>
                <c:pt idx="0">
                  <c:v>6.6</c:v>
                </c:pt>
                <c:pt idx="1">
                  <c:v>3.2</c:v>
                </c:pt>
                <c:pt idx="2">
                  <c:v>3.3</c:v>
                </c:pt>
                <c:pt idx="3">
                  <c:v>5</c:v>
                </c:pt>
                <c:pt idx="4">
                  <c:v>7.1</c:v>
                </c:pt>
                <c:pt idx="5">
                  <c:v>6.8</c:v>
                </c:pt>
                <c:pt idx="6">
                  <c:v>10.1</c:v>
                </c:pt>
                <c:pt idx="7">
                  <c:v>10</c:v>
                </c:pt>
                <c:pt idx="8">
                  <c:v>5.8</c:v>
                </c:pt>
                <c:pt idx="9">
                  <c:v>8.1999999999999993</c:v>
                </c:pt>
                <c:pt idx="10">
                  <c:v>7.3</c:v>
                </c:pt>
                <c:pt idx="11">
                  <c:v>12.1</c:v>
                </c:pt>
                <c:pt idx="12">
                  <c:v>13.3</c:v>
                </c:pt>
                <c:pt idx="13">
                  <c:v>11.7</c:v>
                </c:pt>
                <c:pt idx="14">
                  <c:v>11.2</c:v>
                </c:pt>
                <c:pt idx="15">
                  <c:v>12.3</c:v>
                </c:pt>
                <c:pt idx="16">
                  <c:v>9.8000000000000007</c:v>
                </c:pt>
                <c:pt idx="17">
                  <c:v>6.4</c:v>
                </c:pt>
                <c:pt idx="18">
                  <c:v>6.1</c:v>
                </c:pt>
                <c:pt idx="19">
                  <c:v>5</c:v>
                </c:pt>
                <c:pt idx="20">
                  <c:v>3.9</c:v>
                </c:pt>
                <c:pt idx="21">
                  <c:v>6.1</c:v>
                </c:pt>
                <c:pt idx="22">
                  <c:v>7.2</c:v>
                </c:pt>
                <c:pt idx="23">
                  <c:v>6.8</c:v>
                </c:pt>
                <c:pt idx="24">
                  <c:v>8.1999999999999993</c:v>
                </c:pt>
                <c:pt idx="25">
                  <c:v>7</c:v>
                </c:pt>
                <c:pt idx="26">
                  <c:v>2.6</c:v>
                </c:pt>
                <c:pt idx="27">
                  <c:v>1.2</c:v>
                </c:pt>
                <c:pt idx="28">
                  <c:v>1.3</c:v>
                </c:pt>
                <c:pt idx="29">
                  <c:v>4.0999999999999996</c:v>
                </c:pt>
                <c:pt idx="30">
                  <c:v>3.7</c:v>
                </c:pt>
              </c:numCache>
            </c:numRef>
          </c:val>
          <c:smooth val="0"/>
        </c:ser>
        <c:ser>
          <c:idx val="7"/>
          <c:order val="2"/>
          <c:tx>
            <c:v>Cumulative Min</c:v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x"/>
            <c:size val="2"/>
            <c:spPr>
              <a:noFill/>
              <a:ln>
                <a:solidFill>
                  <a:srgbClr val="0000FF"/>
                </a:solidFill>
                <a:prstDash val="solid"/>
              </a:ln>
            </c:spPr>
          </c:marker>
          <c:cat>
            <c:numRef>
              <c:f>JAN!$E$4:$E$34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JAN!$P$91:$P$121</c:f>
              <c:numCache>
                <c:formatCode>0.0</c:formatCode>
                <c:ptCount val="31"/>
                <c:pt idx="0">
                  <c:v>3.2</c:v>
                </c:pt>
                <c:pt idx="1">
                  <c:v>2.35</c:v>
                </c:pt>
                <c:pt idx="2">
                  <c:v>1.2666666666666668</c:v>
                </c:pt>
                <c:pt idx="3">
                  <c:v>1.6</c:v>
                </c:pt>
                <c:pt idx="4">
                  <c:v>2.1</c:v>
                </c:pt>
                <c:pt idx="5">
                  <c:v>1.9666666666666668</c:v>
                </c:pt>
                <c:pt idx="6">
                  <c:v>1.7714285714285716</c:v>
                </c:pt>
                <c:pt idx="7">
                  <c:v>1.8875000000000002</c:v>
                </c:pt>
                <c:pt idx="8">
                  <c:v>1.8444444444444446</c:v>
                </c:pt>
                <c:pt idx="9">
                  <c:v>1.5900000000000003</c:v>
                </c:pt>
                <c:pt idx="10">
                  <c:v>1.8181818181818181</c:v>
                </c:pt>
                <c:pt idx="11">
                  <c:v>2.0083333333333333</c:v>
                </c:pt>
                <c:pt idx="12">
                  <c:v>2.7307692307692308</c:v>
                </c:pt>
                <c:pt idx="13">
                  <c:v>3.0928571428571425</c:v>
                </c:pt>
                <c:pt idx="14">
                  <c:v>3.4066666666666663</c:v>
                </c:pt>
                <c:pt idx="15">
                  <c:v>3.8062499999999995</c:v>
                </c:pt>
                <c:pt idx="16">
                  <c:v>3.9117647058823519</c:v>
                </c:pt>
                <c:pt idx="17">
                  <c:v>3.8499999999999992</c:v>
                </c:pt>
                <c:pt idx="18">
                  <c:v>3.710526315789473</c:v>
                </c:pt>
                <c:pt idx="19">
                  <c:v>3.6549999999999989</c:v>
                </c:pt>
                <c:pt idx="20">
                  <c:v>3.4809523809523801</c:v>
                </c:pt>
                <c:pt idx="21">
                  <c:v>3.3545454545454536</c:v>
                </c:pt>
                <c:pt idx="22">
                  <c:v>3.4391304347826077</c:v>
                </c:pt>
                <c:pt idx="23">
                  <c:v>3.4333333333333322</c:v>
                </c:pt>
                <c:pt idx="24">
                  <c:v>3.4319999999999995</c:v>
                </c:pt>
                <c:pt idx="25">
                  <c:v>3.365384615384615</c:v>
                </c:pt>
                <c:pt idx="26">
                  <c:v>3.2814814814814808</c:v>
                </c:pt>
                <c:pt idx="27">
                  <c:v>3.1464285714285709</c:v>
                </c:pt>
                <c:pt idx="28">
                  <c:v>3.0344827586206891</c:v>
                </c:pt>
                <c:pt idx="29">
                  <c:v>2.9199999999999995</c:v>
                </c:pt>
                <c:pt idx="30">
                  <c:v>2.803225806451612</c:v>
                </c:pt>
              </c:numCache>
            </c:numRef>
          </c:val>
          <c:smooth val="0"/>
        </c:ser>
        <c:ser>
          <c:idx val="6"/>
          <c:order val="3"/>
          <c:tx>
            <c:v>Cumulative Max</c:v>
          </c:tx>
          <c:spPr>
            <a:ln w="12700">
              <a:solidFill>
                <a:srgbClr val="FF9900"/>
              </a:solidFill>
              <a:prstDash val="solid"/>
            </a:ln>
          </c:spPr>
          <c:marker>
            <c:symbol val="plus"/>
            <c:size val="2"/>
            <c:spPr>
              <a:noFill/>
              <a:ln>
                <a:solidFill>
                  <a:srgbClr val="FF6600"/>
                </a:solidFill>
                <a:prstDash val="solid"/>
              </a:ln>
            </c:spPr>
          </c:marker>
          <c:cat>
            <c:numRef>
              <c:f>JAN!$E$4:$E$34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JAN!$Q$91:$Q$121</c:f>
              <c:numCache>
                <c:formatCode>0.0</c:formatCode>
                <c:ptCount val="31"/>
                <c:pt idx="0">
                  <c:v>6.6</c:v>
                </c:pt>
                <c:pt idx="1">
                  <c:v>4.9000000000000004</c:v>
                </c:pt>
                <c:pt idx="2">
                  <c:v>4.3666666666666671</c:v>
                </c:pt>
                <c:pt idx="3">
                  <c:v>4.5250000000000004</c:v>
                </c:pt>
                <c:pt idx="4">
                  <c:v>5.0400000000000009</c:v>
                </c:pt>
                <c:pt idx="5">
                  <c:v>5.333333333333333</c:v>
                </c:pt>
                <c:pt idx="6">
                  <c:v>6.0142857142857142</c:v>
                </c:pt>
                <c:pt idx="7">
                  <c:v>6.5125000000000002</c:v>
                </c:pt>
                <c:pt idx="8">
                  <c:v>6.4333333333333336</c:v>
                </c:pt>
                <c:pt idx="9">
                  <c:v>6.6099999999999994</c:v>
                </c:pt>
                <c:pt idx="10">
                  <c:v>6.672727272727272</c:v>
                </c:pt>
                <c:pt idx="11">
                  <c:v>7.1249999999999991</c:v>
                </c:pt>
                <c:pt idx="12">
                  <c:v>7.5999999999999988</c:v>
                </c:pt>
                <c:pt idx="13">
                  <c:v>7.8928571428571415</c:v>
                </c:pt>
                <c:pt idx="14">
                  <c:v>8.1133333333333333</c:v>
                </c:pt>
                <c:pt idx="15">
                  <c:v>8.375</c:v>
                </c:pt>
                <c:pt idx="16">
                  <c:v>8.4588235294117649</c:v>
                </c:pt>
                <c:pt idx="17">
                  <c:v>8.344444444444445</c:v>
                </c:pt>
                <c:pt idx="18">
                  <c:v>8.2263157894736842</c:v>
                </c:pt>
                <c:pt idx="19">
                  <c:v>8.0650000000000013</c:v>
                </c:pt>
                <c:pt idx="20">
                  <c:v>7.8666666666666671</c:v>
                </c:pt>
                <c:pt idx="21">
                  <c:v>7.786363636363637</c:v>
                </c:pt>
                <c:pt idx="22">
                  <c:v>7.7608695652173916</c:v>
                </c:pt>
                <c:pt idx="23">
                  <c:v>7.7208333333333341</c:v>
                </c:pt>
                <c:pt idx="24">
                  <c:v>7.74</c:v>
                </c:pt>
                <c:pt idx="25">
                  <c:v>7.7115384615384617</c:v>
                </c:pt>
                <c:pt idx="26">
                  <c:v>7.5222222222222221</c:v>
                </c:pt>
                <c:pt idx="27">
                  <c:v>7.2964285714285708</c:v>
                </c:pt>
                <c:pt idx="28">
                  <c:v>7.0896551724137931</c:v>
                </c:pt>
                <c:pt idx="29">
                  <c:v>6.9899999999999993</c:v>
                </c:pt>
                <c:pt idx="30">
                  <c:v>6.8838709677419345</c:v>
                </c:pt>
              </c:numCache>
            </c:numRef>
          </c:val>
          <c:smooth val="0"/>
        </c:ser>
        <c:ser>
          <c:idx val="9"/>
          <c:order val="6"/>
          <c:tx>
            <c:v>E (Min)</c:v>
          </c:tx>
          <c:spPr>
            <a:ln w="25400">
              <a:solidFill>
                <a:srgbClr val="00CCFF"/>
              </a:solidFill>
              <a:prstDash val="lgDash"/>
            </a:ln>
          </c:spPr>
          <c:marker>
            <c:symbol val="star"/>
            <c:size val="2"/>
            <c:spPr>
              <a:noFill/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JAN!$E$4:$E$34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JAN!$F$91:$F$121</c:f>
              <c:numCache>
                <c:formatCode>0.0</c:formatCode>
                <c:ptCount val="31"/>
                <c:pt idx="0">
                  <c:v>2.6</c:v>
                </c:pt>
                <c:pt idx="1">
                  <c:v>2.58</c:v>
                </c:pt>
                <c:pt idx="2">
                  <c:v>2.56</c:v>
                </c:pt>
                <c:pt idx="3">
                  <c:v>2.54</c:v>
                </c:pt>
                <c:pt idx="4">
                  <c:v>2.52</c:v>
                </c:pt>
                <c:pt idx="5">
                  <c:v>2.5</c:v>
                </c:pt>
                <c:pt idx="6">
                  <c:v>2.4700000000000002</c:v>
                </c:pt>
                <c:pt idx="7">
                  <c:v>2.4500000000000002</c:v>
                </c:pt>
                <c:pt idx="8">
                  <c:v>2.4300000000000002</c:v>
                </c:pt>
                <c:pt idx="9">
                  <c:v>2.41</c:v>
                </c:pt>
                <c:pt idx="10">
                  <c:v>2.4</c:v>
                </c:pt>
                <c:pt idx="11">
                  <c:v>2.4</c:v>
                </c:pt>
                <c:pt idx="12">
                  <c:v>2.4</c:v>
                </c:pt>
                <c:pt idx="13">
                  <c:v>2.4</c:v>
                </c:pt>
                <c:pt idx="14">
                  <c:v>2.4</c:v>
                </c:pt>
                <c:pt idx="15">
                  <c:v>2.4</c:v>
                </c:pt>
                <c:pt idx="16">
                  <c:v>2.4</c:v>
                </c:pt>
                <c:pt idx="17">
                  <c:v>2.4</c:v>
                </c:pt>
                <c:pt idx="18">
                  <c:v>2.2999999999999998</c:v>
                </c:pt>
                <c:pt idx="19">
                  <c:v>2.2999999999999998</c:v>
                </c:pt>
                <c:pt idx="20">
                  <c:v>2.2999999999999998</c:v>
                </c:pt>
                <c:pt idx="21">
                  <c:v>2.2999999999999998</c:v>
                </c:pt>
                <c:pt idx="22">
                  <c:v>2.2999999999999998</c:v>
                </c:pt>
                <c:pt idx="23">
                  <c:v>2.2999999999999998</c:v>
                </c:pt>
                <c:pt idx="24">
                  <c:v>2.2999999999999998</c:v>
                </c:pt>
                <c:pt idx="25">
                  <c:v>2.2999999999999998</c:v>
                </c:pt>
                <c:pt idx="26">
                  <c:v>2.2999999999999998</c:v>
                </c:pt>
                <c:pt idx="27">
                  <c:v>2.2999999999999998</c:v>
                </c:pt>
                <c:pt idx="28">
                  <c:v>2.4</c:v>
                </c:pt>
                <c:pt idx="29">
                  <c:v>2.4</c:v>
                </c:pt>
                <c:pt idx="30">
                  <c:v>2.4</c:v>
                </c:pt>
              </c:numCache>
            </c:numRef>
          </c:val>
          <c:smooth val="0"/>
        </c:ser>
        <c:ser>
          <c:idx val="8"/>
          <c:order val="7"/>
          <c:tx>
            <c:v>E (Max)</c:v>
          </c:tx>
          <c:spPr>
            <a:ln w="25400">
              <a:solidFill>
                <a:srgbClr val="FFCC00"/>
              </a:solidFill>
              <a:prstDash val="lgDash"/>
            </a:ln>
          </c:spPr>
          <c:marker>
            <c:symbol val="diamond"/>
            <c:size val="2"/>
            <c:spPr>
              <a:noFill/>
              <a:ln>
                <a:solidFill>
                  <a:srgbClr val="FFCC00"/>
                </a:solidFill>
                <a:prstDash val="solid"/>
              </a:ln>
            </c:spPr>
          </c:marker>
          <c:cat>
            <c:numRef>
              <c:f>JAN!$E$4:$E$34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JAN!$G$91:$G$121</c:f>
              <c:numCache>
                <c:formatCode>0.0</c:formatCode>
                <c:ptCount val="31"/>
                <c:pt idx="0">
                  <c:v>7.03</c:v>
                </c:pt>
                <c:pt idx="1">
                  <c:v>7.03</c:v>
                </c:pt>
                <c:pt idx="2">
                  <c:v>7.03</c:v>
                </c:pt>
                <c:pt idx="3">
                  <c:v>7.03</c:v>
                </c:pt>
                <c:pt idx="4">
                  <c:v>7.03</c:v>
                </c:pt>
                <c:pt idx="5">
                  <c:v>7.03</c:v>
                </c:pt>
                <c:pt idx="6">
                  <c:v>7.03</c:v>
                </c:pt>
                <c:pt idx="7">
                  <c:v>7.03</c:v>
                </c:pt>
                <c:pt idx="8">
                  <c:v>7.03</c:v>
                </c:pt>
                <c:pt idx="9">
                  <c:v>7.03</c:v>
                </c:pt>
                <c:pt idx="10">
                  <c:v>7.03</c:v>
                </c:pt>
                <c:pt idx="11">
                  <c:v>7.03</c:v>
                </c:pt>
                <c:pt idx="12">
                  <c:v>7.03</c:v>
                </c:pt>
                <c:pt idx="13">
                  <c:v>7.03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6.97</c:v>
                </c:pt>
                <c:pt idx="21">
                  <c:v>6.97</c:v>
                </c:pt>
                <c:pt idx="22">
                  <c:v>6.97</c:v>
                </c:pt>
                <c:pt idx="23">
                  <c:v>6.97</c:v>
                </c:pt>
                <c:pt idx="24">
                  <c:v>6.97</c:v>
                </c:pt>
                <c:pt idx="25">
                  <c:v>6.97</c:v>
                </c:pt>
                <c:pt idx="26">
                  <c:v>6.97</c:v>
                </c:pt>
                <c:pt idx="27">
                  <c:v>6.97</c:v>
                </c:pt>
                <c:pt idx="28">
                  <c:v>6.97</c:v>
                </c:pt>
                <c:pt idx="29">
                  <c:v>6.97</c:v>
                </c:pt>
                <c:pt idx="30">
                  <c:v>7.03</c:v>
                </c:pt>
              </c:numCache>
            </c:numRef>
          </c:val>
          <c:smooth val="0"/>
        </c:ser>
        <c:ser>
          <c:idx val="4"/>
          <c:order val="8"/>
          <c:tx>
            <c:v>E (Mean)</c:v>
          </c:tx>
          <c:spPr>
            <a:ln w="25400">
              <a:solidFill>
                <a:srgbClr val="CC99FF"/>
              </a:solidFill>
              <a:prstDash val="lgDash"/>
            </a:ln>
          </c:spPr>
          <c:marker>
            <c:symbol val="square"/>
            <c:size val="2"/>
            <c:spPr>
              <a:noFill/>
              <a:ln w="9525">
                <a:noFill/>
              </a:ln>
            </c:spPr>
          </c:marker>
          <c:cat>
            <c:numRef>
              <c:f>JAN!$E$4:$E$34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JAN!$H$91:$H$121</c:f>
              <c:numCache>
                <c:formatCode>0.0</c:formatCode>
                <c:ptCount val="31"/>
                <c:pt idx="0">
                  <c:v>4.8150000000000004</c:v>
                </c:pt>
                <c:pt idx="1">
                  <c:v>4.8049999999999997</c:v>
                </c:pt>
                <c:pt idx="2">
                  <c:v>4.7949999999999999</c:v>
                </c:pt>
                <c:pt idx="3">
                  <c:v>4.7850000000000001</c:v>
                </c:pt>
                <c:pt idx="4">
                  <c:v>4.7750000000000004</c:v>
                </c:pt>
                <c:pt idx="5">
                  <c:v>4.7650000000000006</c:v>
                </c:pt>
                <c:pt idx="6">
                  <c:v>4.75</c:v>
                </c:pt>
                <c:pt idx="7">
                  <c:v>4.74</c:v>
                </c:pt>
                <c:pt idx="8">
                  <c:v>4.7300000000000004</c:v>
                </c:pt>
                <c:pt idx="9">
                  <c:v>4.7200000000000006</c:v>
                </c:pt>
                <c:pt idx="10">
                  <c:v>4.7149999999999999</c:v>
                </c:pt>
                <c:pt idx="11">
                  <c:v>4.7149999999999999</c:v>
                </c:pt>
                <c:pt idx="12">
                  <c:v>4.7149999999999999</c:v>
                </c:pt>
                <c:pt idx="13">
                  <c:v>4.7149999999999999</c:v>
                </c:pt>
                <c:pt idx="14">
                  <c:v>4.7</c:v>
                </c:pt>
                <c:pt idx="15">
                  <c:v>4.7</c:v>
                </c:pt>
                <c:pt idx="16">
                  <c:v>4.7</c:v>
                </c:pt>
                <c:pt idx="17">
                  <c:v>4.7</c:v>
                </c:pt>
                <c:pt idx="18">
                  <c:v>4.6500000000000004</c:v>
                </c:pt>
                <c:pt idx="19">
                  <c:v>4.6500000000000004</c:v>
                </c:pt>
                <c:pt idx="20">
                  <c:v>4.6349999999999998</c:v>
                </c:pt>
                <c:pt idx="21">
                  <c:v>4.6349999999999998</c:v>
                </c:pt>
                <c:pt idx="22">
                  <c:v>4.6349999999999998</c:v>
                </c:pt>
                <c:pt idx="23">
                  <c:v>4.6349999999999998</c:v>
                </c:pt>
                <c:pt idx="24">
                  <c:v>4.6349999999999998</c:v>
                </c:pt>
                <c:pt idx="25">
                  <c:v>4.6349999999999998</c:v>
                </c:pt>
                <c:pt idx="26">
                  <c:v>4.6349999999999998</c:v>
                </c:pt>
                <c:pt idx="27">
                  <c:v>4.6349999999999998</c:v>
                </c:pt>
                <c:pt idx="28">
                  <c:v>4.6849999999999996</c:v>
                </c:pt>
                <c:pt idx="29">
                  <c:v>4.6849999999999996</c:v>
                </c:pt>
                <c:pt idx="30">
                  <c:v>4.7149999999999999</c:v>
                </c:pt>
              </c:numCache>
            </c:numRef>
          </c:val>
          <c:smooth val="1"/>
        </c:ser>
        <c:ser>
          <c:idx val="14"/>
          <c:order val="10"/>
          <c:tx>
            <c:v>Freezing Level</c:v>
          </c:tx>
          <c:spPr>
            <a:ln w="38100">
              <a:solidFill>
                <a:srgbClr val="000080"/>
              </a:solidFill>
              <a:prstDash val="sysDash"/>
            </a:ln>
          </c:spPr>
          <c:marker>
            <c:symbol val="none"/>
          </c:marker>
          <c:cat>
            <c:numRef>
              <c:f>JAN!$E$4:$E$34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JAN!$T$4:$T$34</c:f>
              <c:numCache>
                <c:formatCode>0.0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25984"/>
        <c:axId val="33627520"/>
      </c:lineChart>
      <c:lineChart>
        <c:grouping val="standard"/>
        <c:varyColors val="0"/>
        <c:ser>
          <c:idx val="3"/>
          <c:order val="4"/>
          <c:tx>
            <c:v>Range</c:v>
          </c:tx>
          <c:spPr>
            <a:ln w="38100">
              <a:solidFill>
                <a:srgbClr val="339966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cat>
            <c:numRef>
              <c:f>JAN!$E$4:$E$34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JAN!$K$91:$K$121</c:f>
              <c:numCache>
                <c:formatCode>0.0</c:formatCode>
                <c:ptCount val="31"/>
                <c:pt idx="0">
                  <c:v>3.3999999999999995</c:v>
                </c:pt>
                <c:pt idx="1">
                  <c:v>1.7000000000000002</c:v>
                </c:pt>
                <c:pt idx="2">
                  <c:v>4.2</c:v>
                </c:pt>
                <c:pt idx="3">
                  <c:v>2.4</c:v>
                </c:pt>
                <c:pt idx="4">
                  <c:v>3</c:v>
                </c:pt>
                <c:pt idx="5">
                  <c:v>5.5</c:v>
                </c:pt>
                <c:pt idx="6">
                  <c:v>9.5</c:v>
                </c:pt>
                <c:pt idx="7">
                  <c:v>7.3</c:v>
                </c:pt>
                <c:pt idx="8">
                  <c:v>4.3</c:v>
                </c:pt>
                <c:pt idx="9">
                  <c:v>8.8999999999999986</c:v>
                </c:pt>
                <c:pt idx="10">
                  <c:v>3.2</c:v>
                </c:pt>
                <c:pt idx="11">
                  <c:v>8</c:v>
                </c:pt>
                <c:pt idx="12">
                  <c:v>1.9000000000000004</c:v>
                </c:pt>
                <c:pt idx="13">
                  <c:v>3.8999999999999995</c:v>
                </c:pt>
                <c:pt idx="14">
                  <c:v>3.3999999999999995</c:v>
                </c:pt>
                <c:pt idx="15">
                  <c:v>2.5</c:v>
                </c:pt>
                <c:pt idx="16">
                  <c:v>4.2000000000000011</c:v>
                </c:pt>
                <c:pt idx="17">
                  <c:v>3.6000000000000005</c:v>
                </c:pt>
                <c:pt idx="18">
                  <c:v>4.8999999999999995</c:v>
                </c:pt>
                <c:pt idx="19">
                  <c:v>2.4</c:v>
                </c:pt>
                <c:pt idx="20">
                  <c:v>3.9</c:v>
                </c:pt>
                <c:pt idx="21">
                  <c:v>5.3999999999999995</c:v>
                </c:pt>
                <c:pt idx="22">
                  <c:v>1.9000000000000004</c:v>
                </c:pt>
                <c:pt idx="23">
                  <c:v>3.5</c:v>
                </c:pt>
                <c:pt idx="24">
                  <c:v>4.7999999999999989</c:v>
                </c:pt>
                <c:pt idx="25">
                  <c:v>5.3</c:v>
                </c:pt>
                <c:pt idx="26">
                  <c:v>1.5</c:v>
                </c:pt>
                <c:pt idx="27">
                  <c:v>1.7</c:v>
                </c:pt>
                <c:pt idx="28">
                  <c:v>1.4000000000000001</c:v>
                </c:pt>
                <c:pt idx="29">
                  <c:v>4.5</c:v>
                </c:pt>
                <c:pt idx="30">
                  <c:v>4.4000000000000004</c:v>
                </c:pt>
              </c:numCache>
            </c:numRef>
          </c:val>
          <c:smooth val="0"/>
        </c:ser>
        <c:ser>
          <c:idx val="12"/>
          <c:order val="5"/>
          <c:tx>
            <c:v>Cumulative Range</c:v>
          </c:tx>
          <c:spPr>
            <a:ln w="12700">
              <a:solidFill>
                <a:srgbClr val="008000"/>
              </a:solidFill>
              <a:prstDash val="solid"/>
            </a:ln>
          </c:spPr>
          <c:marker>
            <c:symbol val="none"/>
          </c:marker>
          <c:cat>
            <c:numRef>
              <c:f>JAN!$E$4:$E$34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JAN!$S$91:$S$121</c:f>
              <c:numCache>
                <c:formatCode>0.0</c:formatCode>
                <c:ptCount val="31"/>
                <c:pt idx="0">
                  <c:v>3.3999999999999995</c:v>
                </c:pt>
                <c:pt idx="1">
                  <c:v>2.5499999999999998</c:v>
                </c:pt>
                <c:pt idx="2">
                  <c:v>3.1</c:v>
                </c:pt>
                <c:pt idx="3">
                  <c:v>2.9250000000000003</c:v>
                </c:pt>
                <c:pt idx="4">
                  <c:v>2.9400000000000004</c:v>
                </c:pt>
                <c:pt idx="5">
                  <c:v>3.3666666666666671</c:v>
                </c:pt>
                <c:pt idx="6">
                  <c:v>4.2428571428571429</c:v>
                </c:pt>
                <c:pt idx="7">
                  <c:v>4.625</c:v>
                </c:pt>
                <c:pt idx="8">
                  <c:v>4.5888888888888886</c:v>
                </c:pt>
                <c:pt idx="9">
                  <c:v>5.0199999999999996</c:v>
                </c:pt>
                <c:pt idx="10">
                  <c:v>4.8545454545454545</c:v>
                </c:pt>
                <c:pt idx="11">
                  <c:v>5.1166666666666663</c:v>
                </c:pt>
                <c:pt idx="12">
                  <c:v>4.8692307692307688</c:v>
                </c:pt>
                <c:pt idx="13">
                  <c:v>4.8</c:v>
                </c:pt>
                <c:pt idx="14">
                  <c:v>4.706666666666667</c:v>
                </c:pt>
                <c:pt idx="15">
                  <c:v>4.5687500000000005</c:v>
                </c:pt>
                <c:pt idx="16">
                  <c:v>4.5470588235294125</c:v>
                </c:pt>
                <c:pt idx="17">
                  <c:v>4.4944444444444445</c:v>
                </c:pt>
                <c:pt idx="18">
                  <c:v>4.5157894736842108</c:v>
                </c:pt>
                <c:pt idx="19">
                  <c:v>4.410000000000001</c:v>
                </c:pt>
                <c:pt idx="20">
                  <c:v>4.385714285714287</c:v>
                </c:pt>
                <c:pt idx="21">
                  <c:v>4.4318181818181834</c:v>
                </c:pt>
                <c:pt idx="22">
                  <c:v>4.3217391304347839</c:v>
                </c:pt>
                <c:pt idx="23">
                  <c:v>4.2875000000000014</c:v>
                </c:pt>
                <c:pt idx="24">
                  <c:v>4.3080000000000016</c:v>
                </c:pt>
                <c:pt idx="25">
                  <c:v>4.3461538461538476</c:v>
                </c:pt>
                <c:pt idx="26">
                  <c:v>4.2407407407407414</c:v>
                </c:pt>
                <c:pt idx="27">
                  <c:v>4.1500000000000012</c:v>
                </c:pt>
                <c:pt idx="28">
                  <c:v>4.0551724137931044</c:v>
                </c:pt>
                <c:pt idx="29">
                  <c:v>4.0700000000000012</c:v>
                </c:pt>
                <c:pt idx="30">
                  <c:v>4.0806451612903238</c:v>
                </c:pt>
              </c:numCache>
            </c:numRef>
          </c:val>
          <c:smooth val="0"/>
        </c:ser>
        <c:ser>
          <c:idx val="11"/>
          <c:order val="9"/>
          <c:tx>
            <c:v>E (Range)</c:v>
          </c:tx>
          <c:spPr>
            <a:ln w="25400">
              <a:solidFill>
                <a:srgbClr val="00FF00"/>
              </a:solidFill>
              <a:prstDash val="lgDash"/>
            </a:ln>
          </c:spPr>
          <c:marker>
            <c:symbol val="none"/>
          </c:marker>
          <c:cat>
            <c:numRef>
              <c:f>JAN!$E$4:$E$34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JAN!$I$91:$I$121</c:f>
              <c:numCache>
                <c:formatCode>0.0</c:formatCode>
                <c:ptCount val="31"/>
                <c:pt idx="0">
                  <c:v>4.43</c:v>
                </c:pt>
                <c:pt idx="1">
                  <c:v>4.45</c:v>
                </c:pt>
                <c:pt idx="2">
                  <c:v>4.4700000000000006</c:v>
                </c:pt>
                <c:pt idx="3">
                  <c:v>4.49</c:v>
                </c:pt>
                <c:pt idx="4">
                  <c:v>4.51</c:v>
                </c:pt>
                <c:pt idx="5">
                  <c:v>4.53</c:v>
                </c:pt>
                <c:pt idx="6">
                  <c:v>4.5600000000000005</c:v>
                </c:pt>
                <c:pt idx="7">
                  <c:v>4.58</c:v>
                </c:pt>
                <c:pt idx="8">
                  <c:v>4.5999999999999996</c:v>
                </c:pt>
                <c:pt idx="9">
                  <c:v>4.62</c:v>
                </c:pt>
                <c:pt idx="10">
                  <c:v>4.6300000000000008</c:v>
                </c:pt>
                <c:pt idx="11">
                  <c:v>4.6300000000000008</c:v>
                </c:pt>
                <c:pt idx="12">
                  <c:v>4.6300000000000008</c:v>
                </c:pt>
                <c:pt idx="13">
                  <c:v>4.6300000000000008</c:v>
                </c:pt>
                <c:pt idx="14">
                  <c:v>4.5999999999999996</c:v>
                </c:pt>
                <c:pt idx="15">
                  <c:v>4.5999999999999996</c:v>
                </c:pt>
                <c:pt idx="16">
                  <c:v>4.5999999999999996</c:v>
                </c:pt>
                <c:pt idx="17">
                  <c:v>4.5999999999999996</c:v>
                </c:pt>
                <c:pt idx="18">
                  <c:v>4.7</c:v>
                </c:pt>
                <c:pt idx="19">
                  <c:v>4.7</c:v>
                </c:pt>
                <c:pt idx="20">
                  <c:v>4.67</c:v>
                </c:pt>
                <c:pt idx="21">
                  <c:v>4.67</c:v>
                </c:pt>
                <c:pt idx="22">
                  <c:v>4.67</c:v>
                </c:pt>
                <c:pt idx="23">
                  <c:v>4.67</c:v>
                </c:pt>
                <c:pt idx="24">
                  <c:v>4.67</c:v>
                </c:pt>
                <c:pt idx="25">
                  <c:v>4.67</c:v>
                </c:pt>
                <c:pt idx="26">
                  <c:v>4.67</c:v>
                </c:pt>
                <c:pt idx="27">
                  <c:v>4.67</c:v>
                </c:pt>
                <c:pt idx="28">
                  <c:v>4.57</c:v>
                </c:pt>
                <c:pt idx="29">
                  <c:v>4.57</c:v>
                </c:pt>
                <c:pt idx="30">
                  <c:v>4.6300000000000008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49792"/>
        <c:axId val="33651328"/>
      </c:lineChart>
      <c:catAx>
        <c:axId val="33625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3627520"/>
        <c:crossesAt val="-10"/>
        <c:auto val="1"/>
        <c:lblAlgn val="ctr"/>
        <c:lblOffset val="100"/>
        <c:tickLblSkip val="1"/>
        <c:tickMarkSkip val="1"/>
        <c:noMultiLvlLbl val="0"/>
      </c:catAx>
      <c:valAx>
        <c:axId val="33627520"/>
        <c:scaling>
          <c:orientation val="minMax"/>
          <c:max val="14"/>
          <c:min val="-4"/>
        </c:scaling>
        <c:delete val="0"/>
        <c:axPos val="l"/>
        <c:majorGridlines>
          <c:spPr>
            <a:ln w="12700">
              <a:solidFill>
                <a:srgbClr val="333333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3625984"/>
        <c:crosses val="autoZero"/>
        <c:crossBetween val="between"/>
        <c:majorUnit val="2"/>
      </c:valAx>
      <c:catAx>
        <c:axId val="336497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3651328"/>
        <c:crosses val="autoZero"/>
        <c:auto val="1"/>
        <c:lblAlgn val="ctr"/>
        <c:lblOffset val="100"/>
        <c:noMultiLvlLbl val="0"/>
      </c:catAx>
      <c:valAx>
        <c:axId val="33651328"/>
        <c:scaling>
          <c:orientation val="minMax"/>
          <c:max val="45"/>
          <c:min val="0"/>
        </c:scaling>
        <c:delete val="0"/>
        <c:axPos val="r"/>
        <c:numFmt formatCode="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3649792"/>
        <c:crosses val="max"/>
        <c:crossBetween val="between"/>
        <c:majorUnit val="5"/>
      </c:valAx>
      <c:spPr>
        <a:solidFill>
          <a:srgbClr val="969696"/>
        </a:solidFill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7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 horizontalDpi="-3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Relative Humidity / %</a:t>
            </a:r>
          </a:p>
        </c:rich>
      </c:tx>
      <c:layout>
        <c:manualLayout>
          <c:xMode val="edge"/>
          <c:yMode val="edge"/>
          <c:x val="0.44022072348252606"/>
          <c:y val="2.603550295857988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429797670141016E-2"/>
          <c:y val="9.1124260355029588E-2"/>
          <c:w val="0.94788473329245859"/>
          <c:h val="0.85798816568047342"/>
        </c:manualLayout>
      </c:layout>
      <c:lineChart>
        <c:grouping val="standard"/>
        <c:varyColors val="0"/>
        <c:ser>
          <c:idx val="2"/>
          <c:order val="0"/>
          <c:tx>
            <c:v>Max</c:v>
          </c:tx>
          <c:spPr>
            <a:ln w="38100">
              <a:solidFill>
                <a:srgbClr val="008000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003300"/>
              </a:solidFill>
              <a:ln>
                <a:solidFill>
                  <a:srgbClr val="003300"/>
                </a:solidFill>
                <a:prstDash val="solid"/>
              </a:ln>
            </c:spPr>
          </c:marker>
          <c:cat>
            <c:numRef>
              <c:f>JAN!$E$4:$E$34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JAN!$L$4:$L$34</c:f>
              <c:numCache>
                <c:formatCode>0</c:formatCode>
                <c:ptCount val="31"/>
                <c:pt idx="0">
                  <c:v>95</c:v>
                </c:pt>
                <c:pt idx="1">
                  <c:v>88</c:v>
                </c:pt>
                <c:pt idx="2">
                  <c:v>87</c:v>
                </c:pt>
                <c:pt idx="3">
                  <c:v>87</c:v>
                </c:pt>
                <c:pt idx="4">
                  <c:v>95</c:v>
                </c:pt>
                <c:pt idx="5">
                  <c:v>98</c:v>
                </c:pt>
                <c:pt idx="6">
                  <c:v>98</c:v>
                </c:pt>
                <c:pt idx="7">
                  <c:v>96</c:v>
                </c:pt>
                <c:pt idx="8">
                  <c:v>90</c:v>
                </c:pt>
                <c:pt idx="9">
                  <c:v>96</c:v>
                </c:pt>
                <c:pt idx="10">
                  <c:v>97</c:v>
                </c:pt>
                <c:pt idx="11">
                  <c:v>98</c:v>
                </c:pt>
                <c:pt idx="12">
                  <c:v>98</c:v>
                </c:pt>
                <c:pt idx="13">
                  <c:v>95</c:v>
                </c:pt>
                <c:pt idx="14">
                  <c:v>94</c:v>
                </c:pt>
                <c:pt idx="15">
                  <c:v>95</c:v>
                </c:pt>
                <c:pt idx="16">
                  <c:v>97</c:v>
                </c:pt>
                <c:pt idx="17">
                  <c:v>97</c:v>
                </c:pt>
                <c:pt idx="18">
                  <c:v>97</c:v>
                </c:pt>
                <c:pt idx="19">
                  <c:v>95</c:v>
                </c:pt>
                <c:pt idx="20">
                  <c:v>95</c:v>
                </c:pt>
                <c:pt idx="21">
                  <c:v>97</c:v>
                </c:pt>
                <c:pt idx="22">
                  <c:v>96</c:v>
                </c:pt>
                <c:pt idx="23">
                  <c:v>94</c:v>
                </c:pt>
                <c:pt idx="24">
                  <c:v>95</c:v>
                </c:pt>
                <c:pt idx="25">
                  <c:v>97</c:v>
                </c:pt>
                <c:pt idx="26">
                  <c:v>78</c:v>
                </c:pt>
                <c:pt idx="27">
                  <c:v>76</c:v>
                </c:pt>
                <c:pt idx="28">
                  <c:v>77</c:v>
                </c:pt>
                <c:pt idx="29">
                  <c:v>81</c:v>
                </c:pt>
                <c:pt idx="30">
                  <c:v>80</c:v>
                </c:pt>
              </c:numCache>
            </c:numRef>
          </c:val>
          <c:smooth val="0"/>
        </c:ser>
        <c:ser>
          <c:idx val="1"/>
          <c:order val="1"/>
          <c:tx>
            <c:v>Min</c:v>
          </c:tx>
          <c:spPr>
            <a:ln w="38100">
              <a:solidFill>
                <a:srgbClr val="FF9900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FF6600"/>
              </a:solidFill>
              <a:ln>
                <a:solidFill>
                  <a:srgbClr val="FF6600"/>
                </a:solidFill>
                <a:prstDash val="solid"/>
              </a:ln>
            </c:spPr>
          </c:marker>
          <c:cat>
            <c:numRef>
              <c:f>JAN!$E$4:$E$34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JAN!$K$4:$K$34</c:f>
              <c:numCache>
                <c:formatCode>0</c:formatCode>
                <c:ptCount val="31"/>
                <c:pt idx="0">
                  <c:v>84</c:v>
                </c:pt>
                <c:pt idx="1">
                  <c:v>77</c:v>
                </c:pt>
                <c:pt idx="2">
                  <c:v>65</c:v>
                </c:pt>
                <c:pt idx="3">
                  <c:v>75</c:v>
                </c:pt>
                <c:pt idx="4">
                  <c:v>65</c:v>
                </c:pt>
                <c:pt idx="5">
                  <c:v>94</c:v>
                </c:pt>
                <c:pt idx="6">
                  <c:v>93</c:v>
                </c:pt>
                <c:pt idx="7">
                  <c:v>68</c:v>
                </c:pt>
                <c:pt idx="8">
                  <c:v>66</c:v>
                </c:pt>
                <c:pt idx="9">
                  <c:v>73</c:v>
                </c:pt>
                <c:pt idx="10">
                  <c:v>73</c:v>
                </c:pt>
                <c:pt idx="11">
                  <c:v>79</c:v>
                </c:pt>
                <c:pt idx="12">
                  <c:v>90</c:v>
                </c:pt>
                <c:pt idx="13">
                  <c:v>85</c:v>
                </c:pt>
                <c:pt idx="14">
                  <c:v>74</c:v>
                </c:pt>
                <c:pt idx="15">
                  <c:v>74</c:v>
                </c:pt>
                <c:pt idx="16">
                  <c:v>85</c:v>
                </c:pt>
                <c:pt idx="17">
                  <c:v>76</c:v>
                </c:pt>
                <c:pt idx="18">
                  <c:v>84</c:v>
                </c:pt>
                <c:pt idx="19">
                  <c:v>86</c:v>
                </c:pt>
                <c:pt idx="20">
                  <c:v>74</c:v>
                </c:pt>
                <c:pt idx="21">
                  <c:v>83</c:v>
                </c:pt>
                <c:pt idx="22">
                  <c:v>83</c:v>
                </c:pt>
                <c:pt idx="23">
                  <c:v>72</c:v>
                </c:pt>
                <c:pt idx="24">
                  <c:v>83</c:v>
                </c:pt>
                <c:pt idx="25">
                  <c:v>77</c:v>
                </c:pt>
                <c:pt idx="26">
                  <c:v>57</c:v>
                </c:pt>
                <c:pt idx="27">
                  <c:v>58</c:v>
                </c:pt>
                <c:pt idx="28">
                  <c:v>73</c:v>
                </c:pt>
                <c:pt idx="29">
                  <c:v>64</c:v>
                </c:pt>
                <c:pt idx="30">
                  <c:v>67</c:v>
                </c:pt>
              </c:numCache>
            </c:numRef>
          </c:val>
          <c:smooth val="0"/>
        </c:ser>
        <c:ser>
          <c:idx val="3"/>
          <c:order val="2"/>
          <c:tx>
            <c:v>Mean</c:v>
          </c:tx>
          <c:spPr>
            <a:ln w="38100">
              <a:solidFill>
                <a:srgbClr val="993366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800080"/>
              </a:solidFill>
              <a:ln>
                <a:solidFill>
                  <a:srgbClr val="800080"/>
                </a:solidFill>
                <a:prstDash val="solid"/>
              </a:ln>
            </c:spPr>
          </c:marker>
          <c:cat>
            <c:numRef>
              <c:f>JAN!$E$4:$E$34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JAN!$BF$91:$BF$121</c:f>
              <c:numCache>
                <c:formatCode>0</c:formatCode>
                <c:ptCount val="31"/>
                <c:pt idx="0">
                  <c:v>89</c:v>
                </c:pt>
                <c:pt idx="1">
                  <c:v>84</c:v>
                </c:pt>
                <c:pt idx="2">
                  <c:v>76</c:v>
                </c:pt>
                <c:pt idx="3">
                  <c:v>82</c:v>
                </c:pt>
                <c:pt idx="4">
                  <c:v>83</c:v>
                </c:pt>
                <c:pt idx="5">
                  <c:v>95</c:v>
                </c:pt>
                <c:pt idx="6">
                  <c:v>97</c:v>
                </c:pt>
                <c:pt idx="7">
                  <c:v>83</c:v>
                </c:pt>
                <c:pt idx="8">
                  <c:v>80</c:v>
                </c:pt>
                <c:pt idx="9">
                  <c:v>86</c:v>
                </c:pt>
                <c:pt idx="10">
                  <c:v>84</c:v>
                </c:pt>
                <c:pt idx="11">
                  <c:v>93</c:v>
                </c:pt>
                <c:pt idx="12">
                  <c:v>95</c:v>
                </c:pt>
                <c:pt idx="13">
                  <c:v>92</c:v>
                </c:pt>
                <c:pt idx="14">
                  <c:v>82</c:v>
                </c:pt>
                <c:pt idx="15">
                  <c:v>84</c:v>
                </c:pt>
                <c:pt idx="16">
                  <c:v>93</c:v>
                </c:pt>
                <c:pt idx="17">
                  <c:v>90</c:v>
                </c:pt>
                <c:pt idx="18">
                  <c:v>91</c:v>
                </c:pt>
                <c:pt idx="19">
                  <c:v>90</c:v>
                </c:pt>
                <c:pt idx="20">
                  <c:v>86</c:v>
                </c:pt>
                <c:pt idx="21">
                  <c:v>91</c:v>
                </c:pt>
                <c:pt idx="22">
                  <c:v>91</c:v>
                </c:pt>
                <c:pt idx="23">
                  <c:v>86</c:v>
                </c:pt>
                <c:pt idx="24">
                  <c:v>91</c:v>
                </c:pt>
                <c:pt idx="25">
                  <c:v>92</c:v>
                </c:pt>
                <c:pt idx="26">
                  <c:v>68</c:v>
                </c:pt>
                <c:pt idx="27">
                  <c:v>64</c:v>
                </c:pt>
                <c:pt idx="28">
                  <c:v>74</c:v>
                </c:pt>
                <c:pt idx="29">
                  <c:v>75</c:v>
                </c:pt>
                <c:pt idx="30">
                  <c:v>74</c:v>
                </c:pt>
              </c:numCache>
            </c:numRef>
          </c:val>
          <c:smooth val="0"/>
        </c:ser>
        <c:ser>
          <c:idx val="5"/>
          <c:order val="5"/>
          <c:tx>
            <c:v>Cumulative Mean</c:v>
          </c:tx>
          <c:spPr>
            <a:ln w="12700">
              <a:solidFill>
                <a:srgbClr val="CC99FF"/>
              </a:solidFill>
              <a:prstDash val="solid"/>
            </a:ln>
          </c:spPr>
          <c:marker>
            <c:symbol val="none"/>
          </c:marker>
          <c:cat>
            <c:numRef>
              <c:f>JAN!$E$4:$E$34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JAN!$O$91:$O$121</c:f>
              <c:numCache>
                <c:formatCode>0.0</c:formatCode>
                <c:ptCount val="31"/>
                <c:pt idx="0">
                  <c:v>89</c:v>
                </c:pt>
                <c:pt idx="1">
                  <c:v>86.5</c:v>
                </c:pt>
                <c:pt idx="2">
                  <c:v>83</c:v>
                </c:pt>
                <c:pt idx="3">
                  <c:v>82.75</c:v>
                </c:pt>
                <c:pt idx="4">
                  <c:v>82.8</c:v>
                </c:pt>
                <c:pt idx="5">
                  <c:v>84.833333333333329</c:v>
                </c:pt>
                <c:pt idx="6">
                  <c:v>86.571428571428569</c:v>
                </c:pt>
                <c:pt idx="7">
                  <c:v>86.125</c:v>
                </c:pt>
                <c:pt idx="8">
                  <c:v>85.444444444444443</c:v>
                </c:pt>
                <c:pt idx="9">
                  <c:v>85.5</c:v>
                </c:pt>
                <c:pt idx="10">
                  <c:v>85.36363636363636</c:v>
                </c:pt>
                <c:pt idx="11">
                  <c:v>86</c:v>
                </c:pt>
                <c:pt idx="12">
                  <c:v>86.692307692307693</c:v>
                </c:pt>
                <c:pt idx="13">
                  <c:v>87.071428571428569</c:v>
                </c:pt>
                <c:pt idx="14">
                  <c:v>86.733333333333334</c:v>
                </c:pt>
                <c:pt idx="15">
                  <c:v>86.5625</c:v>
                </c:pt>
                <c:pt idx="16">
                  <c:v>86.941176470588232</c:v>
                </c:pt>
                <c:pt idx="17">
                  <c:v>87.111111111111114</c:v>
                </c:pt>
                <c:pt idx="18">
                  <c:v>87.315789473684205</c:v>
                </c:pt>
                <c:pt idx="19">
                  <c:v>87.45</c:v>
                </c:pt>
                <c:pt idx="20">
                  <c:v>87.38095238095238</c:v>
                </c:pt>
                <c:pt idx="21">
                  <c:v>87.545454545454547</c:v>
                </c:pt>
                <c:pt idx="22">
                  <c:v>87.695652173913047</c:v>
                </c:pt>
                <c:pt idx="23">
                  <c:v>87.625</c:v>
                </c:pt>
                <c:pt idx="24">
                  <c:v>87.76</c:v>
                </c:pt>
                <c:pt idx="25">
                  <c:v>87.92307692307692</c:v>
                </c:pt>
                <c:pt idx="26">
                  <c:v>87.18518518518519</c:v>
                </c:pt>
                <c:pt idx="27">
                  <c:v>86.357142857142861</c:v>
                </c:pt>
                <c:pt idx="28">
                  <c:v>85.931034482758619</c:v>
                </c:pt>
                <c:pt idx="29">
                  <c:v>85.566666666666663</c:v>
                </c:pt>
                <c:pt idx="30">
                  <c:v>85.193548387096769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506560"/>
        <c:axId val="115512448"/>
      </c:lineChart>
      <c:lineChart>
        <c:grouping val="standard"/>
        <c:varyColors val="0"/>
        <c:ser>
          <c:idx val="0"/>
          <c:order val="3"/>
          <c:tx>
            <c:v>Range</c:v>
          </c:tx>
          <c:spPr>
            <a:ln w="25400">
              <a:solidFill>
                <a:srgbClr val="00FF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339966"/>
              </a:solidFill>
              <a:ln>
                <a:solidFill>
                  <a:srgbClr val="339966"/>
                </a:solidFill>
                <a:prstDash val="solid"/>
              </a:ln>
            </c:spPr>
          </c:marker>
          <c:cat>
            <c:numRef>
              <c:f>JAN!$E$4:$E$34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JAN!$A$91:$A$121</c:f>
              <c:numCache>
                <c:formatCode>0</c:formatCode>
                <c:ptCount val="31"/>
                <c:pt idx="0">
                  <c:v>11</c:v>
                </c:pt>
                <c:pt idx="1">
                  <c:v>11</c:v>
                </c:pt>
                <c:pt idx="2">
                  <c:v>22</c:v>
                </c:pt>
                <c:pt idx="3">
                  <c:v>12</c:v>
                </c:pt>
                <c:pt idx="4">
                  <c:v>30</c:v>
                </c:pt>
                <c:pt idx="5">
                  <c:v>4</c:v>
                </c:pt>
                <c:pt idx="6">
                  <c:v>5</c:v>
                </c:pt>
                <c:pt idx="7">
                  <c:v>28</c:v>
                </c:pt>
                <c:pt idx="8">
                  <c:v>24</c:v>
                </c:pt>
                <c:pt idx="9">
                  <c:v>23</c:v>
                </c:pt>
                <c:pt idx="10">
                  <c:v>24</c:v>
                </c:pt>
                <c:pt idx="11">
                  <c:v>19</c:v>
                </c:pt>
                <c:pt idx="12">
                  <c:v>8</c:v>
                </c:pt>
                <c:pt idx="13">
                  <c:v>10</c:v>
                </c:pt>
                <c:pt idx="14">
                  <c:v>20</c:v>
                </c:pt>
                <c:pt idx="15">
                  <c:v>21</c:v>
                </c:pt>
                <c:pt idx="16">
                  <c:v>12</c:v>
                </c:pt>
                <c:pt idx="17">
                  <c:v>21</c:v>
                </c:pt>
                <c:pt idx="18">
                  <c:v>13</c:v>
                </c:pt>
                <c:pt idx="19">
                  <c:v>9</c:v>
                </c:pt>
                <c:pt idx="20">
                  <c:v>21</c:v>
                </c:pt>
                <c:pt idx="21">
                  <c:v>14</c:v>
                </c:pt>
                <c:pt idx="22">
                  <c:v>13</c:v>
                </c:pt>
                <c:pt idx="23">
                  <c:v>22</c:v>
                </c:pt>
                <c:pt idx="24">
                  <c:v>12</c:v>
                </c:pt>
                <c:pt idx="25">
                  <c:v>20</c:v>
                </c:pt>
                <c:pt idx="26">
                  <c:v>21</c:v>
                </c:pt>
                <c:pt idx="27">
                  <c:v>18</c:v>
                </c:pt>
                <c:pt idx="28">
                  <c:v>4</c:v>
                </c:pt>
                <c:pt idx="29">
                  <c:v>17</c:v>
                </c:pt>
                <c:pt idx="30">
                  <c:v>13</c:v>
                </c:pt>
              </c:numCache>
            </c:numRef>
          </c:val>
          <c:smooth val="0"/>
        </c:ser>
        <c:ser>
          <c:idx val="4"/>
          <c:order val="4"/>
          <c:tx>
            <c:v>Rainfall</c:v>
          </c:tx>
          <c:spPr>
            <a:ln w="25400">
              <a:solidFill>
                <a:srgbClr val="33CCCC"/>
              </a:solidFill>
              <a:prstDash val="solid"/>
            </a:ln>
          </c:spPr>
          <c:marker>
            <c:symbol val="none"/>
          </c:marker>
          <c:cat>
            <c:numRef>
              <c:f>JAN!$E$4:$E$34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JAN!$Z$4:$Z$34</c:f>
              <c:numCache>
                <c:formatCode>0.0</c:formatCode>
                <c:ptCount val="31"/>
                <c:pt idx="0">
                  <c:v>0.1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0.8</c:v>
                </c:pt>
                <c:pt idx="5">
                  <c:v>10.1</c:v>
                </c:pt>
                <c:pt idx="6">
                  <c:v>9</c:v>
                </c:pt>
                <c:pt idx="7">
                  <c:v>3.5</c:v>
                </c:pt>
                <c:pt idx="8">
                  <c:v>0</c:v>
                </c:pt>
                <c:pt idx="9">
                  <c:v>0.5</c:v>
                </c:pt>
                <c:pt idx="10">
                  <c:v>6.8</c:v>
                </c:pt>
                <c:pt idx="11">
                  <c:v>6.3</c:v>
                </c:pt>
                <c:pt idx="12">
                  <c:v>3</c:v>
                </c:pt>
                <c:pt idx="13">
                  <c:v>5.5</c:v>
                </c:pt>
                <c:pt idx="14">
                  <c:v>0</c:v>
                </c:pt>
                <c:pt idx="15">
                  <c:v>1.4</c:v>
                </c:pt>
                <c:pt idx="16">
                  <c:v>16.100000000000001</c:v>
                </c:pt>
                <c:pt idx="17">
                  <c:v>7.6</c:v>
                </c:pt>
                <c:pt idx="18">
                  <c:v>0</c:v>
                </c:pt>
                <c:pt idx="19">
                  <c:v>0.1</c:v>
                </c:pt>
                <c:pt idx="20">
                  <c:v>0.3</c:v>
                </c:pt>
                <c:pt idx="21">
                  <c:v>0.3</c:v>
                </c:pt>
                <c:pt idx="22">
                  <c:v>0</c:v>
                </c:pt>
                <c:pt idx="23">
                  <c:v>0.3</c:v>
                </c:pt>
                <c:pt idx="24">
                  <c:v>0.8</c:v>
                </c:pt>
                <c:pt idx="25">
                  <c:v>0.5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513984"/>
        <c:axId val="115519872"/>
      </c:lineChart>
      <c:catAx>
        <c:axId val="1155065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5512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5512448"/>
        <c:scaling>
          <c:orientation val="minMax"/>
          <c:max val="100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5506560"/>
        <c:crosses val="autoZero"/>
        <c:crossBetween val="between"/>
        <c:majorUnit val="20"/>
      </c:valAx>
      <c:catAx>
        <c:axId val="115513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5519872"/>
        <c:crosses val="autoZero"/>
        <c:auto val="1"/>
        <c:lblAlgn val="ctr"/>
        <c:lblOffset val="100"/>
        <c:noMultiLvlLbl val="0"/>
      </c:catAx>
      <c:valAx>
        <c:axId val="115519872"/>
        <c:scaling>
          <c:orientation val="minMax"/>
          <c:max val="100"/>
          <c:min val="0"/>
        </c:scaling>
        <c:delete val="0"/>
        <c:axPos val="r"/>
        <c:numFmt formatCode="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5513984"/>
        <c:crosses val="max"/>
        <c:crossBetween val="between"/>
        <c:majorUnit val="20"/>
      </c:valAx>
      <c:spPr>
        <a:solidFill>
          <a:srgbClr val="969696"/>
        </a:solidFill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6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Pressure / hPa</a:t>
            </a:r>
          </a:p>
        </c:rich>
      </c:tx>
      <c:layout>
        <c:manualLayout>
          <c:xMode val="edge"/>
          <c:yMode val="edge"/>
          <c:x val="0.45677498467198036"/>
          <c:y val="1.858304297328687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94788473329246E-2"/>
          <c:y val="8.2462346724315294E-2"/>
          <c:w val="0.94665849172286942"/>
          <c:h val="0.8675968028600497"/>
        </c:manualLayout>
      </c:layout>
      <c:lineChart>
        <c:grouping val="standard"/>
        <c:varyColors val="0"/>
        <c:ser>
          <c:idx val="5"/>
          <c:order val="0"/>
          <c:tx>
            <c:v>Cum. Mean</c:v>
          </c:tx>
          <c:spPr>
            <a:ln w="12700">
              <a:solidFill>
                <a:srgbClr val="993366"/>
              </a:solidFill>
              <a:prstDash val="solid"/>
            </a:ln>
          </c:spPr>
          <c:marker>
            <c:symbol val="square"/>
            <c:size val="2"/>
            <c:spPr>
              <a:noFill/>
              <a:ln>
                <a:solidFill>
                  <a:srgbClr val="808080"/>
                </a:solidFill>
                <a:prstDash val="solid"/>
              </a:ln>
            </c:spPr>
          </c:marker>
          <c:cat>
            <c:numRef>
              <c:f>JAN!$E$4:$E$34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JAN!$AD$91:$AD$121</c:f>
              <c:numCache>
                <c:formatCode>0</c:formatCode>
                <c:ptCount val="31"/>
                <c:pt idx="0">
                  <c:v>1025</c:v>
                </c:pt>
                <c:pt idx="1">
                  <c:v>1026.5</c:v>
                </c:pt>
                <c:pt idx="2">
                  <c:v>1025.1666666666667</c:v>
                </c:pt>
                <c:pt idx="3">
                  <c:v>1022.25</c:v>
                </c:pt>
                <c:pt idx="4">
                  <c:v>1018.1</c:v>
                </c:pt>
                <c:pt idx="5">
                  <c:v>1014.75</c:v>
                </c:pt>
                <c:pt idx="6">
                  <c:v>1012.6428578571429</c:v>
                </c:pt>
                <c:pt idx="7">
                  <c:v>1010.625000625</c:v>
                </c:pt>
                <c:pt idx="8">
                  <c:v>1010.7222227777778</c:v>
                </c:pt>
                <c:pt idx="9">
                  <c:v>1010.6500005</c:v>
                </c:pt>
                <c:pt idx="10">
                  <c:v>1010.3181822727273</c:v>
                </c:pt>
                <c:pt idx="11">
                  <c:v>1010.5416670833333</c:v>
                </c:pt>
                <c:pt idx="12">
                  <c:v>1010.5000003846154</c:v>
                </c:pt>
                <c:pt idx="13">
                  <c:v>1010.5714289285714</c:v>
                </c:pt>
                <c:pt idx="14">
                  <c:v>1010.9000003333333</c:v>
                </c:pt>
                <c:pt idx="15">
                  <c:v>1011.2812503125</c:v>
                </c:pt>
                <c:pt idx="16">
                  <c:v>1011.705882647059</c:v>
                </c:pt>
                <c:pt idx="17">
                  <c:v>1012.5277780555557</c:v>
                </c:pt>
                <c:pt idx="18">
                  <c:v>1013.6578950000001</c:v>
                </c:pt>
                <c:pt idx="19">
                  <c:v>1014.80000025</c:v>
                </c:pt>
                <c:pt idx="20">
                  <c:v>1015.9523814285716</c:v>
                </c:pt>
                <c:pt idx="21">
                  <c:v>1016.9318186363638</c:v>
                </c:pt>
                <c:pt idx="22">
                  <c:v>1017.6739134782611</c:v>
                </c:pt>
                <c:pt idx="23">
                  <c:v>1018.1458337500002</c:v>
                </c:pt>
                <c:pt idx="24">
                  <c:v>1018.1000004000001</c:v>
                </c:pt>
                <c:pt idx="25">
                  <c:v>1017.9038465384617</c:v>
                </c:pt>
                <c:pt idx="26">
                  <c:v>1018.0370374074075</c:v>
                </c:pt>
                <c:pt idx="27">
                  <c:v>1018.2321432142859</c:v>
                </c:pt>
                <c:pt idx="28">
                  <c:v>1018.3965520689657</c:v>
                </c:pt>
                <c:pt idx="29">
                  <c:v>1018.5666670000002</c:v>
                </c:pt>
                <c:pt idx="30">
                  <c:v>1018.790322903226</c:v>
                </c:pt>
              </c:numCache>
            </c:numRef>
          </c:val>
          <c:smooth val="0"/>
        </c:ser>
        <c:ser>
          <c:idx val="1"/>
          <c:order val="1"/>
          <c:tx>
            <c:v>Max</c:v>
          </c:tx>
          <c:spPr>
            <a:ln w="38100">
              <a:solidFill>
                <a:srgbClr val="00CCFF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cat>
            <c:numRef>
              <c:f>JAN!$E$4:$E$34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JAN!$Q$4:$Q$34</c:f>
              <c:numCache>
                <c:formatCode>0</c:formatCode>
                <c:ptCount val="31"/>
                <c:pt idx="0">
                  <c:v>1027</c:v>
                </c:pt>
                <c:pt idx="1">
                  <c:v>1029</c:v>
                </c:pt>
                <c:pt idx="2">
                  <c:v>1027</c:v>
                </c:pt>
                <c:pt idx="3">
                  <c:v>1019</c:v>
                </c:pt>
                <c:pt idx="4">
                  <c:v>1008</c:v>
                </c:pt>
                <c:pt idx="5">
                  <c:v>1003</c:v>
                </c:pt>
                <c:pt idx="6">
                  <c:v>1003.00001</c:v>
                </c:pt>
                <c:pt idx="7">
                  <c:v>1005</c:v>
                </c:pt>
                <c:pt idx="8">
                  <c:v>1018</c:v>
                </c:pt>
                <c:pt idx="9">
                  <c:v>1018</c:v>
                </c:pt>
                <c:pt idx="10">
                  <c:v>1017</c:v>
                </c:pt>
                <c:pt idx="11">
                  <c:v>1017</c:v>
                </c:pt>
                <c:pt idx="12">
                  <c:v>1011</c:v>
                </c:pt>
                <c:pt idx="13">
                  <c:v>1015</c:v>
                </c:pt>
                <c:pt idx="14">
                  <c:v>1017</c:v>
                </c:pt>
                <c:pt idx="15">
                  <c:v>1018</c:v>
                </c:pt>
                <c:pt idx="16">
                  <c:v>1021</c:v>
                </c:pt>
                <c:pt idx="17">
                  <c:v>1033</c:v>
                </c:pt>
                <c:pt idx="18">
                  <c:v>1035</c:v>
                </c:pt>
                <c:pt idx="19">
                  <c:v>1038</c:v>
                </c:pt>
                <c:pt idx="20">
                  <c:v>1040.00001</c:v>
                </c:pt>
                <c:pt idx="21">
                  <c:v>1040</c:v>
                </c:pt>
                <c:pt idx="22">
                  <c:v>1035</c:v>
                </c:pt>
                <c:pt idx="23">
                  <c:v>1034</c:v>
                </c:pt>
                <c:pt idx="24">
                  <c:v>1024</c:v>
                </c:pt>
                <c:pt idx="25">
                  <c:v>1018</c:v>
                </c:pt>
                <c:pt idx="26">
                  <c:v>1025</c:v>
                </c:pt>
                <c:pt idx="27">
                  <c:v>1025</c:v>
                </c:pt>
                <c:pt idx="28">
                  <c:v>1024</c:v>
                </c:pt>
                <c:pt idx="29">
                  <c:v>1025</c:v>
                </c:pt>
                <c:pt idx="30">
                  <c:v>1026</c:v>
                </c:pt>
              </c:numCache>
            </c:numRef>
          </c:val>
          <c:smooth val="0"/>
        </c:ser>
        <c:ser>
          <c:idx val="2"/>
          <c:order val="2"/>
          <c:tx>
            <c:v>Mean</c:v>
          </c:tx>
          <c:spPr>
            <a:ln w="25400">
              <a:solidFill>
                <a:srgbClr val="800080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666699"/>
              </a:solidFill>
              <a:ln>
                <a:solidFill>
                  <a:srgbClr val="666699"/>
                </a:solidFill>
                <a:prstDash val="solid"/>
              </a:ln>
            </c:spPr>
          </c:marker>
          <c:cat>
            <c:numRef>
              <c:f>JAN!$E$4:$E$34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JAN!$AK$91:$AK$121</c:f>
              <c:numCache>
                <c:formatCode>0</c:formatCode>
                <c:ptCount val="31"/>
                <c:pt idx="0">
                  <c:v>1025</c:v>
                </c:pt>
                <c:pt idx="1">
                  <c:v>1028</c:v>
                </c:pt>
                <c:pt idx="2">
                  <c:v>1022.5</c:v>
                </c:pt>
                <c:pt idx="3">
                  <c:v>1013.5</c:v>
                </c:pt>
                <c:pt idx="4">
                  <c:v>1001.5</c:v>
                </c:pt>
                <c:pt idx="5">
                  <c:v>998</c:v>
                </c:pt>
                <c:pt idx="6">
                  <c:v>1000.000005</c:v>
                </c:pt>
                <c:pt idx="7">
                  <c:v>996.5</c:v>
                </c:pt>
                <c:pt idx="8">
                  <c:v>1011.5</c:v>
                </c:pt>
                <c:pt idx="9">
                  <c:v>1010</c:v>
                </c:pt>
                <c:pt idx="10">
                  <c:v>1007</c:v>
                </c:pt>
                <c:pt idx="11">
                  <c:v>1013</c:v>
                </c:pt>
                <c:pt idx="12">
                  <c:v>1010</c:v>
                </c:pt>
                <c:pt idx="13">
                  <c:v>1011.5</c:v>
                </c:pt>
                <c:pt idx="14">
                  <c:v>1015.5</c:v>
                </c:pt>
                <c:pt idx="15">
                  <c:v>1017</c:v>
                </c:pt>
                <c:pt idx="16">
                  <c:v>1018.5</c:v>
                </c:pt>
                <c:pt idx="17">
                  <c:v>1026.5</c:v>
                </c:pt>
                <c:pt idx="18">
                  <c:v>1034</c:v>
                </c:pt>
                <c:pt idx="19">
                  <c:v>1036.5</c:v>
                </c:pt>
                <c:pt idx="20">
                  <c:v>1039.0000049999999</c:v>
                </c:pt>
                <c:pt idx="21">
                  <c:v>1037.5</c:v>
                </c:pt>
                <c:pt idx="22">
                  <c:v>1034</c:v>
                </c:pt>
                <c:pt idx="23">
                  <c:v>1029</c:v>
                </c:pt>
                <c:pt idx="24">
                  <c:v>1017</c:v>
                </c:pt>
                <c:pt idx="25">
                  <c:v>1013</c:v>
                </c:pt>
                <c:pt idx="26">
                  <c:v>1021.5</c:v>
                </c:pt>
                <c:pt idx="27">
                  <c:v>1023.5</c:v>
                </c:pt>
                <c:pt idx="28">
                  <c:v>1023</c:v>
                </c:pt>
                <c:pt idx="29">
                  <c:v>1023.5</c:v>
                </c:pt>
                <c:pt idx="30">
                  <c:v>1025.5</c:v>
                </c:pt>
              </c:numCache>
            </c:numRef>
          </c:val>
          <c:smooth val="0"/>
        </c:ser>
        <c:ser>
          <c:idx val="0"/>
          <c:order val="4"/>
          <c:tx>
            <c:v>Min</c:v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cat>
            <c:numRef>
              <c:f>JAN!$E$4:$E$34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JAN!$P$4:$P$34</c:f>
              <c:numCache>
                <c:formatCode>0</c:formatCode>
                <c:ptCount val="31"/>
                <c:pt idx="0">
                  <c:v>1023</c:v>
                </c:pt>
                <c:pt idx="1">
                  <c:v>1027</c:v>
                </c:pt>
                <c:pt idx="2">
                  <c:v>1018</c:v>
                </c:pt>
                <c:pt idx="3">
                  <c:v>1008</c:v>
                </c:pt>
                <c:pt idx="4">
                  <c:v>995</c:v>
                </c:pt>
                <c:pt idx="5">
                  <c:v>993</c:v>
                </c:pt>
                <c:pt idx="6">
                  <c:v>997</c:v>
                </c:pt>
                <c:pt idx="7">
                  <c:v>988</c:v>
                </c:pt>
                <c:pt idx="8">
                  <c:v>1005</c:v>
                </c:pt>
                <c:pt idx="9">
                  <c:v>1002</c:v>
                </c:pt>
                <c:pt idx="10">
                  <c:v>997</c:v>
                </c:pt>
                <c:pt idx="11">
                  <c:v>1009</c:v>
                </c:pt>
                <c:pt idx="12">
                  <c:v>1009</c:v>
                </c:pt>
                <c:pt idx="13">
                  <c:v>1008</c:v>
                </c:pt>
                <c:pt idx="14">
                  <c:v>1014</c:v>
                </c:pt>
                <c:pt idx="15">
                  <c:v>1016</c:v>
                </c:pt>
                <c:pt idx="16">
                  <c:v>1016</c:v>
                </c:pt>
                <c:pt idx="17">
                  <c:v>1020</c:v>
                </c:pt>
                <c:pt idx="18">
                  <c:v>1033</c:v>
                </c:pt>
                <c:pt idx="19">
                  <c:v>1035</c:v>
                </c:pt>
                <c:pt idx="20">
                  <c:v>1038</c:v>
                </c:pt>
                <c:pt idx="21">
                  <c:v>1035</c:v>
                </c:pt>
                <c:pt idx="22">
                  <c:v>1033</c:v>
                </c:pt>
                <c:pt idx="23">
                  <c:v>1024</c:v>
                </c:pt>
                <c:pt idx="24">
                  <c:v>1010</c:v>
                </c:pt>
                <c:pt idx="25">
                  <c:v>1008</c:v>
                </c:pt>
                <c:pt idx="26">
                  <c:v>1018</c:v>
                </c:pt>
                <c:pt idx="27">
                  <c:v>1022</c:v>
                </c:pt>
                <c:pt idx="28">
                  <c:v>1022</c:v>
                </c:pt>
                <c:pt idx="29">
                  <c:v>1022</c:v>
                </c:pt>
                <c:pt idx="30">
                  <c:v>1025</c:v>
                </c:pt>
              </c:numCache>
            </c:numRef>
          </c:val>
          <c:smooth val="0"/>
        </c:ser>
        <c:ser>
          <c:idx val="4"/>
          <c:order val="5"/>
          <c:tx>
            <c:v>MSLP</c:v>
          </c:tx>
          <c:spPr>
            <a:ln w="25400">
              <a:solidFill>
                <a:srgbClr val="CC99FF"/>
              </a:solidFill>
              <a:prstDash val="lgDash"/>
            </a:ln>
          </c:spPr>
          <c:marker>
            <c:symbol val="none"/>
          </c:marker>
          <c:cat>
            <c:numRef>
              <c:f>JAN!$E$4:$E$34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JAN!$AM$4:$AM$34</c:f>
              <c:numCache>
                <c:formatCode>0.0</c:formatCode>
                <c:ptCount val="31"/>
                <c:pt idx="0">
                  <c:v>1013.25</c:v>
                </c:pt>
                <c:pt idx="1">
                  <c:v>1013.25</c:v>
                </c:pt>
                <c:pt idx="2">
                  <c:v>1013.25</c:v>
                </c:pt>
                <c:pt idx="3">
                  <c:v>1013.25</c:v>
                </c:pt>
                <c:pt idx="4">
                  <c:v>1013.25</c:v>
                </c:pt>
                <c:pt idx="5">
                  <c:v>1013.25</c:v>
                </c:pt>
                <c:pt idx="6">
                  <c:v>1013.25</c:v>
                </c:pt>
                <c:pt idx="7">
                  <c:v>1013.25</c:v>
                </c:pt>
                <c:pt idx="8">
                  <c:v>1013.25</c:v>
                </c:pt>
                <c:pt idx="9">
                  <c:v>1013.25</c:v>
                </c:pt>
                <c:pt idx="10">
                  <c:v>1013.25</c:v>
                </c:pt>
                <c:pt idx="11">
                  <c:v>1013.25</c:v>
                </c:pt>
                <c:pt idx="12">
                  <c:v>1013.25</c:v>
                </c:pt>
                <c:pt idx="13">
                  <c:v>1013.25</c:v>
                </c:pt>
                <c:pt idx="14">
                  <c:v>1013.25</c:v>
                </c:pt>
                <c:pt idx="15">
                  <c:v>1013.25</c:v>
                </c:pt>
                <c:pt idx="16">
                  <c:v>1013.25</c:v>
                </c:pt>
                <c:pt idx="17">
                  <c:v>1013.25</c:v>
                </c:pt>
                <c:pt idx="18">
                  <c:v>1013.25</c:v>
                </c:pt>
                <c:pt idx="19">
                  <c:v>1013.25</c:v>
                </c:pt>
                <c:pt idx="20">
                  <c:v>1013.25</c:v>
                </c:pt>
                <c:pt idx="21">
                  <c:v>1013.25</c:v>
                </c:pt>
                <c:pt idx="22">
                  <c:v>1013.25</c:v>
                </c:pt>
                <c:pt idx="23">
                  <c:v>1013.25</c:v>
                </c:pt>
                <c:pt idx="24">
                  <c:v>1013.25</c:v>
                </c:pt>
                <c:pt idx="25">
                  <c:v>1013.25</c:v>
                </c:pt>
                <c:pt idx="26">
                  <c:v>1013.25</c:v>
                </c:pt>
                <c:pt idx="27">
                  <c:v>1013.25</c:v>
                </c:pt>
                <c:pt idx="28">
                  <c:v>1013.25</c:v>
                </c:pt>
                <c:pt idx="29">
                  <c:v>1013.25</c:v>
                </c:pt>
                <c:pt idx="30">
                  <c:v>1013.25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627904"/>
        <c:axId val="115629440"/>
      </c:lineChart>
      <c:lineChart>
        <c:grouping val="standard"/>
        <c:varyColors val="0"/>
        <c:ser>
          <c:idx val="3"/>
          <c:order val="3"/>
          <c:tx>
            <c:v>Range</c:v>
          </c:tx>
          <c:spPr>
            <a:ln w="25400">
              <a:solidFill>
                <a:srgbClr val="00FF00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cat>
            <c:numRef>
              <c:f>JAN!$E$4:$E$34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JAN!$Y$91:$Y$121</c:f>
              <c:numCache>
                <c:formatCode>0</c:formatCode>
                <c:ptCount val="31"/>
                <c:pt idx="0">
                  <c:v>4</c:v>
                </c:pt>
                <c:pt idx="1">
                  <c:v>2</c:v>
                </c:pt>
                <c:pt idx="2">
                  <c:v>9</c:v>
                </c:pt>
                <c:pt idx="3">
                  <c:v>11</c:v>
                </c:pt>
                <c:pt idx="4">
                  <c:v>13</c:v>
                </c:pt>
                <c:pt idx="5">
                  <c:v>10</c:v>
                </c:pt>
                <c:pt idx="6">
                  <c:v>6.0000099999999748</c:v>
                </c:pt>
                <c:pt idx="7">
                  <c:v>17</c:v>
                </c:pt>
                <c:pt idx="8">
                  <c:v>13</c:v>
                </c:pt>
                <c:pt idx="9">
                  <c:v>16</c:v>
                </c:pt>
                <c:pt idx="10">
                  <c:v>20</c:v>
                </c:pt>
                <c:pt idx="11">
                  <c:v>8</c:v>
                </c:pt>
                <c:pt idx="12">
                  <c:v>2</c:v>
                </c:pt>
                <c:pt idx="13">
                  <c:v>7</c:v>
                </c:pt>
                <c:pt idx="14">
                  <c:v>3</c:v>
                </c:pt>
                <c:pt idx="15">
                  <c:v>2</c:v>
                </c:pt>
                <c:pt idx="16">
                  <c:v>5</c:v>
                </c:pt>
                <c:pt idx="17">
                  <c:v>13</c:v>
                </c:pt>
                <c:pt idx="18">
                  <c:v>2</c:v>
                </c:pt>
                <c:pt idx="19">
                  <c:v>3</c:v>
                </c:pt>
                <c:pt idx="20">
                  <c:v>2.0000099999999748</c:v>
                </c:pt>
                <c:pt idx="21">
                  <c:v>5</c:v>
                </c:pt>
                <c:pt idx="22">
                  <c:v>2</c:v>
                </c:pt>
                <c:pt idx="23">
                  <c:v>10</c:v>
                </c:pt>
                <c:pt idx="24">
                  <c:v>14</c:v>
                </c:pt>
                <c:pt idx="25">
                  <c:v>10</c:v>
                </c:pt>
                <c:pt idx="26">
                  <c:v>7</c:v>
                </c:pt>
                <c:pt idx="27">
                  <c:v>3</c:v>
                </c:pt>
                <c:pt idx="28">
                  <c:v>2</c:v>
                </c:pt>
                <c:pt idx="29">
                  <c:v>3</c:v>
                </c:pt>
                <c:pt idx="30">
                  <c:v>1</c:v>
                </c:pt>
              </c:numCache>
            </c:numRef>
          </c:val>
          <c:smooth val="0"/>
        </c:ser>
        <c:ser>
          <c:idx val="6"/>
          <c:order val="6"/>
          <c:tx>
            <c:v>Rainfall/3</c:v>
          </c:tx>
          <c:spPr>
            <a:ln w="12700">
              <a:solidFill>
                <a:srgbClr val="33CCCC"/>
              </a:solidFill>
              <a:prstDash val="solid"/>
            </a:ln>
          </c:spPr>
          <c:marker>
            <c:symbol val="none"/>
          </c:marker>
          <c:cat>
            <c:numRef>
              <c:f>JAN!$E$4:$E$34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JAN!$N$91:$N$121</c:f>
              <c:numCache>
                <c:formatCode>General</c:formatCode>
                <c:ptCount val="31"/>
                <c:pt idx="0">
                  <c:v>3.3333333333333333E-2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0.26666666666666666</c:v>
                </c:pt>
                <c:pt idx="5">
                  <c:v>3.3666666666666667</c:v>
                </c:pt>
                <c:pt idx="6">
                  <c:v>3</c:v>
                </c:pt>
                <c:pt idx="7">
                  <c:v>1.1666666666666667</c:v>
                </c:pt>
                <c:pt idx="8">
                  <c:v>0</c:v>
                </c:pt>
                <c:pt idx="9">
                  <c:v>0.16666666666666666</c:v>
                </c:pt>
                <c:pt idx="10">
                  <c:v>2.2666666666666666</c:v>
                </c:pt>
                <c:pt idx="11">
                  <c:v>2.1</c:v>
                </c:pt>
                <c:pt idx="12">
                  <c:v>1</c:v>
                </c:pt>
                <c:pt idx="13">
                  <c:v>1.8333333333333333</c:v>
                </c:pt>
                <c:pt idx="14">
                  <c:v>0</c:v>
                </c:pt>
                <c:pt idx="15">
                  <c:v>0.46666666666666662</c:v>
                </c:pt>
                <c:pt idx="16">
                  <c:v>5.3666666666666671</c:v>
                </c:pt>
                <c:pt idx="17">
                  <c:v>2.5333333333333332</c:v>
                </c:pt>
                <c:pt idx="18">
                  <c:v>0</c:v>
                </c:pt>
                <c:pt idx="19">
                  <c:v>3.3333333333333333E-2</c:v>
                </c:pt>
                <c:pt idx="20">
                  <c:v>9.9999999999999992E-2</c:v>
                </c:pt>
                <c:pt idx="21">
                  <c:v>9.9999999999999992E-2</c:v>
                </c:pt>
                <c:pt idx="22">
                  <c:v>0</c:v>
                </c:pt>
                <c:pt idx="23">
                  <c:v>9.9999999999999992E-2</c:v>
                </c:pt>
                <c:pt idx="24">
                  <c:v>0.26666666666666666</c:v>
                </c:pt>
                <c:pt idx="25">
                  <c:v>0.16666666666666666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639424"/>
        <c:axId val="115640960"/>
      </c:lineChart>
      <c:catAx>
        <c:axId val="115627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5629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5629440"/>
        <c:scaling>
          <c:orientation val="minMax"/>
          <c:max val="1043"/>
          <c:min val="980"/>
        </c:scaling>
        <c:delete val="0"/>
        <c:axPos val="l"/>
        <c:majorGridlines>
          <c:spPr>
            <a:ln w="3175">
              <a:solidFill>
                <a:srgbClr val="333333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5627904"/>
        <c:crosses val="autoZero"/>
        <c:crossBetween val="between"/>
        <c:majorUnit val="10"/>
      </c:valAx>
      <c:catAx>
        <c:axId val="115639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5640960"/>
        <c:crosses val="autoZero"/>
        <c:auto val="1"/>
        <c:lblAlgn val="ctr"/>
        <c:lblOffset val="100"/>
        <c:noMultiLvlLbl val="0"/>
      </c:catAx>
      <c:valAx>
        <c:axId val="115640960"/>
        <c:scaling>
          <c:orientation val="minMax"/>
          <c:max val="63"/>
          <c:min val="0"/>
        </c:scaling>
        <c:delete val="0"/>
        <c:axPos val="r"/>
        <c:numFmt formatCode="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5639424"/>
        <c:crosses val="max"/>
        <c:crossBetween val="between"/>
        <c:majorUnit val="10"/>
      </c:valAx>
      <c:spPr>
        <a:solidFill>
          <a:srgbClr val="969696"/>
        </a:solidFill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 sz="14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Wind Speed / mh</a:t>
            </a:r>
            <a:r>
              <a:rPr lang="en-GB" sz="1400" b="1" i="0" u="none" strike="noStrike" baseline="30000">
                <a:solidFill>
                  <a:srgbClr val="000000"/>
                </a:solidFill>
                <a:latin typeface="Arial"/>
                <a:cs typeface="Arial"/>
              </a:rPr>
              <a:t>-1</a:t>
            </a:r>
          </a:p>
        </c:rich>
      </c:tx>
      <c:layout>
        <c:manualLayout>
          <c:xMode val="edge"/>
          <c:yMode val="edge"/>
          <c:x val="0.44800000000000001"/>
          <c:y val="1.990632318501171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4E-2"/>
          <c:y val="8.6651053864168617E-2"/>
          <c:w val="0.95753846153846156"/>
          <c:h val="0.86299765807962525"/>
        </c:manualLayout>
      </c:layout>
      <c:lineChart>
        <c:grouping val="standard"/>
        <c:varyColors val="0"/>
        <c:ser>
          <c:idx val="1"/>
          <c:order val="0"/>
          <c:tx>
            <c:v>Mean</c:v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800000"/>
              </a:solidFill>
              <a:ln>
                <a:solidFill>
                  <a:srgbClr val="800000"/>
                </a:solidFill>
                <a:prstDash val="solid"/>
              </a:ln>
            </c:spPr>
          </c:marker>
          <c:cat>
            <c:numRef>
              <c:f>JAN!$E$4:$E$34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JAN!$U$4:$U$34</c:f>
              <c:numCache>
                <c:formatCode>0.0</c:formatCode>
                <c:ptCount val="31"/>
                <c:pt idx="0">
                  <c:v>4.2</c:v>
                </c:pt>
                <c:pt idx="1">
                  <c:v>3.5</c:v>
                </c:pt>
                <c:pt idx="2">
                  <c:v>2.2000000000000002</c:v>
                </c:pt>
                <c:pt idx="3">
                  <c:v>4.9000000000000004</c:v>
                </c:pt>
                <c:pt idx="4">
                  <c:v>7.2</c:v>
                </c:pt>
                <c:pt idx="5">
                  <c:v>2.1</c:v>
                </c:pt>
                <c:pt idx="6">
                  <c:v>4.9000000000000004</c:v>
                </c:pt>
                <c:pt idx="7">
                  <c:v>7.5</c:v>
                </c:pt>
                <c:pt idx="8">
                  <c:v>4.2</c:v>
                </c:pt>
                <c:pt idx="9">
                  <c:v>7</c:v>
                </c:pt>
                <c:pt idx="10">
                  <c:v>4.8</c:v>
                </c:pt>
                <c:pt idx="11">
                  <c:v>5.5</c:v>
                </c:pt>
                <c:pt idx="12">
                  <c:v>7.1</c:v>
                </c:pt>
                <c:pt idx="13">
                  <c:v>7</c:v>
                </c:pt>
                <c:pt idx="14">
                  <c:v>10.7</c:v>
                </c:pt>
                <c:pt idx="15">
                  <c:v>8.6</c:v>
                </c:pt>
                <c:pt idx="16">
                  <c:v>3.4</c:v>
                </c:pt>
                <c:pt idx="17">
                  <c:v>3.7</c:v>
                </c:pt>
                <c:pt idx="18">
                  <c:v>3.3</c:v>
                </c:pt>
                <c:pt idx="19">
                  <c:v>4.3</c:v>
                </c:pt>
                <c:pt idx="20">
                  <c:v>3.8</c:v>
                </c:pt>
                <c:pt idx="21">
                  <c:v>5.2</c:v>
                </c:pt>
                <c:pt idx="22">
                  <c:v>6.5</c:v>
                </c:pt>
                <c:pt idx="23">
                  <c:v>4.7</c:v>
                </c:pt>
                <c:pt idx="24">
                  <c:v>4.2</c:v>
                </c:pt>
                <c:pt idx="25">
                  <c:v>6.3</c:v>
                </c:pt>
                <c:pt idx="26">
                  <c:v>8.6</c:v>
                </c:pt>
                <c:pt idx="27">
                  <c:v>8.1999999999999993</c:v>
                </c:pt>
                <c:pt idx="28">
                  <c:v>6.4</c:v>
                </c:pt>
                <c:pt idx="29">
                  <c:v>4.8</c:v>
                </c:pt>
                <c:pt idx="30">
                  <c:v>2.7</c:v>
                </c:pt>
              </c:numCache>
            </c:numRef>
          </c:val>
          <c:smooth val="0"/>
        </c:ser>
        <c:ser>
          <c:idx val="0"/>
          <c:order val="1"/>
          <c:tx>
            <c:v>E (Mean)</c:v>
          </c:tx>
          <c:spPr>
            <a:ln w="25400">
              <a:solidFill>
                <a:srgbClr val="FF99CC"/>
              </a:solidFill>
              <a:prstDash val="lgDash"/>
            </a:ln>
          </c:spPr>
          <c:marker>
            <c:symbol val="none"/>
          </c:marker>
          <c:cat>
            <c:numRef>
              <c:f>JAN!$E$4:$E$34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JAN!$AZ$91:$AZ$121</c:f>
              <c:numCache>
                <c:formatCode>0.0</c:formatCode>
                <c:ptCount val="31"/>
                <c:pt idx="0">
                  <c:v>5.2</c:v>
                </c:pt>
                <c:pt idx="1">
                  <c:v>5.2</c:v>
                </c:pt>
                <c:pt idx="2">
                  <c:v>5.2</c:v>
                </c:pt>
                <c:pt idx="3">
                  <c:v>5.2</c:v>
                </c:pt>
                <c:pt idx="4">
                  <c:v>5.2</c:v>
                </c:pt>
                <c:pt idx="5">
                  <c:v>5.2</c:v>
                </c:pt>
                <c:pt idx="6">
                  <c:v>5.2</c:v>
                </c:pt>
                <c:pt idx="7">
                  <c:v>5.2</c:v>
                </c:pt>
                <c:pt idx="8">
                  <c:v>5.2</c:v>
                </c:pt>
                <c:pt idx="9">
                  <c:v>5.2</c:v>
                </c:pt>
                <c:pt idx="10">
                  <c:v>5.2</c:v>
                </c:pt>
                <c:pt idx="11">
                  <c:v>5.2</c:v>
                </c:pt>
                <c:pt idx="12">
                  <c:v>5.2</c:v>
                </c:pt>
                <c:pt idx="13">
                  <c:v>5.2</c:v>
                </c:pt>
                <c:pt idx="14">
                  <c:v>5.2</c:v>
                </c:pt>
                <c:pt idx="15">
                  <c:v>5.2</c:v>
                </c:pt>
                <c:pt idx="16">
                  <c:v>5.2</c:v>
                </c:pt>
                <c:pt idx="17">
                  <c:v>5.2</c:v>
                </c:pt>
                <c:pt idx="18">
                  <c:v>5.2</c:v>
                </c:pt>
                <c:pt idx="19">
                  <c:v>5.2</c:v>
                </c:pt>
                <c:pt idx="20">
                  <c:v>5.2</c:v>
                </c:pt>
                <c:pt idx="21">
                  <c:v>5.2</c:v>
                </c:pt>
                <c:pt idx="22">
                  <c:v>5.2</c:v>
                </c:pt>
                <c:pt idx="23">
                  <c:v>5.2</c:v>
                </c:pt>
                <c:pt idx="24">
                  <c:v>5.2</c:v>
                </c:pt>
                <c:pt idx="25">
                  <c:v>5.2</c:v>
                </c:pt>
                <c:pt idx="26">
                  <c:v>5.2</c:v>
                </c:pt>
                <c:pt idx="27">
                  <c:v>5.2</c:v>
                </c:pt>
                <c:pt idx="28">
                  <c:v>5.2</c:v>
                </c:pt>
                <c:pt idx="29">
                  <c:v>5.2</c:v>
                </c:pt>
                <c:pt idx="30">
                  <c:v>5.2</c:v>
                </c:pt>
              </c:numCache>
            </c:numRef>
          </c:val>
          <c:smooth val="0"/>
        </c:ser>
        <c:ser>
          <c:idx val="2"/>
          <c:order val="4"/>
          <c:tx>
            <c:v>Cumulative Mean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numRef>
              <c:f>JAN!$E$4:$E$34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JAN!$M$91:$M$121</c:f>
              <c:numCache>
                <c:formatCode>0.0</c:formatCode>
                <c:ptCount val="31"/>
                <c:pt idx="0">
                  <c:v>4.2</c:v>
                </c:pt>
                <c:pt idx="1">
                  <c:v>3.85</c:v>
                </c:pt>
                <c:pt idx="2">
                  <c:v>3.3000000000000003</c:v>
                </c:pt>
                <c:pt idx="3">
                  <c:v>3.7</c:v>
                </c:pt>
                <c:pt idx="4">
                  <c:v>4.4000000000000004</c:v>
                </c:pt>
                <c:pt idx="5">
                  <c:v>4.0166666666666666</c:v>
                </c:pt>
                <c:pt idx="6">
                  <c:v>4.1428571428571432</c:v>
                </c:pt>
                <c:pt idx="7">
                  <c:v>4.5625</c:v>
                </c:pt>
                <c:pt idx="8">
                  <c:v>4.5222222222222221</c:v>
                </c:pt>
                <c:pt idx="9">
                  <c:v>4.7700000000000005</c:v>
                </c:pt>
                <c:pt idx="10">
                  <c:v>4.7727272727272725</c:v>
                </c:pt>
                <c:pt idx="11">
                  <c:v>4.833333333333333</c:v>
                </c:pt>
                <c:pt idx="12">
                  <c:v>5.0076923076923077</c:v>
                </c:pt>
                <c:pt idx="13">
                  <c:v>5.1499999999999995</c:v>
                </c:pt>
                <c:pt idx="14">
                  <c:v>5.52</c:v>
                </c:pt>
                <c:pt idx="15">
                  <c:v>5.7124999999999995</c:v>
                </c:pt>
                <c:pt idx="16">
                  <c:v>5.5764705882352938</c:v>
                </c:pt>
                <c:pt idx="17">
                  <c:v>5.4722222222222223</c:v>
                </c:pt>
                <c:pt idx="18">
                  <c:v>5.3578947368421055</c:v>
                </c:pt>
                <c:pt idx="19">
                  <c:v>5.3049999999999997</c:v>
                </c:pt>
                <c:pt idx="20">
                  <c:v>5.2333333333333325</c:v>
                </c:pt>
                <c:pt idx="21">
                  <c:v>5.2318181818181815</c:v>
                </c:pt>
                <c:pt idx="22">
                  <c:v>5.2869565217391301</c:v>
                </c:pt>
                <c:pt idx="23">
                  <c:v>5.2625000000000002</c:v>
                </c:pt>
                <c:pt idx="24">
                  <c:v>5.22</c:v>
                </c:pt>
                <c:pt idx="25">
                  <c:v>5.2615384615384624</c:v>
                </c:pt>
                <c:pt idx="26">
                  <c:v>5.3851851851851853</c:v>
                </c:pt>
                <c:pt idx="27">
                  <c:v>5.4857142857142858</c:v>
                </c:pt>
                <c:pt idx="28">
                  <c:v>5.5172413793103452</c:v>
                </c:pt>
                <c:pt idx="29">
                  <c:v>5.4933333333333341</c:v>
                </c:pt>
                <c:pt idx="30">
                  <c:v>5.403225806451613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665152"/>
        <c:axId val="115696000"/>
      </c:lineChart>
      <c:lineChart>
        <c:grouping val="standard"/>
        <c:varyColors val="0"/>
        <c:ser>
          <c:idx val="3"/>
          <c:order val="2"/>
          <c:tx>
            <c:v>Max Gust</c:v>
          </c:tx>
          <c:spPr>
            <a:ln w="28575">
              <a:noFill/>
            </a:ln>
          </c:spPr>
          <c:marker>
            <c:symbol val="circle"/>
            <c:size val="9"/>
            <c:spPr>
              <a:solidFill>
                <a:srgbClr val="FFCC00"/>
              </a:solidFill>
              <a:ln>
                <a:solidFill>
                  <a:srgbClr val="FFCC00"/>
                </a:solidFill>
                <a:prstDash val="solid"/>
              </a:ln>
            </c:spPr>
          </c:marker>
          <c:cat>
            <c:numRef>
              <c:f>JAN!$E$4:$E$34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JAN!$W$4:$W$34</c:f>
              <c:numCache>
                <c:formatCode>0.0</c:formatCode>
                <c:ptCount val="31"/>
                <c:pt idx="0">
                  <c:v>15.4</c:v>
                </c:pt>
                <c:pt idx="1">
                  <c:v>9.4</c:v>
                </c:pt>
                <c:pt idx="2">
                  <c:v>8.6999999999999993</c:v>
                </c:pt>
                <c:pt idx="3">
                  <c:v>17.399999999999999</c:v>
                </c:pt>
                <c:pt idx="4">
                  <c:v>26.2</c:v>
                </c:pt>
                <c:pt idx="5">
                  <c:v>10.5</c:v>
                </c:pt>
                <c:pt idx="6">
                  <c:v>20.8</c:v>
                </c:pt>
                <c:pt idx="7">
                  <c:v>33.1</c:v>
                </c:pt>
                <c:pt idx="8">
                  <c:v>15.9</c:v>
                </c:pt>
                <c:pt idx="9">
                  <c:v>30</c:v>
                </c:pt>
                <c:pt idx="10">
                  <c:v>25.5</c:v>
                </c:pt>
                <c:pt idx="11">
                  <c:v>16.8</c:v>
                </c:pt>
                <c:pt idx="12">
                  <c:v>25.9</c:v>
                </c:pt>
                <c:pt idx="13">
                  <c:v>23.7</c:v>
                </c:pt>
                <c:pt idx="14">
                  <c:v>33.1</c:v>
                </c:pt>
                <c:pt idx="15">
                  <c:v>28.4</c:v>
                </c:pt>
                <c:pt idx="16">
                  <c:v>16.100000000000001</c:v>
                </c:pt>
                <c:pt idx="17">
                  <c:v>15.4</c:v>
                </c:pt>
                <c:pt idx="18">
                  <c:v>10</c:v>
                </c:pt>
                <c:pt idx="19">
                  <c:v>12.3</c:v>
                </c:pt>
                <c:pt idx="20">
                  <c:v>14.7</c:v>
                </c:pt>
                <c:pt idx="21">
                  <c:v>18.5</c:v>
                </c:pt>
                <c:pt idx="22">
                  <c:v>17.5</c:v>
                </c:pt>
                <c:pt idx="23">
                  <c:v>14.5</c:v>
                </c:pt>
                <c:pt idx="24">
                  <c:v>13.2</c:v>
                </c:pt>
                <c:pt idx="25">
                  <c:v>30.6</c:v>
                </c:pt>
                <c:pt idx="26">
                  <c:v>23.9</c:v>
                </c:pt>
                <c:pt idx="27">
                  <c:v>23.2</c:v>
                </c:pt>
                <c:pt idx="28">
                  <c:v>17</c:v>
                </c:pt>
                <c:pt idx="29">
                  <c:v>19.899999999999999</c:v>
                </c:pt>
                <c:pt idx="30">
                  <c:v>11.8</c:v>
                </c:pt>
              </c:numCache>
            </c:numRef>
          </c:val>
          <c:smooth val="0"/>
        </c:ser>
        <c:ser>
          <c:idx val="4"/>
          <c:order val="3"/>
          <c:tx>
            <c:v>Max Average</c:v>
          </c:tx>
          <c:spPr>
            <a:ln w="28575">
              <a:noFill/>
            </a:ln>
          </c:spPr>
          <c:marker>
            <c:symbol val="circle"/>
            <c:size val="6"/>
            <c:spPr>
              <a:solidFill>
                <a:srgbClr val="800000"/>
              </a:solidFill>
              <a:ln>
                <a:solidFill>
                  <a:srgbClr val="800000"/>
                </a:solidFill>
                <a:prstDash val="solid"/>
              </a:ln>
            </c:spPr>
          </c:marker>
          <c:cat>
            <c:numRef>
              <c:f>JAN!$E$4:$E$34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JAN!$V$4:$V$34</c:f>
              <c:numCache>
                <c:formatCode>0.0</c:formatCode>
                <c:ptCount val="31"/>
                <c:pt idx="0">
                  <c:v>10.199999999999999</c:v>
                </c:pt>
                <c:pt idx="1">
                  <c:v>7.4</c:v>
                </c:pt>
                <c:pt idx="2">
                  <c:v>7.6</c:v>
                </c:pt>
                <c:pt idx="3">
                  <c:v>14</c:v>
                </c:pt>
                <c:pt idx="4">
                  <c:v>18.5</c:v>
                </c:pt>
                <c:pt idx="5">
                  <c:v>7.4</c:v>
                </c:pt>
                <c:pt idx="6">
                  <c:v>14</c:v>
                </c:pt>
                <c:pt idx="7">
                  <c:v>19.899999999999999</c:v>
                </c:pt>
                <c:pt idx="8">
                  <c:v>10.9</c:v>
                </c:pt>
                <c:pt idx="9">
                  <c:v>19.7</c:v>
                </c:pt>
                <c:pt idx="10">
                  <c:v>16.8</c:v>
                </c:pt>
                <c:pt idx="11">
                  <c:v>13.2</c:v>
                </c:pt>
                <c:pt idx="12">
                  <c:v>16.600000000000001</c:v>
                </c:pt>
                <c:pt idx="13">
                  <c:v>17</c:v>
                </c:pt>
                <c:pt idx="14">
                  <c:v>22.8</c:v>
                </c:pt>
                <c:pt idx="15">
                  <c:v>19.2</c:v>
                </c:pt>
                <c:pt idx="16">
                  <c:v>11.4</c:v>
                </c:pt>
                <c:pt idx="17">
                  <c:v>10.7</c:v>
                </c:pt>
                <c:pt idx="18">
                  <c:v>7.6</c:v>
                </c:pt>
                <c:pt idx="19">
                  <c:v>8.6999999999999993</c:v>
                </c:pt>
                <c:pt idx="20">
                  <c:v>10.199999999999999</c:v>
                </c:pt>
                <c:pt idx="21">
                  <c:v>13.5</c:v>
                </c:pt>
                <c:pt idx="22">
                  <c:v>12.1</c:v>
                </c:pt>
                <c:pt idx="23">
                  <c:v>10</c:v>
                </c:pt>
                <c:pt idx="24">
                  <c:v>10.9</c:v>
                </c:pt>
                <c:pt idx="25">
                  <c:v>19.899999999999999</c:v>
                </c:pt>
                <c:pt idx="26">
                  <c:v>20.6</c:v>
                </c:pt>
                <c:pt idx="27">
                  <c:v>18.100000000000001</c:v>
                </c:pt>
                <c:pt idx="28">
                  <c:v>14</c:v>
                </c:pt>
                <c:pt idx="29">
                  <c:v>13.8</c:v>
                </c:pt>
                <c:pt idx="30">
                  <c:v>9.4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697536"/>
        <c:axId val="115699072"/>
      </c:lineChart>
      <c:catAx>
        <c:axId val="1156651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56960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5696000"/>
        <c:scaling>
          <c:orientation val="minMax"/>
          <c:max val="1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5665152"/>
        <c:crosses val="autoZero"/>
        <c:crossBetween val="between"/>
        <c:majorUnit val="2"/>
      </c:valAx>
      <c:catAx>
        <c:axId val="1156975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5699072"/>
        <c:crosses val="autoZero"/>
        <c:auto val="1"/>
        <c:lblAlgn val="ctr"/>
        <c:lblOffset val="100"/>
        <c:noMultiLvlLbl val="0"/>
      </c:catAx>
      <c:valAx>
        <c:axId val="115699072"/>
        <c:scaling>
          <c:orientation val="minMax"/>
          <c:max val="55"/>
          <c:min val="0"/>
        </c:scaling>
        <c:delete val="0"/>
        <c:axPos val="r"/>
        <c:numFmt formatCode="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5697536"/>
        <c:crosses val="max"/>
        <c:crossBetween val="between"/>
        <c:majorUnit val="10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4.9230769230769231E-2"/>
          <c:y val="0.1955503512880562"/>
          <c:w val="0.41599999999999998"/>
          <c:h val="0.2775175644028102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1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Sun Hours / h</a:t>
            </a:r>
          </a:p>
        </c:rich>
      </c:tx>
      <c:layout>
        <c:manualLayout>
          <c:xMode val="edge"/>
          <c:yMode val="edge"/>
          <c:x val="0.46040541433241655"/>
          <c:y val="2.803738317757009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1.841621730177238E-2"/>
          <c:y val="9.112154730483997E-2"/>
          <c:w val="0.97912888654423158"/>
          <c:h val="0.85864534960329975"/>
        </c:manualLayout>
      </c:layout>
      <c:barChart>
        <c:barDir val="col"/>
        <c:grouping val="clustered"/>
        <c:varyColors val="0"/>
        <c:ser>
          <c:idx val="1"/>
          <c:order val="0"/>
          <c:tx>
            <c:v>Sun</c:v>
          </c:tx>
          <c:spPr>
            <a:solidFill>
              <a:srgbClr val="FFFF00"/>
            </a:solidFill>
            <a:ln w="12700">
              <a:solidFill>
                <a:srgbClr val="C0C0C0"/>
              </a:solidFill>
              <a:prstDash val="solid"/>
            </a:ln>
          </c:spPr>
          <c:invertIfNegative val="0"/>
          <c:cat>
            <c:numRef>
              <c:f>JAN!$E$4:$E$34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JAN!$AP$4:$AP$34</c:f>
              <c:numCache>
                <c:formatCode>General</c:formatCode>
                <c:ptCount val="31"/>
                <c:pt idx="0">
                  <c:v>0.1</c:v>
                </c:pt>
                <c:pt idx="1">
                  <c:v>1</c:v>
                </c:pt>
                <c:pt idx="2">
                  <c:v>0.5</c:v>
                </c:pt>
                <c:pt idx="3">
                  <c:v>0.5</c:v>
                </c:pt>
                <c:pt idx="4">
                  <c:v>2.5</c:v>
                </c:pt>
                <c:pt idx="5">
                  <c:v>0</c:v>
                </c:pt>
                <c:pt idx="6">
                  <c:v>0.2</c:v>
                </c:pt>
                <c:pt idx="7">
                  <c:v>1.5</c:v>
                </c:pt>
                <c:pt idx="8">
                  <c:v>7.3</c:v>
                </c:pt>
                <c:pt idx="9">
                  <c:v>0.3</c:v>
                </c:pt>
                <c:pt idx="10">
                  <c:v>0.2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0.5</c:v>
                </c:pt>
                <c:pt idx="16">
                  <c:v>0.1</c:v>
                </c:pt>
                <c:pt idx="17">
                  <c:v>6.5</c:v>
                </c:pt>
                <c:pt idx="18">
                  <c:v>6</c:v>
                </c:pt>
                <c:pt idx="19">
                  <c:v>0.2</c:v>
                </c:pt>
                <c:pt idx="20">
                  <c:v>4.5</c:v>
                </c:pt>
                <c:pt idx="21">
                  <c:v>0.4</c:v>
                </c:pt>
                <c:pt idx="22">
                  <c:v>0</c:v>
                </c:pt>
                <c:pt idx="23">
                  <c:v>0</c:v>
                </c:pt>
                <c:pt idx="24">
                  <c:v>0.3</c:v>
                </c:pt>
                <c:pt idx="25">
                  <c:v>0</c:v>
                </c:pt>
                <c:pt idx="26">
                  <c:v>0</c:v>
                </c:pt>
                <c:pt idx="27">
                  <c:v>0.2</c:v>
                </c:pt>
                <c:pt idx="28">
                  <c:v>0</c:v>
                </c:pt>
                <c:pt idx="29">
                  <c:v>2</c:v>
                </c:pt>
                <c:pt idx="30">
                  <c:v>4.5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overlap val="-10"/>
        <c:axId val="115710976"/>
        <c:axId val="115725056"/>
      </c:barChart>
      <c:catAx>
        <c:axId val="11571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57250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5725056"/>
        <c:scaling>
          <c:orientation val="minMax"/>
          <c:max val="8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5710976"/>
        <c:crosses val="autoZero"/>
        <c:crossBetween val="between"/>
        <c:majorUnit val="1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Cumulative Rain / mm</a:t>
            </a:r>
          </a:p>
        </c:rich>
      </c:tx>
      <c:layout>
        <c:manualLayout>
          <c:xMode val="edge"/>
          <c:yMode val="edge"/>
          <c:x val="0.43726963096402616"/>
          <c:y val="2.004716981132075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985254257748993E-2"/>
          <c:y val="8.8443396226415089E-2"/>
          <c:w val="0.9501850725185178"/>
          <c:h val="0.86084905660377353"/>
        </c:manualLayout>
      </c:layout>
      <c:lineChart>
        <c:grouping val="standard"/>
        <c:varyColors val="0"/>
        <c:ser>
          <c:idx val="1"/>
          <c:order val="0"/>
          <c:tx>
            <c:v>Cumulative Rain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cat>
            <c:numRef>
              <c:f>JAN!$E$4:$E$34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JAN!$Z$91:$Z$121</c:f>
              <c:numCache>
                <c:formatCode>0.0</c:formatCode>
                <c:ptCount val="31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0.9</c:v>
                </c:pt>
                <c:pt idx="5">
                  <c:v>11</c:v>
                </c:pt>
                <c:pt idx="6">
                  <c:v>20</c:v>
                </c:pt>
                <c:pt idx="7">
                  <c:v>23.5</c:v>
                </c:pt>
                <c:pt idx="8">
                  <c:v>23.5</c:v>
                </c:pt>
                <c:pt idx="9">
                  <c:v>24</c:v>
                </c:pt>
                <c:pt idx="10">
                  <c:v>30.8</c:v>
                </c:pt>
                <c:pt idx="11">
                  <c:v>37.1</c:v>
                </c:pt>
                <c:pt idx="12">
                  <c:v>40.1</c:v>
                </c:pt>
                <c:pt idx="13">
                  <c:v>45.6</c:v>
                </c:pt>
                <c:pt idx="14">
                  <c:v>45.6</c:v>
                </c:pt>
                <c:pt idx="15">
                  <c:v>47</c:v>
                </c:pt>
                <c:pt idx="16">
                  <c:v>63.1</c:v>
                </c:pt>
                <c:pt idx="17">
                  <c:v>70.7</c:v>
                </c:pt>
                <c:pt idx="18">
                  <c:v>70.7</c:v>
                </c:pt>
                <c:pt idx="19">
                  <c:v>70.8</c:v>
                </c:pt>
                <c:pt idx="20">
                  <c:v>71.099999999999994</c:v>
                </c:pt>
                <c:pt idx="21">
                  <c:v>71.399999999999991</c:v>
                </c:pt>
                <c:pt idx="22">
                  <c:v>71.399999999999991</c:v>
                </c:pt>
                <c:pt idx="23">
                  <c:v>71.699999999999989</c:v>
                </c:pt>
                <c:pt idx="24">
                  <c:v>72.499999999999986</c:v>
                </c:pt>
                <c:pt idx="25">
                  <c:v>72.999999999999986</c:v>
                </c:pt>
                <c:pt idx="26">
                  <c:v>72.999999999999986</c:v>
                </c:pt>
                <c:pt idx="27">
                  <c:v>72.999999999999986</c:v>
                </c:pt>
                <c:pt idx="28">
                  <c:v>72.999999999999986</c:v>
                </c:pt>
                <c:pt idx="29">
                  <c:v>72.999999999999986</c:v>
                </c:pt>
                <c:pt idx="30">
                  <c:v>72.999999999999986</c:v>
                </c:pt>
              </c:numCache>
            </c:numRef>
          </c:val>
          <c:smooth val="0"/>
        </c:ser>
        <c:ser>
          <c:idx val="2"/>
          <c:order val="1"/>
          <c:tx>
            <c:v>E (Cumulative Rain)</c:v>
          </c:tx>
          <c:spPr>
            <a:ln w="25400">
              <a:solidFill>
                <a:srgbClr val="00CCFF"/>
              </a:solidFill>
              <a:prstDash val="lgDash"/>
            </a:ln>
          </c:spPr>
          <c:marker>
            <c:symbol val="none"/>
          </c:marker>
          <c:cat>
            <c:numRef>
              <c:f>JAN!$E$4:$E$34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JAN!$AA$91:$AA$121</c:f>
              <c:numCache>
                <c:formatCode>0.0</c:formatCode>
                <c:ptCount val="31"/>
                <c:pt idx="0">
                  <c:v>2.032258064516129</c:v>
                </c:pt>
                <c:pt idx="1">
                  <c:v>4.064516129032258</c:v>
                </c:pt>
                <c:pt idx="2">
                  <c:v>6.096774193548387</c:v>
                </c:pt>
                <c:pt idx="3">
                  <c:v>8.129032258064516</c:v>
                </c:pt>
                <c:pt idx="4">
                  <c:v>10.161290322580644</c:v>
                </c:pt>
                <c:pt idx="5">
                  <c:v>12.193548387096774</c:v>
                </c:pt>
                <c:pt idx="6">
                  <c:v>14.225806451612904</c:v>
                </c:pt>
                <c:pt idx="7">
                  <c:v>16.258064516129032</c:v>
                </c:pt>
                <c:pt idx="8">
                  <c:v>18.29032258064516</c:v>
                </c:pt>
                <c:pt idx="9">
                  <c:v>20.322580645161288</c:v>
                </c:pt>
                <c:pt idx="10">
                  <c:v>22.35483870967742</c:v>
                </c:pt>
                <c:pt idx="11">
                  <c:v>24.387096774193548</c:v>
                </c:pt>
                <c:pt idx="12">
                  <c:v>26.419354838709676</c:v>
                </c:pt>
                <c:pt idx="13">
                  <c:v>28.451612903225808</c:v>
                </c:pt>
                <c:pt idx="14">
                  <c:v>30.483870967741936</c:v>
                </c:pt>
                <c:pt idx="15">
                  <c:v>32.516129032258064</c:v>
                </c:pt>
                <c:pt idx="16">
                  <c:v>34.548387096774192</c:v>
                </c:pt>
                <c:pt idx="17">
                  <c:v>36.58064516129032</c:v>
                </c:pt>
                <c:pt idx="18">
                  <c:v>38.612903225806448</c:v>
                </c:pt>
                <c:pt idx="19">
                  <c:v>40.645161290322577</c:v>
                </c:pt>
                <c:pt idx="20">
                  <c:v>42.677419354838712</c:v>
                </c:pt>
                <c:pt idx="21">
                  <c:v>44.70967741935484</c:v>
                </c:pt>
                <c:pt idx="22">
                  <c:v>46.741935483870968</c:v>
                </c:pt>
                <c:pt idx="23">
                  <c:v>48.774193548387096</c:v>
                </c:pt>
                <c:pt idx="24">
                  <c:v>50.806451612903224</c:v>
                </c:pt>
                <c:pt idx="25">
                  <c:v>52.838709677419352</c:v>
                </c:pt>
                <c:pt idx="26">
                  <c:v>54.87096774193548</c:v>
                </c:pt>
                <c:pt idx="27">
                  <c:v>56.903225806451616</c:v>
                </c:pt>
                <c:pt idx="28">
                  <c:v>58.935483870967744</c:v>
                </c:pt>
                <c:pt idx="29">
                  <c:v>60.967741935483872</c:v>
                </c:pt>
                <c:pt idx="30">
                  <c:v>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748864"/>
        <c:axId val="115750400"/>
      </c:lineChart>
      <c:lineChart>
        <c:grouping val="standard"/>
        <c:varyColors val="0"/>
        <c:ser>
          <c:idx val="0"/>
          <c:order val="2"/>
          <c:tx>
            <c:v>Cumulative Anomaly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circle"/>
            <c:size val="2"/>
            <c:spPr>
              <a:solidFill>
                <a:srgbClr val="333399"/>
              </a:solidFill>
              <a:ln>
                <a:solidFill>
                  <a:srgbClr val="333399"/>
                </a:solidFill>
                <a:prstDash val="solid"/>
              </a:ln>
            </c:spPr>
          </c:marker>
          <c:cat>
            <c:numRef>
              <c:f>JAN!$E$4:$E$34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JAN!$AC$91:$AC$121</c:f>
              <c:numCache>
                <c:formatCode>0%</c:formatCode>
                <c:ptCount val="31"/>
                <c:pt idx="0">
                  <c:v>4.9206349206349212E-2</c:v>
                </c:pt>
                <c:pt idx="1">
                  <c:v>2.4603174603174606E-2</c:v>
                </c:pt>
                <c:pt idx="2">
                  <c:v>1.6402116402116404E-2</c:v>
                </c:pt>
                <c:pt idx="3">
                  <c:v>1.2301587301587303E-2</c:v>
                </c:pt>
                <c:pt idx="4">
                  <c:v>8.8571428571428579E-2</c:v>
                </c:pt>
                <c:pt idx="5">
                  <c:v>0.90211640211640209</c:v>
                </c:pt>
                <c:pt idx="6">
                  <c:v>1.4058956916099772</c:v>
                </c:pt>
                <c:pt idx="7">
                  <c:v>1.4454365079365079</c:v>
                </c:pt>
                <c:pt idx="8">
                  <c:v>1.2848324514991183</c:v>
                </c:pt>
                <c:pt idx="9">
                  <c:v>1.180952380952381</c:v>
                </c:pt>
                <c:pt idx="10">
                  <c:v>1.3777777777777778</c:v>
                </c:pt>
                <c:pt idx="11">
                  <c:v>1.5212962962962964</c:v>
                </c:pt>
                <c:pt idx="12">
                  <c:v>1.517826617826618</c:v>
                </c:pt>
                <c:pt idx="13">
                  <c:v>1.6027210884353742</c:v>
                </c:pt>
                <c:pt idx="14">
                  <c:v>1.4958730158730158</c:v>
                </c:pt>
                <c:pt idx="15">
                  <c:v>1.4454365079365079</c:v>
                </c:pt>
                <c:pt idx="16">
                  <c:v>1.8264239028944913</c:v>
                </c:pt>
                <c:pt idx="17">
                  <c:v>1.9327160493827162</c:v>
                </c:pt>
                <c:pt idx="18">
                  <c:v>1.8309941520467838</c:v>
                </c:pt>
                <c:pt idx="19">
                  <c:v>1.7419047619047621</c:v>
                </c:pt>
                <c:pt idx="20">
                  <c:v>1.6659863945578228</c:v>
                </c:pt>
                <c:pt idx="21">
                  <c:v>1.5969696969696967</c:v>
                </c:pt>
                <c:pt idx="22">
                  <c:v>1.5275362318840577</c:v>
                </c:pt>
                <c:pt idx="23">
                  <c:v>1.4700396825396824</c:v>
                </c:pt>
                <c:pt idx="24">
                  <c:v>1.4269841269841268</c:v>
                </c:pt>
                <c:pt idx="25">
                  <c:v>1.3815628815628813</c:v>
                </c:pt>
                <c:pt idx="26">
                  <c:v>1.3303938859494413</c:v>
                </c:pt>
                <c:pt idx="27">
                  <c:v>1.2828798185941039</c:v>
                </c:pt>
                <c:pt idx="28">
                  <c:v>1.2386425834701693</c:v>
                </c:pt>
                <c:pt idx="29">
                  <c:v>1.1973544973544972</c:v>
                </c:pt>
                <c:pt idx="30">
                  <c:v>1.1587301587301586</c:v>
                </c:pt>
              </c:numCache>
            </c:numRef>
          </c:val>
          <c:smooth val="0"/>
        </c:ser>
        <c:ser>
          <c:idx val="3"/>
          <c:order val="3"/>
          <c:tx>
            <c:v>E (Cumulative Anomaly)</c:v>
          </c:tx>
          <c:spPr>
            <a:ln w="3175">
              <a:solidFill>
                <a:srgbClr val="0000FF"/>
              </a:solidFill>
              <a:prstDash val="lgDash"/>
            </a:ln>
          </c:spPr>
          <c:marker>
            <c:symbol val="none"/>
          </c:marker>
          <c:cat>
            <c:numRef>
              <c:f>JAN!$E$4:$E$34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JAN!$J$54:$J$84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751936"/>
        <c:axId val="115774208"/>
      </c:lineChart>
      <c:catAx>
        <c:axId val="115748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57504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5750400"/>
        <c:scaling>
          <c:orientation val="minMax"/>
          <c:max val="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5748864"/>
        <c:crosses val="autoZero"/>
        <c:crossBetween val="between"/>
        <c:majorUnit val="20"/>
      </c:valAx>
      <c:catAx>
        <c:axId val="1157519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5774208"/>
        <c:crosses val="autoZero"/>
        <c:auto val="1"/>
        <c:lblAlgn val="ctr"/>
        <c:lblOffset val="100"/>
        <c:noMultiLvlLbl val="0"/>
      </c:catAx>
      <c:valAx>
        <c:axId val="115774208"/>
        <c:scaling>
          <c:orientation val="minMax"/>
          <c:max val="2"/>
          <c:min val="0"/>
        </c:scaling>
        <c:delete val="0"/>
        <c:axPos val="r"/>
        <c:numFmt formatCode="0%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5751936"/>
        <c:crosses val="max"/>
        <c:crossBetween val="between"/>
        <c:majorUnit val="0.5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 sz="14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Dew Point / </a:t>
            </a:r>
            <a:r>
              <a:rPr lang="en-GB" sz="1400" b="1" i="0" u="none" strike="noStrike" baseline="30000">
                <a:solidFill>
                  <a:srgbClr val="000000"/>
                </a:solidFill>
                <a:latin typeface="Arial"/>
                <a:cs typeface="Arial"/>
              </a:rPr>
              <a:t>o</a:t>
            </a:r>
            <a:r>
              <a:rPr lang="en-GB" sz="14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C</a:t>
            </a:r>
          </a:p>
        </c:rich>
      </c:tx>
      <c:layout>
        <c:manualLayout>
          <c:xMode val="edge"/>
          <c:yMode val="edge"/>
          <c:x val="0.45817984006611717"/>
          <c:y val="1.99296600234466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985254257748993E-2"/>
          <c:y val="8.6752687408804985E-2"/>
          <c:w val="0.97355532025683733"/>
          <c:h val="0.86283753963351983"/>
        </c:manualLayout>
      </c:layout>
      <c:lineChart>
        <c:grouping val="standard"/>
        <c:varyColors val="0"/>
        <c:ser>
          <c:idx val="2"/>
          <c:order val="0"/>
          <c:tx>
            <c:v>Min Dew Point</c:v>
          </c:tx>
          <c:spPr>
            <a:ln w="38100">
              <a:solidFill>
                <a:srgbClr val="99CC00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808000"/>
              </a:solidFill>
              <a:ln>
                <a:solidFill>
                  <a:srgbClr val="808000"/>
                </a:solidFill>
                <a:prstDash val="solid"/>
              </a:ln>
            </c:spPr>
          </c:marker>
          <c:cat>
            <c:numRef>
              <c:f>JAN!$E$4:$E$34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JAN!$AG$4:$AG$34</c:f>
              <c:numCache>
                <c:formatCode>0.0</c:formatCode>
                <c:ptCount val="31"/>
                <c:pt idx="0">
                  <c:v>1.4</c:v>
                </c:pt>
                <c:pt idx="1">
                  <c:v>-1.6</c:v>
                </c:pt>
                <c:pt idx="2">
                  <c:v>-3.6</c:v>
                </c:pt>
                <c:pt idx="3">
                  <c:v>-1.2</c:v>
                </c:pt>
                <c:pt idx="4">
                  <c:v>0.1</c:v>
                </c:pt>
                <c:pt idx="5">
                  <c:v>0.9</c:v>
                </c:pt>
                <c:pt idx="6">
                  <c:v>0.2</c:v>
                </c:pt>
                <c:pt idx="7">
                  <c:v>-0.5</c:v>
                </c:pt>
                <c:pt idx="8">
                  <c:v>-1.6</c:v>
                </c:pt>
                <c:pt idx="9">
                  <c:v>-2.7</c:v>
                </c:pt>
                <c:pt idx="10">
                  <c:v>0.5</c:v>
                </c:pt>
                <c:pt idx="11">
                  <c:v>1.2</c:v>
                </c:pt>
                <c:pt idx="12">
                  <c:v>10.5</c:v>
                </c:pt>
                <c:pt idx="13">
                  <c:v>6.7</c:v>
                </c:pt>
                <c:pt idx="14">
                  <c:v>5.6</c:v>
                </c:pt>
                <c:pt idx="15">
                  <c:v>6</c:v>
                </c:pt>
                <c:pt idx="16">
                  <c:v>4.4000000000000004</c:v>
                </c:pt>
                <c:pt idx="17">
                  <c:v>1.2</c:v>
                </c:pt>
                <c:pt idx="18">
                  <c:v>0.5</c:v>
                </c:pt>
                <c:pt idx="19">
                  <c:v>0.8</c:v>
                </c:pt>
                <c:pt idx="20">
                  <c:v>-2.9</c:v>
                </c:pt>
                <c:pt idx="21">
                  <c:v>0</c:v>
                </c:pt>
                <c:pt idx="22">
                  <c:v>3.9</c:v>
                </c:pt>
                <c:pt idx="23">
                  <c:v>2</c:v>
                </c:pt>
                <c:pt idx="24">
                  <c:v>2.4</c:v>
                </c:pt>
                <c:pt idx="25">
                  <c:v>-1.9</c:v>
                </c:pt>
                <c:pt idx="26">
                  <c:v>-6</c:v>
                </c:pt>
                <c:pt idx="27">
                  <c:v>-6.5</c:v>
                </c:pt>
                <c:pt idx="28">
                  <c:v>-3.8</c:v>
                </c:pt>
                <c:pt idx="29">
                  <c:v>-3.8</c:v>
                </c:pt>
                <c:pt idx="30">
                  <c:v>-3.7</c:v>
                </c:pt>
              </c:numCache>
            </c:numRef>
          </c:val>
          <c:smooth val="0"/>
        </c:ser>
        <c:ser>
          <c:idx val="3"/>
          <c:order val="1"/>
          <c:tx>
            <c:v>Frost Point</c:v>
          </c:tx>
          <c:spPr>
            <a:ln w="38100">
              <a:solidFill>
                <a:srgbClr val="000080"/>
              </a:solidFill>
              <a:prstDash val="sysDash"/>
            </a:ln>
          </c:spPr>
          <c:marker>
            <c:symbol val="none"/>
          </c:marker>
          <c:cat>
            <c:numRef>
              <c:f>JAN!$E$4:$E$34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JAN!$T$4:$T$34</c:f>
              <c:numCache>
                <c:formatCode>0.0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</c:ser>
        <c:ser>
          <c:idx val="0"/>
          <c:order val="2"/>
          <c:tx>
            <c:v>Mean' Dew Point</c:v>
          </c:tx>
          <c:spPr>
            <a:ln w="38100">
              <a:solidFill>
                <a:srgbClr val="008080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666699"/>
              </a:solidFill>
              <a:ln>
                <a:solidFill>
                  <a:srgbClr val="666699"/>
                </a:solidFill>
                <a:prstDash val="solid"/>
              </a:ln>
            </c:spPr>
          </c:marker>
          <c:cat>
            <c:numRef>
              <c:f>JAN!$E$4:$E$34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JAN!$AI$4:$AI$34</c:f>
              <c:numCache>
                <c:formatCode>0.0</c:formatCode>
                <c:ptCount val="31"/>
                <c:pt idx="0">
                  <c:v>3.6</c:v>
                </c:pt>
                <c:pt idx="1">
                  <c:v>-0.2</c:v>
                </c:pt>
                <c:pt idx="2">
                  <c:v>-1.9</c:v>
                </c:pt>
                <c:pt idx="3">
                  <c:v>0.9</c:v>
                </c:pt>
                <c:pt idx="4">
                  <c:v>3.1</c:v>
                </c:pt>
                <c:pt idx="5">
                  <c:v>3.3</c:v>
                </c:pt>
                <c:pt idx="6">
                  <c:v>5.4</c:v>
                </c:pt>
                <c:pt idx="7">
                  <c:v>4.5</c:v>
                </c:pt>
                <c:pt idx="8">
                  <c:v>0</c:v>
                </c:pt>
                <c:pt idx="9">
                  <c:v>2.6</c:v>
                </c:pt>
                <c:pt idx="10">
                  <c:v>3</c:v>
                </c:pt>
                <c:pt idx="11">
                  <c:v>8.1</c:v>
                </c:pt>
                <c:pt idx="12">
                  <c:v>11.3</c:v>
                </c:pt>
                <c:pt idx="13">
                  <c:v>9.3000000000000007</c:v>
                </c:pt>
                <c:pt idx="14">
                  <c:v>7.3</c:v>
                </c:pt>
                <c:pt idx="15">
                  <c:v>8.4</c:v>
                </c:pt>
                <c:pt idx="16">
                  <c:v>6.5</c:v>
                </c:pt>
                <c:pt idx="17">
                  <c:v>2.9</c:v>
                </c:pt>
                <c:pt idx="18">
                  <c:v>1.9</c:v>
                </c:pt>
                <c:pt idx="19">
                  <c:v>2.2999999999999998</c:v>
                </c:pt>
                <c:pt idx="20">
                  <c:v>-0.4</c:v>
                </c:pt>
                <c:pt idx="21">
                  <c:v>2.5</c:v>
                </c:pt>
                <c:pt idx="22">
                  <c:v>4.9000000000000004</c:v>
                </c:pt>
                <c:pt idx="23">
                  <c:v>3.4</c:v>
                </c:pt>
                <c:pt idx="24">
                  <c:v>5.2</c:v>
                </c:pt>
                <c:pt idx="25">
                  <c:v>4</c:v>
                </c:pt>
                <c:pt idx="26">
                  <c:v>-3.7</c:v>
                </c:pt>
                <c:pt idx="27">
                  <c:v>-5.6</c:v>
                </c:pt>
                <c:pt idx="28">
                  <c:v>-3.3</c:v>
                </c:pt>
                <c:pt idx="29">
                  <c:v>-2.2999999999999998</c:v>
                </c:pt>
                <c:pt idx="30">
                  <c:v>-2.2000000000000002</c:v>
                </c:pt>
              </c:numCache>
            </c:numRef>
          </c:val>
          <c:smooth val="0"/>
        </c:ser>
        <c:ser>
          <c:idx val="4"/>
          <c:order val="3"/>
          <c:tx>
            <c:v>Max Dew Point</c:v>
          </c:tx>
          <c:spPr>
            <a:ln w="38100">
              <a:solidFill>
                <a:srgbClr val="003300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003366"/>
              </a:solidFill>
              <a:ln>
                <a:solidFill>
                  <a:srgbClr val="003366"/>
                </a:solidFill>
                <a:prstDash val="solid"/>
              </a:ln>
            </c:spPr>
          </c:marker>
          <c:cat>
            <c:numRef>
              <c:f>JAN!$E$4:$E$34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JAN!$AH$4:$AH$34</c:f>
              <c:numCache>
                <c:formatCode>0.0</c:formatCode>
                <c:ptCount val="31"/>
                <c:pt idx="0">
                  <c:v>5.7</c:v>
                </c:pt>
                <c:pt idx="1">
                  <c:v>1.4</c:v>
                </c:pt>
                <c:pt idx="2">
                  <c:v>-0.7</c:v>
                </c:pt>
                <c:pt idx="3">
                  <c:v>3</c:v>
                </c:pt>
                <c:pt idx="4">
                  <c:v>6.4</c:v>
                </c:pt>
                <c:pt idx="5">
                  <c:v>6.1</c:v>
                </c:pt>
                <c:pt idx="6">
                  <c:v>9.8000000000000007</c:v>
                </c:pt>
                <c:pt idx="7">
                  <c:v>9.1</c:v>
                </c:pt>
                <c:pt idx="8">
                  <c:v>1.5</c:v>
                </c:pt>
                <c:pt idx="9">
                  <c:v>5.9</c:v>
                </c:pt>
                <c:pt idx="10">
                  <c:v>6.9</c:v>
                </c:pt>
                <c:pt idx="11">
                  <c:v>11.4</c:v>
                </c:pt>
                <c:pt idx="12">
                  <c:v>12</c:v>
                </c:pt>
                <c:pt idx="13">
                  <c:v>10.9</c:v>
                </c:pt>
                <c:pt idx="14">
                  <c:v>8.1</c:v>
                </c:pt>
                <c:pt idx="15">
                  <c:v>9.6999999999999993</c:v>
                </c:pt>
                <c:pt idx="16">
                  <c:v>8.9</c:v>
                </c:pt>
                <c:pt idx="17">
                  <c:v>4.8</c:v>
                </c:pt>
                <c:pt idx="18">
                  <c:v>4</c:v>
                </c:pt>
                <c:pt idx="19">
                  <c:v>3.3</c:v>
                </c:pt>
                <c:pt idx="20">
                  <c:v>3</c:v>
                </c:pt>
                <c:pt idx="21">
                  <c:v>4.9000000000000004</c:v>
                </c:pt>
                <c:pt idx="22">
                  <c:v>6</c:v>
                </c:pt>
                <c:pt idx="23">
                  <c:v>5.3</c:v>
                </c:pt>
                <c:pt idx="24">
                  <c:v>6.8</c:v>
                </c:pt>
                <c:pt idx="25">
                  <c:v>6.3</c:v>
                </c:pt>
                <c:pt idx="26">
                  <c:v>-1.7</c:v>
                </c:pt>
                <c:pt idx="27">
                  <c:v>-3.8</c:v>
                </c:pt>
                <c:pt idx="28">
                  <c:v>-2.8</c:v>
                </c:pt>
                <c:pt idx="29">
                  <c:v>-1</c:v>
                </c:pt>
                <c:pt idx="30">
                  <c:v>-1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800320"/>
        <c:axId val="115933568"/>
      </c:lineChart>
      <c:catAx>
        <c:axId val="1158003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5933568"/>
        <c:crossesAt val="-10"/>
        <c:auto val="1"/>
        <c:lblAlgn val="ctr"/>
        <c:lblOffset val="100"/>
        <c:tickLblSkip val="1"/>
        <c:tickMarkSkip val="1"/>
        <c:noMultiLvlLbl val="0"/>
      </c:catAx>
      <c:valAx>
        <c:axId val="115933568"/>
        <c:scaling>
          <c:orientation val="minMax"/>
          <c:max val="12"/>
          <c:min val="-8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5800320"/>
        <c:crosses val="autoZero"/>
        <c:crossBetween val="between"/>
        <c:majorUnit val="2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Mean Wind Direction Frequency</a:t>
            </a:r>
          </a:p>
        </c:rich>
      </c:tx>
      <c:layout>
        <c:manualLayout>
          <c:xMode val="edge"/>
          <c:yMode val="edge"/>
          <c:x val="0.40434296945276205"/>
          <c:y val="2.534562211981566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104461873063995"/>
          <c:y val="0.16935493397792495"/>
          <c:w val="0.36971852174486142"/>
          <c:h val="0.72580685990539262"/>
        </c:manualLayout>
      </c:layout>
      <c:radarChart>
        <c:radarStyle val="filled"/>
        <c:varyColors val="1"/>
        <c:ser>
          <c:idx val="0"/>
          <c:order val="0"/>
          <c:tx>
            <c:v>Mean Wind Direction</c:v>
          </c:tx>
          <c:spPr>
            <a:solidFill>
              <a:srgbClr val="FF99CC"/>
            </a:solidFill>
            <a:ln w="38100">
              <a:solidFill>
                <a:srgbClr val="FF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</c:dPt>
          <c:dPt>
            <c:idx val="2"/>
            <c:bubble3D val="0"/>
          </c:dPt>
          <c:dPt>
            <c:idx val="3"/>
            <c:bubble3D val="0"/>
          </c:dPt>
          <c:dPt>
            <c:idx val="4"/>
            <c:bubble3D val="0"/>
          </c:dPt>
          <c:dPt>
            <c:idx val="5"/>
            <c:bubble3D val="0"/>
          </c:dPt>
          <c:dPt>
            <c:idx val="6"/>
            <c:bubble3D val="0"/>
          </c:dPt>
          <c:dPt>
            <c:idx val="7"/>
            <c:bubble3D val="0"/>
          </c:dPt>
          <c:dLbls>
            <c:dLbl>
              <c:idx val="0"/>
              <c:layout>
                <c:manualLayout>
                  <c:x val="2.4589713206792188E-3"/>
                  <c:y val="-0.1477727336849508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 val="6.279300295952886E-2"/>
                  <c:y val="-9.686152110313295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layout>
                <c:manualLayout>
                  <c:x val="0.18849196297452142"/>
                  <c:y val="-4.915468101103790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layout>
                <c:manualLayout>
                  <c:x val="0.14709069094320237"/>
                  <c:y val="0.236389170549578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4"/>
              <c:layout>
                <c:manualLayout>
                  <c:x val="1.2852617278384193E-3"/>
                  <c:y val="0.24796490008179231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5"/>
              <c:layout>
                <c:manualLayout>
                  <c:x val="-1.780144270257469E-2"/>
                  <c:y val="1.667192466799387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6"/>
              <c:layout>
                <c:manualLayout>
                  <c:x val="-0.15599186608997409"/>
                  <c:y val="-6.067542481906016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7"/>
              <c:layout>
                <c:manualLayout>
                  <c:x val="-9.4581534401572284E-2"/>
                  <c:y val="-0.1654650118408685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400" b="1" i="0" u="none" strike="noStrike" baseline="0">
                    <a:solidFill>
                      <a:srgbClr val="FF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JAN!$W$46:$W$53</c:f>
              <c:strCache>
                <c:ptCount val="8"/>
                <c:pt idx="0">
                  <c:v>N</c:v>
                </c:pt>
                <c:pt idx="1">
                  <c:v>NE</c:v>
                </c:pt>
                <c:pt idx="2">
                  <c:v>E</c:v>
                </c:pt>
                <c:pt idx="3">
                  <c:v>SE</c:v>
                </c:pt>
                <c:pt idx="4">
                  <c:v>S</c:v>
                </c:pt>
                <c:pt idx="5">
                  <c:v>SW</c:v>
                </c:pt>
                <c:pt idx="6">
                  <c:v>W</c:v>
                </c:pt>
                <c:pt idx="7">
                  <c:v>NW</c:v>
                </c:pt>
              </c:strCache>
            </c:strRef>
          </c:cat>
          <c:val>
            <c:numRef>
              <c:f>JAN!$X$46:$X$53</c:f>
              <c:numCache>
                <c:formatCode>0</c:formatCode>
                <c:ptCount val="8"/>
                <c:pt idx="0">
                  <c:v>6</c:v>
                </c:pt>
                <c:pt idx="1">
                  <c:v>6</c:v>
                </c:pt>
                <c:pt idx="2">
                  <c:v>0</c:v>
                </c:pt>
                <c:pt idx="3">
                  <c:v>0</c:v>
                </c:pt>
                <c:pt idx="4">
                  <c:v>3</c:v>
                </c:pt>
                <c:pt idx="5">
                  <c:v>10</c:v>
                </c:pt>
                <c:pt idx="6">
                  <c:v>2</c:v>
                </c:pt>
                <c:pt idx="7">
                  <c:v>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993216"/>
        <c:axId val="116076928"/>
      </c:radarChart>
      <c:catAx>
        <c:axId val="115993216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6076928"/>
        <c:crosses val="autoZero"/>
        <c:auto val="0"/>
        <c:lblAlgn val="ctr"/>
        <c:lblOffset val="100"/>
        <c:noMultiLvlLbl val="0"/>
      </c:catAx>
      <c:valAx>
        <c:axId val="116076928"/>
        <c:scaling>
          <c:orientation val="minMax"/>
          <c:max val="1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0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5993216"/>
        <c:crosses val="autoZero"/>
        <c:crossBetween val="between"/>
        <c:majorUnit val="2"/>
      </c:valAx>
      <c:spPr>
        <a:solidFill>
          <a:srgbClr val="C0C0C0"/>
        </a:solidFill>
        <a:ln w="25400">
          <a:noFill/>
        </a:ln>
      </c:spPr>
    </c:plotArea>
    <c:plotVisOnly val="1"/>
    <c:dispBlanksAs val="gap"/>
    <c:showDLblsOverMax val="0"/>
  </c:chart>
  <c:spPr>
    <a:solidFill>
      <a:srgbClr val="C0C0C0"/>
    </a:solidFill>
    <a:ln w="3175">
      <a:solidFill>
        <a:srgbClr val="000000"/>
      </a:solidFill>
      <a:prstDash val="solid"/>
    </a:ln>
  </c:spPr>
  <c:txPr>
    <a:bodyPr/>
    <a:lstStyle/>
    <a:p>
      <a:pPr>
        <a:defRPr sz="23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Cumulative Sun Hours / h</a:t>
            </a:r>
          </a:p>
        </c:rich>
      </c:tx>
      <c:layout>
        <c:manualLayout>
          <c:xMode val="edge"/>
          <c:yMode val="edge"/>
          <c:x val="0.42778132143439052"/>
          <c:y val="2.702702702702702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970505042623335E-2"/>
          <c:y val="8.6956521739130432E-2"/>
          <c:w val="0.9459130066819823"/>
          <c:h val="0.86251468860164515"/>
        </c:manualLayout>
      </c:layout>
      <c:lineChart>
        <c:grouping val="standard"/>
        <c:varyColors val="0"/>
        <c:ser>
          <c:idx val="1"/>
          <c:order val="0"/>
          <c:tx>
            <c:v>Cumulative Sun Hours</c:v>
          </c:tx>
          <c:spPr>
            <a:ln w="38100">
              <a:solidFill>
                <a:srgbClr val="FFFF00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99CC00"/>
              </a:solidFill>
              <a:ln>
                <a:solidFill>
                  <a:srgbClr val="99CC00"/>
                </a:solidFill>
                <a:prstDash val="solid"/>
              </a:ln>
            </c:spPr>
          </c:marker>
          <c:cat>
            <c:numRef>
              <c:f>JAN!$E$4:$E$34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JAN!$AG$91:$AG$121</c:f>
              <c:numCache>
                <c:formatCode>0</c:formatCode>
                <c:ptCount val="31"/>
                <c:pt idx="0">
                  <c:v>0.1</c:v>
                </c:pt>
                <c:pt idx="1">
                  <c:v>1.1000000000000001</c:v>
                </c:pt>
                <c:pt idx="2">
                  <c:v>1.6</c:v>
                </c:pt>
                <c:pt idx="3">
                  <c:v>2.1</c:v>
                </c:pt>
                <c:pt idx="4">
                  <c:v>4.5999999999999996</c:v>
                </c:pt>
                <c:pt idx="5">
                  <c:v>4.5999999999999996</c:v>
                </c:pt>
                <c:pt idx="6">
                  <c:v>4.8</c:v>
                </c:pt>
                <c:pt idx="7">
                  <c:v>6.3</c:v>
                </c:pt>
                <c:pt idx="8">
                  <c:v>13.6</c:v>
                </c:pt>
                <c:pt idx="9">
                  <c:v>13.9</c:v>
                </c:pt>
                <c:pt idx="10">
                  <c:v>14.1</c:v>
                </c:pt>
                <c:pt idx="11">
                  <c:v>14.1</c:v>
                </c:pt>
                <c:pt idx="12">
                  <c:v>14.1</c:v>
                </c:pt>
                <c:pt idx="13">
                  <c:v>14.1</c:v>
                </c:pt>
                <c:pt idx="14">
                  <c:v>14.1</c:v>
                </c:pt>
                <c:pt idx="15">
                  <c:v>14.6</c:v>
                </c:pt>
                <c:pt idx="16">
                  <c:v>14.7</c:v>
                </c:pt>
                <c:pt idx="17">
                  <c:v>21.2</c:v>
                </c:pt>
                <c:pt idx="18">
                  <c:v>27.2</c:v>
                </c:pt>
                <c:pt idx="19">
                  <c:v>27.4</c:v>
                </c:pt>
                <c:pt idx="20">
                  <c:v>31.9</c:v>
                </c:pt>
                <c:pt idx="21">
                  <c:v>32.299999999999997</c:v>
                </c:pt>
                <c:pt idx="22">
                  <c:v>32.299999999999997</c:v>
                </c:pt>
                <c:pt idx="23">
                  <c:v>32.299999999999997</c:v>
                </c:pt>
                <c:pt idx="24">
                  <c:v>32.599999999999994</c:v>
                </c:pt>
                <c:pt idx="25">
                  <c:v>32.599999999999994</c:v>
                </c:pt>
                <c:pt idx="26">
                  <c:v>32.599999999999994</c:v>
                </c:pt>
                <c:pt idx="27">
                  <c:v>32.799999999999997</c:v>
                </c:pt>
                <c:pt idx="28">
                  <c:v>32.799999999999997</c:v>
                </c:pt>
                <c:pt idx="29">
                  <c:v>34.799999999999997</c:v>
                </c:pt>
                <c:pt idx="30">
                  <c:v>39.299999999999997</c:v>
                </c:pt>
              </c:numCache>
            </c:numRef>
          </c:val>
          <c:smooth val="0"/>
        </c:ser>
        <c:ser>
          <c:idx val="2"/>
          <c:order val="1"/>
          <c:tx>
            <c:v>E (Cumulative Sun Hours)</c:v>
          </c:tx>
          <c:spPr>
            <a:ln w="25400">
              <a:solidFill>
                <a:srgbClr val="FFFF99"/>
              </a:solidFill>
              <a:prstDash val="lgDash"/>
            </a:ln>
          </c:spPr>
          <c:marker>
            <c:symbol val="diamond"/>
            <c:size val="2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cat>
            <c:numRef>
              <c:f>JAN!$E$4:$E$34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JAN!$AH$91:$AH$121</c:f>
              <c:numCache>
                <c:formatCode>0.0</c:formatCode>
                <c:ptCount val="31"/>
                <c:pt idx="0">
                  <c:v>1.3969659282532971</c:v>
                </c:pt>
                <c:pt idx="1">
                  <c:v>2.7973179468428375</c:v>
                </c:pt>
                <c:pt idx="2">
                  <c:v>4.2013357702252758</c:v>
                </c:pt>
                <c:pt idx="3">
                  <c:v>5.6092955964753495</c:v>
                </c:pt>
                <c:pt idx="4">
                  <c:v>7.0214698890295191</c:v>
                </c:pt>
                <c:pt idx="5">
                  <c:v>8.4381271713458794</c:v>
                </c:pt>
                <c:pt idx="6">
                  <c:v>9.8595318348907082</c:v>
                </c:pt>
                <c:pt idx="7">
                  <c:v>11.285943960771586</c:v>
                </c:pt>
                <c:pt idx="8">
                  <c:v>12.717619155247966</c:v>
                </c:pt>
                <c:pt idx="9">
                  <c:v>14.154808399263271</c:v>
                </c:pt>
                <c:pt idx="10">
                  <c:v>15.59775791205888</c:v>
                </c:pt>
                <c:pt idx="11">
                  <c:v>17.046709028850383</c:v>
                </c:pt>
                <c:pt idx="12">
                  <c:v>18.50189809247092</c:v>
                </c:pt>
                <c:pt idx="13">
                  <c:v>19.963556358815715</c:v>
                </c:pt>
                <c:pt idx="14">
                  <c:v>21.431909915856529</c:v>
                </c:pt>
                <c:pt idx="15">
                  <c:v>22.907179615934879</c:v>
                </c:pt>
                <c:pt idx="16">
                  <c:v>24.389581020988913</c:v>
                </c:pt>
                <c:pt idx="17">
                  <c:v>25.879324360320577</c:v>
                </c:pt>
                <c:pt idx="18">
                  <c:v>27.376614500467568</c:v>
                </c:pt>
                <c:pt idx="19">
                  <c:v>28.881650926708112</c:v>
                </c:pt>
                <c:pt idx="20">
                  <c:v>30.394627735696012</c:v>
                </c:pt>
                <c:pt idx="21">
                  <c:v>31.91573363869826</c:v>
                </c:pt>
                <c:pt idx="22">
                  <c:v>33.445151974887743</c:v>
                </c:pt>
                <c:pt idx="23">
                  <c:v>34.98306073412887</c:v>
                </c:pt>
                <c:pt idx="24">
                  <c:v>36.529632588683754</c:v>
                </c:pt>
                <c:pt idx="25">
                  <c:v>38.085034933261213</c:v>
                </c:pt>
                <c:pt idx="26">
                  <c:v>39.649429932828973</c:v>
                </c:pt>
                <c:pt idx="27">
                  <c:v>41.222974577611708</c:v>
                </c:pt>
                <c:pt idx="28">
                  <c:v>42.805820744702991</c:v>
                </c:pt>
                <c:pt idx="29">
                  <c:v>44.398115265727377</c:v>
                </c:pt>
                <c:pt idx="30">
                  <c:v>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46176"/>
        <c:axId val="116147712"/>
      </c:lineChart>
      <c:lineChart>
        <c:grouping val="standard"/>
        <c:varyColors val="0"/>
        <c:ser>
          <c:idx val="0"/>
          <c:order val="2"/>
          <c:tx>
            <c:v>Cumulative Anomaly</c:v>
          </c:tx>
          <c:spPr>
            <a:ln w="12700">
              <a:solidFill>
                <a:srgbClr val="99CC00"/>
              </a:solidFill>
              <a:prstDash val="solid"/>
            </a:ln>
          </c:spPr>
          <c:marker>
            <c:symbol val="circle"/>
            <c:size val="2"/>
            <c:spPr>
              <a:solidFill>
                <a:srgbClr val="808000"/>
              </a:solidFill>
              <a:ln>
                <a:solidFill>
                  <a:srgbClr val="808000"/>
                </a:solidFill>
                <a:prstDash val="solid"/>
              </a:ln>
            </c:spPr>
          </c:marker>
          <c:cat>
            <c:numRef>
              <c:f>JAN!$E$4:$E$34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JAN!$AI$91:$AI$121</c:f>
              <c:numCache>
                <c:formatCode>0%</c:formatCode>
                <c:ptCount val="31"/>
                <c:pt idx="0">
                  <c:v>7.1583707216850645E-2</c:v>
                </c:pt>
                <c:pt idx="1">
                  <c:v>0.39323381213833886</c:v>
                </c:pt>
                <c:pt idx="2">
                  <c:v>0.38083126117630156</c:v>
                </c:pt>
                <c:pt idx="3">
                  <c:v>0.37437855856973445</c:v>
                </c:pt>
                <c:pt idx="4">
                  <c:v>0.65513347955634316</c:v>
                </c:pt>
                <c:pt idx="5">
                  <c:v>0.54514466380888882</c:v>
                </c:pt>
                <c:pt idx="6">
                  <c:v>0.48683853152275025</c:v>
                </c:pt>
                <c:pt idx="7">
                  <c:v>0.55821648786295119</c:v>
                </c:pt>
                <c:pt idx="8">
                  <c:v>1.0693825498295344</c:v>
                </c:pt>
                <c:pt idx="9">
                  <c:v>0.98199845649083228</c:v>
                </c:pt>
                <c:pt idx="10">
                  <c:v>0.90397607652950307</c:v>
                </c:pt>
                <c:pt idx="11">
                  <c:v>0.82713912557178737</c:v>
                </c:pt>
                <c:pt idx="12">
                  <c:v>0.76208397265671846</c:v>
                </c:pt>
                <c:pt idx="13">
                  <c:v>0.70628698346993546</c:v>
                </c:pt>
                <c:pt idx="14">
                  <c:v>0.65789750215252762</c:v>
                </c:pt>
                <c:pt idx="15">
                  <c:v>0.63735476146717895</c:v>
                </c:pt>
                <c:pt idx="16">
                  <c:v>0.60271638070984646</c:v>
                </c:pt>
                <c:pt idx="17">
                  <c:v>0.81918676487956765</c:v>
                </c:pt>
                <c:pt idx="18">
                  <c:v>0.99354870922901906</c:v>
                </c:pt>
                <c:pt idx="19">
                  <c:v>0.94869923016284485</c:v>
                </c:pt>
                <c:pt idx="20">
                  <c:v>1.0495275769584784</c:v>
                </c:pt>
                <c:pt idx="21">
                  <c:v>1.0120400290857112</c:v>
                </c:pt>
                <c:pt idx="22">
                  <c:v>0.96576029985608736</c:v>
                </c:pt>
                <c:pt idx="23">
                  <c:v>0.92330400262801116</c:v>
                </c:pt>
                <c:pt idx="24">
                  <c:v>0.89242616719060319</c:v>
                </c:pt>
                <c:pt idx="25">
                  <c:v>0.85597925949462861</c:v>
                </c:pt>
                <c:pt idx="26">
                  <c:v>0.82220602049584113</c:v>
                </c:pt>
                <c:pt idx="27">
                  <c:v>0.79567280954571751</c:v>
                </c:pt>
                <c:pt idx="28">
                  <c:v>0.76625093105027864</c:v>
                </c:pt>
                <c:pt idx="29">
                  <c:v>0.7838170560105614</c:v>
                </c:pt>
                <c:pt idx="30">
                  <c:v>0.85434782608695647</c:v>
                </c:pt>
              </c:numCache>
            </c:numRef>
          </c:val>
          <c:smooth val="0"/>
        </c:ser>
        <c:ser>
          <c:idx val="3"/>
          <c:order val="3"/>
          <c:tx>
            <c:v>E (Cumulative Anomaly)</c:v>
          </c:tx>
          <c:spPr>
            <a:ln w="12700">
              <a:solidFill>
                <a:srgbClr val="808000"/>
              </a:solidFill>
              <a:prstDash val="lgDash"/>
            </a:ln>
          </c:spPr>
          <c:marker>
            <c:symbol val="none"/>
          </c:marker>
          <c:cat>
            <c:numRef>
              <c:f>JAN!$E$4:$E$34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JAN!$J$54:$J$84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49248"/>
        <c:axId val="116159232"/>
      </c:lineChart>
      <c:catAx>
        <c:axId val="116146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61477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6147712"/>
        <c:scaling>
          <c:orientation val="minMax"/>
          <c:max val="60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6146176"/>
        <c:crosses val="autoZero"/>
        <c:crossBetween val="between"/>
        <c:majorUnit val="10"/>
      </c:valAx>
      <c:catAx>
        <c:axId val="1161492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159232"/>
        <c:crosses val="autoZero"/>
        <c:auto val="1"/>
        <c:lblAlgn val="ctr"/>
        <c:lblOffset val="100"/>
        <c:noMultiLvlLbl val="0"/>
      </c:catAx>
      <c:valAx>
        <c:axId val="116159232"/>
        <c:scaling>
          <c:orientation val="minMax"/>
          <c:max val="1.5"/>
          <c:min val="0"/>
        </c:scaling>
        <c:delete val="0"/>
        <c:axPos val="r"/>
        <c:numFmt formatCode="0%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6149248"/>
        <c:crosses val="max"/>
        <c:crossBetween val="between"/>
        <c:majorUnit val="0.25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 horizontalDpi="-3" verticalDpi="0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 sz="14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Mean' &amp; Mean Temperature / </a:t>
            </a:r>
            <a:r>
              <a:rPr lang="en-GB" sz="1400" b="1" i="0" u="none" strike="noStrike" baseline="30000">
                <a:solidFill>
                  <a:srgbClr val="000000"/>
                </a:solidFill>
                <a:latin typeface="Arial"/>
                <a:cs typeface="Arial"/>
              </a:rPr>
              <a:t>o</a:t>
            </a:r>
            <a:r>
              <a:rPr lang="en-GB" sz="14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C</a:t>
            </a:r>
          </a:p>
        </c:rich>
      </c:tx>
      <c:layout>
        <c:manualLayout>
          <c:xMode val="edge"/>
          <c:yMode val="edge"/>
          <c:x val="0.40872784878534313"/>
          <c:y val="1.990632318501171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970505042623335E-2"/>
          <c:y val="8.6651053864168617E-2"/>
          <c:w val="0.97357128173116314"/>
          <c:h val="0.86299765807962525"/>
        </c:manualLayout>
      </c:layout>
      <c:lineChart>
        <c:grouping val="standard"/>
        <c:varyColors val="0"/>
        <c:ser>
          <c:idx val="2"/>
          <c:order val="0"/>
          <c:tx>
            <c:v>Mean Temperature</c:v>
          </c:tx>
          <c:spPr>
            <a:ln w="25400">
              <a:solidFill>
                <a:srgbClr val="666699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333399"/>
              </a:solidFill>
              <a:ln>
                <a:solidFill>
                  <a:srgbClr val="333399"/>
                </a:solidFill>
                <a:prstDash val="solid"/>
              </a:ln>
            </c:spPr>
          </c:marker>
          <c:cat>
            <c:numRef>
              <c:f>JAN!$E$4:$E$34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JAN!$L$91:$L$121</c:f>
              <c:numCache>
                <c:formatCode>0.0</c:formatCode>
                <c:ptCount val="31"/>
                <c:pt idx="0">
                  <c:v>4.9000000000000004</c:v>
                </c:pt>
                <c:pt idx="1">
                  <c:v>2.35</c:v>
                </c:pt>
                <c:pt idx="2">
                  <c:v>1.2</c:v>
                </c:pt>
                <c:pt idx="3">
                  <c:v>3.8</c:v>
                </c:pt>
                <c:pt idx="4">
                  <c:v>5.6</c:v>
                </c:pt>
                <c:pt idx="5">
                  <c:v>4.05</c:v>
                </c:pt>
                <c:pt idx="6">
                  <c:v>5.35</c:v>
                </c:pt>
                <c:pt idx="7">
                  <c:v>6.35</c:v>
                </c:pt>
                <c:pt idx="8">
                  <c:v>3.65</c:v>
                </c:pt>
                <c:pt idx="9">
                  <c:v>3.7499999999999996</c:v>
                </c:pt>
                <c:pt idx="10">
                  <c:v>5.6999999999999993</c:v>
                </c:pt>
                <c:pt idx="11">
                  <c:v>8.1</c:v>
                </c:pt>
                <c:pt idx="12">
                  <c:v>12.350000000000001</c:v>
                </c:pt>
                <c:pt idx="13">
                  <c:v>9.75</c:v>
                </c:pt>
                <c:pt idx="14">
                  <c:v>9.5</c:v>
                </c:pt>
                <c:pt idx="15">
                  <c:v>11.05</c:v>
                </c:pt>
                <c:pt idx="16">
                  <c:v>7.7</c:v>
                </c:pt>
                <c:pt idx="17">
                  <c:v>4.5999999999999996</c:v>
                </c:pt>
                <c:pt idx="18">
                  <c:v>3.65</c:v>
                </c:pt>
                <c:pt idx="19">
                  <c:v>3.8</c:v>
                </c:pt>
                <c:pt idx="20">
                  <c:v>1.95</c:v>
                </c:pt>
                <c:pt idx="21">
                  <c:v>3.4</c:v>
                </c:pt>
                <c:pt idx="22">
                  <c:v>6.25</c:v>
                </c:pt>
                <c:pt idx="23">
                  <c:v>5.05</c:v>
                </c:pt>
                <c:pt idx="24">
                  <c:v>5.8</c:v>
                </c:pt>
                <c:pt idx="25">
                  <c:v>4.3499999999999996</c:v>
                </c:pt>
                <c:pt idx="26">
                  <c:v>1.85</c:v>
                </c:pt>
                <c:pt idx="27">
                  <c:v>0.35</c:v>
                </c:pt>
                <c:pt idx="28">
                  <c:v>0.6</c:v>
                </c:pt>
                <c:pt idx="29">
                  <c:v>1.8499999999999999</c:v>
                </c:pt>
                <c:pt idx="30">
                  <c:v>1.5</c:v>
                </c:pt>
              </c:numCache>
            </c:numRef>
          </c:val>
          <c:smooth val="0"/>
        </c:ser>
        <c:ser>
          <c:idx val="0"/>
          <c:order val="1"/>
          <c:tx>
            <c:v>Mean' Temperature</c:v>
          </c:tx>
          <c:spPr>
            <a:ln w="38100">
              <a:solidFill>
                <a:srgbClr val="800080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666699"/>
              </a:solidFill>
              <a:ln>
                <a:solidFill>
                  <a:srgbClr val="666699"/>
                </a:solidFill>
                <a:prstDash val="solid"/>
              </a:ln>
            </c:spPr>
          </c:marker>
          <c:cat>
            <c:numRef>
              <c:f>JAN!$E$4:$E$34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JAN!$H$4:$H$34</c:f>
              <c:numCache>
                <c:formatCode>0.0</c:formatCode>
                <c:ptCount val="31"/>
                <c:pt idx="0">
                  <c:v>5.2</c:v>
                </c:pt>
                <c:pt idx="1">
                  <c:v>2.2999999999999998</c:v>
                </c:pt>
                <c:pt idx="2">
                  <c:v>2</c:v>
                </c:pt>
                <c:pt idx="3">
                  <c:v>3.6</c:v>
                </c:pt>
                <c:pt idx="4">
                  <c:v>5.8</c:v>
                </c:pt>
                <c:pt idx="5">
                  <c:v>4</c:v>
                </c:pt>
                <c:pt idx="6">
                  <c:v>5.8</c:v>
                </c:pt>
                <c:pt idx="7">
                  <c:v>7.2</c:v>
                </c:pt>
                <c:pt idx="8">
                  <c:v>3.2</c:v>
                </c:pt>
                <c:pt idx="9">
                  <c:v>4.9000000000000004</c:v>
                </c:pt>
                <c:pt idx="10">
                  <c:v>5.5</c:v>
                </c:pt>
                <c:pt idx="11">
                  <c:v>9.1</c:v>
                </c:pt>
                <c:pt idx="12">
                  <c:v>12.1</c:v>
                </c:pt>
                <c:pt idx="13">
                  <c:v>10.5</c:v>
                </c:pt>
                <c:pt idx="14">
                  <c:v>10.3</c:v>
                </c:pt>
                <c:pt idx="15">
                  <c:v>11.1</c:v>
                </c:pt>
                <c:pt idx="16">
                  <c:v>7.6</c:v>
                </c:pt>
                <c:pt idx="17">
                  <c:v>4.5</c:v>
                </c:pt>
                <c:pt idx="18">
                  <c:v>3.3</c:v>
                </c:pt>
                <c:pt idx="19">
                  <c:v>3.8</c:v>
                </c:pt>
                <c:pt idx="20">
                  <c:v>1.7</c:v>
                </c:pt>
                <c:pt idx="21">
                  <c:v>3.8</c:v>
                </c:pt>
                <c:pt idx="22">
                  <c:v>6.3</c:v>
                </c:pt>
                <c:pt idx="23">
                  <c:v>5.6</c:v>
                </c:pt>
                <c:pt idx="24">
                  <c:v>6.5</c:v>
                </c:pt>
                <c:pt idx="25">
                  <c:v>5.2</c:v>
                </c:pt>
                <c:pt idx="26">
                  <c:v>1.6</c:v>
                </c:pt>
                <c:pt idx="27">
                  <c:v>0.5</c:v>
                </c:pt>
                <c:pt idx="28">
                  <c:v>0.7</c:v>
                </c:pt>
                <c:pt idx="29">
                  <c:v>1.8</c:v>
                </c:pt>
                <c:pt idx="30">
                  <c:v>2</c:v>
                </c:pt>
              </c:numCache>
            </c:numRef>
          </c:val>
          <c:smooth val="0"/>
        </c:ser>
        <c:ser>
          <c:idx val="1"/>
          <c:order val="2"/>
          <c:tx>
            <c:v>E (Mean)</c:v>
          </c:tx>
          <c:spPr>
            <a:ln w="25400">
              <a:solidFill>
                <a:srgbClr val="CC99FF"/>
              </a:solidFill>
              <a:prstDash val="lgDash"/>
            </a:ln>
          </c:spPr>
          <c:marker>
            <c:symbol val="none"/>
          </c:marker>
          <c:cat>
            <c:numRef>
              <c:f>JAN!$E$4:$E$34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JAN!$H$91:$H$121</c:f>
              <c:numCache>
                <c:formatCode>0.0</c:formatCode>
                <c:ptCount val="31"/>
                <c:pt idx="0">
                  <c:v>4.8150000000000004</c:v>
                </c:pt>
                <c:pt idx="1">
                  <c:v>4.8049999999999997</c:v>
                </c:pt>
                <c:pt idx="2">
                  <c:v>4.7949999999999999</c:v>
                </c:pt>
                <c:pt idx="3">
                  <c:v>4.7850000000000001</c:v>
                </c:pt>
                <c:pt idx="4">
                  <c:v>4.7750000000000004</c:v>
                </c:pt>
                <c:pt idx="5">
                  <c:v>4.7650000000000006</c:v>
                </c:pt>
                <c:pt idx="6">
                  <c:v>4.75</c:v>
                </c:pt>
                <c:pt idx="7">
                  <c:v>4.74</c:v>
                </c:pt>
                <c:pt idx="8">
                  <c:v>4.7300000000000004</c:v>
                </c:pt>
                <c:pt idx="9">
                  <c:v>4.7200000000000006</c:v>
                </c:pt>
                <c:pt idx="10">
                  <c:v>4.7149999999999999</c:v>
                </c:pt>
                <c:pt idx="11">
                  <c:v>4.7149999999999999</c:v>
                </c:pt>
                <c:pt idx="12">
                  <c:v>4.7149999999999999</c:v>
                </c:pt>
                <c:pt idx="13">
                  <c:v>4.7149999999999999</c:v>
                </c:pt>
                <c:pt idx="14">
                  <c:v>4.7</c:v>
                </c:pt>
                <c:pt idx="15">
                  <c:v>4.7</c:v>
                </c:pt>
                <c:pt idx="16">
                  <c:v>4.7</c:v>
                </c:pt>
                <c:pt idx="17">
                  <c:v>4.7</c:v>
                </c:pt>
                <c:pt idx="18">
                  <c:v>4.6500000000000004</c:v>
                </c:pt>
                <c:pt idx="19">
                  <c:v>4.6500000000000004</c:v>
                </c:pt>
                <c:pt idx="20">
                  <c:v>4.6349999999999998</c:v>
                </c:pt>
                <c:pt idx="21">
                  <c:v>4.6349999999999998</c:v>
                </c:pt>
                <c:pt idx="22">
                  <c:v>4.6349999999999998</c:v>
                </c:pt>
                <c:pt idx="23">
                  <c:v>4.6349999999999998</c:v>
                </c:pt>
                <c:pt idx="24">
                  <c:v>4.6349999999999998</c:v>
                </c:pt>
                <c:pt idx="25">
                  <c:v>4.6349999999999998</c:v>
                </c:pt>
                <c:pt idx="26">
                  <c:v>4.6349999999999998</c:v>
                </c:pt>
                <c:pt idx="27">
                  <c:v>4.6349999999999998</c:v>
                </c:pt>
                <c:pt idx="28">
                  <c:v>4.6849999999999996</c:v>
                </c:pt>
                <c:pt idx="29">
                  <c:v>4.6849999999999996</c:v>
                </c:pt>
                <c:pt idx="30">
                  <c:v>4.7149999999999999</c:v>
                </c:pt>
              </c:numCache>
            </c:numRef>
          </c:val>
          <c:smooth val="0"/>
        </c:ser>
        <c:ser>
          <c:idx val="3"/>
          <c:order val="3"/>
          <c:tx>
            <c:v>E (Max)</c:v>
          </c:tx>
          <c:spPr>
            <a:ln w="12700">
              <a:solidFill>
                <a:srgbClr val="FFCC99"/>
              </a:solidFill>
              <a:prstDash val="lgDash"/>
            </a:ln>
          </c:spPr>
          <c:marker>
            <c:symbol val="none"/>
          </c:marker>
          <c:cat>
            <c:numRef>
              <c:f>JAN!$E$4:$E$34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JAN!$G$91:$G$121</c:f>
              <c:numCache>
                <c:formatCode>0.0</c:formatCode>
                <c:ptCount val="31"/>
                <c:pt idx="0">
                  <c:v>7.03</c:v>
                </c:pt>
                <c:pt idx="1">
                  <c:v>7.03</c:v>
                </c:pt>
                <c:pt idx="2">
                  <c:v>7.03</c:v>
                </c:pt>
                <c:pt idx="3">
                  <c:v>7.03</c:v>
                </c:pt>
                <c:pt idx="4">
                  <c:v>7.03</c:v>
                </c:pt>
                <c:pt idx="5">
                  <c:v>7.03</c:v>
                </c:pt>
                <c:pt idx="6">
                  <c:v>7.03</c:v>
                </c:pt>
                <c:pt idx="7">
                  <c:v>7.03</c:v>
                </c:pt>
                <c:pt idx="8">
                  <c:v>7.03</c:v>
                </c:pt>
                <c:pt idx="9">
                  <c:v>7.03</c:v>
                </c:pt>
                <c:pt idx="10">
                  <c:v>7.03</c:v>
                </c:pt>
                <c:pt idx="11">
                  <c:v>7.03</c:v>
                </c:pt>
                <c:pt idx="12">
                  <c:v>7.03</c:v>
                </c:pt>
                <c:pt idx="13">
                  <c:v>7.03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6.97</c:v>
                </c:pt>
                <c:pt idx="21">
                  <c:v>6.97</c:v>
                </c:pt>
                <c:pt idx="22">
                  <c:v>6.97</c:v>
                </c:pt>
                <c:pt idx="23">
                  <c:v>6.97</c:v>
                </c:pt>
                <c:pt idx="24">
                  <c:v>6.97</c:v>
                </c:pt>
                <c:pt idx="25">
                  <c:v>6.97</c:v>
                </c:pt>
                <c:pt idx="26">
                  <c:v>6.97</c:v>
                </c:pt>
                <c:pt idx="27">
                  <c:v>6.97</c:v>
                </c:pt>
                <c:pt idx="28">
                  <c:v>6.97</c:v>
                </c:pt>
                <c:pt idx="29">
                  <c:v>6.97</c:v>
                </c:pt>
                <c:pt idx="30">
                  <c:v>7.03</c:v>
                </c:pt>
              </c:numCache>
            </c:numRef>
          </c:val>
          <c:smooth val="0"/>
        </c:ser>
        <c:ser>
          <c:idx val="4"/>
          <c:order val="4"/>
          <c:tx>
            <c:v>E (Min)</c:v>
          </c:tx>
          <c:spPr>
            <a:ln w="12700">
              <a:solidFill>
                <a:srgbClr val="00CCFF"/>
              </a:solidFill>
              <a:prstDash val="lgDash"/>
            </a:ln>
          </c:spPr>
          <c:marker>
            <c:symbol val="none"/>
          </c:marker>
          <c:cat>
            <c:numRef>
              <c:f>JAN!$E$4:$E$34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JAN!$F$91:$F$121</c:f>
              <c:numCache>
                <c:formatCode>0.0</c:formatCode>
                <c:ptCount val="31"/>
                <c:pt idx="0">
                  <c:v>2.6</c:v>
                </c:pt>
                <c:pt idx="1">
                  <c:v>2.58</c:v>
                </c:pt>
                <c:pt idx="2">
                  <c:v>2.56</c:v>
                </c:pt>
                <c:pt idx="3">
                  <c:v>2.54</c:v>
                </c:pt>
                <c:pt idx="4">
                  <c:v>2.52</c:v>
                </c:pt>
                <c:pt idx="5">
                  <c:v>2.5</c:v>
                </c:pt>
                <c:pt idx="6">
                  <c:v>2.4700000000000002</c:v>
                </c:pt>
                <c:pt idx="7">
                  <c:v>2.4500000000000002</c:v>
                </c:pt>
                <c:pt idx="8">
                  <c:v>2.4300000000000002</c:v>
                </c:pt>
                <c:pt idx="9">
                  <c:v>2.41</c:v>
                </c:pt>
                <c:pt idx="10">
                  <c:v>2.4</c:v>
                </c:pt>
                <c:pt idx="11">
                  <c:v>2.4</c:v>
                </c:pt>
                <c:pt idx="12">
                  <c:v>2.4</c:v>
                </c:pt>
                <c:pt idx="13">
                  <c:v>2.4</c:v>
                </c:pt>
                <c:pt idx="14">
                  <c:v>2.4</c:v>
                </c:pt>
                <c:pt idx="15">
                  <c:v>2.4</c:v>
                </c:pt>
                <c:pt idx="16">
                  <c:v>2.4</c:v>
                </c:pt>
                <c:pt idx="17">
                  <c:v>2.4</c:v>
                </c:pt>
                <c:pt idx="18">
                  <c:v>2.2999999999999998</c:v>
                </c:pt>
                <c:pt idx="19">
                  <c:v>2.2999999999999998</c:v>
                </c:pt>
                <c:pt idx="20">
                  <c:v>2.2999999999999998</c:v>
                </c:pt>
                <c:pt idx="21">
                  <c:v>2.2999999999999998</c:v>
                </c:pt>
                <c:pt idx="22">
                  <c:v>2.2999999999999998</c:v>
                </c:pt>
                <c:pt idx="23">
                  <c:v>2.2999999999999998</c:v>
                </c:pt>
                <c:pt idx="24">
                  <c:v>2.2999999999999998</c:v>
                </c:pt>
                <c:pt idx="25">
                  <c:v>2.2999999999999998</c:v>
                </c:pt>
                <c:pt idx="26">
                  <c:v>2.2999999999999998</c:v>
                </c:pt>
                <c:pt idx="27">
                  <c:v>2.2999999999999998</c:v>
                </c:pt>
                <c:pt idx="28">
                  <c:v>2.4</c:v>
                </c:pt>
                <c:pt idx="29">
                  <c:v>2.4</c:v>
                </c:pt>
                <c:pt idx="30">
                  <c:v>2.4</c:v>
                </c:pt>
              </c:numCache>
            </c:numRef>
          </c:val>
          <c:smooth val="0"/>
        </c:ser>
        <c:ser>
          <c:idx val="5"/>
          <c:order val="5"/>
          <c:tx>
            <c:v>Cold Threshold</c:v>
          </c:tx>
          <c:spPr>
            <a:ln w="25400">
              <a:solidFill>
                <a:srgbClr val="0000FF"/>
              </a:solidFill>
              <a:prstDash val="sysDash"/>
            </a:ln>
          </c:spPr>
          <c:marker>
            <c:symbol val="none"/>
          </c:marker>
          <c:cat>
            <c:numRef>
              <c:f>JAN!$E$4:$E$34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JAN!$BC$91:$BC$121</c:f>
              <c:numCache>
                <c:formatCode>0.0</c:formatCode>
                <c:ptCount val="31"/>
                <c:pt idx="0">
                  <c:v>3.3383333333333338</c:v>
                </c:pt>
                <c:pt idx="1">
                  <c:v>3.3216666666666663</c:v>
                </c:pt>
                <c:pt idx="2">
                  <c:v>3.3050000000000002</c:v>
                </c:pt>
                <c:pt idx="3">
                  <c:v>3.2883333333333331</c:v>
                </c:pt>
                <c:pt idx="4">
                  <c:v>3.2716666666666674</c:v>
                </c:pt>
                <c:pt idx="5">
                  <c:v>3.2549999999999999</c:v>
                </c:pt>
                <c:pt idx="6">
                  <c:v>3.23</c:v>
                </c:pt>
                <c:pt idx="7">
                  <c:v>3.2133333333333338</c:v>
                </c:pt>
                <c:pt idx="8">
                  <c:v>3.1966666666666672</c:v>
                </c:pt>
                <c:pt idx="9">
                  <c:v>3.18</c:v>
                </c:pt>
                <c:pt idx="10">
                  <c:v>3.171666666666666</c:v>
                </c:pt>
                <c:pt idx="11">
                  <c:v>3.171666666666666</c:v>
                </c:pt>
                <c:pt idx="12">
                  <c:v>3.171666666666666</c:v>
                </c:pt>
                <c:pt idx="13">
                  <c:v>3.171666666666666</c:v>
                </c:pt>
                <c:pt idx="14">
                  <c:v>3.166666666666667</c:v>
                </c:pt>
                <c:pt idx="15">
                  <c:v>3.166666666666667</c:v>
                </c:pt>
                <c:pt idx="16">
                  <c:v>3.166666666666667</c:v>
                </c:pt>
                <c:pt idx="17">
                  <c:v>3.166666666666667</c:v>
                </c:pt>
                <c:pt idx="18">
                  <c:v>3.0833333333333339</c:v>
                </c:pt>
                <c:pt idx="19">
                  <c:v>3.0833333333333339</c:v>
                </c:pt>
                <c:pt idx="20">
                  <c:v>3.0783333333333331</c:v>
                </c:pt>
                <c:pt idx="21">
                  <c:v>3.0783333333333331</c:v>
                </c:pt>
                <c:pt idx="22">
                  <c:v>3.0783333333333331</c:v>
                </c:pt>
                <c:pt idx="23">
                  <c:v>3.0783333333333331</c:v>
                </c:pt>
                <c:pt idx="24">
                  <c:v>3.0783333333333331</c:v>
                </c:pt>
                <c:pt idx="25">
                  <c:v>3.0783333333333331</c:v>
                </c:pt>
                <c:pt idx="26">
                  <c:v>3.0783333333333331</c:v>
                </c:pt>
                <c:pt idx="27">
                  <c:v>3.0783333333333331</c:v>
                </c:pt>
                <c:pt idx="28">
                  <c:v>3.1616666666666662</c:v>
                </c:pt>
                <c:pt idx="29">
                  <c:v>3.1616666666666662</c:v>
                </c:pt>
                <c:pt idx="30">
                  <c:v>3.171666666666666</c:v>
                </c:pt>
              </c:numCache>
            </c:numRef>
          </c:val>
          <c:smooth val="0"/>
        </c:ser>
        <c:ser>
          <c:idx val="6"/>
          <c:order val="6"/>
          <c:tx>
            <c:v>Mild Threshold</c:v>
          </c:tx>
          <c:spPr>
            <a:ln w="25400">
              <a:solidFill>
                <a:srgbClr val="FF6600"/>
              </a:solidFill>
              <a:prstDash val="sysDash"/>
            </a:ln>
          </c:spPr>
          <c:marker>
            <c:symbol val="none"/>
          </c:marker>
          <c:cat>
            <c:numRef>
              <c:f>JAN!$E$4:$E$34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JAN!$BD$91:$BD$121</c:f>
              <c:numCache>
                <c:formatCode>0.0</c:formatCode>
                <c:ptCount val="31"/>
                <c:pt idx="0">
                  <c:v>6.291666666666667</c:v>
                </c:pt>
                <c:pt idx="1">
                  <c:v>6.2883333333333331</c:v>
                </c:pt>
                <c:pt idx="2">
                  <c:v>6.2850000000000001</c:v>
                </c:pt>
                <c:pt idx="3">
                  <c:v>6.2816666666666672</c:v>
                </c:pt>
                <c:pt idx="4">
                  <c:v>6.2783333333333333</c:v>
                </c:pt>
                <c:pt idx="5">
                  <c:v>6.2750000000000004</c:v>
                </c:pt>
                <c:pt idx="6">
                  <c:v>6.27</c:v>
                </c:pt>
                <c:pt idx="7">
                  <c:v>6.2666666666666666</c:v>
                </c:pt>
                <c:pt idx="8">
                  <c:v>6.2633333333333336</c:v>
                </c:pt>
                <c:pt idx="9">
                  <c:v>6.26</c:v>
                </c:pt>
                <c:pt idx="10">
                  <c:v>6.2583333333333337</c:v>
                </c:pt>
                <c:pt idx="11">
                  <c:v>6.2583333333333337</c:v>
                </c:pt>
                <c:pt idx="12">
                  <c:v>6.2583333333333337</c:v>
                </c:pt>
                <c:pt idx="13">
                  <c:v>6.2583333333333337</c:v>
                </c:pt>
                <c:pt idx="14">
                  <c:v>6.2333333333333334</c:v>
                </c:pt>
                <c:pt idx="15">
                  <c:v>6.2333333333333334</c:v>
                </c:pt>
                <c:pt idx="16">
                  <c:v>6.2333333333333334</c:v>
                </c:pt>
                <c:pt idx="17">
                  <c:v>6.2333333333333334</c:v>
                </c:pt>
                <c:pt idx="18">
                  <c:v>6.2166666666666668</c:v>
                </c:pt>
                <c:pt idx="19">
                  <c:v>6.2166666666666668</c:v>
                </c:pt>
                <c:pt idx="20">
                  <c:v>6.1916666666666664</c:v>
                </c:pt>
                <c:pt idx="21">
                  <c:v>6.1916666666666664</c:v>
                </c:pt>
                <c:pt idx="22">
                  <c:v>6.1916666666666664</c:v>
                </c:pt>
                <c:pt idx="23">
                  <c:v>6.1916666666666664</c:v>
                </c:pt>
                <c:pt idx="24">
                  <c:v>6.1916666666666664</c:v>
                </c:pt>
                <c:pt idx="25">
                  <c:v>6.1916666666666664</c:v>
                </c:pt>
                <c:pt idx="26">
                  <c:v>6.1916666666666664</c:v>
                </c:pt>
                <c:pt idx="27">
                  <c:v>6.1916666666666664</c:v>
                </c:pt>
                <c:pt idx="28">
                  <c:v>6.208333333333333</c:v>
                </c:pt>
                <c:pt idx="29">
                  <c:v>6.208333333333333</c:v>
                </c:pt>
                <c:pt idx="30">
                  <c:v>6.2583333333333337</c:v>
                </c:pt>
              </c:numCache>
            </c:numRef>
          </c:val>
          <c:smooth val="0"/>
        </c:ser>
        <c:ser>
          <c:idx val="7"/>
          <c:order val="7"/>
          <c:tx>
            <c:v>Freezing Point</c:v>
          </c:tx>
          <c:spPr>
            <a:ln w="38100">
              <a:solidFill>
                <a:srgbClr val="0000FF"/>
              </a:solidFill>
              <a:prstDash val="sysDash"/>
            </a:ln>
          </c:spPr>
          <c:marker>
            <c:symbol val="none"/>
          </c:marker>
          <c:cat>
            <c:numRef>
              <c:f>JAN!$E$4:$E$34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JAN!$T$4:$T$34</c:f>
              <c:numCache>
                <c:formatCode>0.0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</c:ser>
        <c:ser>
          <c:idx val="8"/>
          <c:order val="8"/>
          <c:tx>
            <c:v>Cum. Mean</c:v>
          </c:tx>
          <c:spPr>
            <a:ln w="12700">
              <a:solidFill>
                <a:srgbClr val="993366"/>
              </a:solidFill>
              <a:prstDash val="solid"/>
            </a:ln>
          </c:spPr>
          <c:marker>
            <c:symbol val="circle"/>
            <c:size val="2"/>
            <c:spPr>
              <a:solidFill>
                <a:srgbClr val="800080"/>
              </a:solidFill>
              <a:ln>
                <a:solidFill>
                  <a:srgbClr val="800080"/>
                </a:solidFill>
                <a:prstDash val="solid"/>
              </a:ln>
            </c:spPr>
          </c:marker>
          <c:val>
            <c:numRef>
              <c:f>JAN!$R$91:$R$121</c:f>
              <c:numCache>
                <c:formatCode>0.0</c:formatCode>
                <c:ptCount val="31"/>
                <c:pt idx="0">
                  <c:v>5.2</c:v>
                </c:pt>
                <c:pt idx="1">
                  <c:v>3.75</c:v>
                </c:pt>
                <c:pt idx="2">
                  <c:v>3.1666666666666665</c:v>
                </c:pt>
                <c:pt idx="3">
                  <c:v>3.2749999999999999</c:v>
                </c:pt>
                <c:pt idx="4">
                  <c:v>3.78</c:v>
                </c:pt>
                <c:pt idx="5">
                  <c:v>3.8166666666666664</c:v>
                </c:pt>
                <c:pt idx="6">
                  <c:v>4.0999999999999996</c:v>
                </c:pt>
                <c:pt idx="7">
                  <c:v>4.4874999999999998</c:v>
                </c:pt>
                <c:pt idx="8">
                  <c:v>4.344444444444445</c:v>
                </c:pt>
                <c:pt idx="9">
                  <c:v>4.4000000000000004</c:v>
                </c:pt>
                <c:pt idx="10">
                  <c:v>4.5</c:v>
                </c:pt>
                <c:pt idx="11">
                  <c:v>4.8833333333333337</c:v>
                </c:pt>
                <c:pt idx="12">
                  <c:v>5.4384615384615387</c:v>
                </c:pt>
                <c:pt idx="13">
                  <c:v>5.8</c:v>
                </c:pt>
                <c:pt idx="14">
                  <c:v>6.1</c:v>
                </c:pt>
                <c:pt idx="15">
                  <c:v>6.4124999999999996</c:v>
                </c:pt>
                <c:pt idx="16">
                  <c:v>6.4823529411764698</c:v>
                </c:pt>
                <c:pt idx="17">
                  <c:v>6.3722222222222218</c:v>
                </c:pt>
                <c:pt idx="18">
                  <c:v>6.2105263157894726</c:v>
                </c:pt>
                <c:pt idx="19">
                  <c:v>6.089999999999999</c:v>
                </c:pt>
                <c:pt idx="20">
                  <c:v>5.8809523809523805</c:v>
                </c:pt>
                <c:pt idx="21">
                  <c:v>5.7863636363636353</c:v>
                </c:pt>
                <c:pt idx="22">
                  <c:v>5.8086956521739124</c:v>
                </c:pt>
                <c:pt idx="23">
                  <c:v>5.8</c:v>
                </c:pt>
                <c:pt idx="24">
                  <c:v>5.8279999999999994</c:v>
                </c:pt>
                <c:pt idx="25">
                  <c:v>5.8038461538461528</c:v>
                </c:pt>
                <c:pt idx="26">
                  <c:v>5.648148148148147</c:v>
                </c:pt>
                <c:pt idx="27">
                  <c:v>5.4642857142857135</c:v>
                </c:pt>
                <c:pt idx="28">
                  <c:v>5.2999999999999989</c:v>
                </c:pt>
                <c:pt idx="29">
                  <c:v>5.1833333333333327</c:v>
                </c:pt>
                <c:pt idx="30">
                  <c:v>5.0806451612903221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28704"/>
        <c:axId val="116330880"/>
      </c:lineChart>
      <c:catAx>
        <c:axId val="116328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6330880"/>
        <c:crossesAt val="-5"/>
        <c:auto val="1"/>
        <c:lblAlgn val="ctr"/>
        <c:lblOffset val="100"/>
        <c:tickLblSkip val="1"/>
        <c:tickMarkSkip val="1"/>
        <c:noMultiLvlLbl val="0"/>
      </c:catAx>
      <c:valAx>
        <c:axId val="116330880"/>
        <c:scaling>
          <c:orientation val="minMax"/>
          <c:max val="13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6328704"/>
        <c:crosses val="autoZero"/>
        <c:crossBetween val="between"/>
        <c:majorUnit val="2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Pressure / Temperature</a:t>
            </a:r>
          </a:p>
        </c:rich>
      </c:tx>
      <c:layout>
        <c:manualLayout>
          <c:xMode val="edge"/>
          <c:yMode val="edge"/>
          <c:x val="0.41566820276497696"/>
          <c:y val="5.251141552511415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0829493087557605E-2"/>
          <c:y val="0.13698660679448219"/>
          <c:w val="0.9244239631336405"/>
          <c:h val="0.75114322725641069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993366"/>
              </a:solidFill>
              <a:ln>
                <a:solidFill>
                  <a:srgbClr val="993366"/>
                </a:solidFill>
                <a:prstDash val="solid"/>
              </a:ln>
            </c:spPr>
          </c:marker>
          <c:trendline>
            <c:spPr>
              <a:ln w="12700">
                <a:solidFill>
                  <a:srgbClr val="000080"/>
                </a:solidFill>
                <a:prstDash val="solid"/>
              </a:ln>
            </c:spPr>
            <c:trendlineType val="linear"/>
            <c:forward val="0.5"/>
            <c:backward val="3"/>
            <c:dispRSqr val="1"/>
            <c:dispEq val="1"/>
            <c:trendlineLbl>
              <c:layout>
                <c:manualLayout>
                  <c:xMode val="edge"/>
                  <c:yMode val="edge"/>
                  <c:x val="4.608294930875576E-3"/>
                  <c:y val="1.1415550566206849E-2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175" b="0" i="0" u="none" strike="noStrike" baseline="0">
                      <a:solidFill>
                        <a:srgbClr val="00000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en-US"/>
                </a:p>
              </c:txPr>
            </c:trendlineLbl>
          </c:trendline>
          <c:xVal>
            <c:numRef>
              <c:f>JAN!$BG$91:$BG$121</c:f>
              <c:numCache>
                <c:formatCode>General</c:formatCode>
                <c:ptCount val="31"/>
                <c:pt idx="0">
                  <c:v>5.2</c:v>
                </c:pt>
                <c:pt idx="1">
                  <c:v>2.2999999999999998</c:v>
                </c:pt>
                <c:pt idx="2">
                  <c:v>2</c:v>
                </c:pt>
                <c:pt idx="3">
                  <c:v>3.6</c:v>
                </c:pt>
                <c:pt idx="4">
                  <c:v>5.8</c:v>
                </c:pt>
                <c:pt idx="5">
                  <c:v>4</c:v>
                </c:pt>
                <c:pt idx="6">
                  <c:v>5.8</c:v>
                </c:pt>
                <c:pt idx="7">
                  <c:v>7.2</c:v>
                </c:pt>
                <c:pt idx="8">
                  <c:v>3.2</c:v>
                </c:pt>
                <c:pt idx="9">
                  <c:v>4.9000000000000004</c:v>
                </c:pt>
                <c:pt idx="10">
                  <c:v>5.5</c:v>
                </c:pt>
                <c:pt idx="11">
                  <c:v>9.1</c:v>
                </c:pt>
                <c:pt idx="12">
                  <c:v>12.1</c:v>
                </c:pt>
                <c:pt idx="13">
                  <c:v>10.5</c:v>
                </c:pt>
                <c:pt idx="14">
                  <c:v>10.3</c:v>
                </c:pt>
                <c:pt idx="15">
                  <c:v>11.1</c:v>
                </c:pt>
                <c:pt idx="16">
                  <c:v>7.6</c:v>
                </c:pt>
                <c:pt idx="17">
                  <c:v>4.5</c:v>
                </c:pt>
                <c:pt idx="18">
                  <c:v>3.3</c:v>
                </c:pt>
                <c:pt idx="19">
                  <c:v>3.8</c:v>
                </c:pt>
                <c:pt idx="20">
                  <c:v>1.7</c:v>
                </c:pt>
                <c:pt idx="21">
                  <c:v>3.8</c:v>
                </c:pt>
                <c:pt idx="22">
                  <c:v>6.3</c:v>
                </c:pt>
                <c:pt idx="23">
                  <c:v>5.6</c:v>
                </c:pt>
                <c:pt idx="24">
                  <c:v>6.5</c:v>
                </c:pt>
                <c:pt idx="25">
                  <c:v>5.2</c:v>
                </c:pt>
                <c:pt idx="26">
                  <c:v>1.6</c:v>
                </c:pt>
                <c:pt idx="27">
                  <c:v>0.5</c:v>
                </c:pt>
                <c:pt idx="28">
                  <c:v>0.7</c:v>
                </c:pt>
                <c:pt idx="29">
                  <c:v>1.8</c:v>
                </c:pt>
                <c:pt idx="30">
                  <c:v>2</c:v>
                </c:pt>
              </c:numCache>
            </c:numRef>
          </c:xVal>
          <c:yVal>
            <c:numRef>
              <c:f>JAN!$AK$91:$AK$121</c:f>
              <c:numCache>
                <c:formatCode>0</c:formatCode>
                <c:ptCount val="31"/>
                <c:pt idx="0">
                  <c:v>1025</c:v>
                </c:pt>
                <c:pt idx="1">
                  <c:v>1028</c:v>
                </c:pt>
                <c:pt idx="2">
                  <c:v>1022.5</c:v>
                </c:pt>
                <c:pt idx="3">
                  <c:v>1013.5</c:v>
                </c:pt>
                <c:pt idx="4">
                  <c:v>1001.5</c:v>
                </c:pt>
                <c:pt idx="5">
                  <c:v>998</c:v>
                </c:pt>
                <c:pt idx="6">
                  <c:v>1000.000005</c:v>
                </c:pt>
                <c:pt idx="7">
                  <c:v>996.5</c:v>
                </c:pt>
                <c:pt idx="8">
                  <c:v>1011.5</c:v>
                </c:pt>
                <c:pt idx="9">
                  <c:v>1010</c:v>
                </c:pt>
                <c:pt idx="10">
                  <c:v>1007</c:v>
                </c:pt>
                <c:pt idx="11">
                  <c:v>1013</c:v>
                </c:pt>
                <c:pt idx="12">
                  <c:v>1010</c:v>
                </c:pt>
                <c:pt idx="13">
                  <c:v>1011.5</c:v>
                </c:pt>
                <c:pt idx="14">
                  <c:v>1015.5</c:v>
                </c:pt>
                <c:pt idx="15">
                  <c:v>1017</c:v>
                </c:pt>
                <c:pt idx="16">
                  <c:v>1018.5</c:v>
                </c:pt>
                <c:pt idx="17">
                  <c:v>1026.5</c:v>
                </c:pt>
                <c:pt idx="18">
                  <c:v>1034</c:v>
                </c:pt>
                <c:pt idx="19">
                  <c:v>1036.5</c:v>
                </c:pt>
                <c:pt idx="20">
                  <c:v>1039.0000049999999</c:v>
                </c:pt>
                <c:pt idx="21">
                  <c:v>1037.5</c:v>
                </c:pt>
                <c:pt idx="22">
                  <c:v>1034</c:v>
                </c:pt>
                <c:pt idx="23">
                  <c:v>1029</c:v>
                </c:pt>
                <c:pt idx="24">
                  <c:v>1017</c:v>
                </c:pt>
                <c:pt idx="25">
                  <c:v>1013</c:v>
                </c:pt>
                <c:pt idx="26">
                  <c:v>1021.5</c:v>
                </c:pt>
                <c:pt idx="27">
                  <c:v>1023.5</c:v>
                </c:pt>
                <c:pt idx="28">
                  <c:v>1023</c:v>
                </c:pt>
                <c:pt idx="29">
                  <c:v>1023.5</c:v>
                </c:pt>
                <c:pt idx="30">
                  <c:v>1025.5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364032"/>
        <c:axId val="116365568"/>
      </c:scatterChart>
      <c:valAx>
        <c:axId val="116364032"/>
        <c:scaling>
          <c:orientation val="minMax"/>
          <c:max val="13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6365568"/>
        <c:crosses val="autoZero"/>
        <c:crossBetween val="midCat"/>
        <c:majorUnit val="1"/>
      </c:valAx>
      <c:valAx>
        <c:axId val="116365568"/>
        <c:scaling>
          <c:orientation val="minMax"/>
          <c:max val="1040"/>
          <c:min val="99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6364032"/>
        <c:crossesAt val="-3"/>
        <c:crossBetween val="midCat"/>
        <c:majorUnit val="10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Relative Humidity Range / Temperature Range </a:t>
            </a:r>
          </a:p>
        </c:rich>
      </c:tx>
      <c:layout>
        <c:manualLayout>
          <c:xMode val="edge"/>
          <c:yMode val="edge"/>
          <c:x val="0.34658040665434381"/>
          <c:y val="3.009259259259259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4.4362292051756007E-2"/>
          <c:y val="0.12962992266602166"/>
          <c:w val="0.94085027726432535"/>
          <c:h val="0.75694615556766209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993366"/>
              </a:solidFill>
              <a:ln>
                <a:solidFill>
                  <a:srgbClr val="993366"/>
                </a:solidFill>
                <a:prstDash val="solid"/>
              </a:ln>
            </c:spPr>
          </c:marker>
          <c:trendline>
            <c:spPr>
              <a:ln w="12700">
                <a:solidFill>
                  <a:srgbClr val="0000FF"/>
                </a:solidFill>
                <a:prstDash val="solid"/>
              </a:ln>
            </c:spPr>
            <c:trendlineType val="linear"/>
            <c:forward val="0.5"/>
            <c:backward val="2.5"/>
            <c:dispRSqr val="1"/>
            <c:dispEq val="1"/>
            <c:trendlineLbl>
              <c:layout>
                <c:manualLayout>
                  <c:xMode val="edge"/>
                  <c:yMode val="edge"/>
                  <c:x val="4.6210720887245845E-3"/>
                  <c:y val="0.38657494795045744"/>
                </c:manualLayout>
              </c:layout>
              <c:numFmt formatCode="0.00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200" b="0" i="0" u="none" strike="noStrike" baseline="0">
                      <a:solidFill>
                        <a:srgbClr val="00000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en-US"/>
                </a:p>
              </c:txPr>
            </c:trendlineLbl>
          </c:trendline>
          <c:xVal>
            <c:numRef>
              <c:f>JAN!$K$91:$K$121</c:f>
              <c:numCache>
                <c:formatCode>0.0</c:formatCode>
                <c:ptCount val="31"/>
                <c:pt idx="0">
                  <c:v>3.3999999999999995</c:v>
                </c:pt>
                <c:pt idx="1">
                  <c:v>1.7000000000000002</c:v>
                </c:pt>
                <c:pt idx="2">
                  <c:v>4.2</c:v>
                </c:pt>
                <c:pt idx="3">
                  <c:v>2.4</c:v>
                </c:pt>
                <c:pt idx="4">
                  <c:v>3</c:v>
                </c:pt>
                <c:pt idx="5">
                  <c:v>5.5</c:v>
                </c:pt>
                <c:pt idx="6">
                  <c:v>9.5</c:v>
                </c:pt>
                <c:pt idx="7">
                  <c:v>7.3</c:v>
                </c:pt>
                <c:pt idx="8">
                  <c:v>4.3</c:v>
                </c:pt>
                <c:pt idx="9">
                  <c:v>8.8999999999999986</c:v>
                </c:pt>
                <c:pt idx="10">
                  <c:v>3.2</c:v>
                </c:pt>
                <c:pt idx="11">
                  <c:v>8</c:v>
                </c:pt>
                <c:pt idx="12">
                  <c:v>1.9000000000000004</c:v>
                </c:pt>
                <c:pt idx="13">
                  <c:v>3.8999999999999995</c:v>
                </c:pt>
                <c:pt idx="14">
                  <c:v>3.3999999999999995</c:v>
                </c:pt>
                <c:pt idx="15">
                  <c:v>2.5</c:v>
                </c:pt>
                <c:pt idx="16">
                  <c:v>4.2000000000000011</c:v>
                </c:pt>
                <c:pt idx="17">
                  <c:v>3.6000000000000005</c:v>
                </c:pt>
                <c:pt idx="18">
                  <c:v>4.8999999999999995</c:v>
                </c:pt>
                <c:pt idx="19">
                  <c:v>2.4</c:v>
                </c:pt>
                <c:pt idx="20">
                  <c:v>3.9</c:v>
                </c:pt>
                <c:pt idx="21">
                  <c:v>5.3999999999999995</c:v>
                </c:pt>
                <c:pt idx="22">
                  <c:v>1.9000000000000004</c:v>
                </c:pt>
                <c:pt idx="23">
                  <c:v>3.5</c:v>
                </c:pt>
                <c:pt idx="24">
                  <c:v>4.7999999999999989</c:v>
                </c:pt>
                <c:pt idx="25">
                  <c:v>5.3</c:v>
                </c:pt>
                <c:pt idx="26">
                  <c:v>1.5</c:v>
                </c:pt>
                <c:pt idx="27">
                  <c:v>1.7</c:v>
                </c:pt>
                <c:pt idx="28">
                  <c:v>1.4000000000000001</c:v>
                </c:pt>
                <c:pt idx="29">
                  <c:v>4.5</c:v>
                </c:pt>
                <c:pt idx="30">
                  <c:v>4.4000000000000004</c:v>
                </c:pt>
              </c:numCache>
            </c:numRef>
          </c:xVal>
          <c:yVal>
            <c:numRef>
              <c:f>JAN!$A$91:$A$121</c:f>
              <c:numCache>
                <c:formatCode>0</c:formatCode>
                <c:ptCount val="31"/>
                <c:pt idx="0">
                  <c:v>11</c:v>
                </c:pt>
                <c:pt idx="1">
                  <c:v>11</c:v>
                </c:pt>
                <c:pt idx="2">
                  <c:v>22</c:v>
                </c:pt>
                <c:pt idx="3">
                  <c:v>12</c:v>
                </c:pt>
                <c:pt idx="4">
                  <c:v>30</c:v>
                </c:pt>
                <c:pt idx="5">
                  <c:v>4</c:v>
                </c:pt>
                <c:pt idx="6">
                  <c:v>5</c:v>
                </c:pt>
                <c:pt idx="7">
                  <c:v>28</c:v>
                </c:pt>
                <c:pt idx="8">
                  <c:v>24</c:v>
                </c:pt>
                <c:pt idx="9">
                  <c:v>23</c:v>
                </c:pt>
                <c:pt idx="10">
                  <c:v>24</c:v>
                </c:pt>
                <c:pt idx="11">
                  <c:v>19</c:v>
                </c:pt>
                <c:pt idx="12">
                  <c:v>8</c:v>
                </c:pt>
                <c:pt idx="13">
                  <c:v>10</c:v>
                </c:pt>
                <c:pt idx="14">
                  <c:v>20</c:v>
                </c:pt>
                <c:pt idx="15">
                  <c:v>21</c:v>
                </c:pt>
                <c:pt idx="16">
                  <c:v>12</c:v>
                </c:pt>
                <c:pt idx="17">
                  <c:v>21</c:v>
                </c:pt>
                <c:pt idx="18">
                  <c:v>13</c:v>
                </c:pt>
                <c:pt idx="19">
                  <c:v>9</c:v>
                </c:pt>
                <c:pt idx="20">
                  <c:v>21</c:v>
                </c:pt>
                <c:pt idx="21">
                  <c:v>14</c:v>
                </c:pt>
                <c:pt idx="22">
                  <c:v>13</c:v>
                </c:pt>
                <c:pt idx="23">
                  <c:v>22</c:v>
                </c:pt>
                <c:pt idx="24">
                  <c:v>12</c:v>
                </c:pt>
                <c:pt idx="25">
                  <c:v>20</c:v>
                </c:pt>
                <c:pt idx="26">
                  <c:v>21</c:v>
                </c:pt>
                <c:pt idx="27">
                  <c:v>18</c:v>
                </c:pt>
                <c:pt idx="28">
                  <c:v>4</c:v>
                </c:pt>
                <c:pt idx="29">
                  <c:v>17</c:v>
                </c:pt>
                <c:pt idx="30">
                  <c:v>13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464256"/>
        <c:axId val="116470144"/>
      </c:scatterChart>
      <c:valAx>
        <c:axId val="116464256"/>
        <c:scaling>
          <c:orientation val="minMax"/>
          <c:max val="10"/>
          <c:min val="0"/>
        </c:scaling>
        <c:delete val="0"/>
        <c:axPos val="b"/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6470144"/>
        <c:crossesAt val="0"/>
        <c:crossBetween val="midCat"/>
        <c:majorUnit val="1"/>
      </c:valAx>
      <c:valAx>
        <c:axId val="116470144"/>
        <c:scaling>
          <c:orientation val="minMax"/>
          <c:max val="40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6464256"/>
        <c:crosses val="autoZero"/>
        <c:crossBetween val="midCat"/>
        <c:majorUnit val="10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 horizontalDpi="-3" verticalDpi="0"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Time of Temperature Extremes</a:t>
            </a:r>
          </a:p>
        </c:rich>
      </c:tx>
      <c:layout>
        <c:manualLayout>
          <c:xMode val="edge"/>
          <c:yMode val="edge"/>
          <c:x val="0.41718183558328387"/>
          <c:y val="2.115158636897767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893697095932809E-2"/>
          <c:y val="8.4606345475910699E-2"/>
          <c:w val="0.95859114218917252"/>
          <c:h val="0.86486486486486491"/>
        </c:manualLayout>
      </c:layout>
      <c:lineChart>
        <c:grouping val="standard"/>
        <c:varyColors val="0"/>
        <c:ser>
          <c:idx val="1"/>
          <c:order val="0"/>
          <c:tx>
            <c:v>T Min</c:v>
          </c:tx>
          <c:spPr>
            <a:ln w="28575">
              <a:noFill/>
            </a:ln>
          </c:spPr>
          <c:marker>
            <c:symbol val="circle"/>
            <c:size val="10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cat>
            <c:numRef>
              <c:f>JAN!$E$4:$E$34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JAN!$AR$91:$AR$121</c:f>
              <c:numCache>
                <c:formatCode>h:mm</c:formatCode>
                <c:ptCount val="31"/>
                <c:pt idx="0">
                  <c:v>#N/A</c:v>
                </c:pt>
                <c:pt idx="1">
                  <c:v>0.38541666666666669</c:v>
                </c:pt>
                <c:pt idx="2">
                  <c:v>0.38194444444444442</c:v>
                </c:pt>
                <c:pt idx="3">
                  <c:v>0.38194444444444442</c:v>
                </c:pt>
                <c:pt idx="4">
                  <c:v>0.35416666666666669</c:v>
                </c:pt>
                <c:pt idx="5">
                  <c:v>#N/A</c:v>
                </c:pt>
                <c:pt idx="6">
                  <c:v>4.8611111111111112E-2</c:v>
                </c:pt>
                <c:pt idx="7">
                  <c:v>#N/A</c:v>
                </c:pt>
                <c:pt idx="8">
                  <c:v>0.36805555555555558</c:v>
                </c:pt>
                <c:pt idx="9">
                  <c:v>9.0277777777777776E-2</c:v>
                </c:pt>
                <c:pt idx="10">
                  <c:v>#N/A</c:v>
                </c:pt>
                <c:pt idx="11">
                  <c:v>0</c:v>
                </c:pt>
                <c:pt idx="12">
                  <c:v>4.1666666666666664E-2</c:v>
                </c:pt>
                <c:pt idx="13">
                  <c:v>#N/A</c:v>
                </c:pt>
                <c:pt idx="14">
                  <c:v>2.0833333333333332E-2</c:v>
                </c:pt>
                <c:pt idx="15">
                  <c:v>#N/A</c:v>
                </c:pt>
                <c:pt idx="16">
                  <c:v>#N/A</c:v>
                </c:pt>
                <c:pt idx="17">
                  <c:v>0.38194444444444442</c:v>
                </c:pt>
                <c:pt idx="18">
                  <c:v>0.30902777777777779</c:v>
                </c:pt>
                <c:pt idx="19">
                  <c:v>0.23611111111111113</c:v>
                </c:pt>
                <c:pt idx="20">
                  <c:v>0.43055555555555558</c:v>
                </c:pt>
                <c:pt idx="21">
                  <c:v>0.14583333333333334</c:v>
                </c:pt>
                <c:pt idx="22">
                  <c:v>0.30208333333333331</c:v>
                </c:pt>
                <c:pt idx="23">
                  <c:v>0.37152777777777773</c:v>
                </c:pt>
                <c:pt idx="24">
                  <c:v>0</c:v>
                </c:pt>
                <c:pt idx="25">
                  <c:v>0.24305555555555555</c:v>
                </c:pt>
                <c:pt idx="26">
                  <c:v>0.21180555555555555</c:v>
                </c:pt>
                <c:pt idx="27">
                  <c:v>0.28125</c:v>
                </c:pt>
                <c:pt idx="28">
                  <c:v>#N/A</c:v>
                </c:pt>
                <c:pt idx="29">
                  <c:v>0.15277777777777776</c:v>
                </c:pt>
                <c:pt idx="30">
                  <c:v>0.30208333333333331</c:v>
                </c:pt>
              </c:numCache>
            </c:numRef>
          </c:val>
          <c:smooth val="0"/>
        </c:ser>
        <c:ser>
          <c:idx val="2"/>
          <c:order val="1"/>
          <c:tx>
            <c:v>T Max</c:v>
          </c:tx>
          <c:spPr>
            <a:ln w="28575">
              <a:noFill/>
            </a:ln>
          </c:spPr>
          <c:marker>
            <c:symbol val="circle"/>
            <c:size val="10"/>
            <c:spPr>
              <a:solidFill>
                <a:srgbClr val="FF6600"/>
              </a:solidFill>
              <a:ln>
                <a:solidFill>
                  <a:srgbClr val="FF6600"/>
                </a:solidFill>
                <a:prstDash val="solid"/>
              </a:ln>
            </c:spPr>
          </c:marker>
          <c:cat>
            <c:numRef>
              <c:f>JAN!$E$4:$E$34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JAN!$AO$91:$AO$121</c:f>
              <c:numCache>
                <c:formatCode>h:mm</c:formatCode>
                <c:ptCount val="31"/>
                <c:pt idx="0">
                  <c:v>0.55208333333333337</c:v>
                </c:pt>
                <c:pt idx="1">
                  <c:v>0.60416666666666663</c:v>
                </c:pt>
                <c:pt idx="2">
                  <c:v>0.58333333333333337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0.625</c:v>
                </c:pt>
                <c:pt idx="9">
                  <c:v>0.58333333333333337</c:v>
                </c:pt>
                <c:pt idx="10">
                  <c:v>0.4375</c:v>
                </c:pt>
                <c:pt idx="11">
                  <c:v>0.59027777777777779</c:v>
                </c:pt>
                <c:pt idx="12">
                  <c:v>0.53125</c:v>
                </c:pt>
                <c:pt idx="13">
                  <c:v>0.4861111111111111</c:v>
                </c:pt>
                <c:pt idx="14">
                  <c:v>0.55902777777777779</c:v>
                </c:pt>
                <c:pt idx="15">
                  <c:v>0.46180555555555558</c:v>
                </c:pt>
                <c:pt idx="16">
                  <c:v>#N/A</c:v>
                </c:pt>
                <c:pt idx="17">
                  <c:v>0.60763888888888895</c:v>
                </c:pt>
                <c:pt idx="18">
                  <c:v>0.64583333333333337</c:v>
                </c:pt>
                <c:pt idx="19">
                  <c:v>0.61111111111111105</c:v>
                </c:pt>
                <c:pt idx="20">
                  <c:v>0.63888888888888895</c:v>
                </c:pt>
                <c:pt idx="21">
                  <c:v>0.65625</c:v>
                </c:pt>
                <c:pt idx="22">
                  <c:v>0.64236111111111105</c:v>
                </c:pt>
                <c:pt idx="23">
                  <c:v>0.60069444444444442</c:v>
                </c:pt>
                <c:pt idx="24">
                  <c:v>0.55555555555555558</c:v>
                </c:pt>
                <c:pt idx="25">
                  <c:v>0.56805555555555554</c:v>
                </c:pt>
                <c:pt idx="26">
                  <c:v>0.625</c:v>
                </c:pt>
                <c:pt idx="27">
                  <c:v>0.625</c:v>
                </c:pt>
                <c:pt idx="28">
                  <c:v>0.57986111111111105</c:v>
                </c:pt>
                <c:pt idx="29">
                  <c:v>0.56944444444444442</c:v>
                </c:pt>
                <c:pt idx="30">
                  <c:v>0.59375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507008"/>
        <c:axId val="116508928"/>
      </c:lineChart>
      <c:catAx>
        <c:axId val="116507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65089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6508928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hh:mm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6507008"/>
        <c:crosses val="autoZero"/>
        <c:crossBetween val="between"/>
        <c:majorUnit val="8.3333333300000006E-2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0.63288029354797892"/>
          <c:y val="0.17273795534665101"/>
          <c:w val="0.79542671195766779"/>
          <c:h val="0.2244418331374853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Time of Humidity Extremes</a:t>
            </a:r>
          </a:p>
        </c:rich>
      </c:tx>
      <c:layout>
        <c:manualLayout>
          <c:xMode val="edge"/>
          <c:yMode val="edge"/>
          <c:x val="0.42433600988264358"/>
          <c:y val="1.9953051643192488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891290920321186E-2"/>
          <c:y val="8.5680849381108537E-2"/>
          <c:w val="0.95861642989499696"/>
          <c:h val="0.86385075540405321"/>
        </c:manualLayout>
      </c:layout>
      <c:lineChart>
        <c:grouping val="standard"/>
        <c:varyColors val="0"/>
        <c:ser>
          <c:idx val="0"/>
          <c:order val="0"/>
          <c:tx>
            <c:v>H Min</c:v>
          </c:tx>
          <c:spPr>
            <a:ln w="28575">
              <a:noFill/>
            </a:ln>
          </c:spPr>
          <c:marker>
            <c:symbol val="circle"/>
            <c:size val="10"/>
            <c:spPr>
              <a:solidFill>
                <a:srgbClr val="FF9900"/>
              </a:solidFill>
              <a:ln>
                <a:solidFill>
                  <a:srgbClr val="FF9900"/>
                </a:solidFill>
                <a:prstDash val="solid"/>
              </a:ln>
            </c:spPr>
          </c:marker>
          <c:cat>
            <c:numRef>
              <c:f>JAN!$E$4:$E$34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JAN!$AM$91:$AM$121</c:f>
              <c:numCache>
                <c:formatCode>h:mm</c:formatCode>
                <c:ptCount val="31"/>
                <c:pt idx="0">
                  <c:v>#N/A</c:v>
                </c:pt>
                <c:pt idx="1">
                  <c:v>#N/A</c:v>
                </c:pt>
                <c:pt idx="2">
                  <c:v>0.68402777777777779</c:v>
                </c:pt>
                <c:pt idx="3">
                  <c:v>0.60069444444444442</c:v>
                </c:pt>
                <c:pt idx="4">
                  <c:v>0.55555555555555558</c:v>
                </c:pt>
                <c:pt idx="5">
                  <c:v>#N/A</c:v>
                </c:pt>
                <c:pt idx="6">
                  <c:v>#N/A</c:v>
                </c:pt>
                <c:pt idx="7">
                  <c:v>0.61875000000000002</c:v>
                </c:pt>
                <c:pt idx="8">
                  <c:v>0.64236111111111105</c:v>
                </c:pt>
                <c:pt idx="9">
                  <c:v>#N/A</c:v>
                </c:pt>
                <c:pt idx="10">
                  <c:v>0.59375</c:v>
                </c:pt>
                <c:pt idx="11">
                  <c:v>#N/A</c:v>
                </c:pt>
                <c:pt idx="12">
                  <c:v>0.57638888888888895</c:v>
                </c:pt>
                <c:pt idx="13">
                  <c:v>0.57986111111111105</c:v>
                </c:pt>
                <c:pt idx="14">
                  <c:v>0.54513888888888895</c:v>
                </c:pt>
                <c:pt idx="15">
                  <c:v>0.54861111111111105</c:v>
                </c:pt>
                <c:pt idx="16">
                  <c:v>#N/A</c:v>
                </c:pt>
                <c:pt idx="17">
                  <c:v>0.65208333333333335</c:v>
                </c:pt>
                <c:pt idx="18">
                  <c:v>0.6875</c:v>
                </c:pt>
                <c:pt idx="19">
                  <c:v>0.64583333333333337</c:v>
                </c:pt>
                <c:pt idx="20">
                  <c:v>0.66666666666666663</c:v>
                </c:pt>
                <c:pt idx="21">
                  <c:v>#N/A</c:v>
                </c:pt>
                <c:pt idx="22">
                  <c:v>#N/A</c:v>
                </c:pt>
                <c:pt idx="23">
                  <c:v>0.61458333333333337</c:v>
                </c:pt>
                <c:pt idx="24">
                  <c:v>0.52083333333333337</c:v>
                </c:pt>
                <c:pt idx="25">
                  <c:v>#N/A</c:v>
                </c:pt>
                <c:pt idx="26">
                  <c:v>#N/A</c:v>
                </c:pt>
                <c:pt idx="27">
                  <c:v>0.52083333333333337</c:v>
                </c:pt>
                <c:pt idx="28">
                  <c:v>0.61805555555555558</c:v>
                </c:pt>
                <c:pt idx="29">
                  <c:v>0.57986111111111105</c:v>
                </c:pt>
                <c:pt idx="30">
                  <c:v>0.65625</c:v>
                </c:pt>
              </c:numCache>
            </c:numRef>
          </c:val>
          <c:smooth val="0"/>
        </c:ser>
        <c:ser>
          <c:idx val="3"/>
          <c:order val="1"/>
          <c:tx>
            <c:v>H Max</c:v>
          </c:tx>
          <c:spPr>
            <a:ln w="28575">
              <a:noFill/>
            </a:ln>
          </c:spPr>
          <c:marker>
            <c:symbol val="circle"/>
            <c:size val="10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cat>
            <c:numRef>
              <c:f>JAN!$E$4:$E$34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JAN!$AF$91:$AF$121</c:f>
              <c:numCache>
                <c:formatCode>h:mm</c:formatCode>
                <c:ptCount val="31"/>
                <c:pt idx="0">
                  <c:v>#N/A</c:v>
                </c:pt>
                <c:pt idx="1">
                  <c:v>0.375</c:v>
                </c:pt>
                <c:pt idx="2">
                  <c:v>0.43402777777777773</c:v>
                </c:pt>
                <c:pt idx="3">
                  <c:v>0.375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0.28472222222222221</c:v>
                </c:pt>
                <c:pt idx="8">
                  <c:v>0.39930555555555558</c:v>
                </c:pt>
                <c:pt idx="9">
                  <c:v>0.30902777777777779</c:v>
                </c:pt>
                <c:pt idx="10">
                  <c:v>0.39583333333333331</c:v>
                </c:pt>
                <c:pt idx="11">
                  <c:v>0.45833333333333331</c:v>
                </c:pt>
                <c:pt idx="12">
                  <c:v>0.26041666666666669</c:v>
                </c:pt>
                <c:pt idx="13">
                  <c:v>0</c:v>
                </c:pt>
                <c:pt idx="14">
                  <c:v>#N/A</c:v>
                </c:pt>
                <c:pt idx="15">
                  <c:v>#N/A</c:v>
                </c:pt>
                <c:pt idx="16">
                  <c:v>0.36458333333333331</c:v>
                </c:pt>
                <c:pt idx="17">
                  <c:v>0.29166666666666669</c:v>
                </c:pt>
                <c:pt idx="18">
                  <c:v>0.4201388888888889</c:v>
                </c:pt>
                <c:pt idx="19">
                  <c:v>0.41666666666666669</c:v>
                </c:pt>
                <c:pt idx="20">
                  <c:v>0.10416666666666667</c:v>
                </c:pt>
                <c:pt idx="21">
                  <c:v>0.46875</c:v>
                </c:pt>
                <c:pt idx="22">
                  <c:v>0.1875</c:v>
                </c:pt>
                <c:pt idx="23">
                  <c:v>4.1666666666666664E-2</c:v>
                </c:pt>
                <c:pt idx="24">
                  <c:v>#N/A</c:v>
                </c:pt>
                <c:pt idx="25">
                  <c:v>0.30555555555555552</c:v>
                </c:pt>
                <c:pt idx="26">
                  <c:v>0.22222222222222221</c:v>
                </c:pt>
                <c:pt idx="27">
                  <c:v>#N/A</c:v>
                </c:pt>
                <c:pt idx="28">
                  <c:v>7.2916666666666671E-2</c:v>
                </c:pt>
                <c:pt idx="29">
                  <c:v>0.24652777777777779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567040"/>
        <c:axId val="116585600"/>
      </c:lineChart>
      <c:catAx>
        <c:axId val="1165670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65856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6585600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hh:mm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6567040"/>
        <c:crosses val="autoZero"/>
        <c:crossBetween val="between"/>
        <c:majorUnit val="8.3333333300000006E-2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0.46201358863495984"/>
          <c:y val="0.11267617956206177"/>
          <c:w val="0.66151945645460164"/>
          <c:h val="0.1549297006888223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Time of Max Gust</a:t>
            </a:r>
          </a:p>
        </c:rich>
      </c:tx>
      <c:layout>
        <c:manualLayout>
          <c:xMode val="edge"/>
          <c:yMode val="edge"/>
          <c:x val="0.44814840737500405"/>
          <c:y val="1.99296600234466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8888912331761387E-2"/>
          <c:y val="8.5580353795172481E-2"/>
          <c:w val="0.95864255319405456"/>
          <c:h val="0.86400987324715228"/>
        </c:manualLayout>
      </c:layout>
      <c:lineChart>
        <c:grouping val="standard"/>
        <c:varyColors val="0"/>
        <c:ser>
          <c:idx val="4"/>
          <c:order val="0"/>
          <c:tx>
            <c:v>Gust</c:v>
          </c:tx>
          <c:spPr>
            <a:ln w="28575">
              <a:noFill/>
            </a:ln>
          </c:spPr>
          <c:marker>
            <c:symbol val="circle"/>
            <c:size val="1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cat>
            <c:numRef>
              <c:f>JAN!$E$4:$E$34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JAN!$BJ$49:$BJ$79</c:f>
              <c:numCache>
                <c:formatCode>h:mm</c:formatCode>
                <c:ptCount val="31"/>
                <c:pt idx="0">
                  <c:v>0.66736111111111107</c:v>
                </c:pt>
                <c:pt idx="1">
                  <c:v>0.3979166666666667</c:v>
                </c:pt>
                <c:pt idx="2">
                  <c:v>0.91527777777777775</c:v>
                </c:pt>
                <c:pt idx="3">
                  <c:v>6.9444444444444447E-4</c:v>
                </c:pt>
                <c:pt idx="4">
                  <c:v>0.53402777777777777</c:v>
                </c:pt>
                <c:pt idx="5">
                  <c:v>0.55555555555555558</c:v>
                </c:pt>
                <c:pt idx="6">
                  <c:v>0.71944444444444444</c:v>
                </c:pt>
                <c:pt idx="7">
                  <c:v>0.27777777777777779</c:v>
                </c:pt>
                <c:pt idx="8">
                  <c:v>0.52986111111111112</c:v>
                </c:pt>
                <c:pt idx="9">
                  <c:v>0.8965277777777777</c:v>
                </c:pt>
                <c:pt idx="10">
                  <c:v>0.46736111111111112</c:v>
                </c:pt>
                <c:pt idx="11">
                  <c:v>0.22361111111111109</c:v>
                </c:pt>
                <c:pt idx="12">
                  <c:v>0.99722222222222223</c:v>
                </c:pt>
                <c:pt idx="13">
                  <c:v>7.9166666666666663E-2</c:v>
                </c:pt>
                <c:pt idx="14">
                  <c:v>0.56388888888888888</c:v>
                </c:pt>
                <c:pt idx="15">
                  <c:v>0.5131944444444444</c:v>
                </c:pt>
                <c:pt idx="16">
                  <c:v>0.44791666666666669</c:v>
                </c:pt>
                <c:pt idx="17">
                  <c:v>0.54097222222222219</c:v>
                </c:pt>
                <c:pt idx="18">
                  <c:v>0.43541666666666662</c:v>
                </c:pt>
                <c:pt idx="19">
                  <c:v>0.38194444444444442</c:v>
                </c:pt>
                <c:pt idx="20">
                  <c:v>0.38194444444444442</c:v>
                </c:pt>
                <c:pt idx="21">
                  <c:v>0.99444444444444446</c:v>
                </c:pt>
                <c:pt idx="22">
                  <c:v>0.53749999999999998</c:v>
                </c:pt>
                <c:pt idx="23">
                  <c:v>0.19791666666666666</c:v>
                </c:pt>
                <c:pt idx="24">
                  <c:v>0.4861111111111111</c:v>
                </c:pt>
                <c:pt idx="25">
                  <c:v>0.96736111111111101</c:v>
                </c:pt>
                <c:pt idx="26">
                  <c:v>0.6479166666666667</c:v>
                </c:pt>
                <c:pt idx="27">
                  <c:v>0.4</c:v>
                </c:pt>
                <c:pt idx="28">
                  <c:v>0.87361111111111101</c:v>
                </c:pt>
                <c:pt idx="29">
                  <c:v>0.50694444444444442</c:v>
                </c:pt>
                <c:pt idx="30">
                  <c:v>0.93819444444444444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876032"/>
        <c:axId val="116877952"/>
      </c:lineChart>
      <c:catAx>
        <c:axId val="116876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68779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6877952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hh:mm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6876032"/>
        <c:crosses val="autoZero"/>
        <c:crossBetween val="between"/>
        <c:majorUnit val="8.3333333300000006E-2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 sz="14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Rain Rate / mmh</a:t>
            </a:r>
            <a:r>
              <a:rPr lang="en-GB" sz="1400" b="1" i="0" u="none" strike="noStrike" baseline="30000">
                <a:solidFill>
                  <a:srgbClr val="000000"/>
                </a:solidFill>
                <a:latin typeface="Arial"/>
                <a:cs typeface="Arial"/>
              </a:rPr>
              <a:t>-1</a:t>
            </a:r>
          </a:p>
        </c:rich>
      </c:tx>
      <c:layout>
        <c:manualLayout>
          <c:xMode val="edge"/>
          <c:yMode val="edge"/>
          <c:x val="0.44963144963144963"/>
          <c:y val="1.990632318501171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6412776412776413E-2"/>
          <c:y val="8.899297423887588E-2"/>
          <c:w val="0.95515970515970516"/>
          <c:h val="0.86065573770491799"/>
        </c:manualLayout>
      </c:layout>
      <c:barChart>
        <c:barDir val="col"/>
        <c:grouping val="clustered"/>
        <c:varyColors val="0"/>
        <c:ser>
          <c:idx val="1"/>
          <c:order val="0"/>
          <c:tx>
            <c:v>Mean</c:v>
          </c:tx>
          <c:spPr>
            <a:solidFill>
              <a:srgbClr val="CCFFFF"/>
            </a:solidFill>
            <a:ln w="3175">
              <a:solidFill>
                <a:srgbClr val="333399"/>
              </a:solidFill>
              <a:prstDash val="solid"/>
            </a:ln>
          </c:spPr>
          <c:invertIfNegative val="0"/>
          <c:cat>
            <c:numRef>
              <c:f>JAN!$E$4:$E$34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JAN!$AD$4:$AD$34</c:f>
              <c:numCache>
                <c:formatCode>0.0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0.4</c:v>
                </c:pt>
                <c:pt idx="5">
                  <c:v>1.4428571428571428</c:v>
                </c:pt>
                <c:pt idx="6">
                  <c:v>1.8</c:v>
                </c:pt>
                <c:pt idx="7">
                  <c:v>1.1666666666666667</c:v>
                </c:pt>
                <c:pt idx="8">
                  <c:v>0</c:v>
                </c:pt>
                <c:pt idx="9">
                  <c:v>0.25</c:v>
                </c:pt>
                <c:pt idx="10">
                  <c:v>1.5111111111111111</c:v>
                </c:pt>
                <c:pt idx="11">
                  <c:v>0.63</c:v>
                </c:pt>
                <c:pt idx="12">
                  <c:v>0.75</c:v>
                </c:pt>
                <c:pt idx="13">
                  <c:v>5.5</c:v>
                </c:pt>
                <c:pt idx="14">
                  <c:v>0</c:v>
                </c:pt>
                <c:pt idx="15">
                  <c:v>0.46666666666666662</c:v>
                </c:pt>
                <c:pt idx="16">
                  <c:v>2.0125000000000002</c:v>
                </c:pt>
                <c:pt idx="17">
                  <c:v>1.3818181818181818</c:v>
                </c:pt>
                <c:pt idx="18">
                  <c:v>0</c:v>
                </c:pt>
                <c:pt idx="19">
                  <c:v>0</c:v>
                </c:pt>
                <c:pt idx="20">
                  <c:v>0.6</c:v>
                </c:pt>
                <c:pt idx="21">
                  <c:v>0.6</c:v>
                </c:pt>
                <c:pt idx="22">
                  <c:v>0</c:v>
                </c:pt>
                <c:pt idx="23">
                  <c:v>0.6</c:v>
                </c:pt>
                <c:pt idx="24">
                  <c:v>0.4</c:v>
                </c:pt>
                <c:pt idx="25">
                  <c:v>0.2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-80"/>
        <c:axId val="116937088"/>
        <c:axId val="116938624"/>
      </c:barChart>
      <c:barChart>
        <c:barDir val="col"/>
        <c:grouping val="clustered"/>
        <c:varyColors val="0"/>
        <c:ser>
          <c:idx val="0"/>
          <c:order val="1"/>
          <c:tx>
            <c:v>Max</c:v>
          </c:tx>
          <c:spPr>
            <a:solidFill>
              <a:srgbClr val="9999FF"/>
            </a:solidFill>
            <a:ln w="12700">
              <a:solidFill>
                <a:srgbClr val="000080"/>
              </a:solidFill>
              <a:prstDash val="solid"/>
            </a:ln>
          </c:spPr>
          <c:invertIfNegative val="0"/>
          <c:cat>
            <c:numRef>
              <c:f>JAN!$E$4:$E$34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JAN!$AE$4:$AE$34</c:f>
              <c:numCache>
                <c:formatCode>General</c:formatCode>
                <c:ptCount val="31"/>
                <c:pt idx="4">
                  <c:v>0</c:v>
                </c:pt>
                <c:pt idx="5">
                  <c:v>4</c:v>
                </c:pt>
                <c:pt idx="6">
                  <c:v>30</c:v>
                </c:pt>
                <c:pt idx="7">
                  <c:v>15</c:v>
                </c:pt>
                <c:pt idx="9">
                  <c:v>0.8</c:v>
                </c:pt>
                <c:pt idx="10">
                  <c:v>5</c:v>
                </c:pt>
                <c:pt idx="11">
                  <c:v>1.8</c:v>
                </c:pt>
                <c:pt idx="12">
                  <c:v>4</c:v>
                </c:pt>
                <c:pt idx="13">
                  <c:v>40</c:v>
                </c:pt>
                <c:pt idx="15">
                  <c:v>1.1000000000000001</c:v>
                </c:pt>
                <c:pt idx="16">
                  <c:v>15</c:v>
                </c:pt>
                <c:pt idx="17">
                  <c:v>10</c:v>
                </c:pt>
                <c:pt idx="20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0"/>
        <c:overlap val="-100"/>
        <c:axId val="116940160"/>
        <c:axId val="116941952"/>
      </c:barChart>
      <c:catAx>
        <c:axId val="116937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69386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6938624"/>
        <c:scaling>
          <c:orientation val="minMax"/>
          <c:max val="6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6937088"/>
        <c:crosses val="autoZero"/>
        <c:crossBetween val="between"/>
        <c:majorUnit val="1"/>
      </c:valAx>
      <c:catAx>
        <c:axId val="1169401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941952"/>
        <c:crosses val="autoZero"/>
        <c:auto val="1"/>
        <c:lblAlgn val="ctr"/>
        <c:lblOffset val="100"/>
        <c:noMultiLvlLbl val="0"/>
      </c:catAx>
      <c:valAx>
        <c:axId val="116941952"/>
        <c:scaling>
          <c:orientation val="minMax"/>
          <c:max val="60"/>
          <c:min val="0"/>
        </c:scaling>
        <c:delete val="0"/>
        <c:axPos val="r"/>
        <c:numFmt formatCode="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6940160"/>
        <c:crosses val="max"/>
        <c:crossBetween val="between"/>
        <c:majorUnit val="10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0.21314496314496315"/>
          <c:y val="0.16159250585480095"/>
          <c:w val="0.35995085995085996"/>
          <c:h val="0.2084309133489461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01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Rainfall / mm</a:t>
            </a:r>
          </a:p>
        </c:rich>
      </c:tx>
      <c:layout>
        <c:manualLayout>
          <c:xMode val="edge"/>
          <c:yMode val="edge"/>
          <c:x val="0.47051597051597049"/>
          <c:y val="1.529411764705882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955773955773956E-2"/>
          <c:y val="8.4705931012138677E-2"/>
          <c:w val="0.97297297297297303"/>
          <c:h val="0.85529460896978915"/>
        </c:manualLayout>
      </c:layout>
      <c:barChart>
        <c:barDir val="col"/>
        <c:grouping val="clustered"/>
        <c:varyColors val="0"/>
        <c:ser>
          <c:idx val="0"/>
          <c:order val="0"/>
          <c:tx>
            <c:v>Rainfall</c:v>
          </c:tx>
          <c:spPr>
            <a:solidFill>
              <a:srgbClr val="3366FF"/>
            </a:solidFill>
            <a:ln w="12700">
              <a:solidFill>
                <a:srgbClr val="000080"/>
              </a:solidFill>
              <a:prstDash val="solid"/>
            </a:ln>
          </c:spPr>
          <c:invertIfNegative val="0"/>
          <c:cat>
            <c:numRef>
              <c:f>JAN!$E$4:$E$34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JAN!$Z$4:$Z$34</c:f>
              <c:numCache>
                <c:formatCode>0.0</c:formatCode>
                <c:ptCount val="31"/>
                <c:pt idx="0">
                  <c:v>0.1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0.8</c:v>
                </c:pt>
                <c:pt idx="5">
                  <c:v>10.1</c:v>
                </c:pt>
                <c:pt idx="6">
                  <c:v>9</c:v>
                </c:pt>
                <c:pt idx="7">
                  <c:v>3.5</c:v>
                </c:pt>
                <c:pt idx="8">
                  <c:v>0</c:v>
                </c:pt>
                <c:pt idx="9">
                  <c:v>0.5</c:v>
                </c:pt>
                <c:pt idx="10">
                  <c:v>6.8</c:v>
                </c:pt>
                <c:pt idx="11">
                  <c:v>6.3</c:v>
                </c:pt>
                <c:pt idx="12">
                  <c:v>3</c:v>
                </c:pt>
                <c:pt idx="13">
                  <c:v>5.5</c:v>
                </c:pt>
                <c:pt idx="14">
                  <c:v>0</c:v>
                </c:pt>
                <c:pt idx="15">
                  <c:v>1.4</c:v>
                </c:pt>
                <c:pt idx="16">
                  <c:v>16.100000000000001</c:v>
                </c:pt>
                <c:pt idx="17">
                  <c:v>7.6</c:v>
                </c:pt>
                <c:pt idx="18">
                  <c:v>0</c:v>
                </c:pt>
                <c:pt idx="19">
                  <c:v>0.1</c:v>
                </c:pt>
                <c:pt idx="20">
                  <c:v>0.3</c:v>
                </c:pt>
                <c:pt idx="21">
                  <c:v>0.3</c:v>
                </c:pt>
                <c:pt idx="22">
                  <c:v>0</c:v>
                </c:pt>
                <c:pt idx="23">
                  <c:v>0.3</c:v>
                </c:pt>
                <c:pt idx="24">
                  <c:v>0.8</c:v>
                </c:pt>
                <c:pt idx="25">
                  <c:v>0.5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</c:ser>
        <c:ser>
          <c:idx val="1"/>
          <c:order val="1"/>
          <c:tx>
            <c:v>Max In Hour</c:v>
          </c:tx>
          <c:spPr>
            <a:solidFill>
              <a:srgbClr val="00CCFF"/>
            </a:solidFill>
            <a:ln w="12700">
              <a:solidFill>
                <a:srgbClr val="0000FF"/>
              </a:solidFill>
              <a:prstDash val="solid"/>
            </a:ln>
          </c:spPr>
          <c:invertIfNegative val="0"/>
          <c:cat>
            <c:numRef>
              <c:f>JAN!$E$4:$E$34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JAN!$AA$4:$AA$34</c:f>
              <c:numCache>
                <c:formatCode>0.0</c:formatCode>
                <c:ptCount val="31"/>
                <c:pt idx="4">
                  <c:v>0.3</c:v>
                </c:pt>
                <c:pt idx="5">
                  <c:v>3.3</c:v>
                </c:pt>
                <c:pt idx="6">
                  <c:v>3.3</c:v>
                </c:pt>
                <c:pt idx="7">
                  <c:v>2.2000000000000002</c:v>
                </c:pt>
                <c:pt idx="9">
                  <c:v>0.5</c:v>
                </c:pt>
                <c:pt idx="10">
                  <c:v>2.5</c:v>
                </c:pt>
                <c:pt idx="11">
                  <c:v>1.9</c:v>
                </c:pt>
                <c:pt idx="12">
                  <c:v>1.9</c:v>
                </c:pt>
                <c:pt idx="13">
                  <c:v>5.5</c:v>
                </c:pt>
                <c:pt idx="15">
                  <c:v>0.8</c:v>
                </c:pt>
                <c:pt idx="16">
                  <c:v>3.6</c:v>
                </c:pt>
                <c:pt idx="17">
                  <c:v>3</c:v>
                </c:pt>
                <c:pt idx="20">
                  <c:v>0</c:v>
                </c:pt>
                <c:pt idx="21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0.3</c:v>
                </c:pt>
              </c:numCache>
            </c:numRef>
          </c:val>
        </c:ser>
        <c:ser>
          <c:idx val="2"/>
          <c:order val="2"/>
          <c:tx>
            <c:v>Max in 10 Minutes</c:v>
          </c:tx>
          <c:spPr>
            <a:solidFill>
              <a:srgbClr val="99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JAN!$E$4:$E$34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JAN!$AB$4:$AB$34</c:f>
              <c:numCache>
                <c:formatCode>0.0</c:formatCode>
                <c:ptCount val="31"/>
                <c:pt idx="4">
                  <c:v>0</c:v>
                </c:pt>
                <c:pt idx="5">
                  <c:v>0.8</c:v>
                </c:pt>
                <c:pt idx="6">
                  <c:v>1.4</c:v>
                </c:pt>
                <c:pt idx="7">
                  <c:v>0.8</c:v>
                </c:pt>
                <c:pt idx="9">
                  <c:v>0</c:v>
                </c:pt>
                <c:pt idx="10">
                  <c:v>0.5</c:v>
                </c:pt>
                <c:pt idx="11">
                  <c:v>0.3</c:v>
                </c:pt>
                <c:pt idx="12">
                  <c:v>0.5</c:v>
                </c:pt>
                <c:pt idx="13">
                  <c:v>3.8</c:v>
                </c:pt>
                <c:pt idx="15">
                  <c:v>0.2</c:v>
                </c:pt>
                <c:pt idx="16">
                  <c:v>1.1000000000000001</c:v>
                </c:pt>
                <c:pt idx="17">
                  <c:v>1.1000000000000001</c:v>
                </c:pt>
                <c:pt idx="20">
                  <c:v>0</c:v>
                </c:pt>
                <c:pt idx="21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overlap val="100"/>
        <c:axId val="116972544"/>
        <c:axId val="116998912"/>
      </c:barChart>
      <c:catAx>
        <c:axId val="116972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69989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6998912"/>
        <c:scaling>
          <c:orientation val="minMax"/>
          <c:max val="20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6972544"/>
        <c:crosses val="autoZero"/>
        <c:crossBetween val="between"/>
        <c:majorUnit val="5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3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 horizontalDpi="-3" verticalDpi="0"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Wet Hours / h</a:t>
            </a:r>
          </a:p>
        </c:rich>
      </c:tx>
      <c:layout>
        <c:manualLayout>
          <c:xMode val="edge"/>
          <c:yMode val="edge"/>
          <c:x val="0.47116577299003271"/>
          <c:y val="2.232667450058754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926387535464059E-2"/>
          <c:y val="7.7555816686251472E-2"/>
          <c:w val="0.97361992355849891"/>
          <c:h val="0.87191539365452408"/>
        </c:manualLayout>
      </c:layout>
      <c:barChart>
        <c:barDir val="col"/>
        <c:grouping val="clustered"/>
        <c:varyColors val="0"/>
        <c:ser>
          <c:idx val="2"/>
          <c:order val="0"/>
          <c:tx>
            <c:v>Wet</c:v>
          </c:tx>
          <c:spPr>
            <a:solidFill>
              <a:srgbClr val="00FFFF"/>
            </a:solidFill>
            <a:ln w="12700">
              <a:solidFill>
                <a:srgbClr val="3366FF"/>
              </a:solidFill>
              <a:prstDash val="solid"/>
            </a:ln>
          </c:spPr>
          <c:invertIfNegative val="0"/>
          <c:cat>
            <c:numRef>
              <c:f>JAN!$E$4:$E$34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JAN!$AQ$4:$AQ$34</c:f>
              <c:numCache>
                <c:formatCode>General</c:formatCode>
                <c:ptCount val="31"/>
                <c:pt idx="0">
                  <c:v>0.4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7</c:v>
                </c:pt>
                <c:pt idx="6">
                  <c:v>5</c:v>
                </c:pt>
                <c:pt idx="7">
                  <c:v>3</c:v>
                </c:pt>
                <c:pt idx="8">
                  <c:v>0</c:v>
                </c:pt>
                <c:pt idx="9">
                  <c:v>2</c:v>
                </c:pt>
                <c:pt idx="10">
                  <c:v>4.5</c:v>
                </c:pt>
                <c:pt idx="11">
                  <c:v>10</c:v>
                </c:pt>
                <c:pt idx="12">
                  <c:v>4</c:v>
                </c:pt>
                <c:pt idx="13">
                  <c:v>1</c:v>
                </c:pt>
                <c:pt idx="14">
                  <c:v>0</c:v>
                </c:pt>
                <c:pt idx="15">
                  <c:v>3</c:v>
                </c:pt>
                <c:pt idx="16">
                  <c:v>8</c:v>
                </c:pt>
                <c:pt idx="17">
                  <c:v>5.5</c:v>
                </c:pt>
                <c:pt idx="18">
                  <c:v>0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</c:v>
                </c:pt>
                <c:pt idx="23">
                  <c:v>0.5</c:v>
                </c:pt>
                <c:pt idx="24">
                  <c:v>2</c:v>
                </c:pt>
                <c:pt idx="25">
                  <c:v>2.5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overlap val="-10"/>
        <c:axId val="117014528"/>
        <c:axId val="117016064"/>
      </c:barChart>
      <c:catAx>
        <c:axId val="117014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70160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016064"/>
        <c:scaling>
          <c:orientation val="minMax"/>
          <c:max val="1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7014528"/>
        <c:crosses val="autoZero"/>
        <c:crossBetween val="between"/>
        <c:majorUnit val="2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Wind Direction Frequency</a:t>
            </a:r>
          </a:p>
        </c:rich>
      </c:tx>
      <c:layout>
        <c:manualLayout>
          <c:xMode val="edge"/>
          <c:yMode val="edge"/>
          <c:x val="0.41079092581238502"/>
          <c:y val="2.813599062133646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998160637645616"/>
          <c:y val="0.18053937649940496"/>
          <c:w val="0.37829552421827101"/>
          <c:h val="0.7233298396112523"/>
        </c:manualLayout>
      </c:layout>
      <c:radarChart>
        <c:radarStyle val="filled"/>
        <c:varyColors val="1"/>
        <c:ser>
          <c:idx val="0"/>
          <c:order val="0"/>
          <c:tx>
            <c:v>Mean Wind Direction</c:v>
          </c:tx>
          <c:spPr>
            <a:solidFill>
              <a:srgbClr val="FF99CC"/>
            </a:solidFill>
            <a:ln w="38100">
              <a:solidFill>
                <a:srgbClr val="FF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</c:dPt>
          <c:dPt>
            <c:idx val="2"/>
            <c:bubble3D val="0"/>
          </c:dPt>
          <c:dPt>
            <c:idx val="3"/>
            <c:bubble3D val="0"/>
          </c:dPt>
          <c:dPt>
            <c:idx val="4"/>
            <c:bubble3D val="0"/>
          </c:dPt>
          <c:dPt>
            <c:idx val="5"/>
            <c:bubble3D val="0"/>
          </c:dPt>
          <c:dPt>
            <c:idx val="6"/>
            <c:bubble3D val="0"/>
          </c:dPt>
          <c:dPt>
            <c:idx val="7"/>
            <c:bubble3D val="0"/>
          </c:dPt>
          <c:dPt>
            <c:idx val="8"/>
            <c:bubble3D val="0"/>
          </c:dPt>
          <c:dPt>
            <c:idx val="9"/>
            <c:bubble3D val="0"/>
          </c:dPt>
          <c:dPt>
            <c:idx val="10"/>
            <c:bubble3D val="0"/>
          </c:dPt>
          <c:dPt>
            <c:idx val="11"/>
            <c:bubble3D val="0"/>
          </c:dPt>
          <c:dPt>
            <c:idx val="12"/>
            <c:bubble3D val="0"/>
          </c:dPt>
          <c:dPt>
            <c:idx val="13"/>
            <c:bubble3D val="0"/>
          </c:dPt>
          <c:dPt>
            <c:idx val="14"/>
            <c:bubble3D val="0"/>
          </c:dPt>
          <c:dPt>
            <c:idx val="15"/>
            <c:bubble3D val="0"/>
          </c:dPt>
          <c:dLbls>
            <c:dLbl>
              <c:idx val="0"/>
              <c:layout>
                <c:manualLayout>
                  <c:x val="6.5811516049760026E-4"/>
                  <c:y val="-6.916820129604958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 val="4.6547228806699599E-2"/>
                  <c:y val="-6.275609721409719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layout>
                <c:manualLayout>
                  <c:x val="6.9220403243585998E-2"/>
                  <c:y val="-0.10683687793713385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layout>
                <c:manualLayout>
                  <c:x val="0.12213160050272683"/>
                  <c:y val="-9.242098593183102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4"/>
              <c:layout>
                <c:manualLayout>
                  <c:x val="0.1711259053991642"/>
                  <c:y val="-1.089876890238244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5"/>
              <c:layout>
                <c:manualLayout>
                  <c:x val="0.17891430953105106"/>
                  <c:y val="0.1326951951229368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6"/>
              <c:layout>
                <c:manualLayout>
                  <c:x val="0.14543366628527654"/>
                  <c:y val="0.2413158258588762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7"/>
              <c:layout>
                <c:manualLayout>
                  <c:x val="8.5139464863029465E-2"/>
                  <c:y val="0.28883677060010948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8"/>
              <c:layout>
                <c:manualLayout>
                  <c:x val="2.4913623994425576E-3"/>
                  <c:y val="0.1957712832496892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9"/>
              <c:layout>
                <c:manualLayout>
                  <c:x val="-2.077060109975528E-2"/>
                  <c:y val="-1.184244537128229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0"/>
              <c:layout>
                <c:manualLayout>
                  <c:x val="-3.0111343378215062E-2"/>
                  <c:y val="2.148708236212869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1"/>
              <c:layout>
                <c:manualLayout>
                  <c:x val="-9.5753567284776145E-2"/>
                  <c:y val="4.35640331975429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2"/>
              <c:layout>
                <c:manualLayout>
                  <c:x val="-0.11884527309622776"/>
                  <c:y val="-7.3817680614849893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3"/>
              <c:layout>
                <c:manualLayout>
                  <c:x val="-0.12768180801434156"/>
                  <c:y val="-0.10439798638590725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4"/>
              <c:layout>
                <c:manualLayout>
                  <c:x val="-9.6091765353365166E-2"/>
                  <c:y val="-0.1525039538433841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5"/>
              <c:layout>
                <c:manualLayout>
                  <c:x val="-4.0093979668850407E-2"/>
                  <c:y val="-0.13896168239519999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1" i="0" u="none" strike="noStrike" baseline="0">
                    <a:solidFill>
                      <a:srgbClr val="FF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Nov!$AP$92:$AP$107</c:f>
              <c:strCache>
                <c:ptCount val="16"/>
                <c:pt idx="0">
                  <c:v>N</c:v>
                </c:pt>
                <c:pt idx="1">
                  <c:v>NNE</c:v>
                </c:pt>
                <c:pt idx="2">
                  <c:v>NE</c:v>
                </c:pt>
                <c:pt idx="3">
                  <c:v>ENE</c:v>
                </c:pt>
                <c:pt idx="4">
                  <c:v>E</c:v>
                </c:pt>
                <c:pt idx="5">
                  <c:v>ESE</c:v>
                </c:pt>
                <c:pt idx="6">
                  <c:v>SE</c:v>
                </c:pt>
                <c:pt idx="7">
                  <c:v>SSE</c:v>
                </c:pt>
                <c:pt idx="8">
                  <c:v>S</c:v>
                </c:pt>
                <c:pt idx="9">
                  <c:v>SSW</c:v>
                </c:pt>
                <c:pt idx="10">
                  <c:v>SW</c:v>
                </c:pt>
                <c:pt idx="11">
                  <c:v>WSW</c:v>
                </c:pt>
                <c:pt idx="12">
                  <c:v>W</c:v>
                </c:pt>
                <c:pt idx="13">
                  <c:v>WNW</c:v>
                </c:pt>
                <c:pt idx="14">
                  <c:v>NW</c:v>
                </c:pt>
                <c:pt idx="15">
                  <c:v>NNW</c:v>
                </c:pt>
              </c:strCache>
            </c:strRef>
          </c:cat>
          <c:val>
            <c:numRef>
              <c:f>JAN!$AQ$92:$AQ$107</c:f>
              <c:numCache>
                <c:formatCode>0%</c:formatCode>
                <c:ptCount val="16"/>
                <c:pt idx="0">
                  <c:v>0.111</c:v>
                </c:pt>
                <c:pt idx="1">
                  <c:v>0.105</c:v>
                </c:pt>
                <c:pt idx="2">
                  <c:v>7.8E-2</c:v>
                </c:pt>
                <c:pt idx="3">
                  <c:v>5.1999999999999998E-2</c:v>
                </c:pt>
                <c:pt idx="4">
                  <c:v>1.6E-2</c:v>
                </c:pt>
                <c:pt idx="5">
                  <c:v>7.0000000000000001E-3</c:v>
                </c:pt>
                <c:pt idx="6">
                  <c:v>4.0000000000000001E-3</c:v>
                </c:pt>
                <c:pt idx="7">
                  <c:v>8.9999999999999993E-3</c:v>
                </c:pt>
                <c:pt idx="8">
                  <c:v>5.8999999999999997E-2</c:v>
                </c:pt>
                <c:pt idx="9">
                  <c:v>0.13400000000000001</c:v>
                </c:pt>
                <c:pt idx="10">
                  <c:v>0.11600000000000001</c:v>
                </c:pt>
                <c:pt idx="11">
                  <c:v>7.6999999999999999E-2</c:v>
                </c:pt>
                <c:pt idx="12">
                  <c:v>5.6000000000000001E-2</c:v>
                </c:pt>
                <c:pt idx="13">
                  <c:v>4.7E-2</c:v>
                </c:pt>
                <c:pt idx="14">
                  <c:v>5.2999999999999999E-2</c:v>
                </c:pt>
                <c:pt idx="15">
                  <c:v>7.6999999999999999E-2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131520"/>
        <c:axId val="117149696"/>
      </c:radarChart>
      <c:catAx>
        <c:axId val="117131520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7149696"/>
        <c:crosses val="autoZero"/>
        <c:auto val="0"/>
        <c:lblAlgn val="ctr"/>
        <c:lblOffset val="100"/>
        <c:noMultiLvlLbl val="0"/>
      </c:catAx>
      <c:valAx>
        <c:axId val="117149696"/>
        <c:scaling>
          <c:orientation val="minMax"/>
          <c:max val="0.1400000000000000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0%" sourceLinked="1"/>
        <c:majorTickMark val="cross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7131520"/>
        <c:crosses val="autoZero"/>
        <c:crossBetween val="between"/>
        <c:majorUnit val="0.02"/>
      </c:valAx>
      <c:spPr>
        <a:solidFill>
          <a:srgbClr val="C0C0C0"/>
        </a:solidFill>
        <a:ln w="25400">
          <a:noFill/>
        </a:ln>
      </c:spPr>
    </c:plotArea>
    <c:plotVisOnly val="1"/>
    <c:dispBlanksAs val="gap"/>
    <c:showDLblsOverMax val="0"/>
  </c:chart>
  <c:spPr>
    <a:solidFill>
      <a:srgbClr val="C0C0C0"/>
    </a:solidFill>
    <a:ln w="3175">
      <a:solidFill>
        <a:srgbClr val="000000"/>
      </a:solidFill>
      <a:prstDash val="solid"/>
    </a:ln>
  </c:spPr>
  <c:txPr>
    <a:bodyPr/>
    <a:lstStyle/>
    <a:p>
      <a:pPr>
        <a:defRPr sz="23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 horizontalDpi="-3" verticalDpi="0"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7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 sz="14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Temperature / °C   </a:t>
            </a:r>
          </a:p>
        </c:rich>
      </c:tx>
      <c:layout>
        <c:manualLayout>
          <c:xMode val="edge"/>
          <c:yMode val="edge"/>
          <c:x val="0.450704353933713"/>
          <c:y val="2.112676056338028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882432125746363E-2"/>
          <c:y val="8.0986008319129985E-2"/>
          <c:w val="0.95774676524787983"/>
          <c:h val="0.8685455964660318"/>
        </c:manualLayout>
      </c:layout>
      <c:lineChart>
        <c:grouping val="standard"/>
        <c:varyColors val="0"/>
        <c:ser>
          <c:idx val="0"/>
          <c:order val="0"/>
          <c:tx>
            <c:v>Min</c:v>
          </c:tx>
          <c:spPr>
            <a:ln w="38100">
              <a:solidFill>
                <a:srgbClr val="0000FF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JAN!$E$4:$E$31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Feb!$F$4:$F$31</c:f>
              <c:numCache>
                <c:formatCode>0.0</c:formatCode>
                <c:ptCount val="28"/>
                <c:pt idx="0">
                  <c:v>-1.7</c:v>
                </c:pt>
                <c:pt idx="1">
                  <c:v>3</c:v>
                </c:pt>
                <c:pt idx="2">
                  <c:v>4.2</c:v>
                </c:pt>
                <c:pt idx="3">
                  <c:v>9.5</c:v>
                </c:pt>
                <c:pt idx="4">
                  <c:v>11.3</c:v>
                </c:pt>
                <c:pt idx="5">
                  <c:v>9.6999999999999993</c:v>
                </c:pt>
                <c:pt idx="6">
                  <c:v>5.7</c:v>
                </c:pt>
                <c:pt idx="7">
                  <c:v>1.5</c:v>
                </c:pt>
                <c:pt idx="8">
                  <c:v>5.4</c:v>
                </c:pt>
                <c:pt idx="9">
                  <c:v>8.3000000000000007</c:v>
                </c:pt>
                <c:pt idx="10">
                  <c:v>8.4</c:v>
                </c:pt>
                <c:pt idx="11">
                  <c:v>5.6</c:v>
                </c:pt>
                <c:pt idx="12">
                  <c:v>5.6</c:v>
                </c:pt>
                <c:pt idx="13">
                  <c:v>4.7</c:v>
                </c:pt>
                <c:pt idx="14">
                  <c:v>4.9000000000000004</c:v>
                </c:pt>
                <c:pt idx="15">
                  <c:v>4</c:v>
                </c:pt>
                <c:pt idx="16">
                  <c:v>4</c:v>
                </c:pt>
                <c:pt idx="17">
                  <c:v>2.2999999999999998</c:v>
                </c:pt>
                <c:pt idx="18">
                  <c:v>2.7</c:v>
                </c:pt>
                <c:pt idx="19">
                  <c:v>3.6</c:v>
                </c:pt>
                <c:pt idx="20">
                  <c:v>3.6</c:v>
                </c:pt>
                <c:pt idx="21">
                  <c:v>4.3</c:v>
                </c:pt>
                <c:pt idx="22">
                  <c:v>6.4</c:v>
                </c:pt>
                <c:pt idx="23">
                  <c:v>8.3000000000000007</c:v>
                </c:pt>
                <c:pt idx="24">
                  <c:v>8.1</c:v>
                </c:pt>
                <c:pt idx="25">
                  <c:v>5</c:v>
                </c:pt>
                <c:pt idx="26">
                  <c:v>3.8</c:v>
                </c:pt>
                <c:pt idx="27">
                  <c:v>3</c:v>
                </c:pt>
              </c:numCache>
            </c:numRef>
          </c:val>
          <c:smooth val="0"/>
        </c:ser>
        <c:ser>
          <c:idx val="1"/>
          <c:order val="1"/>
          <c:tx>
            <c:v>Max</c:v>
          </c:tx>
          <c:spPr>
            <a:ln w="38100">
              <a:solidFill>
                <a:srgbClr val="FF6600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993300"/>
              </a:solidFill>
              <a:ln>
                <a:solidFill>
                  <a:srgbClr val="993300"/>
                </a:solidFill>
                <a:prstDash val="solid"/>
              </a:ln>
            </c:spPr>
          </c:marker>
          <c:cat>
            <c:numRef>
              <c:f>JAN!$E$4:$E$31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Feb!$G$4:$G$31</c:f>
              <c:numCache>
                <c:formatCode>0.0</c:formatCode>
                <c:ptCount val="28"/>
                <c:pt idx="0">
                  <c:v>6.9</c:v>
                </c:pt>
                <c:pt idx="1">
                  <c:v>10</c:v>
                </c:pt>
                <c:pt idx="2">
                  <c:v>9.6</c:v>
                </c:pt>
                <c:pt idx="3">
                  <c:v>12.3</c:v>
                </c:pt>
                <c:pt idx="4">
                  <c:v>13</c:v>
                </c:pt>
                <c:pt idx="5">
                  <c:v>11.6</c:v>
                </c:pt>
                <c:pt idx="6">
                  <c:v>11.4</c:v>
                </c:pt>
                <c:pt idx="7">
                  <c:v>9.1</c:v>
                </c:pt>
                <c:pt idx="8">
                  <c:v>10.5</c:v>
                </c:pt>
                <c:pt idx="9">
                  <c:v>10.6</c:v>
                </c:pt>
                <c:pt idx="10">
                  <c:v>12</c:v>
                </c:pt>
                <c:pt idx="11">
                  <c:v>10.5</c:v>
                </c:pt>
                <c:pt idx="12">
                  <c:v>8.6</c:v>
                </c:pt>
                <c:pt idx="13">
                  <c:v>9.3000000000000007</c:v>
                </c:pt>
                <c:pt idx="14">
                  <c:v>6.8</c:v>
                </c:pt>
                <c:pt idx="15">
                  <c:v>10.4</c:v>
                </c:pt>
                <c:pt idx="16">
                  <c:v>8.5</c:v>
                </c:pt>
                <c:pt idx="17">
                  <c:v>6.8</c:v>
                </c:pt>
                <c:pt idx="18">
                  <c:v>6</c:v>
                </c:pt>
                <c:pt idx="19">
                  <c:v>5.0999999999999996</c:v>
                </c:pt>
                <c:pt idx="20">
                  <c:v>6.4</c:v>
                </c:pt>
                <c:pt idx="21">
                  <c:v>7.3</c:v>
                </c:pt>
                <c:pt idx="22">
                  <c:v>10.4</c:v>
                </c:pt>
                <c:pt idx="23">
                  <c:v>13.7</c:v>
                </c:pt>
                <c:pt idx="24">
                  <c:v>14.2</c:v>
                </c:pt>
                <c:pt idx="25">
                  <c:v>10.9</c:v>
                </c:pt>
                <c:pt idx="26">
                  <c:v>9.1</c:v>
                </c:pt>
                <c:pt idx="27">
                  <c:v>4.7</c:v>
                </c:pt>
              </c:numCache>
            </c:numRef>
          </c:val>
          <c:smooth val="0"/>
        </c:ser>
        <c:ser>
          <c:idx val="7"/>
          <c:order val="2"/>
          <c:tx>
            <c:v>Cumulative Min</c:v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x"/>
            <c:size val="2"/>
            <c:spPr>
              <a:noFill/>
              <a:ln>
                <a:solidFill>
                  <a:srgbClr val="0000FF"/>
                </a:solidFill>
                <a:prstDash val="solid"/>
              </a:ln>
            </c:spPr>
          </c:marker>
          <c:cat>
            <c:numRef>
              <c:f>JAN!$E$4:$E$31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Feb!$P$91:$P$118</c:f>
              <c:numCache>
                <c:formatCode>0.0</c:formatCode>
                <c:ptCount val="28"/>
                <c:pt idx="0">
                  <c:v>-1.7</c:v>
                </c:pt>
                <c:pt idx="1">
                  <c:v>0.65</c:v>
                </c:pt>
                <c:pt idx="2">
                  <c:v>1.8333333333333333</c:v>
                </c:pt>
                <c:pt idx="3">
                  <c:v>3.75</c:v>
                </c:pt>
                <c:pt idx="4">
                  <c:v>5.26</c:v>
                </c:pt>
                <c:pt idx="5">
                  <c:v>6</c:v>
                </c:pt>
                <c:pt idx="6">
                  <c:v>5.9571428571428573</c:v>
                </c:pt>
                <c:pt idx="7">
                  <c:v>5.4</c:v>
                </c:pt>
                <c:pt idx="8">
                  <c:v>5.4</c:v>
                </c:pt>
                <c:pt idx="9">
                  <c:v>5.69</c:v>
                </c:pt>
                <c:pt idx="10">
                  <c:v>5.9363636363636374</c:v>
                </c:pt>
                <c:pt idx="11">
                  <c:v>5.9083333333333341</c:v>
                </c:pt>
                <c:pt idx="12">
                  <c:v>5.884615384615385</c:v>
                </c:pt>
                <c:pt idx="13">
                  <c:v>5.8</c:v>
                </c:pt>
                <c:pt idx="14">
                  <c:v>5.74</c:v>
                </c:pt>
                <c:pt idx="15">
                  <c:v>5.6312500000000005</c:v>
                </c:pt>
                <c:pt idx="16">
                  <c:v>5.5352941176470596</c:v>
                </c:pt>
                <c:pt idx="17">
                  <c:v>5.3555555555555561</c:v>
                </c:pt>
                <c:pt idx="18">
                  <c:v>5.215789473684211</c:v>
                </c:pt>
                <c:pt idx="19">
                  <c:v>5.1349999999999998</c:v>
                </c:pt>
                <c:pt idx="20">
                  <c:v>5.0619047619047617</c:v>
                </c:pt>
                <c:pt idx="21">
                  <c:v>5.0272727272727273</c:v>
                </c:pt>
                <c:pt idx="22">
                  <c:v>5.0869565217391308</c:v>
                </c:pt>
                <c:pt idx="23">
                  <c:v>5.2208333333333332</c:v>
                </c:pt>
                <c:pt idx="24">
                  <c:v>5.3360000000000003</c:v>
                </c:pt>
                <c:pt idx="25">
                  <c:v>5.3230769230769237</c:v>
                </c:pt>
                <c:pt idx="26">
                  <c:v>5.2666666666666675</c:v>
                </c:pt>
                <c:pt idx="27">
                  <c:v>5.1857142857142859</c:v>
                </c:pt>
              </c:numCache>
            </c:numRef>
          </c:val>
          <c:smooth val="0"/>
        </c:ser>
        <c:ser>
          <c:idx val="6"/>
          <c:order val="3"/>
          <c:tx>
            <c:v>Cumulative Max</c:v>
          </c:tx>
          <c:spPr>
            <a:ln w="12700">
              <a:solidFill>
                <a:srgbClr val="FF9900"/>
              </a:solidFill>
              <a:prstDash val="solid"/>
            </a:ln>
          </c:spPr>
          <c:marker>
            <c:symbol val="plus"/>
            <c:size val="2"/>
            <c:spPr>
              <a:noFill/>
              <a:ln>
                <a:solidFill>
                  <a:srgbClr val="FF6600"/>
                </a:solidFill>
                <a:prstDash val="solid"/>
              </a:ln>
            </c:spPr>
          </c:marker>
          <c:cat>
            <c:numRef>
              <c:f>JAN!$E$4:$E$31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Feb!$Q$91:$Q$118</c:f>
              <c:numCache>
                <c:formatCode>0.0</c:formatCode>
                <c:ptCount val="28"/>
                <c:pt idx="0">
                  <c:v>6.9</c:v>
                </c:pt>
                <c:pt idx="1">
                  <c:v>8.4499999999999993</c:v>
                </c:pt>
                <c:pt idx="2">
                  <c:v>8.8333333333333339</c:v>
                </c:pt>
                <c:pt idx="3">
                  <c:v>9.6999999999999993</c:v>
                </c:pt>
                <c:pt idx="4">
                  <c:v>10.36</c:v>
                </c:pt>
                <c:pt idx="5">
                  <c:v>10.566666666666666</c:v>
                </c:pt>
                <c:pt idx="6">
                  <c:v>10.685714285714285</c:v>
                </c:pt>
                <c:pt idx="7">
                  <c:v>10.487499999999999</c:v>
                </c:pt>
                <c:pt idx="8">
                  <c:v>10.488888888888887</c:v>
                </c:pt>
                <c:pt idx="9">
                  <c:v>10.499999999999998</c:v>
                </c:pt>
                <c:pt idx="10">
                  <c:v>10.636363636363635</c:v>
                </c:pt>
                <c:pt idx="11">
                  <c:v>10.624999999999998</c:v>
                </c:pt>
                <c:pt idx="12">
                  <c:v>10.469230769230769</c:v>
                </c:pt>
                <c:pt idx="13">
                  <c:v>10.385714285714286</c:v>
                </c:pt>
                <c:pt idx="14">
                  <c:v>10.146666666666668</c:v>
                </c:pt>
                <c:pt idx="15">
                  <c:v>10.162500000000001</c:v>
                </c:pt>
                <c:pt idx="16">
                  <c:v>10.064705882352943</c:v>
                </c:pt>
                <c:pt idx="17">
                  <c:v>9.8833333333333346</c:v>
                </c:pt>
                <c:pt idx="18">
                  <c:v>9.6789473684210545</c:v>
                </c:pt>
                <c:pt idx="19">
                  <c:v>9.4500000000000011</c:v>
                </c:pt>
                <c:pt idx="20">
                  <c:v>9.3047619047619072</c:v>
                </c:pt>
                <c:pt idx="21">
                  <c:v>9.2136363636363665</c:v>
                </c:pt>
                <c:pt idx="22">
                  <c:v>9.2652173913043505</c:v>
                </c:pt>
                <c:pt idx="23">
                  <c:v>9.4500000000000011</c:v>
                </c:pt>
                <c:pt idx="24">
                  <c:v>9.64</c:v>
                </c:pt>
                <c:pt idx="25">
                  <c:v>9.6884615384615405</c:v>
                </c:pt>
                <c:pt idx="26">
                  <c:v>9.6666666666666696</c:v>
                </c:pt>
                <c:pt idx="27">
                  <c:v>9.4892857142857157</c:v>
                </c:pt>
              </c:numCache>
            </c:numRef>
          </c:val>
          <c:smooth val="0"/>
        </c:ser>
        <c:ser>
          <c:idx val="9"/>
          <c:order val="6"/>
          <c:tx>
            <c:v>E (Min)</c:v>
          </c:tx>
          <c:spPr>
            <a:ln w="25400">
              <a:solidFill>
                <a:srgbClr val="00CCFF"/>
              </a:solidFill>
              <a:prstDash val="lgDash"/>
            </a:ln>
          </c:spPr>
          <c:marker>
            <c:symbol val="star"/>
            <c:size val="2"/>
            <c:spPr>
              <a:noFill/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JAN!$E$4:$E$31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Feb!$F$91:$F$118</c:f>
              <c:numCache>
                <c:formatCode>0.0</c:formatCode>
                <c:ptCount val="28"/>
                <c:pt idx="0">
                  <c:v>2.35</c:v>
                </c:pt>
                <c:pt idx="1">
                  <c:v>2.35</c:v>
                </c:pt>
                <c:pt idx="2">
                  <c:v>2.35</c:v>
                </c:pt>
                <c:pt idx="3">
                  <c:v>2.35</c:v>
                </c:pt>
                <c:pt idx="4">
                  <c:v>2.35</c:v>
                </c:pt>
                <c:pt idx="5">
                  <c:v>2.35</c:v>
                </c:pt>
                <c:pt idx="6">
                  <c:v>2.35</c:v>
                </c:pt>
                <c:pt idx="7">
                  <c:v>2.35</c:v>
                </c:pt>
                <c:pt idx="8">
                  <c:v>2.2583333333333333</c:v>
                </c:pt>
                <c:pt idx="9">
                  <c:v>2.1666666666666665</c:v>
                </c:pt>
                <c:pt idx="10">
                  <c:v>2.0750000000000002</c:v>
                </c:pt>
                <c:pt idx="11">
                  <c:v>1.9833333333333332</c:v>
                </c:pt>
                <c:pt idx="12">
                  <c:v>1.8916666666666666</c:v>
                </c:pt>
                <c:pt idx="13">
                  <c:v>1.8</c:v>
                </c:pt>
                <c:pt idx="14">
                  <c:v>1.8</c:v>
                </c:pt>
                <c:pt idx="15">
                  <c:v>1.8</c:v>
                </c:pt>
                <c:pt idx="16">
                  <c:v>1.8785714285714288</c:v>
                </c:pt>
                <c:pt idx="17">
                  <c:v>1.9571428571428573</c:v>
                </c:pt>
                <c:pt idx="18">
                  <c:v>2.035714285714286</c:v>
                </c:pt>
                <c:pt idx="19">
                  <c:v>2.1142857142857148</c:v>
                </c:pt>
                <c:pt idx="20">
                  <c:v>2.1928571428571435</c:v>
                </c:pt>
                <c:pt idx="21">
                  <c:v>2.2714285714285722</c:v>
                </c:pt>
                <c:pt idx="22">
                  <c:v>2.4</c:v>
                </c:pt>
                <c:pt idx="23">
                  <c:v>2.44</c:v>
                </c:pt>
                <c:pt idx="24">
                  <c:v>2.48</c:v>
                </c:pt>
                <c:pt idx="25">
                  <c:v>2.52</c:v>
                </c:pt>
                <c:pt idx="26">
                  <c:v>2.56</c:v>
                </c:pt>
                <c:pt idx="27">
                  <c:v>2.6</c:v>
                </c:pt>
              </c:numCache>
            </c:numRef>
          </c:val>
          <c:smooth val="0"/>
        </c:ser>
        <c:ser>
          <c:idx val="8"/>
          <c:order val="7"/>
          <c:tx>
            <c:v>E (Max)</c:v>
          </c:tx>
          <c:spPr>
            <a:ln w="25400">
              <a:solidFill>
                <a:srgbClr val="FFCC00"/>
              </a:solidFill>
              <a:prstDash val="lgDash"/>
            </a:ln>
          </c:spPr>
          <c:marker>
            <c:symbol val="diamond"/>
            <c:size val="2"/>
            <c:spPr>
              <a:noFill/>
              <a:ln>
                <a:solidFill>
                  <a:srgbClr val="FFCC00"/>
                </a:solidFill>
                <a:prstDash val="solid"/>
              </a:ln>
            </c:spPr>
          </c:marker>
          <c:cat>
            <c:numRef>
              <c:f>JAN!$E$4:$E$31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Feb!$G$91:$G$118</c:f>
              <c:numCache>
                <c:formatCode>0.0</c:formatCode>
                <c:ptCount val="28"/>
                <c:pt idx="0">
                  <c:v>7.07</c:v>
                </c:pt>
                <c:pt idx="1">
                  <c:v>7.09</c:v>
                </c:pt>
                <c:pt idx="2">
                  <c:v>7.14</c:v>
                </c:pt>
                <c:pt idx="3">
                  <c:v>7.18</c:v>
                </c:pt>
                <c:pt idx="4">
                  <c:v>7.3</c:v>
                </c:pt>
                <c:pt idx="5">
                  <c:v>7.38</c:v>
                </c:pt>
                <c:pt idx="6">
                  <c:v>7.3140000000000001</c:v>
                </c:pt>
                <c:pt idx="7">
                  <c:v>7.2480000000000002</c:v>
                </c:pt>
                <c:pt idx="8">
                  <c:v>7.1820000000000004</c:v>
                </c:pt>
                <c:pt idx="9">
                  <c:v>7.1160000000000005</c:v>
                </c:pt>
                <c:pt idx="10">
                  <c:v>7.05</c:v>
                </c:pt>
                <c:pt idx="11">
                  <c:v>7.1111111111111107</c:v>
                </c:pt>
                <c:pt idx="12">
                  <c:v>7.1722222222222216</c:v>
                </c:pt>
                <c:pt idx="13">
                  <c:v>7.2333333333333325</c:v>
                </c:pt>
                <c:pt idx="14">
                  <c:v>7.2944444444444434</c:v>
                </c:pt>
                <c:pt idx="15">
                  <c:v>7.3555555555555543</c:v>
                </c:pt>
                <c:pt idx="16">
                  <c:v>7.4166666666666652</c:v>
                </c:pt>
                <c:pt idx="17">
                  <c:v>7.4777777777777761</c:v>
                </c:pt>
                <c:pt idx="18">
                  <c:v>7.538888888888887</c:v>
                </c:pt>
                <c:pt idx="19">
                  <c:v>7.6</c:v>
                </c:pt>
                <c:pt idx="20">
                  <c:v>7.75</c:v>
                </c:pt>
                <c:pt idx="21">
                  <c:v>7.9</c:v>
                </c:pt>
                <c:pt idx="22">
                  <c:v>8.0500000000000007</c:v>
                </c:pt>
                <c:pt idx="23">
                  <c:v>8.1999999999999993</c:v>
                </c:pt>
                <c:pt idx="24">
                  <c:v>8.35</c:v>
                </c:pt>
                <c:pt idx="25">
                  <c:v>8.5</c:v>
                </c:pt>
                <c:pt idx="26">
                  <c:v>8.65</c:v>
                </c:pt>
                <c:pt idx="27">
                  <c:v>8.8000000000000007</c:v>
                </c:pt>
              </c:numCache>
            </c:numRef>
          </c:val>
          <c:smooth val="0"/>
        </c:ser>
        <c:ser>
          <c:idx val="4"/>
          <c:order val="8"/>
          <c:tx>
            <c:v>E (Mean)</c:v>
          </c:tx>
          <c:spPr>
            <a:ln w="25400">
              <a:solidFill>
                <a:srgbClr val="CC99FF"/>
              </a:solidFill>
              <a:prstDash val="lgDash"/>
            </a:ln>
          </c:spPr>
          <c:marker>
            <c:symbol val="square"/>
            <c:size val="2"/>
            <c:spPr>
              <a:noFill/>
              <a:ln w="9525">
                <a:noFill/>
              </a:ln>
            </c:spPr>
          </c:marker>
          <c:cat>
            <c:numRef>
              <c:f>JAN!$E$4:$E$31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Feb!$H$91:$H$118</c:f>
              <c:numCache>
                <c:formatCode>0.0</c:formatCode>
                <c:ptCount val="28"/>
                <c:pt idx="0">
                  <c:v>4.71</c:v>
                </c:pt>
                <c:pt idx="1">
                  <c:v>4.72</c:v>
                </c:pt>
                <c:pt idx="2">
                  <c:v>4.7450000000000001</c:v>
                </c:pt>
                <c:pt idx="3">
                  <c:v>4.7649999999999997</c:v>
                </c:pt>
                <c:pt idx="4">
                  <c:v>4.8250000000000002</c:v>
                </c:pt>
                <c:pt idx="5">
                  <c:v>4.8650000000000002</c:v>
                </c:pt>
                <c:pt idx="6">
                  <c:v>4.8319999999999999</c:v>
                </c:pt>
                <c:pt idx="7">
                  <c:v>4.7990000000000004</c:v>
                </c:pt>
                <c:pt idx="8">
                  <c:v>4.7201666666666666</c:v>
                </c:pt>
                <c:pt idx="9">
                  <c:v>4.6413333333333338</c:v>
                </c:pt>
                <c:pt idx="10">
                  <c:v>4.5625</c:v>
                </c:pt>
                <c:pt idx="11">
                  <c:v>4.5472222222222216</c:v>
                </c:pt>
                <c:pt idx="12">
                  <c:v>4.5319444444444441</c:v>
                </c:pt>
                <c:pt idx="13">
                  <c:v>4.5166666666666666</c:v>
                </c:pt>
                <c:pt idx="14">
                  <c:v>4.5472222222222216</c:v>
                </c:pt>
                <c:pt idx="15">
                  <c:v>4.5777777777777775</c:v>
                </c:pt>
                <c:pt idx="16">
                  <c:v>4.6476190476190471</c:v>
                </c:pt>
                <c:pt idx="17">
                  <c:v>4.7174603174603167</c:v>
                </c:pt>
                <c:pt idx="18">
                  <c:v>4.7873015873015863</c:v>
                </c:pt>
                <c:pt idx="19">
                  <c:v>4.8571428571428577</c:v>
                </c:pt>
                <c:pt idx="20">
                  <c:v>4.9714285714285715</c:v>
                </c:pt>
                <c:pt idx="21">
                  <c:v>5.0857142857142863</c:v>
                </c:pt>
                <c:pt idx="22">
                  <c:v>5.2250000000000005</c:v>
                </c:pt>
                <c:pt idx="23">
                  <c:v>5.3199999999999994</c:v>
                </c:pt>
                <c:pt idx="24">
                  <c:v>5.415</c:v>
                </c:pt>
                <c:pt idx="25">
                  <c:v>5.51</c:v>
                </c:pt>
                <c:pt idx="26">
                  <c:v>5.6050000000000004</c:v>
                </c:pt>
                <c:pt idx="27">
                  <c:v>5.7</c:v>
                </c:pt>
              </c:numCache>
            </c:numRef>
          </c:val>
          <c:smooth val="1"/>
        </c:ser>
        <c:ser>
          <c:idx val="14"/>
          <c:order val="10"/>
          <c:tx>
            <c:v>Freezing Level</c:v>
          </c:tx>
          <c:spPr>
            <a:ln w="38100">
              <a:solidFill>
                <a:srgbClr val="000080"/>
              </a:solidFill>
              <a:prstDash val="sysDash"/>
            </a:ln>
          </c:spPr>
          <c:marker>
            <c:symbol val="none"/>
          </c:marker>
          <c:cat>
            <c:numRef>
              <c:f>JAN!$E$4:$E$31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Feb!$T$4:$T$31</c:f>
              <c:numCache>
                <c:formatCode>0.0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482304"/>
        <c:axId val="86496384"/>
      </c:lineChart>
      <c:lineChart>
        <c:grouping val="standard"/>
        <c:varyColors val="0"/>
        <c:ser>
          <c:idx val="3"/>
          <c:order val="4"/>
          <c:tx>
            <c:v>Range</c:v>
          </c:tx>
          <c:spPr>
            <a:ln w="38100">
              <a:solidFill>
                <a:srgbClr val="339966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cat>
            <c:numRef>
              <c:f>JAN!$E$4:$E$31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Feb!$K$91:$K$118</c:f>
              <c:numCache>
                <c:formatCode>0.0</c:formatCode>
                <c:ptCount val="28"/>
                <c:pt idx="0">
                  <c:v>8.6</c:v>
                </c:pt>
                <c:pt idx="1">
                  <c:v>7</c:v>
                </c:pt>
                <c:pt idx="2">
                  <c:v>5.3999999999999995</c:v>
                </c:pt>
                <c:pt idx="3">
                  <c:v>2.8000000000000007</c:v>
                </c:pt>
                <c:pt idx="4">
                  <c:v>1.6999999999999993</c:v>
                </c:pt>
                <c:pt idx="5">
                  <c:v>1.9000000000000004</c:v>
                </c:pt>
                <c:pt idx="6">
                  <c:v>5.7</c:v>
                </c:pt>
                <c:pt idx="7">
                  <c:v>7.6</c:v>
                </c:pt>
                <c:pt idx="8">
                  <c:v>5.0999999999999996</c:v>
                </c:pt>
                <c:pt idx="9">
                  <c:v>2.2999999999999989</c:v>
                </c:pt>
                <c:pt idx="10">
                  <c:v>3.5999999999999996</c:v>
                </c:pt>
                <c:pt idx="11">
                  <c:v>4.9000000000000004</c:v>
                </c:pt>
                <c:pt idx="12">
                  <c:v>3</c:v>
                </c:pt>
                <c:pt idx="13">
                  <c:v>4.6000000000000005</c:v>
                </c:pt>
                <c:pt idx="14">
                  <c:v>1.8999999999999995</c:v>
                </c:pt>
                <c:pt idx="15">
                  <c:v>6.4</c:v>
                </c:pt>
                <c:pt idx="16">
                  <c:v>4.5</c:v>
                </c:pt>
                <c:pt idx="17">
                  <c:v>4.5</c:v>
                </c:pt>
                <c:pt idx="18">
                  <c:v>3.3</c:v>
                </c:pt>
                <c:pt idx="19">
                  <c:v>1.4999999999999996</c:v>
                </c:pt>
                <c:pt idx="20">
                  <c:v>2.8000000000000003</c:v>
                </c:pt>
                <c:pt idx="21">
                  <c:v>3</c:v>
                </c:pt>
                <c:pt idx="22">
                  <c:v>4</c:v>
                </c:pt>
                <c:pt idx="23">
                  <c:v>5.3999999999999986</c:v>
                </c:pt>
                <c:pt idx="24">
                  <c:v>6.1</c:v>
                </c:pt>
                <c:pt idx="25">
                  <c:v>5.9</c:v>
                </c:pt>
                <c:pt idx="26">
                  <c:v>5.3</c:v>
                </c:pt>
                <c:pt idx="27">
                  <c:v>1.7000000000000002</c:v>
                </c:pt>
              </c:numCache>
            </c:numRef>
          </c:val>
          <c:smooth val="0"/>
        </c:ser>
        <c:ser>
          <c:idx val="12"/>
          <c:order val="5"/>
          <c:tx>
            <c:v>Cumulative Range</c:v>
          </c:tx>
          <c:spPr>
            <a:ln w="12700">
              <a:solidFill>
                <a:srgbClr val="008000"/>
              </a:solidFill>
              <a:prstDash val="solid"/>
            </a:ln>
          </c:spPr>
          <c:marker>
            <c:symbol val="none"/>
          </c:marker>
          <c:cat>
            <c:numRef>
              <c:f>JAN!$E$4:$E$31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Feb!$S$91:$S$118</c:f>
              <c:numCache>
                <c:formatCode>0.0</c:formatCode>
                <c:ptCount val="28"/>
                <c:pt idx="0">
                  <c:v>8.6</c:v>
                </c:pt>
                <c:pt idx="1">
                  <c:v>7.8</c:v>
                </c:pt>
                <c:pt idx="2">
                  <c:v>7</c:v>
                </c:pt>
                <c:pt idx="3">
                  <c:v>5.95</c:v>
                </c:pt>
                <c:pt idx="4">
                  <c:v>5.0999999999999996</c:v>
                </c:pt>
                <c:pt idx="5">
                  <c:v>4.5666666666666664</c:v>
                </c:pt>
                <c:pt idx="6">
                  <c:v>4.7285714285714286</c:v>
                </c:pt>
                <c:pt idx="7">
                  <c:v>5.0875000000000004</c:v>
                </c:pt>
                <c:pt idx="8">
                  <c:v>5.0888888888888895</c:v>
                </c:pt>
                <c:pt idx="9">
                  <c:v>4.8100000000000005</c:v>
                </c:pt>
                <c:pt idx="10">
                  <c:v>4.7</c:v>
                </c:pt>
                <c:pt idx="11">
                  <c:v>4.7166666666666668</c:v>
                </c:pt>
                <c:pt idx="12">
                  <c:v>4.5846153846153843</c:v>
                </c:pt>
                <c:pt idx="13">
                  <c:v>4.5857142857142863</c:v>
                </c:pt>
                <c:pt idx="14">
                  <c:v>4.4066666666666672</c:v>
                </c:pt>
                <c:pt idx="15">
                  <c:v>4.5312500000000009</c:v>
                </c:pt>
                <c:pt idx="16">
                  <c:v>4.5294117647058831</c:v>
                </c:pt>
                <c:pt idx="17">
                  <c:v>4.5277777777777786</c:v>
                </c:pt>
                <c:pt idx="18">
                  <c:v>4.4631578947368427</c:v>
                </c:pt>
                <c:pt idx="19">
                  <c:v>4.3150000000000004</c:v>
                </c:pt>
                <c:pt idx="20">
                  <c:v>4.2428571428571429</c:v>
                </c:pt>
                <c:pt idx="21">
                  <c:v>4.1863636363636365</c:v>
                </c:pt>
                <c:pt idx="22">
                  <c:v>4.1782608695652179</c:v>
                </c:pt>
                <c:pt idx="23">
                  <c:v>4.229166666666667</c:v>
                </c:pt>
                <c:pt idx="24">
                  <c:v>4.3039999999999994</c:v>
                </c:pt>
                <c:pt idx="25">
                  <c:v>4.365384615384615</c:v>
                </c:pt>
                <c:pt idx="26">
                  <c:v>4.3999999999999995</c:v>
                </c:pt>
                <c:pt idx="27">
                  <c:v>4.3035714285714288</c:v>
                </c:pt>
              </c:numCache>
            </c:numRef>
          </c:val>
          <c:smooth val="0"/>
        </c:ser>
        <c:ser>
          <c:idx val="11"/>
          <c:order val="9"/>
          <c:tx>
            <c:v>E (Range)</c:v>
          </c:tx>
          <c:spPr>
            <a:ln w="25400">
              <a:solidFill>
                <a:srgbClr val="00FF00"/>
              </a:solidFill>
              <a:prstDash val="lgDash"/>
            </a:ln>
          </c:spPr>
          <c:marker>
            <c:symbol val="none"/>
          </c:marker>
          <c:cat>
            <c:numRef>
              <c:f>JAN!$E$4:$E$31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Feb!$I$91:$I$118</c:f>
              <c:numCache>
                <c:formatCode>0.0</c:formatCode>
                <c:ptCount val="28"/>
                <c:pt idx="0">
                  <c:v>4.7200000000000006</c:v>
                </c:pt>
                <c:pt idx="1">
                  <c:v>4.74</c:v>
                </c:pt>
                <c:pt idx="2">
                  <c:v>4.7899999999999991</c:v>
                </c:pt>
                <c:pt idx="3">
                  <c:v>4.83</c:v>
                </c:pt>
                <c:pt idx="4">
                  <c:v>4.9499999999999993</c:v>
                </c:pt>
                <c:pt idx="5">
                  <c:v>5.0299999999999994</c:v>
                </c:pt>
                <c:pt idx="6">
                  <c:v>4.9640000000000004</c:v>
                </c:pt>
                <c:pt idx="7">
                  <c:v>4.8979999999999997</c:v>
                </c:pt>
                <c:pt idx="8">
                  <c:v>4.9236666666666675</c:v>
                </c:pt>
                <c:pt idx="9">
                  <c:v>4.9493333333333336</c:v>
                </c:pt>
                <c:pt idx="10">
                  <c:v>4.9749999999999996</c:v>
                </c:pt>
                <c:pt idx="11">
                  <c:v>5.1277777777777773</c:v>
                </c:pt>
                <c:pt idx="12">
                  <c:v>5.280555555555555</c:v>
                </c:pt>
                <c:pt idx="13">
                  <c:v>5.4333333333333327</c:v>
                </c:pt>
                <c:pt idx="14">
                  <c:v>5.4944444444444436</c:v>
                </c:pt>
                <c:pt idx="15">
                  <c:v>5.5555555555555545</c:v>
                </c:pt>
                <c:pt idx="16">
                  <c:v>5.5380952380952362</c:v>
                </c:pt>
                <c:pt idx="17">
                  <c:v>5.5206349206349188</c:v>
                </c:pt>
                <c:pt idx="18">
                  <c:v>5.5031746031746014</c:v>
                </c:pt>
                <c:pt idx="19">
                  <c:v>5.4857142857142849</c:v>
                </c:pt>
                <c:pt idx="20">
                  <c:v>5.5571428571428569</c:v>
                </c:pt>
                <c:pt idx="21">
                  <c:v>5.6285714285714281</c:v>
                </c:pt>
                <c:pt idx="22">
                  <c:v>5.65</c:v>
                </c:pt>
                <c:pt idx="23">
                  <c:v>5.76</c:v>
                </c:pt>
                <c:pt idx="24">
                  <c:v>5.8699999999999992</c:v>
                </c:pt>
                <c:pt idx="25">
                  <c:v>5.98</c:v>
                </c:pt>
                <c:pt idx="26">
                  <c:v>6.09</c:v>
                </c:pt>
                <c:pt idx="27">
                  <c:v>6.2000000000000011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497920"/>
        <c:axId val="88367488"/>
      </c:lineChart>
      <c:catAx>
        <c:axId val="864823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6496384"/>
        <c:crossesAt val="-10"/>
        <c:auto val="1"/>
        <c:lblAlgn val="ctr"/>
        <c:lblOffset val="100"/>
        <c:tickLblSkip val="1"/>
        <c:tickMarkSkip val="1"/>
        <c:noMultiLvlLbl val="0"/>
      </c:catAx>
      <c:valAx>
        <c:axId val="86496384"/>
        <c:scaling>
          <c:orientation val="minMax"/>
          <c:max val="15"/>
          <c:min val="-4"/>
        </c:scaling>
        <c:delete val="0"/>
        <c:axPos val="l"/>
        <c:majorGridlines>
          <c:spPr>
            <a:ln w="12700">
              <a:solidFill>
                <a:srgbClr val="333333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6482304"/>
        <c:crosses val="autoZero"/>
        <c:crossBetween val="between"/>
        <c:majorUnit val="2"/>
      </c:valAx>
      <c:catAx>
        <c:axId val="864979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8367488"/>
        <c:crosses val="autoZero"/>
        <c:auto val="1"/>
        <c:lblAlgn val="ctr"/>
        <c:lblOffset val="100"/>
        <c:noMultiLvlLbl val="0"/>
      </c:catAx>
      <c:valAx>
        <c:axId val="88367488"/>
        <c:scaling>
          <c:orientation val="minMax"/>
          <c:max val="47.5"/>
          <c:min val="0"/>
        </c:scaling>
        <c:delete val="0"/>
        <c:axPos val="r"/>
        <c:numFmt formatCode="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6497920"/>
        <c:crosses val="max"/>
        <c:crossBetween val="between"/>
        <c:majorUnit val="5"/>
      </c:valAx>
      <c:spPr>
        <a:solidFill>
          <a:srgbClr val="969696"/>
        </a:solidFill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7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 horizontalDpi="-3"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Relative Humidity / %</a:t>
            </a:r>
          </a:p>
        </c:rich>
      </c:tx>
      <c:layout>
        <c:manualLayout>
          <c:xMode val="edge"/>
          <c:yMode val="edge"/>
          <c:x val="0.44022072348252606"/>
          <c:y val="2.59128386336866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429797670141016E-2"/>
          <c:y val="9.5406470165348672E-2"/>
          <c:w val="0.94788473329245859"/>
          <c:h val="0.8539468008626887"/>
        </c:manualLayout>
      </c:layout>
      <c:lineChart>
        <c:grouping val="standard"/>
        <c:varyColors val="0"/>
        <c:ser>
          <c:idx val="2"/>
          <c:order val="0"/>
          <c:tx>
            <c:v>Max</c:v>
          </c:tx>
          <c:spPr>
            <a:ln w="38100">
              <a:solidFill>
                <a:srgbClr val="008000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003300"/>
              </a:solidFill>
              <a:ln>
                <a:solidFill>
                  <a:srgbClr val="003300"/>
                </a:solidFill>
                <a:prstDash val="solid"/>
              </a:ln>
            </c:spPr>
          </c:marker>
          <c:cat>
            <c:numRef>
              <c:f>JAN!$E$4:$E$31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Feb!$L$4:$L$31</c:f>
              <c:numCache>
                <c:formatCode>0</c:formatCode>
                <c:ptCount val="28"/>
                <c:pt idx="0">
                  <c:v>95</c:v>
                </c:pt>
                <c:pt idx="1">
                  <c:v>98</c:v>
                </c:pt>
                <c:pt idx="2">
                  <c:v>91</c:v>
                </c:pt>
                <c:pt idx="3">
                  <c:v>85</c:v>
                </c:pt>
                <c:pt idx="4">
                  <c:v>83</c:v>
                </c:pt>
                <c:pt idx="5">
                  <c:v>84</c:v>
                </c:pt>
                <c:pt idx="6">
                  <c:v>84</c:v>
                </c:pt>
                <c:pt idx="7">
                  <c:v>95</c:v>
                </c:pt>
                <c:pt idx="8">
                  <c:v>89</c:v>
                </c:pt>
                <c:pt idx="9">
                  <c:v>97</c:v>
                </c:pt>
                <c:pt idx="10">
                  <c:v>97</c:v>
                </c:pt>
                <c:pt idx="11">
                  <c:v>96</c:v>
                </c:pt>
                <c:pt idx="12">
                  <c:v>95</c:v>
                </c:pt>
                <c:pt idx="13">
                  <c:v>94</c:v>
                </c:pt>
                <c:pt idx="14">
                  <c:v>92</c:v>
                </c:pt>
                <c:pt idx="15">
                  <c:v>96</c:v>
                </c:pt>
                <c:pt idx="16">
                  <c:v>97</c:v>
                </c:pt>
                <c:pt idx="17">
                  <c:v>92</c:v>
                </c:pt>
                <c:pt idx="18">
                  <c:v>98</c:v>
                </c:pt>
                <c:pt idx="19">
                  <c:v>98</c:v>
                </c:pt>
                <c:pt idx="20">
                  <c:v>93</c:v>
                </c:pt>
                <c:pt idx="21">
                  <c:v>94</c:v>
                </c:pt>
                <c:pt idx="22">
                  <c:v>97</c:v>
                </c:pt>
                <c:pt idx="23">
                  <c:v>96</c:v>
                </c:pt>
                <c:pt idx="24">
                  <c:v>95</c:v>
                </c:pt>
                <c:pt idx="25">
                  <c:v>95</c:v>
                </c:pt>
                <c:pt idx="26">
                  <c:v>92</c:v>
                </c:pt>
                <c:pt idx="27">
                  <c:v>90</c:v>
                </c:pt>
              </c:numCache>
            </c:numRef>
          </c:val>
          <c:smooth val="0"/>
        </c:ser>
        <c:ser>
          <c:idx val="1"/>
          <c:order val="1"/>
          <c:tx>
            <c:v>Min</c:v>
          </c:tx>
          <c:spPr>
            <a:ln w="38100">
              <a:solidFill>
                <a:srgbClr val="FF9900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FF6600"/>
              </a:solidFill>
              <a:ln>
                <a:solidFill>
                  <a:srgbClr val="FF6600"/>
                </a:solidFill>
                <a:prstDash val="solid"/>
              </a:ln>
            </c:spPr>
          </c:marker>
          <c:cat>
            <c:numRef>
              <c:f>JAN!$E$4:$E$31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Feb!$K$4:$K$31</c:f>
              <c:numCache>
                <c:formatCode>0</c:formatCode>
                <c:ptCount val="28"/>
                <c:pt idx="0">
                  <c:v>80</c:v>
                </c:pt>
                <c:pt idx="1">
                  <c:v>82</c:v>
                </c:pt>
                <c:pt idx="2">
                  <c:v>62</c:v>
                </c:pt>
                <c:pt idx="3">
                  <c:v>71</c:v>
                </c:pt>
                <c:pt idx="4">
                  <c:v>72</c:v>
                </c:pt>
                <c:pt idx="5">
                  <c:v>70</c:v>
                </c:pt>
                <c:pt idx="6">
                  <c:v>62</c:v>
                </c:pt>
                <c:pt idx="7">
                  <c:v>52</c:v>
                </c:pt>
                <c:pt idx="8">
                  <c:v>72</c:v>
                </c:pt>
                <c:pt idx="9">
                  <c:v>86</c:v>
                </c:pt>
                <c:pt idx="10">
                  <c:v>89</c:v>
                </c:pt>
                <c:pt idx="11">
                  <c:v>68</c:v>
                </c:pt>
                <c:pt idx="12">
                  <c:v>82</c:v>
                </c:pt>
                <c:pt idx="13">
                  <c:v>58</c:v>
                </c:pt>
                <c:pt idx="14">
                  <c:v>77</c:v>
                </c:pt>
                <c:pt idx="15">
                  <c:v>61</c:v>
                </c:pt>
                <c:pt idx="16">
                  <c:v>80</c:v>
                </c:pt>
                <c:pt idx="17">
                  <c:v>77</c:v>
                </c:pt>
                <c:pt idx="18">
                  <c:v>86</c:v>
                </c:pt>
                <c:pt idx="19">
                  <c:v>93</c:v>
                </c:pt>
                <c:pt idx="20">
                  <c:v>84</c:v>
                </c:pt>
                <c:pt idx="21">
                  <c:v>86</c:v>
                </c:pt>
                <c:pt idx="22">
                  <c:v>81</c:v>
                </c:pt>
                <c:pt idx="23">
                  <c:v>69</c:v>
                </c:pt>
                <c:pt idx="24">
                  <c:v>72</c:v>
                </c:pt>
                <c:pt idx="25">
                  <c:v>67</c:v>
                </c:pt>
                <c:pt idx="26">
                  <c:v>59</c:v>
                </c:pt>
                <c:pt idx="27">
                  <c:v>84</c:v>
                </c:pt>
              </c:numCache>
            </c:numRef>
          </c:val>
          <c:smooth val="0"/>
        </c:ser>
        <c:ser>
          <c:idx val="3"/>
          <c:order val="2"/>
          <c:tx>
            <c:v>Mean</c:v>
          </c:tx>
          <c:spPr>
            <a:ln w="38100">
              <a:solidFill>
                <a:srgbClr val="993366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800080"/>
              </a:solidFill>
              <a:ln>
                <a:solidFill>
                  <a:srgbClr val="800080"/>
                </a:solidFill>
                <a:prstDash val="solid"/>
              </a:ln>
            </c:spPr>
          </c:marker>
          <c:cat>
            <c:numRef>
              <c:f>JAN!$E$4:$E$31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Feb!$BF$91:$BF$118</c:f>
              <c:numCache>
                <c:formatCode>0</c:formatCode>
                <c:ptCount val="28"/>
                <c:pt idx="0">
                  <c:v>86</c:v>
                </c:pt>
                <c:pt idx="1">
                  <c:v>93</c:v>
                </c:pt>
                <c:pt idx="2">
                  <c:v>79</c:v>
                </c:pt>
                <c:pt idx="3">
                  <c:v>77</c:v>
                </c:pt>
                <c:pt idx="4">
                  <c:v>76</c:v>
                </c:pt>
                <c:pt idx="5">
                  <c:v>77</c:v>
                </c:pt>
                <c:pt idx="6">
                  <c:v>74</c:v>
                </c:pt>
                <c:pt idx="7">
                  <c:v>77</c:v>
                </c:pt>
                <c:pt idx="8">
                  <c:v>81</c:v>
                </c:pt>
                <c:pt idx="9">
                  <c:v>93</c:v>
                </c:pt>
                <c:pt idx="10">
                  <c:v>93</c:v>
                </c:pt>
                <c:pt idx="11">
                  <c:v>85</c:v>
                </c:pt>
                <c:pt idx="12">
                  <c:v>87</c:v>
                </c:pt>
                <c:pt idx="13">
                  <c:v>80</c:v>
                </c:pt>
                <c:pt idx="14">
                  <c:v>86</c:v>
                </c:pt>
                <c:pt idx="15">
                  <c:v>82</c:v>
                </c:pt>
                <c:pt idx="16">
                  <c:v>89</c:v>
                </c:pt>
                <c:pt idx="17">
                  <c:v>85</c:v>
                </c:pt>
                <c:pt idx="18">
                  <c:v>96</c:v>
                </c:pt>
                <c:pt idx="19">
                  <c:v>95</c:v>
                </c:pt>
                <c:pt idx="20">
                  <c:v>89</c:v>
                </c:pt>
                <c:pt idx="21">
                  <c:v>90</c:v>
                </c:pt>
                <c:pt idx="22">
                  <c:v>93</c:v>
                </c:pt>
                <c:pt idx="23">
                  <c:v>85</c:v>
                </c:pt>
                <c:pt idx="24">
                  <c:v>84</c:v>
                </c:pt>
                <c:pt idx="25">
                  <c:v>84</c:v>
                </c:pt>
                <c:pt idx="26">
                  <c:v>81</c:v>
                </c:pt>
                <c:pt idx="27">
                  <c:v>87</c:v>
                </c:pt>
              </c:numCache>
            </c:numRef>
          </c:val>
          <c:smooth val="0"/>
        </c:ser>
        <c:ser>
          <c:idx val="5"/>
          <c:order val="5"/>
          <c:tx>
            <c:v>Cumulative Mean</c:v>
          </c:tx>
          <c:spPr>
            <a:ln w="12700">
              <a:solidFill>
                <a:srgbClr val="CC99FF"/>
              </a:solidFill>
              <a:prstDash val="solid"/>
            </a:ln>
          </c:spPr>
          <c:marker>
            <c:symbol val="none"/>
          </c:marker>
          <c:cat>
            <c:numRef>
              <c:f>JAN!$E$4:$E$31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Feb!$O$91:$O$118</c:f>
              <c:numCache>
                <c:formatCode>0.0</c:formatCode>
                <c:ptCount val="28"/>
                <c:pt idx="0">
                  <c:v>86</c:v>
                </c:pt>
                <c:pt idx="1">
                  <c:v>89.5</c:v>
                </c:pt>
                <c:pt idx="2">
                  <c:v>86</c:v>
                </c:pt>
                <c:pt idx="3">
                  <c:v>83.75</c:v>
                </c:pt>
                <c:pt idx="4">
                  <c:v>82.2</c:v>
                </c:pt>
                <c:pt idx="5">
                  <c:v>81.333333333333329</c:v>
                </c:pt>
                <c:pt idx="6">
                  <c:v>80.285714285714292</c:v>
                </c:pt>
                <c:pt idx="7">
                  <c:v>79.875</c:v>
                </c:pt>
                <c:pt idx="8">
                  <c:v>80</c:v>
                </c:pt>
                <c:pt idx="9">
                  <c:v>81.3</c:v>
                </c:pt>
                <c:pt idx="10">
                  <c:v>82.36363636363636</c:v>
                </c:pt>
                <c:pt idx="11">
                  <c:v>82.583333333333329</c:v>
                </c:pt>
                <c:pt idx="12">
                  <c:v>82.92307692307692</c:v>
                </c:pt>
                <c:pt idx="13">
                  <c:v>82.714285714285708</c:v>
                </c:pt>
                <c:pt idx="14">
                  <c:v>82.933333333333337</c:v>
                </c:pt>
                <c:pt idx="15">
                  <c:v>82.875</c:v>
                </c:pt>
                <c:pt idx="16">
                  <c:v>83.235294117647058</c:v>
                </c:pt>
                <c:pt idx="17">
                  <c:v>83.333333333333329</c:v>
                </c:pt>
                <c:pt idx="18">
                  <c:v>84</c:v>
                </c:pt>
                <c:pt idx="19">
                  <c:v>84.55</c:v>
                </c:pt>
                <c:pt idx="20">
                  <c:v>84.761904761904759</c:v>
                </c:pt>
                <c:pt idx="21">
                  <c:v>85</c:v>
                </c:pt>
                <c:pt idx="22">
                  <c:v>85.347826086956516</c:v>
                </c:pt>
                <c:pt idx="23">
                  <c:v>85.333333333333329</c:v>
                </c:pt>
                <c:pt idx="24">
                  <c:v>85.28</c:v>
                </c:pt>
                <c:pt idx="25">
                  <c:v>85.230769230769226</c:v>
                </c:pt>
                <c:pt idx="26">
                  <c:v>85.074074074074076</c:v>
                </c:pt>
                <c:pt idx="27">
                  <c:v>85.142857142857139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747072"/>
        <c:axId val="113748608"/>
      </c:lineChart>
      <c:lineChart>
        <c:grouping val="standard"/>
        <c:varyColors val="0"/>
        <c:ser>
          <c:idx val="0"/>
          <c:order val="3"/>
          <c:tx>
            <c:v>Range</c:v>
          </c:tx>
          <c:spPr>
            <a:ln w="25400">
              <a:solidFill>
                <a:srgbClr val="00FF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339966"/>
              </a:solidFill>
              <a:ln>
                <a:solidFill>
                  <a:srgbClr val="339966"/>
                </a:solidFill>
                <a:prstDash val="solid"/>
              </a:ln>
            </c:spPr>
          </c:marker>
          <c:cat>
            <c:numRef>
              <c:f>JAN!$E$4:$E$31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Feb!$A$91:$A$118</c:f>
              <c:numCache>
                <c:formatCode>0</c:formatCode>
                <c:ptCount val="28"/>
                <c:pt idx="0">
                  <c:v>15</c:v>
                </c:pt>
                <c:pt idx="1">
                  <c:v>16</c:v>
                </c:pt>
                <c:pt idx="2">
                  <c:v>29</c:v>
                </c:pt>
                <c:pt idx="3">
                  <c:v>14</c:v>
                </c:pt>
                <c:pt idx="4">
                  <c:v>11</c:v>
                </c:pt>
                <c:pt idx="5">
                  <c:v>14</c:v>
                </c:pt>
                <c:pt idx="6">
                  <c:v>22</c:v>
                </c:pt>
                <c:pt idx="7">
                  <c:v>43</c:v>
                </c:pt>
                <c:pt idx="8">
                  <c:v>17</c:v>
                </c:pt>
                <c:pt idx="9">
                  <c:v>11</c:v>
                </c:pt>
                <c:pt idx="10">
                  <c:v>8</c:v>
                </c:pt>
                <c:pt idx="11">
                  <c:v>28</c:v>
                </c:pt>
                <c:pt idx="12">
                  <c:v>13</c:v>
                </c:pt>
                <c:pt idx="13">
                  <c:v>36</c:v>
                </c:pt>
                <c:pt idx="14">
                  <c:v>15</c:v>
                </c:pt>
                <c:pt idx="15">
                  <c:v>35</c:v>
                </c:pt>
                <c:pt idx="16">
                  <c:v>17</c:v>
                </c:pt>
                <c:pt idx="17">
                  <c:v>15</c:v>
                </c:pt>
                <c:pt idx="18">
                  <c:v>12</c:v>
                </c:pt>
                <c:pt idx="19">
                  <c:v>5</c:v>
                </c:pt>
                <c:pt idx="20">
                  <c:v>9</c:v>
                </c:pt>
                <c:pt idx="21">
                  <c:v>8</c:v>
                </c:pt>
                <c:pt idx="22">
                  <c:v>16</c:v>
                </c:pt>
                <c:pt idx="23">
                  <c:v>27</c:v>
                </c:pt>
                <c:pt idx="24">
                  <c:v>23</c:v>
                </c:pt>
                <c:pt idx="25">
                  <c:v>28</c:v>
                </c:pt>
                <c:pt idx="26">
                  <c:v>33</c:v>
                </c:pt>
                <c:pt idx="27">
                  <c:v>6</c:v>
                </c:pt>
              </c:numCache>
            </c:numRef>
          </c:val>
          <c:smooth val="0"/>
        </c:ser>
        <c:ser>
          <c:idx val="4"/>
          <c:order val="4"/>
          <c:tx>
            <c:v>Rainfall</c:v>
          </c:tx>
          <c:spPr>
            <a:ln w="25400">
              <a:solidFill>
                <a:srgbClr val="33CCCC"/>
              </a:solidFill>
              <a:prstDash val="solid"/>
            </a:ln>
          </c:spPr>
          <c:marker>
            <c:symbol val="none"/>
          </c:marker>
          <c:cat>
            <c:numRef>
              <c:f>JAN!$E$4:$E$31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Feb!$Z$4:$Z$31</c:f>
              <c:numCache>
                <c:formatCode>0.0</c:formatCode>
                <c:ptCount val="28"/>
                <c:pt idx="0">
                  <c:v>0.1</c:v>
                </c:pt>
                <c:pt idx="1">
                  <c:v>0.1</c:v>
                </c:pt>
                <c:pt idx="2">
                  <c:v>0</c:v>
                </c:pt>
                <c:pt idx="3">
                  <c:v>0</c:v>
                </c:pt>
                <c:pt idx="4">
                  <c:v>0.1</c:v>
                </c:pt>
                <c:pt idx="5">
                  <c:v>0</c:v>
                </c:pt>
                <c:pt idx="6">
                  <c:v>0.1</c:v>
                </c:pt>
                <c:pt idx="7">
                  <c:v>0</c:v>
                </c:pt>
                <c:pt idx="8">
                  <c:v>0</c:v>
                </c:pt>
                <c:pt idx="9">
                  <c:v>12.3</c:v>
                </c:pt>
                <c:pt idx="10">
                  <c:v>1.1000000000000001</c:v>
                </c:pt>
                <c:pt idx="11">
                  <c:v>1.9</c:v>
                </c:pt>
                <c:pt idx="12">
                  <c:v>3</c:v>
                </c:pt>
                <c:pt idx="13">
                  <c:v>0</c:v>
                </c:pt>
                <c:pt idx="14">
                  <c:v>2.2000000000000002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11.2</c:v>
                </c:pt>
                <c:pt idx="19">
                  <c:v>0</c:v>
                </c:pt>
                <c:pt idx="20">
                  <c:v>0.1</c:v>
                </c:pt>
                <c:pt idx="21">
                  <c:v>0.5</c:v>
                </c:pt>
                <c:pt idx="22">
                  <c:v>3.5</c:v>
                </c:pt>
                <c:pt idx="23">
                  <c:v>0</c:v>
                </c:pt>
                <c:pt idx="24">
                  <c:v>0</c:v>
                </c:pt>
                <c:pt idx="25">
                  <c:v>5.2</c:v>
                </c:pt>
                <c:pt idx="26">
                  <c:v>2.5</c:v>
                </c:pt>
                <c:pt idx="27">
                  <c:v>0.3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754496"/>
        <c:axId val="113756032"/>
      </c:lineChart>
      <c:catAx>
        <c:axId val="1137470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37486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3748608"/>
        <c:scaling>
          <c:orientation val="minMax"/>
          <c:max val="100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3747072"/>
        <c:crosses val="autoZero"/>
        <c:crossBetween val="between"/>
        <c:majorUnit val="20"/>
      </c:valAx>
      <c:catAx>
        <c:axId val="1137544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756032"/>
        <c:crosses val="autoZero"/>
        <c:auto val="1"/>
        <c:lblAlgn val="ctr"/>
        <c:lblOffset val="100"/>
        <c:noMultiLvlLbl val="0"/>
      </c:catAx>
      <c:valAx>
        <c:axId val="113756032"/>
        <c:scaling>
          <c:orientation val="minMax"/>
          <c:max val="100"/>
          <c:min val="0"/>
        </c:scaling>
        <c:delete val="0"/>
        <c:axPos val="r"/>
        <c:numFmt formatCode="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3754496"/>
        <c:crosses val="max"/>
        <c:crossBetween val="between"/>
        <c:majorUnit val="20"/>
      </c:valAx>
      <c:spPr>
        <a:solidFill>
          <a:srgbClr val="969696"/>
        </a:solidFill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6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Pressure / hPa</a:t>
            </a:r>
          </a:p>
        </c:rich>
      </c:tx>
      <c:layout>
        <c:manualLayout>
          <c:xMode val="edge"/>
          <c:yMode val="edge"/>
          <c:x val="0.457388105456775"/>
          <c:y val="1.531213191990577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94788473329246E-2"/>
          <c:y val="8.5983608914450033E-2"/>
          <c:w val="0.94665849172286942"/>
          <c:h val="0.86336966211358734"/>
        </c:manualLayout>
      </c:layout>
      <c:lineChart>
        <c:grouping val="standard"/>
        <c:varyColors val="0"/>
        <c:ser>
          <c:idx val="5"/>
          <c:order val="0"/>
          <c:tx>
            <c:v>Cum. Mean</c:v>
          </c:tx>
          <c:spPr>
            <a:ln w="12700">
              <a:solidFill>
                <a:srgbClr val="993366"/>
              </a:solidFill>
              <a:prstDash val="solid"/>
            </a:ln>
          </c:spPr>
          <c:marker>
            <c:symbol val="square"/>
            <c:size val="2"/>
            <c:spPr>
              <a:noFill/>
              <a:ln>
                <a:solidFill>
                  <a:srgbClr val="808080"/>
                </a:solidFill>
                <a:prstDash val="solid"/>
              </a:ln>
            </c:spPr>
          </c:marker>
          <c:cat>
            <c:numRef>
              <c:f>JAN!$E$4:$E$31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Feb!$AD$91:$AD$118</c:f>
              <c:numCache>
                <c:formatCode>0</c:formatCode>
                <c:ptCount val="28"/>
                <c:pt idx="0">
                  <c:v>1026</c:v>
                </c:pt>
                <c:pt idx="1">
                  <c:v>1025</c:v>
                </c:pt>
                <c:pt idx="2">
                  <c:v>1023.8333333333334</c:v>
                </c:pt>
                <c:pt idx="3">
                  <c:v>1021.875</c:v>
                </c:pt>
                <c:pt idx="4">
                  <c:v>1021</c:v>
                </c:pt>
                <c:pt idx="5">
                  <c:v>1020.75</c:v>
                </c:pt>
                <c:pt idx="6">
                  <c:v>1019.8571428571429</c:v>
                </c:pt>
                <c:pt idx="7">
                  <c:v>1020.125</c:v>
                </c:pt>
                <c:pt idx="8">
                  <c:v>1019.8888888888889</c:v>
                </c:pt>
                <c:pt idx="9">
                  <c:v>1019.15</c:v>
                </c:pt>
                <c:pt idx="10">
                  <c:v>1018.4090909090909</c:v>
                </c:pt>
                <c:pt idx="11">
                  <c:v>1017.7916666666666</c:v>
                </c:pt>
                <c:pt idx="12">
                  <c:v>1016.6538461538462</c:v>
                </c:pt>
                <c:pt idx="13">
                  <c:v>1015.4642857142857</c:v>
                </c:pt>
                <c:pt idx="14">
                  <c:v>1014</c:v>
                </c:pt>
                <c:pt idx="15">
                  <c:v>1012.84375</c:v>
                </c:pt>
                <c:pt idx="16">
                  <c:v>1012.4117647058823</c:v>
                </c:pt>
                <c:pt idx="17">
                  <c:v>1012.4166666666666</c:v>
                </c:pt>
                <c:pt idx="18">
                  <c:v>1012.3421052631579</c:v>
                </c:pt>
                <c:pt idx="19">
                  <c:v>1012.45</c:v>
                </c:pt>
                <c:pt idx="20">
                  <c:v>1012.5238095238095</c:v>
                </c:pt>
                <c:pt idx="21">
                  <c:v>1012.7045454545455</c:v>
                </c:pt>
                <c:pt idx="22">
                  <c:v>1012.8695652173913</c:v>
                </c:pt>
                <c:pt idx="23">
                  <c:v>1013.1875</c:v>
                </c:pt>
                <c:pt idx="24">
                  <c:v>1013.52</c:v>
                </c:pt>
                <c:pt idx="25">
                  <c:v>1013.5192307692307</c:v>
                </c:pt>
                <c:pt idx="26">
                  <c:v>1013.8148148148148</c:v>
                </c:pt>
                <c:pt idx="27">
                  <c:v>1014.3928571428571</c:v>
                </c:pt>
              </c:numCache>
            </c:numRef>
          </c:val>
          <c:smooth val="0"/>
        </c:ser>
        <c:ser>
          <c:idx val="1"/>
          <c:order val="1"/>
          <c:tx>
            <c:v>Max</c:v>
          </c:tx>
          <c:spPr>
            <a:ln w="38100">
              <a:solidFill>
                <a:srgbClr val="00CCFF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cat>
            <c:numRef>
              <c:f>JAN!$E$4:$E$31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Feb!$Q$4:$Q$31</c:f>
              <c:numCache>
                <c:formatCode>0</c:formatCode>
                <c:ptCount val="28"/>
                <c:pt idx="0">
                  <c:v>1028</c:v>
                </c:pt>
                <c:pt idx="1">
                  <c:v>1028</c:v>
                </c:pt>
                <c:pt idx="2">
                  <c:v>1026</c:v>
                </c:pt>
                <c:pt idx="3">
                  <c:v>1017</c:v>
                </c:pt>
                <c:pt idx="4">
                  <c:v>1020</c:v>
                </c:pt>
                <c:pt idx="5">
                  <c:v>1020</c:v>
                </c:pt>
                <c:pt idx="6">
                  <c:v>1019</c:v>
                </c:pt>
                <c:pt idx="7">
                  <c:v>1024</c:v>
                </c:pt>
                <c:pt idx="8">
                  <c:v>1020</c:v>
                </c:pt>
                <c:pt idx="9">
                  <c:v>1015</c:v>
                </c:pt>
                <c:pt idx="10">
                  <c:v>1012</c:v>
                </c:pt>
                <c:pt idx="11">
                  <c:v>1012</c:v>
                </c:pt>
                <c:pt idx="12">
                  <c:v>1009</c:v>
                </c:pt>
                <c:pt idx="13">
                  <c:v>1002</c:v>
                </c:pt>
                <c:pt idx="14">
                  <c:v>998</c:v>
                </c:pt>
                <c:pt idx="15">
                  <c:v>1000</c:v>
                </c:pt>
                <c:pt idx="16">
                  <c:v>1011</c:v>
                </c:pt>
                <c:pt idx="17">
                  <c:v>1014</c:v>
                </c:pt>
                <c:pt idx="18">
                  <c:v>1013</c:v>
                </c:pt>
                <c:pt idx="19">
                  <c:v>1016</c:v>
                </c:pt>
                <c:pt idx="20">
                  <c:v>1016</c:v>
                </c:pt>
                <c:pt idx="21">
                  <c:v>1019</c:v>
                </c:pt>
                <c:pt idx="22">
                  <c:v>1019</c:v>
                </c:pt>
                <c:pt idx="23">
                  <c:v>1025</c:v>
                </c:pt>
                <c:pt idx="24">
                  <c:v>1025</c:v>
                </c:pt>
                <c:pt idx="25">
                  <c:v>1017</c:v>
                </c:pt>
                <c:pt idx="26">
                  <c:v>1025</c:v>
                </c:pt>
                <c:pt idx="27">
                  <c:v>1035</c:v>
                </c:pt>
              </c:numCache>
            </c:numRef>
          </c:val>
          <c:smooth val="0"/>
        </c:ser>
        <c:ser>
          <c:idx val="2"/>
          <c:order val="2"/>
          <c:tx>
            <c:v>Mean</c:v>
          </c:tx>
          <c:spPr>
            <a:ln w="25400">
              <a:solidFill>
                <a:srgbClr val="800080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666699"/>
              </a:solidFill>
              <a:ln>
                <a:solidFill>
                  <a:srgbClr val="666699"/>
                </a:solidFill>
                <a:prstDash val="solid"/>
              </a:ln>
            </c:spPr>
          </c:marker>
          <c:cat>
            <c:numRef>
              <c:f>JAN!$E$4:$E$31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Feb!$AK$91:$AK$118</c:f>
              <c:numCache>
                <c:formatCode>0</c:formatCode>
                <c:ptCount val="28"/>
                <c:pt idx="0">
                  <c:v>1026</c:v>
                </c:pt>
                <c:pt idx="1">
                  <c:v>1024</c:v>
                </c:pt>
                <c:pt idx="2">
                  <c:v>1021.5</c:v>
                </c:pt>
                <c:pt idx="3">
                  <c:v>1016</c:v>
                </c:pt>
                <c:pt idx="4">
                  <c:v>1017.5</c:v>
                </c:pt>
                <c:pt idx="5">
                  <c:v>1019.5</c:v>
                </c:pt>
                <c:pt idx="6">
                  <c:v>1014.5</c:v>
                </c:pt>
                <c:pt idx="7">
                  <c:v>1022</c:v>
                </c:pt>
                <c:pt idx="8">
                  <c:v>1018</c:v>
                </c:pt>
                <c:pt idx="9">
                  <c:v>1012.5</c:v>
                </c:pt>
                <c:pt idx="10">
                  <c:v>1011</c:v>
                </c:pt>
                <c:pt idx="11">
                  <c:v>1011</c:v>
                </c:pt>
                <c:pt idx="12">
                  <c:v>1003</c:v>
                </c:pt>
                <c:pt idx="13">
                  <c:v>1000</c:v>
                </c:pt>
                <c:pt idx="14">
                  <c:v>993.5</c:v>
                </c:pt>
                <c:pt idx="15">
                  <c:v>995.5</c:v>
                </c:pt>
                <c:pt idx="16">
                  <c:v>1005.5</c:v>
                </c:pt>
                <c:pt idx="17">
                  <c:v>1012.5</c:v>
                </c:pt>
                <c:pt idx="18">
                  <c:v>1011</c:v>
                </c:pt>
                <c:pt idx="19">
                  <c:v>1014.5</c:v>
                </c:pt>
                <c:pt idx="20">
                  <c:v>1014</c:v>
                </c:pt>
                <c:pt idx="21">
                  <c:v>1016.5</c:v>
                </c:pt>
                <c:pt idx="22">
                  <c:v>1016.5</c:v>
                </c:pt>
                <c:pt idx="23">
                  <c:v>1020.5</c:v>
                </c:pt>
                <c:pt idx="24">
                  <c:v>1021.5</c:v>
                </c:pt>
                <c:pt idx="25">
                  <c:v>1013.5</c:v>
                </c:pt>
                <c:pt idx="26">
                  <c:v>1021.5</c:v>
                </c:pt>
                <c:pt idx="27">
                  <c:v>1030</c:v>
                </c:pt>
              </c:numCache>
            </c:numRef>
          </c:val>
          <c:smooth val="0"/>
        </c:ser>
        <c:ser>
          <c:idx val="0"/>
          <c:order val="3"/>
          <c:tx>
            <c:v>Min</c:v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cat>
            <c:numRef>
              <c:f>JAN!$E$4:$E$31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Feb!$P$4:$P$31</c:f>
              <c:numCache>
                <c:formatCode>0</c:formatCode>
                <c:ptCount val="28"/>
                <c:pt idx="0">
                  <c:v>1024</c:v>
                </c:pt>
                <c:pt idx="1">
                  <c:v>1020</c:v>
                </c:pt>
                <c:pt idx="2">
                  <c:v>1017</c:v>
                </c:pt>
                <c:pt idx="3">
                  <c:v>1015</c:v>
                </c:pt>
                <c:pt idx="4">
                  <c:v>1015</c:v>
                </c:pt>
                <c:pt idx="5">
                  <c:v>1019</c:v>
                </c:pt>
                <c:pt idx="6">
                  <c:v>1010</c:v>
                </c:pt>
                <c:pt idx="7">
                  <c:v>1020</c:v>
                </c:pt>
                <c:pt idx="8">
                  <c:v>1016</c:v>
                </c:pt>
                <c:pt idx="9">
                  <c:v>1010</c:v>
                </c:pt>
                <c:pt idx="10">
                  <c:v>1010</c:v>
                </c:pt>
                <c:pt idx="11">
                  <c:v>1010</c:v>
                </c:pt>
                <c:pt idx="12">
                  <c:v>997</c:v>
                </c:pt>
                <c:pt idx="13">
                  <c:v>998</c:v>
                </c:pt>
                <c:pt idx="14">
                  <c:v>989</c:v>
                </c:pt>
                <c:pt idx="15">
                  <c:v>991</c:v>
                </c:pt>
                <c:pt idx="16">
                  <c:v>1000</c:v>
                </c:pt>
                <c:pt idx="17">
                  <c:v>1011</c:v>
                </c:pt>
                <c:pt idx="18">
                  <c:v>1009</c:v>
                </c:pt>
                <c:pt idx="19">
                  <c:v>1013</c:v>
                </c:pt>
                <c:pt idx="20">
                  <c:v>1012</c:v>
                </c:pt>
                <c:pt idx="21">
                  <c:v>1014</c:v>
                </c:pt>
                <c:pt idx="22">
                  <c:v>1014</c:v>
                </c:pt>
                <c:pt idx="23">
                  <c:v>1016</c:v>
                </c:pt>
                <c:pt idx="24">
                  <c:v>1018</c:v>
                </c:pt>
                <c:pt idx="25">
                  <c:v>1010</c:v>
                </c:pt>
                <c:pt idx="26">
                  <c:v>1018</c:v>
                </c:pt>
                <c:pt idx="27">
                  <c:v>1025</c:v>
                </c:pt>
              </c:numCache>
            </c:numRef>
          </c:val>
          <c:smooth val="0"/>
        </c:ser>
        <c:ser>
          <c:idx val="4"/>
          <c:order val="4"/>
          <c:tx>
            <c:v>MSLP</c:v>
          </c:tx>
          <c:spPr>
            <a:ln w="25400">
              <a:solidFill>
                <a:srgbClr val="CC99FF"/>
              </a:solidFill>
              <a:prstDash val="lgDash"/>
            </a:ln>
          </c:spPr>
          <c:marker>
            <c:symbol val="none"/>
          </c:marker>
          <c:cat>
            <c:numRef>
              <c:f>JAN!$E$4:$E$31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JAN!$AM$4:$AM$31</c:f>
              <c:numCache>
                <c:formatCode>0.0</c:formatCode>
                <c:ptCount val="28"/>
                <c:pt idx="0">
                  <c:v>1013.25</c:v>
                </c:pt>
                <c:pt idx="1">
                  <c:v>1013.25</c:v>
                </c:pt>
                <c:pt idx="2">
                  <c:v>1013.25</c:v>
                </c:pt>
                <c:pt idx="3">
                  <c:v>1013.25</c:v>
                </c:pt>
                <c:pt idx="4">
                  <c:v>1013.25</c:v>
                </c:pt>
                <c:pt idx="5">
                  <c:v>1013.25</c:v>
                </c:pt>
                <c:pt idx="6">
                  <c:v>1013.25</c:v>
                </c:pt>
                <c:pt idx="7">
                  <c:v>1013.25</c:v>
                </c:pt>
                <c:pt idx="8">
                  <c:v>1013.25</c:v>
                </c:pt>
                <c:pt idx="9">
                  <c:v>1013.25</c:v>
                </c:pt>
                <c:pt idx="10">
                  <c:v>1013.25</c:v>
                </c:pt>
                <c:pt idx="11">
                  <c:v>1013.25</c:v>
                </c:pt>
                <c:pt idx="12">
                  <c:v>1013.25</c:v>
                </c:pt>
                <c:pt idx="13">
                  <c:v>1013.25</c:v>
                </c:pt>
                <c:pt idx="14">
                  <c:v>1013.25</c:v>
                </c:pt>
                <c:pt idx="15">
                  <c:v>1013.25</c:v>
                </c:pt>
                <c:pt idx="16">
                  <c:v>1013.25</c:v>
                </c:pt>
                <c:pt idx="17">
                  <c:v>1013.25</c:v>
                </c:pt>
                <c:pt idx="18">
                  <c:v>1013.25</c:v>
                </c:pt>
                <c:pt idx="19">
                  <c:v>1013.25</c:v>
                </c:pt>
                <c:pt idx="20">
                  <c:v>1013.25</c:v>
                </c:pt>
                <c:pt idx="21">
                  <c:v>1013.25</c:v>
                </c:pt>
                <c:pt idx="22">
                  <c:v>1013.25</c:v>
                </c:pt>
                <c:pt idx="23">
                  <c:v>1013.25</c:v>
                </c:pt>
                <c:pt idx="24">
                  <c:v>1013.25</c:v>
                </c:pt>
                <c:pt idx="25">
                  <c:v>1013.25</c:v>
                </c:pt>
                <c:pt idx="26">
                  <c:v>1013.25</c:v>
                </c:pt>
                <c:pt idx="27">
                  <c:v>1013.25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932928"/>
        <c:axId val="113934720"/>
      </c:lineChart>
      <c:lineChart>
        <c:grouping val="standard"/>
        <c:varyColors val="0"/>
        <c:ser>
          <c:idx val="6"/>
          <c:order val="5"/>
          <c:tx>
            <c:v>Rainfall/3</c:v>
          </c:tx>
          <c:spPr>
            <a:ln w="12700">
              <a:solidFill>
                <a:srgbClr val="33CCCC"/>
              </a:solidFill>
              <a:prstDash val="solid"/>
            </a:ln>
          </c:spPr>
          <c:marker>
            <c:symbol val="none"/>
          </c:marker>
          <c:cat>
            <c:numRef>
              <c:f>JAN!$E$4:$E$31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Feb!$N$91:$N$118</c:f>
              <c:numCache>
                <c:formatCode>General</c:formatCode>
                <c:ptCount val="28"/>
                <c:pt idx="0">
                  <c:v>3.3333333333333333E-2</c:v>
                </c:pt>
                <c:pt idx="1">
                  <c:v>3.3333333333333333E-2</c:v>
                </c:pt>
                <c:pt idx="2">
                  <c:v>0</c:v>
                </c:pt>
                <c:pt idx="3">
                  <c:v>0</c:v>
                </c:pt>
                <c:pt idx="4">
                  <c:v>3.3333333333333333E-2</c:v>
                </c:pt>
                <c:pt idx="5">
                  <c:v>0</c:v>
                </c:pt>
                <c:pt idx="6">
                  <c:v>3.3333333333333333E-2</c:v>
                </c:pt>
                <c:pt idx="7">
                  <c:v>0</c:v>
                </c:pt>
                <c:pt idx="8">
                  <c:v>0</c:v>
                </c:pt>
                <c:pt idx="9">
                  <c:v>4.1000000000000005</c:v>
                </c:pt>
                <c:pt idx="10">
                  <c:v>0.3666666666666667</c:v>
                </c:pt>
                <c:pt idx="11">
                  <c:v>0.6333333333333333</c:v>
                </c:pt>
                <c:pt idx="12">
                  <c:v>1</c:v>
                </c:pt>
                <c:pt idx="13">
                  <c:v>0</c:v>
                </c:pt>
                <c:pt idx="14">
                  <c:v>0.73333333333333339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3.7333333333333329</c:v>
                </c:pt>
                <c:pt idx="19">
                  <c:v>0</c:v>
                </c:pt>
                <c:pt idx="20">
                  <c:v>3.3333333333333333E-2</c:v>
                </c:pt>
                <c:pt idx="21">
                  <c:v>0.16666666666666666</c:v>
                </c:pt>
                <c:pt idx="22">
                  <c:v>1.1666666666666667</c:v>
                </c:pt>
                <c:pt idx="23">
                  <c:v>0</c:v>
                </c:pt>
                <c:pt idx="24">
                  <c:v>0</c:v>
                </c:pt>
                <c:pt idx="25">
                  <c:v>1.7333333333333334</c:v>
                </c:pt>
                <c:pt idx="26">
                  <c:v>0.83333333333333337</c:v>
                </c:pt>
                <c:pt idx="27">
                  <c:v>9.9999999999999992E-2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936256"/>
        <c:axId val="113937792"/>
      </c:lineChart>
      <c:catAx>
        <c:axId val="113932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39347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3934720"/>
        <c:scaling>
          <c:orientation val="minMax"/>
          <c:max val="1040"/>
          <c:min val="980"/>
        </c:scaling>
        <c:delete val="0"/>
        <c:axPos val="l"/>
        <c:majorGridlines>
          <c:spPr>
            <a:ln w="3175">
              <a:solidFill>
                <a:srgbClr val="333333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3932928"/>
        <c:crosses val="autoZero"/>
        <c:crossBetween val="between"/>
        <c:majorUnit val="10"/>
      </c:valAx>
      <c:catAx>
        <c:axId val="1139362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937792"/>
        <c:crosses val="autoZero"/>
        <c:auto val="1"/>
        <c:lblAlgn val="ctr"/>
        <c:lblOffset val="100"/>
        <c:noMultiLvlLbl val="0"/>
      </c:catAx>
      <c:valAx>
        <c:axId val="113937792"/>
        <c:scaling>
          <c:orientation val="minMax"/>
          <c:max val="60"/>
          <c:min val="0"/>
        </c:scaling>
        <c:delete val="0"/>
        <c:axPos val="r"/>
        <c:numFmt formatCode="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3936256"/>
        <c:crosses val="max"/>
        <c:crossBetween val="between"/>
        <c:majorUnit val="10"/>
      </c:valAx>
      <c:spPr>
        <a:solidFill>
          <a:srgbClr val="969696"/>
        </a:solidFill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 sz="14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Wind Speed / mh</a:t>
            </a:r>
            <a:r>
              <a:rPr lang="en-GB" sz="1400" b="1" i="0" u="none" strike="noStrike" baseline="30000">
                <a:solidFill>
                  <a:srgbClr val="000000"/>
                </a:solidFill>
                <a:latin typeface="Arial"/>
                <a:cs typeface="Arial"/>
              </a:rPr>
              <a:t>-1</a:t>
            </a:r>
          </a:p>
        </c:rich>
      </c:tx>
      <c:layout>
        <c:manualLayout>
          <c:xMode val="edge"/>
          <c:yMode val="edge"/>
          <c:x val="0.44800000000000001"/>
          <c:y val="2.01421800947867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4E-2"/>
          <c:y val="8.1753601799467862E-2"/>
          <c:w val="0.95753846153846156"/>
          <c:h val="0.86729907995957212"/>
        </c:manualLayout>
      </c:layout>
      <c:lineChart>
        <c:grouping val="standard"/>
        <c:varyColors val="0"/>
        <c:ser>
          <c:idx val="1"/>
          <c:order val="0"/>
          <c:tx>
            <c:v>Mean</c:v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800000"/>
              </a:solidFill>
              <a:ln>
                <a:solidFill>
                  <a:srgbClr val="800000"/>
                </a:solidFill>
                <a:prstDash val="solid"/>
              </a:ln>
            </c:spPr>
          </c:marker>
          <c:cat>
            <c:numRef>
              <c:f>JAN!$E$4:$E$31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Feb!$U$4:$U$31</c:f>
              <c:numCache>
                <c:formatCode>0.0</c:formatCode>
                <c:ptCount val="28"/>
                <c:pt idx="0">
                  <c:v>5.4</c:v>
                </c:pt>
                <c:pt idx="1">
                  <c:v>6.9</c:v>
                </c:pt>
                <c:pt idx="2">
                  <c:v>7.5</c:v>
                </c:pt>
                <c:pt idx="3">
                  <c:v>11.8</c:v>
                </c:pt>
                <c:pt idx="4">
                  <c:v>11.4</c:v>
                </c:pt>
                <c:pt idx="5">
                  <c:v>11.3</c:v>
                </c:pt>
                <c:pt idx="6">
                  <c:v>10.1</c:v>
                </c:pt>
                <c:pt idx="7">
                  <c:v>2.8</c:v>
                </c:pt>
                <c:pt idx="8">
                  <c:v>5.0999999999999996</c:v>
                </c:pt>
                <c:pt idx="9">
                  <c:v>4.9000000000000004</c:v>
                </c:pt>
                <c:pt idx="10">
                  <c:v>4.2</c:v>
                </c:pt>
                <c:pt idx="11">
                  <c:v>4.9000000000000004</c:v>
                </c:pt>
                <c:pt idx="12">
                  <c:v>7.6</c:v>
                </c:pt>
                <c:pt idx="13">
                  <c:v>5.4</c:v>
                </c:pt>
                <c:pt idx="14">
                  <c:v>5.9</c:v>
                </c:pt>
                <c:pt idx="15">
                  <c:v>4.5</c:v>
                </c:pt>
                <c:pt idx="16">
                  <c:v>4.8</c:v>
                </c:pt>
                <c:pt idx="17">
                  <c:v>5.4</c:v>
                </c:pt>
                <c:pt idx="18">
                  <c:v>4.0999999999999996</c:v>
                </c:pt>
                <c:pt idx="19">
                  <c:v>4.5999999999999996</c:v>
                </c:pt>
                <c:pt idx="20">
                  <c:v>4.5999999999999996</c:v>
                </c:pt>
                <c:pt idx="21">
                  <c:v>2.8</c:v>
                </c:pt>
                <c:pt idx="22">
                  <c:v>5.6</c:v>
                </c:pt>
                <c:pt idx="23">
                  <c:v>4.7</c:v>
                </c:pt>
                <c:pt idx="24">
                  <c:v>5.9</c:v>
                </c:pt>
                <c:pt idx="25">
                  <c:v>7</c:v>
                </c:pt>
                <c:pt idx="26">
                  <c:v>4.5999999999999996</c:v>
                </c:pt>
                <c:pt idx="27">
                  <c:v>5.7</c:v>
                </c:pt>
              </c:numCache>
            </c:numRef>
          </c:val>
          <c:smooth val="0"/>
        </c:ser>
        <c:ser>
          <c:idx val="0"/>
          <c:order val="1"/>
          <c:tx>
            <c:v>E (Mean)</c:v>
          </c:tx>
          <c:spPr>
            <a:ln w="25400">
              <a:solidFill>
                <a:srgbClr val="FF99CC"/>
              </a:solidFill>
              <a:prstDash val="lgDash"/>
            </a:ln>
          </c:spPr>
          <c:marker>
            <c:symbol val="none"/>
          </c:marker>
          <c:cat>
            <c:numRef>
              <c:f>JAN!$E$4:$E$31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Feb!$AZ$91:$AZ$118</c:f>
              <c:numCache>
                <c:formatCode>0.0</c:formatCode>
                <c:ptCount val="28"/>
                <c:pt idx="0">
                  <c:v>5.0999999999999996</c:v>
                </c:pt>
                <c:pt idx="1">
                  <c:v>5.0999999999999996</c:v>
                </c:pt>
                <c:pt idx="2">
                  <c:v>5.0999999999999996</c:v>
                </c:pt>
                <c:pt idx="3">
                  <c:v>5.0999999999999996</c:v>
                </c:pt>
                <c:pt idx="4">
                  <c:v>5.0999999999999996</c:v>
                </c:pt>
                <c:pt idx="5">
                  <c:v>5.0999999999999996</c:v>
                </c:pt>
                <c:pt idx="6">
                  <c:v>5.0999999999999996</c:v>
                </c:pt>
                <c:pt idx="7">
                  <c:v>5.0999999999999996</c:v>
                </c:pt>
                <c:pt idx="8">
                  <c:v>5.0999999999999996</c:v>
                </c:pt>
                <c:pt idx="9">
                  <c:v>5.0999999999999996</c:v>
                </c:pt>
                <c:pt idx="10">
                  <c:v>5.0999999999999996</c:v>
                </c:pt>
                <c:pt idx="11">
                  <c:v>5.0999999999999996</c:v>
                </c:pt>
                <c:pt idx="12">
                  <c:v>5.0999999999999996</c:v>
                </c:pt>
                <c:pt idx="13">
                  <c:v>5.0999999999999996</c:v>
                </c:pt>
                <c:pt idx="14">
                  <c:v>5.0999999999999996</c:v>
                </c:pt>
                <c:pt idx="15">
                  <c:v>5.0999999999999996</c:v>
                </c:pt>
                <c:pt idx="16">
                  <c:v>5.0999999999999996</c:v>
                </c:pt>
                <c:pt idx="17">
                  <c:v>5.0999999999999996</c:v>
                </c:pt>
                <c:pt idx="18">
                  <c:v>5.0999999999999996</c:v>
                </c:pt>
                <c:pt idx="19">
                  <c:v>5.0999999999999996</c:v>
                </c:pt>
                <c:pt idx="20">
                  <c:v>5.0999999999999996</c:v>
                </c:pt>
                <c:pt idx="21">
                  <c:v>5.0999999999999996</c:v>
                </c:pt>
                <c:pt idx="22">
                  <c:v>5.0999999999999996</c:v>
                </c:pt>
                <c:pt idx="23">
                  <c:v>5.0999999999999996</c:v>
                </c:pt>
                <c:pt idx="24">
                  <c:v>5.0999999999999996</c:v>
                </c:pt>
                <c:pt idx="25">
                  <c:v>5.0999999999999996</c:v>
                </c:pt>
                <c:pt idx="26">
                  <c:v>5.0999999999999996</c:v>
                </c:pt>
                <c:pt idx="27">
                  <c:v>5.0999999999999996</c:v>
                </c:pt>
              </c:numCache>
            </c:numRef>
          </c:val>
          <c:smooth val="0"/>
        </c:ser>
        <c:ser>
          <c:idx val="2"/>
          <c:order val="4"/>
          <c:tx>
            <c:v>Cumulative Mean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numRef>
              <c:f>JAN!$E$4:$E$31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Feb!$M$91:$M$118</c:f>
              <c:numCache>
                <c:formatCode>0.0</c:formatCode>
                <c:ptCount val="28"/>
                <c:pt idx="0">
                  <c:v>5.4</c:v>
                </c:pt>
                <c:pt idx="1">
                  <c:v>6.15</c:v>
                </c:pt>
                <c:pt idx="2">
                  <c:v>6.6000000000000005</c:v>
                </c:pt>
                <c:pt idx="3">
                  <c:v>7.9</c:v>
                </c:pt>
                <c:pt idx="4">
                  <c:v>8.6</c:v>
                </c:pt>
                <c:pt idx="5">
                  <c:v>9.0499999999999989</c:v>
                </c:pt>
                <c:pt idx="6">
                  <c:v>9.1999999999999993</c:v>
                </c:pt>
                <c:pt idx="7">
                  <c:v>8.3999999999999986</c:v>
                </c:pt>
                <c:pt idx="8">
                  <c:v>8.0333333333333314</c:v>
                </c:pt>
                <c:pt idx="9">
                  <c:v>7.7199999999999989</c:v>
                </c:pt>
                <c:pt idx="10">
                  <c:v>7.3999999999999995</c:v>
                </c:pt>
                <c:pt idx="11">
                  <c:v>7.1916666666666664</c:v>
                </c:pt>
                <c:pt idx="12">
                  <c:v>7.2230769230769223</c:v>
                </c:pt>
                <c:pt idx="13">
                  <c:v>7.0928571428571425</c:v>
                </c:pt>
                <c:pt idx="14">
                  <c:v>7.0133333333333336</c:v>
                </c:pt>
                <c:pt idx="15">
                  <c:v>6.8562500000000002</c:v>
                </c:pt>
                <c:pt idx="16">
                  <c:v>6.7352941176470589</c:v>
                </c:pt>
                <c:pt idx="17">
                  <c:v>6.6611111111111114</c:v>
                </c:pt>
                <c:pt idx="18">
                  <c:v>6.5263157894736841</c:v>
                </c:pt>
                <c:pt idx="19">
                  <c:v>6.43</c:v>
                </c:pt>
                <c:pt idx="20">
                  <c:v>6.3428571428571425</c:v>
                </c:pt>
                <c:pt idx="21">
                  <c:v>6.1818181818181817</c:v>
                </c:pt>
                <c:pt idx="22">
                  <c:v>6.1565217391304348</c:v>
                </c:pt>
                <c:pt idx="23">
                  <c:v>6.0958333333333323</c:v>
                </c:pt>
                <c:pt idx="24">
                  <c:v>6.0879999999999992</c:v>
                </c:pt>
                <c:pt idx="25">
                  <c:v>6.1230769230769226</c:v>
                </c:pt>
                <c:pt idx="26">
                  <c:v>6.0666666666666664</c:v>
                </c:pt>
                <c:pt idx="27">
                  <c:v>6.0535714285714279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966080"/>
        <c:axId val="113996928"/>
      </c:lineChart>
      <c:lineChart>
        <c:grouping val="standard"/>
        <c:varyColors val="0"/>
        <c:ser>
          <c:idx val="3"/>
          <c:order val="2"/>
          <c:tx>
            <c:v>Max Gust</c:v>
          </c:tx>
          <c:spPr>
            <a:ln w="28575">
              <a:noFill/>
            </a:ln>
          </c:spPr>
          <c:marker>
            <c:symbol val="circle"/>
            <c:size val="9"/>
            <c:spPr>
              <a:solidFill>
                <a:srgbClr val="FFCC00"/>
              </a:solidFill>
              <a:ln>
                <a:solidFill>
                  <a:srgbClr val="FFCC00"/>
                </a:solidFill>
                <a:prstDash val="solid"/>
              </a:ln>
            </c:spPr>
          </c:marker>
          <c:cat>
            <c:numRef>
              <c:f>JAN!$E$4:$E$31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Feb!$W$4:$W$31</c:f>
              <c:numCache>
                <c:formatCode>0.0</c:formatCode>
                <c:ptCount val="28"/>
                <c:pt idx="0">
                  <c:v>17.3</c:v>
                </c:pt>
                <c:pt idx="1">
                  <c:v>20.8</c:v>
                </c:pt>
                <c:pt idx="2">
                  <c:v>32.9</c:v>
                </c:pt>
                <c:pt idx="3">
                  <c:v>35.6</c:v>
                </c:pt>
                <c:pt idx="4">
                  <c:v>30.1</c:v>
                </c:pt>
                <c:pt idx="5">
                  <c:v>34.200000000000003</c:v>
                </c:pt>
                <c:pt idx="6">
                  <c:v>33.1</c:v>
                </c:pt>
                <c:pt idx="7">
                  <c:v>10.5</c:v>
                </c:pt>
                <c:pt idx="8">
                  <c:v>15.4</c:v>
                </c:pt>
                <c:pt idx="9">
                  <c:v>15.2</c:v>
                </c:pt>
                <c:pt idx="10">
                  <c:v>17.5</c:v>
                </c:pt>
                <c:pt idx="11">
                  <c:v>16.3</c:v>
                </c:pt>
                <c:pt idx="12">
                  <c:v>24.4</c:v>
                </c:pt>
                <c:pt idx="13">
                  <c:v>20.8</c:v>
                </c:pt>
                <c:pt idx="14">
                  <c:v>22.1</c:v>
                </c:pt>
                <c:pt idx="15">
                  <c:v>15.2</c:v>
                </c:pt>
                <c:pt idx="16">
                  <c:v>12.8</c:v>
                </c:pt>
                <c:pt idx="17">
                  <c:v>17</c:v>
                </c:pt>
                <c:pt idx="18">
                  <c:v>15.4</c:v>
                </c:pt>
                <c:pt idx="19">
                  <c:v>15.4</c:v>
                </c:pt>
                <c:pt idx="20">
                  <c:v>13.5</c:v>
                </c:pt>
                <c:pt idx="21">
                  <c:v>10.5</c:v>
                </c:pt>
                <c:pt idx="22">
                  <c:v>16.100000000000001</c:v>
                </c:pt>
                <c:pt idx="23">
                  <c:v>15.6</c:v>
                </c:pt>
                <c:pt idx="24">
                  <c:v>20.6</c:v>
                </c:pt>
                <c:pt idx="25">
                  <c:v>25.9</c:v>
                </c:pt>
                <c:pt idx="26">
                  <c:v>17.600000000000001</c:v>
                </c:pt>
                <c:pt idx="27">
                  <c:v>20.6</c:v>
                </c:pt>
              </c:numCache>
            </c:numRef>
          </c:val>
          <c:smooth val="0"/>
        </c:ser>
        <c:ser>
          <c:idx val="4"/>
          <c:order val="3"/>
          <c:tx>
            <c:v>Max Average</c:v>
          </c:tx>
          <c:spPr>
            <a:ln w="28575">
              <a:noFill/>
            </a:ln>
          </c:spPr>
          <c:marker>
            <c:symbol val="square"/>
            <c:size val="6"/>
            <c:spPr>
              <a:solidFill>
                <a:srgbClr val="800000"/>
              </a:solidFill>
              <a:ln>
                <a:solidFill>
                  <a:srgbClr val="800000"/>
                </a:solidFill>
                <a:prstDash val="solid"/>
              </a:ln>
            </c:spPr>
          </c:marker>
          <c:cat>
            <c:numRef>
              <c:f>JAN!$E$4:$E$31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Feb!$V$4:$V$31</c:f>
              <c:numCache>
                <c:formatCode>0.0</c:formatCode>
                <c:ptCount val="28"/>
                <c:pt idx="0">
                  <c:v>12.3</c:v>
                </c:pt>
                <c:pt idx="1">
                  <c:v>16.100000000000001</c:v>
                </c:pt>
                <c:pt idx="2">
                  <c:v>21.9</c:v>
                </c:pt>
                <c:pt idx="3">
                  <c:v>25.5</c:v>
                </c:pt>
                <c:pt idx="4">
                  <c:v>20.8</c:v>
                </c:pt>
                <c:pt idx="5">
                  <c:v>21.3</c:v>
                </c:pt>
                <c:pt idx="6">
                  <c:v>22.5</c:v>
                </c:pt>
                <c:pt idx="7">
                  <c:v>8.1</c:v>
                </c:pt>
                <c:pt idx="8">
                  <c:v>12.5</c:v>
                </c:pt>
                <c:pt idx="9">
                  <c:v>10.7</c:v>
                </c:pt>
                <c:pt idx="10">
                  <c:v>12.1</c:v>
                </c:pt>
                <c:pt idx="11">
                  <c:v>10.7</c:v>
                </c:pt>
                <c:pt idx="12">
                  <c:v>17.5</c:v>
                </c:pt>
                <c:pt idx="13">
                  <c:v>13</c:v>
                </c:pt>
                <c:pt idx="14">
                  <c:v>14</c:v>
                </c:pt>
                <c:pt idx="15">
                  <c:v>11.4</c:v>
                </c:pt>
                <c:pt idx="16">
                  <c:v>9.6999999999999993</c:v>
                </c:pt>
                <c:pt idx="17">
                  <c:v>12</c:v>
                </c:pt>
                <c:pt idx="18">
                  <c:v>9.6999999999999993</c:v>
                </c:pt>
                <c:pt idx="19">
                  <c:v>10.5</c:v>
                </c:pt>
                <c:pt idx="20">
                  <c:v>9.4</c:v>
                </c:pt>
                <c:pt idx="21">
                  <c:v>8.6999999999999993</c:v>
                </c:pt>
                <c:pt idx="22">
                  <c:v>12.1</c:v>
                </c:pt>
                <c:pt idx="23">
                  <c:v>9.6999999999999993</c:v>
                </c:pt>
                <c:pt idx="24">
                  <c:v>14.5</c:v>
                </c:pt>
                <c:pt idx="25">
                  <c:v>18.5</c:v>
                </c:pt>
                <c:pt idx="26">
                  <c:v>12.5</c:v>
                </c:pt>
                <c:pt idx="27">
                  <c:v>14.5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998464"/>
        <c:axId val="114000256"/>
      </c:lineChart>
      <c:catAx>
        <c:axId val="113966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39969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3996928"/>
        <c:scaling>
          <c:orientation val="minMax"/>
          <c:max val="12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3966080"/>
        <c:crosses val="autoZero"/>
        <c:crossBetween val="between"/>
        <c:majorUnit val="2"/>
      </c:valAx>
      <c:catAx>
        <c:axId val="1139984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4000256"/>
        <c:crosses val="autoZero"/>
        <c:auto val="1"/>
        <c:lblAlgn val="ctr"/>
        <c:lblOffset val="100"/>
        <c:noMultiLvlLbl val="0"/>
      </c:catAx>
      <c:valAx>
        <c:axId val="114000256"/>
        <c:scaling>
          <c:orientation val="minMax"/>
          <c:max val="60"/>
        </c:scaling>
        <c:delete val="0"/>
        <c:axPos val="r"/>
        <c:numFmt formatCode="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3998464"/>
        <c:crosses val="max"/>
        <c:crossBetween val="between"/>
        <c:majorUnit val="10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Sun Hours / h</a:t>
            </a:r>
          </a:p>
        </c:rich>
      </c:tx>
      <c:layout>
        <c:manualLayout>
          <c:xMode val="edge"/>
          <c:yMode val="edge"/>
          <c:x val="0.46040541433241655"/>
          <c:y val="2.846975088967971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6396578132540413E-2"/>
          <c:y val="9.3713038572525775E-2"/>
          <c:w val="0.97114852571346355"/>
          <c:h val="0.85527975709862136"/>
        </c:manualLayout>
      </c:layout>
      <c:barChart>
        <c:barDir val="col"/>
        <c:grouping val="clustered"/>
        <c:varyColors val="0"/>
        <c:ser>
          <c:idx val="1"/>
          <c:order val="0"/>
          <c:tx>
            <c:v>Sun</c:v>
          </c:tx>
          <c:spPr>
            <a:solidFill>
              <a:srgbClr val="FFFF00"/>
            </a:solidFill>
            <a:ln w="12700">
              <a:solidFill>
                <a:srgbClr val="C0C0C0"/>
              </a:solidFill>
              <a:prstDash val="solid"/>
            </a:ln>
          </c:spPr>
          <c:invertIfNegative val="0"/>
          <c:cat>
            <c:numRef>
              <c:f>JAN!$E$4:$E$31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Feb!$AP$4:$AP$31</c:f>
              <c:numCache>
                <c:formatCode>General</c:formatCode>
                <c:ptCount val="28"/>
                <c:pt idx="0">
                  <c:v>0.2</c:v>
                </c:pt>
                <c:pt idx="1">
                  <c:v>0.1</c:v>
                </c:pt>
                <c:pt idx="2">
                  <c:v>6</c:v>
                </c:pt>
                <c:pt idx="3">
                  <c:v>0.1</c:v>
                </c:pt>
                <c:pt idx="4">
                  <c:v>0</c:v>
                </c:pt>
                <c:pt idx="5">
                  <c:v>0</c:v>
                </c:pt>
                <c:pt idx="6">
                  <c:v>0.7</c:v>
                </c:pt>
                <c:pt idx="7">
                  <c:v>7</c:v>
                </c:pt>
                <c:pt idx="8">
                  <c:v>3</c:v>
                </c:pt>
                <c:pt idx="9">
                  <c:v>0</c:v>
                </c:pt>
                <c:pt idx="10">
                  <c:v>0.2</c:v>
                </c:pt>
                <c:pt idx="11">
                  <c:v>2.5</c:v>
                </c:pt>
                <c:pt idx="12">
                  <c:v>0</c:v>
                </c:pt>
                <c:pt idx="13">
                  <c:v>5.5</c:v>
                </c:pt>
                <c:pt idx="14">
                  <c:v>0</c:v>
                </c:pt>
                <c:pt idx="15">
                  <c:v>2</c:v>
                </c:pt>
                <c:pt idx="16">
                  <c:v>1</c:v>
                </c:pt>
                <c:pt idx="17">
                  <c:v>0.5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5</c:v>
                </c:pt>
                <c:pt idx="24">
                  <c:v>2</c:v>
                </c:pt>
                <c:pt idx="25">
                  <c:v>0.3</c:v>
                </c:pt>
                <c:pt idx="26">
                  <c:v>4</c:v>
                </c:pt>
                <c:pt idx="2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overlap val="-10"/>
        <c:axId val="114024448"/>
        <c:axId val="114025984"/>
      </c:barChart>
      <c:catAx>
        <c:axId val="1140244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40259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4025984"/>
        <c:scaling>
          <c:orientation val="minMax"/>
          <c:max val="9.6999999999999993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4024448"/>
        <c:crosses val="autoZero"/>
        <c:crossBetween val="between"/>
        <c:majorUnit val="1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Cumulative Rain / mm</a:t>
            </a:r>
          </a:p>
        </c:rich>
      </c:tx>
      <c:layout>
        <c:manualLayout>
          <c:xMode val="edge"/>
          <c:yMode val="edge"/>
          <c:x val="0.43726963096402616"/>
          <c:y val="2.019002375296912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985254257748993E-2"/>
          <c:y val="9.3824228028503556E-2"/>
          <c:w val="0.94649503340194097"/>
          <c:h val="0.85510688836104509"/>
        </c:manualLayout>
      </c:layout>
      <c:lineChart>
        <c:grouping val="standard"/>
        <c:varyColors val="0"/>
        <c:ser>
          <c:idx val="1"/>
          <c:order val="0"/>
          <c:tx>
            <c:v>Cumulative Rain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cat>
            <c:numRef>
              <c:f>JAN!$E$4:$E$31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Feb!$Z$91:$Z$118</c:f>
              <c:numCache>
                <c:formatCode>0.0</c:formatCode>
                <c:ptCount val="28"/>
                <c:pt idx="0">
                  <c:v>0.1</c:v>
                </c:pt>
                <c:pt idx="1">
                  <c:v>0.2</c:v>
                </c:pt>
                <c:pt idx="2">
                  <c:v>0.2</c:v>
                </c:pt>
                <c:pt idx="3">
                  <c:v>0.2</c:v>
                </c:pt>
                <c:pt idx="4">
                  <c:v>0.30000000000000004</c:v>
                </c:pt>
                <c:pt idx="5">
                  <c:v>0.30000000000000004</c:v>
                </c:pt>
                <c:pt idx="6">
                  <c:v>0.4</c:v>
                </c:pt>
                <c:pt idx="7">
                  <c:v>0.4</c:v>
                </c:pt>
                <c:pt idx="8">
                  <c:v>0.4</c:v>
                </c:pt>
                <c:pt idx="9">
                  <c:v>12.700000000000001</c:v>
                </c:pt>
                <c:pt idx="10">
                  <c:v>13.8</c:v>
                </c:pt>
                <c:pt idx="11">
                  <c:v>15.700000000000001</c:v>
                </c:pt>
                <c:pt idx="12">
                  <c:v>18.700000000000003</c:v>
                </c:pt>
                <c:pt idx="13">
                  <c:v>18.700000000000003</c:v>
                </c:pt>
                <c:pt idx="14">
                  <c:v>20.900000000000002</c:v>
                </c:pt>
                <c:pt idx="15">
                  <c:v>20.900000000000002</c:v>
                </c:pt>
                <c:pt idx="16">
                  <c:v>20.900000000000002</c:v>
                </c:pt>
                <c:pt idx="17">
                  <c:v>20.900000000000002</c:v>
                </c:pt>
                <c:pt idx="18">
                  <c:v>32.1</c:v>
                </c:pt>
                <c:pt idx="19">
                  <c:v>32.1</c:v>
                </c:pt>
                <c:pt idx="20">
                  <c:v>32.200000000000003</c:v>
                </c:pt>
                <c:pt idx="21">
                  <c:v>32.700000000000003</c:v>
                </c:pt>
                <c:pt idx="22">
                  <c:v>36.200000000000003</c:v>
                </c:pt>
                <c:pt idx="23">
                  <c:v>36.200000000000003</c:v>
                </c:pt>
                <c:pt idx="24">
                  <c:v>36.200000000000003</c:v>
                </c:pt>
                <c:pt idx="25">
                  <c:v>41.400000000000006</c:v>
                </c:pt>
                <c:pt idx="26">
                  <c:v>43.900000000000006</c:v>
                </c:pt>
                <c:pt idx="27">
                  <c:v>44.2</c:v>
                </c:pt>
              </c:numCache>
            </c:numRef>
          </c:val>
          <c:smooth val="0"/>
        </c:ser>
        <c:ser>
          <c:idx val="2"/>
          <c:order val="1"/>
          <c:tx>
            <c:v>E (Cumulative Rain)</c:v>
          </c:tx>
          <c:spPr>
            <a:ln w="25400">
              <a:solidFill>
                <a:srgbClr val="00CCFF"/>
              </a:solidFill>
              <a:prstDash val="lgDash"/>
            </a:ln>
          </c:spPr>
          <c:marker>
            <c:symbol val="none"/>
          </c:marker>
          <c:cat>
            <c:numRef>
              <c:f>JAN!$E$4:$E$31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Feb!$AA$91:$AA$118</c:f>
              <c:numCache>
                <c:formatCode>0.0</c:formatCode>
                <c:ptCount val="28"/>
                <c:pt idx="0">
                  <c:v>1.4285714285714286</c:v>
                </c:pt>
                <c:pt idx="1">
                  <c:v>2.8571428571428572</c:v>
                </c:pt>
                <c:pt idx="2">
                  <c:v>4.2857142857142856</c:v>
                </c:pt>
                <c:pt idx="3">
                  <c:v>5.7142857142857144</c:v>
                </c:pt>
                <c:pt idx="4">
                  <c:v>7.1428571428571432</c:v>
                </c:pt>
                <c:pt idx="5">
                  <c:v>8.5714285714285712</c:v>
                </c:pt>
                <c:pt idx="6">
                  <c:v>10</c:v>
                </c:pt>
                <c:pt idx="7">
                  <c:v>11.428571428571429</c:v>
                </c:pt>
                <c:pt idx="8">
                  <c:v>12.857142857142858</c:v>
                </c:pt>
                <c:pt idx="9">
                  <c:v>14.285714285714286</c:v>
                </c:pt>
                <c:pt idx="10">
                  <c:v>15.714285714285715</c:v>
                </c:pt>
                <c:pt idx="11">
                  <c:v>17.142857142857142</c:v>
                </c:pt>
                <c:pt idx="12">
                  <c:v>18.571428571428573</c:v>
                </c:pt>
                <c:pt idx="13">
                  <c:v>20</c:v>
                </c:pt>
                <c:pt idx="14">
                  <c:v>21.428571428571431</c:v>
                </c:pt>
                <c:pt idx="15">
                  <c:v>22.857142857142858</c:v>
                </c:pt>
                <c:pt idx="16">
                  <c:v>24.285714285714285</c:v>
                </c:pt>
                <c:pt idx="17">
                  <c:v>25.714285714285715</c:v>
                </c:pt>
                <c:pt idx="18">
                  <c:v>27.142857142857142</c:v>
                </c:pt>
                <c:pt idx="19">
                  <c:v>28.571428571428573</c:v>
                </c:pt>
                <c:pt idx="20">
                  <c:v>30</c:v>
                </c:pt>
                <c:pt idx="21">
                  <c:v>31.428571428571431</c:v>
                </c:pt>
                <c:pt idx="22">
                  <c:v>32.857142857142861</c:v>
                </c:pt>
                <c:pt idx="23">
                  <c:v>34.285714285714285</c:v>
                </c:pt>
                <c:pt idx="24">
                  <c:v>35.714285714285715</c:v>
                </c:pt>
                <c:pt idx="25">
                  <c:v>37.142857142857146</c:v>
                </c:pt>
                <c:pt idx="26">
                  <c:v>38.571428571428569</c:v>
                </c:pt>
                <c:pt idx="27">
                  <c:v>40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4205440"/>
        <c:axId val="114206976"/>
      </c:lineChart>
      <c:lineChart>
        <c:grouping val="standard"/>
        <c:varyColors val="0"/>
        <c:ser>
          <c:idx val="0"/>
          <c:order val="2"/>
          <c:tx>
            <c:v>Cumulative Anomaly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circle"/>
            <c:size val="2"/>
            <c:spPr>
              <a:solidFill>
                <a:srgbClr val="333399"/>
              </a:solidFill>
              <a:ln>
                <a:solidFill>
                  <a:srgbClr val="333399"/>
                </a:solidFill>
                <a:prstDash val="solid"/>
              </a:ln>
            </c:spPr>
          </c:marker>
          <c:cat>
            <c:numRef>
              <c:f>JAN!$E$4:$E$31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Feb!$AC$91:$AC$118</c:f>
              <c:numCache>
                <c:formatCode>0%</c:formatCode>
                <c:ptCount val="28"/>
                <c:pt idx="0">
                  <c:v>7.0000000000000007E-2</c:v>
                </c:pt>
                <c:pt idx="1">
                  <c:v>7.0000000000000007E-2</c:v>
                </c:pt>
                <c:pt idx="2">
                  <c:v>4.6666666666666669E-2</c:v>
                </c:pt>
                <c:pt idx="3">
                  <c:v>3.5000000000000003E-2</c:v>
                </c:pt>
                <c:pt idx="4">
                  <c:v>4.2000000000000003E-2</c:v>
                </c:pt>
                <c:pt idx="5">
                  <c:v>3.5000000000000003E-2</c:v>
                </c:pt>
                <c:pt idx="6">
                  <c:v>0.04</c:v>
                </c:pt>
                <c:pt idx="7">
                  <c:v>3.5000000000000003E-2</c:v>
                </c:pt>
                <c:pt idx="8">
                  <c:v>3.111111111111111E-2</c:v>
                </c:pt>
                <c:pt idx="9">
                  <c:v>0.88900000000000001</c:v>
                </c:pt>
                <c:pt idx="10">
                  <c:v>0.87818181818181817</c:v>
                </c:pt>
                <c:pt idx="11">
                  <c:v>0.91583333333333339</c:v>
                </c:pt>
                <c:pt idx="12">
                  <c:v>1.006923076923077</c:v>
                </c:pt>
                <c:pt idx="13">
                  <c:v>0.93500000000000016</c:v>
                </c:pt>
                <c:pt idx="14">
                  <c:v>0.97533333333333339</c:v>
                </c:pt>
                <c:pt idx="15">
                  <c:v>0.91437500000000005</c:v>
                </c:pt>
                <c:pt idx="16">
                  <c:v>0.86058823529411776</c:v>
                </c:pt>
                <c:pt idx="17">
                  <c:v>0.81277777777777782</c:v>
                </c:pt>
                <c:pt idx="18">
                  <c:v>1.1826315789473685</c:v>
                </c:pt>
                <c:pt idx="19">
                  <c:v>1.1234999999999999</c:v>
                </c:pt>
                <c:pt idx="20">
                  <c:v>1.0733333333333335</c:v>
                </c:pt>
                <c:pt idx="21">
                  <c:v>1.0404545454545455</c:v>
                </c:pt>
                <c:pt idx="22">
                  <c:v>1.1017391304347826</c:v>
                </c:pt>
                <c:pt idx="23">
                  <c:v>1.0558333333333334</c:v>
                </c:pt>
                <c:pt idx="24">
                  <c:v>1.0136000000000001</c:v>
                </c:pt>
                <c:pt idx="25">
                  <c:v>1.1146153846153848</c:v>
                </c:pt>
                <c:pt idx="26">
                  <c:v>1.1381481481481484</c:v>
                </c:pt>
                <c:pt idx="27">
                  <c:v>1.105</c:v>
                </c:pt>
              </c:numCache>
            </c:numRef>
          </c:val>
          <c:smooth val="0"/>
        </c:ser>
        <c:ser>
          <c:idx val="3"/>
          <c:order val="3"/>
          <c:tx>
            <c:v>E (Cumulative Anomaly)</c:v>
          </c:tx>
          <c:spPr>
            <a:ln w="3175">
              <a:solidFill>
                <a:srgbClr val="0000FF"/>
              </a:solidFill>
              <a:prstDash val="lgDash"/>
            </a:ln>
          </c:spPr>
          <c:marker>
            <c:symbol val="none"/>
          </c:marker>
          <c:cat>
            <c:numRef>
              <c:f>JAN!$E$4:$E$31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JAN!$J$54:$J$81</c:f>
              <c:numCache>
                <c:formatCode>General</c:formatCode>
                <c:ptCount val="28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4360320"/>
        <c:axId val="114361856"/>
      </c:lineChart>
      <c:catAx>
        <c:axId val="114205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42069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4206976"/>
        <c:scaling>
          <c:orientation val="minMax"/>
          <c:max val="5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4205440"/>
        <c:crosses val="autoZero"/>
        <c:crossBetween val="between"/>
        <c:majorUnit val="10"/>
      </c:valAx>
      <c:catAx>
        <c:axId val="1143603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4361856"/>
        <c:crosses val="autoZero"/>
        <c:auto val="1"/>
        <c:lblAlgn val="ctr"/>
        <c:lblOffset val="100"/>
        <c:noMultiLvlLbl val="0"/>
      </c:catAx>
      <c:valAx>
        <c:axId val="114361856"/>
        <c:scaling>
          <c:orientation val="minMax"/>
          <c:max val="2"/>
          <c:min val="0"/>
        </c:scaling>
        <c:delete val="0"/>
        <c:axPos val="r"/>
        <c:numFmt formatCode="0%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4360320"/>
        <c:crosses val="max"/>
        <c:crossBetween val="between"/>
        <c:majorUnit val="0.4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 sz="14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Dew Point / </a:t>
            </a:r>
            <a:r>
              <a:rPr lang="en-GB" sz="1400" b="1" i="0" u="none" strike="noStrike" baseline="30000">
                <a:solidFill>
                  <a:srgbClr val="000000"/>
                </a:solidFill>
                <a:latin typeface="Arial"/>
                <a:cs typeface="Arial"/>
              </a:rPr>
              <a:t>o</a:t>
            </a:r>
            <a:r>
              <a:rPr lang="en-GB" sz="14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C</a:t>
            </a:r>
          </a:p>
        </c:rich>
      </c:tx>
      <c:layout>
        <c:manualLayout>
          <c:xMode val="edge"/>
          <c:yMode val="edge"/>
          <c:x val="0.45817984006611717"/>
          <c:y val="2.011834319526627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985254257748993E-2"/>
          <c:y val="8.7573964497041426E-2"/>
          <c:w val="0.97355532025683733"/>
          <c:h val="0.86153846153846159"/>
        </c:manualLayout>
      </c:layout>
      <c:lineChart>
        <c:grouping val="standard"/>
        <c:varyColors val="0"/>
        <c:ser>
          <c:idx val="2"/>
          <c:order val="0"/>
          <c:tx>
            <c:v>Min Dew Point</c:v>
          </c:tx>
          <c:spPr>
            <a:ln w="38100">
              <a:solidFill>
                <a:srgbClr val="99CC00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808000"/>
              </a:solidFill>
              <a:ln>
                <a:solidFill>
                  <a:srgbClr val="808000"/>
                </a:solidFill>
                <a:prstDash val="solid"/>
              </a:ln>
            </c:spPr>
          </c:marker>
          <c:cat>
            <c:numRef>
              <c:f>JAN!$E$4:$E$31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Feb!$AG$4:$AG$31</c:f>
              <c:numCache>
                <c:formatCode>0.0</c:formatCode>
                <c:ptCount val="28"/>
                <c:pt idx="0">
                  <c:v>-4.7</c:v>
                </c:pt>
                <c:pt idx="1">
                  <c:v>2.6</c:v>
                </c:pt>
                <c:pt idx="2">
                  <c:v>2.5</c:v>
                </c:pt>
                <c:pt idx="3">
                  <c:v>5.5</c:v>
                </c:pt>
                <c:pt idx="4">
                  <c:v>7.4</c:v>
                </c:pt>
                <c:pt idx="5">
                  <c:v>5.5</c:v>
                </c:pt>
                <c:pt idx="6">
                  <c:v>2.2000000000000002</c:v>
                </c:pt>
                <c:pt idx="7">
                  <c:v>-0.8</c:v>
                </c:pt>
                <c:pt idx="8">
                  <c:v>1.6</c:v>
                </c:pt>
                <c:pt idx="9">
                  <c:v>6.1</c:v>
                </c:pt>
                <c:pt idx="10">
                  <c:v>7.3</c:v>
                </c:pt>
                <c:pt idx="11">
                  <c:v>2.6</c:v>
                </c:pt>
                <c:pt idx="12">
                  <c:v>3.3</c:v>
                </c:pt>
                <c:pt idx="13">
                  <c:v>0.9</c:v>
                </c:pt>
                <c:pt idx="14">
                  <c:v>2</c:v>
                </c:pt>
                <c:pt idx="15">
                  <c:v>2.4</c:v>
                </c:pt>
                <c:pt idx="16">
                  <c:v>2.5</c:v>
                </c:pt>
                <c:pt idx="17">
                  <c:v>0</c:v>
                </c:pt>
                <c:pt idx="18">
                  <c:v>0.7</c:v>
                </c:pt>
                <c:pt idx="19">
                  <c:v>2.6</c:v>
                </c:pt>
                <c:pt idx="20">
                  <c:v>2.4</c:v>
                </c:pt>
                <c:pt idx="21">
                  <c:v>3.3</c:v>
                </c:pt>
                <c:pt idx="22">
                  <c:v>3.4</c:v>
                </c:pt>
                <c:pt idx="23">
                  <c:v>6</c:v>
                </c:pt>
                <c:pt idx="24">
                  <c:v>6</c:v>
                </c:pt>
                <c:pt idx="25">
                  <c:v>1.2</c:v>
                </c:pt>
                <c:pt idx="26">
                  <c:v>1.1000000000000001</c:v>
                </c:pt>
                <c:pt idx="27">
                  <c:v>1</c:v>
                </c:pt>
              </c:numCache>
            </c:numRef>
          </c:val>
          <c:smooth val="0"/>
        </c:ser>
        <c:ser>
          <c:idx val="0"/>
          <c:order val="1"/>
          <c:tx>
            <c:v>Mean' Dew Point</c:v>
          </c:tx>
          <c:spPr>
            <a:ln w="38100">
              <a:solidFill>
                <a:srgbClr val="008080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666699"/>
              </a:solidFill>
              <a:ln>
                <a:solidFill>
                  <a:srgbClr val="666699"/>
                </a:solidFill>
                <a:prstDash val="solid"/>
              </a:ln>
            </c:spPr>
          </c:marker>
          <c:cat>
            <c:numRef>
              <c:f>JAN!$E$4:$E$31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Feb!$AI$4:$AI$31</c:f>
              <c:numCache>
                <c:formatCode>0.0</c:formatCode>
                <c:ptCount val="28"/>
                <c:pt idx="0">
                  <c:v>1.5</c:v>
                </c:pt>
                <c:pt idx="1">
                  <c:v>5.5</c:v>
                </c:pt>
                <c:pt idx="2">
                  <c:v>4</c:v>
                </c:pt>
                <c:pt idx="3">
                  <c:v>7</c:v>
                </c:pt>
                <c:pt idx="4">
                  <c:v>7.9</c:v>
                </c:pt>
                <c:pt idx="5">
                  <c:v>6.9</c:v>
                </c:pt>
                <c:pt idx="6">
                  <c:v>4.5999999999999996</c:v>
                </c:pt>
                <c:pt idx="7">
                  <c:v>1.6</c:v>
                </c:pt>
                <c:pt idx="8">
                  <c:v>5</c:v>
                </c:pt>
                <c:pt idx="9">
                  <c:v>8.5</c:v>
                </c:pt>
                <c:pt idx="10">
                  <c:v>9.1</c:v>
                </c:pt>
                <c:pt idx="11">
                  <c:v>6.5</c:v>
                </c:pt>
                <c:pt idx="12">
                  <c:v>5.4</c:v>
                </c:pt>
                <c:pt idx="13">
                  <c:v>3.5</c:v>
                </c:pt>
                <c:pt idx="14">
                  <c:v>3.9</c:v>
                </c:pt>
                <c:pt idx="15">
                  <c:v>4</c:v>
                </c:pt>
                <c:pt idx="16">
                  <c:v>4.3</c:v>
                </c:pt>
                <c:pt idx="17">
                  <c:v>2.2999999999999998</c:v>
                </c:pt>
                <c:pt idx="18">
                  <c:v>4</c:v>
                </c:pt>
                <c:pt idx="19">
                  <c:v>3.6</c:v>
                </c:pt>
                <c:pt idx="20">
                  <c:v>3.3</c:v>
                </c:pt>
                <c:pt idx="21">
                  <c:v>4.3</c:v>
                </c:pt>
                <c:pt idx="22">
                  <c:v>7.1</c:v>
                </c:pt>
                <c:pt idx="23">
                  <c:v>8.1999999999999993</c:v>
                </c:pt>
                <c:pt idx="24">
                  <c:v>8.3000000000000007</c:v>
                </c:pt>
                <c:pt idx="25">
                  <c:v>5.9</c:v>
                </c:pt>
                <c:pt idx="26">
                  <c:v>2.1</c:v>
                </c:pt>
                <c:pt idx="27">
                  <c:v>1.5</c:v>
                </c:pt>
              </c:numCache>
            </c:numRef>
          </c:val>
          <c:smooth val="0"/>
        </c:ser>
        <c:ser>
          <c:idx val="4"/>
          <c:order val="2"/>
          <c:tx>
            <c:v>Max Dew Point</c:v>
          </c:tx>
          <c:spPr>
            <a:ln w="38100">
              <a:solidFill>
                <a:srgbClr val="003300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003366"/>
              </a:solidFill>
              <a:ln>
                <a:solidFill>
                  <a:srgbClr val="003366"/>
                </a:solidFill>
                <a:prstDash val="solid"/>
              </a:ln>
            </c:spPr>
          </c:marker>
          <c:cat>
            <c:numRef>
              <c:f>JAN!$E$4:$E$31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Feb!$AH$4:$AH$31</c:f>
              <c:numCache>
                <c:formatCode>0.0</c:formatCode>
                <c:ptCount val="28"/>
                <c:pt idx="0">
                  <c:v>5.5</c:v>
                </c:pt>
                <c:pt idx="1">
                  <c:v>8.8000000000000007</c:v>
                </c:pt>
                <c:pt idx="2">
                  <c:v>6</c:v>
                </c:pt>
                <c:pt idx="3">
                  <c:v>8.1</c:v>
                </c:pt>
                <c:pt idx="4">
                  <c:v>8.6</c:v>
                </c:pt>
                <c:pt idx="5">
                  <c:v>8.3000000000000007</c:v>
                </c:pt>
                <c:pt idx="6">
                  <c:v>8.4</c:v>
                </c:pt>
                <c:pt idx="7">
                  <c:v>4.5999999999999996</c:v>
                </c:pt>
                <c:pt idx="8">
                  <c:v>6.9</c:v>
                </c:pt>
                <c:pt idx="9">
                  <c:v>10.1</c:v>
                </c:pt>
                <c:pt idx="10">
                  <c:v>11</c:v>
                </c:pt>
                <c:pt idx="11">
                  <c:v>9.6999999999999993</c:v>
                </c:pt>
                <c:pt idx="12">
                  <c:v>7.1</c:v>
                </c:pt>
                <c:pt idx="13">
                  <c:v>5.9</c:v>
                </c:pt>
                <c:pt idx="14">
                  <c:v>5.9</c:v>
                </c:pt>
                <c:pt idx="15">
                  <c:v>5.8</c:v>
                </c:pt>
                <c:pt idx="16">
                  <c:v>6.2</c:v>
                </c:pt>
                <c:pt idx="17">
                  <c:v>4.2</c:v>
                </c:pt>
                <c:pt idx="18">
                  <c:v>5.7</c:v>
                </c:pt>
                <c:pt idx="19">
                  <c:v>4.8</c:v>
                </c:pt>
                <c:pt idx="20">
                  <c:v>4.0999999999999996</c:v>
                </c:pt>
                <c:pt idx="21">
                  <c:v>5.5</c:v>
                </c:pt>
                <c:pt idx="22">
                  <c:v>9.9</c:v>
                </c:pt>
                <c:pt idx="23">
                  <c:v>10.199999999999999</c:v>
                </c:pt>
                <c:pt idx="24">
                  <c:v>10.6</c:v>
                </c:pt>
                <c:pt idx="25">
                  <c:v>9.1</c:v>
                </c:pt>
                <c:pt idx="26">
                  <c:v>3.5</c:v>
                </c:pt>
                <c:pt idx="27">
                  <c:v>2.6</c:v>
                </c:pt>
              </c:numCache>
            </c:numRef>
          </c:val>
          <c:smooth val="0"/>
        </c:ser>
        <c:ser>
          <c:idx val="3"/>
          <c:order val="3"/>
          <c:tx>
            <c:v>Frost Point</c:v>
          </c:tx>
          <c:spPr>
            <a:ln w="38100">
              <a:solidFill>
                <a:srgbClr val="000080"/>
              </a:solidFill>
              <a:prstDash val="sysDash"/>
            </a:ln>
          </c:spPr>
          <c:marker>
            <c:symbol val="none"/>
          </c:marker>
          <c:cat>
            <c:numRef>
              <c:f>JAN!$E$4:$E$31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JAN!$T$4:$T$31</c:f>
              <c:numCache>
                <c:formatCode>0.0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4384256"/>
        <c:axId val="114386048"/>
      </c:lineChart>
      <c:catAx>
        <c:axId val="114384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4386048"/>
        <c:crossesAt val="-10"/>
        <c:auto val="1"/>
        <c:lblAlgn val="ctr"/>
        <c:lblOffset val="100"/>
        <c:tickLblSkip val="1"/>
        <c:tickMarkSkip val="1"/>
        <c:noMultiLvlLbl val="0"/>
      </c:catAx>
      <c:valAx>
        <c:axId val="114386048"/>
        <c:scaling>
          <c:orientation val="minMax"/>
          <c:max val="12"/>
          <c:min val="-6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4384256"/>
        <c:crosses val="autoZero"/>
        <c:crossBetween val="between"/>
        <c:majorUnit val="2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Mean Wind Direction Frequency</a:t>
            </a:r>
          </a:p>
        </c:rich>
      </c:tx>
      <c:layout>
        <c:manualLayout>
          <c:xMode val="edge"/>
          <c:yMode val="edge"/>
          <c:x val="0.40434296945276205"/>
          <c:y val="2.597402597402597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1220675169566076"/>
          <c:y val="0.17119254260933731"/>
          <c:w val="0.36267626418781646"/>
          <c:h val="0.72963442298324455"/>
        </c:manualLayout>
      </c:layout>
      <c:radarChart>
        <c:radarStyle val="filled"/>
        <c:varyColors val="1"/>
        <c:ser>
          <c:idx val="0"/>
          <c:order val="0"/>
          <c:tx>
            <c:v>Mean Wind Direction</c:v>
          </c:tx>
          <c:spPr>
            <a:solidFill>
              <a:srgbClr val="FF99CC"/>
            </a:solidFill>
            <a:ln w="38100">
              <a:solidFill>
                <a:srgbClr val="FF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</c:dPt>
          <c:dPt>
            <c:idx val="2"/>
            <c:bubble3D val="0"/>
          </c:dPt>
          <c:dPt>
            <c:idx val="3"/>
            <c:bubble3D val="0"/>
          </c:dPt>
          <c:dPt>
            <c:idx val="4"/>
            <c:bubble3D val="0"/>
          </c:dPt>
          <c:dPt>
            <c:idx val="5"/>
            <c:bubble3D val="0"/>
          </c:dPt>
          <c:dPt>
            <c:idx val="6"/>
            <c:bubble3D val="0"/>
          </c:dPt>
          <c:dPt>
            <c:idx val="7"/>
            <c:bubble3D val="0"/>
          </c:dPt>
          <c:dLbls>
            <c:dLbl>
              <c:idx val="0"/>
              <c:layout>
                <c:manualLayout>
                  <c:x val="1.8173424323371492E-3"/>
                  <c:y val="-0.3418953572883924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 val="0.12099996769210394"/>
                  <c:y val="-0.2178792527756775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layout>
                <c:manualLayout>
                  <c:x val="0.14265415738874535"/>
                  <c:y val="-2.900289048408883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layout>
                <c:manualLayout>
                  <c:x val="0.14342588159617825"/>
                  <c:y val="0.2418469743505702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4"/>
              <c:layout>
                <c:manualLayout>
                  <c:x val="1.2304876359167495E-3"/>
                  <c:y val="0.20816411899294371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5"/>
              <c:layout>
                <c:manualLayout>
                  <c:x val="-1.7733725042225593E-2"/>
                  <c:y val="1.17534274399724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6"/>
              <c:layout>
                <c:manualLayout>
                  <c:x val="-0.16664353672807633"/>
                  <c:y val="-4.0809272733008887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7"/>
              <c:layout>
                <c:manualLayout>
                  <c:x val="-0.13356653635504867"/>
                  <c:y val="-0.23630537926193285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375" b="1" i="0" u="none" strike="noStrike" baseline="0">
                    <a:solidFill>
                      <a:srgbClr val="FF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JAN!$W$46:$W$53</c:f>
              <c:strCache>
                <c:ptCount val="8"/>
                <c:pt idx="0">
                  <c:v>N</c:v>
                </c:pt>
                <c:pt idx="1">
                  <c:v>NE</c:v>
                </c:pt>
                <c:pt idx="2">
                  <c:v>E</c:v>
                </c:pt>
                <c:pt idx="3">
                  <c:v>SE</c:v>
                </c:pt>
                <c:pt idx="4">
                  <c:v>S</c:v>
                </c:pt>
                <c:pt idx="5">
                  <c:v>SW</c:v>
                </c:pt>
                <c:pt idx="6">
                  <c:v>W</c:v>
                </c:pt>
                <c:pt idx="7">
                  <c:v>NW</c:v>
                </c:pt>
              </c:strCache>
            </c:strRef>
          </c:cat>
          <c:val>
            <c:numRef>
              <c:f>Feb!$X$46:$X$53</c:f>
              <c:numCache>
                <c:formatCode>0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0</c:v>
                </c:pt>
                <c:pt idx="4">
                  <c:v>6</c:v>
                </c:pt>
                <c:pt idx="5">
                  <c:v>13</c:v>
                </c:pt>
                <c:pt idx="6">
                  <c:v>2</c:v>
                </c:pt>
                <c:pt idx="7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838912"/>
        <c:axId val="114844800"/>
      </c:radarChart>
      <c:catAx>
        <c:axId val="114838912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4844800"/>
        <c:crosses val="autoZero"/>
        <c:auto val="0"/>
        <c:lblAlgn val="ctr"/>
        <c:lblOffset val="100"/>
        <c:noMultiLvlLbl val="0"/>
      </c:catAx>
      <c:valAx>
        <c:axId val="114844800"/>
        <c:scaling>
          <c:orientation val="minMax"/>
          <c:max val="14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0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4838912"/>
        <c:crosses val="autoZero"/>
        <c:crossBetween val="between"/>
        <c:majorUnit val="2"/>
      </c:valAx>
      <c:spPr>
        <a:solidFill>
          <a:srgbClr val="C0C0C0"/>
        </a:solidFill>
        <a:ln w="25400">
          <a:noFill/>
        </a:ln>
      </c:spPr>
    </c:plotArea>
    <c:plotVisOnly val="1"/>
    <c:dispBlanksAs val="gap"/>
    <c:showDLblsOverMax val="0"/>
  </c:chart>
  <c:spPr>
    <a:solidFill>
      <a:srgbClr val="C0C0C0"/>
    </a:solidFill>
    <a:ln w="3175">
      <a:solidFill>
        <a:srgbClr val="000000"/>
      </a:solidFill>
      <a:prstDash val="solid"/>
    </a:ln>
  </c:spPr>
  <c:txPr>
    <a:bodyPr/>
    <a:lstStyle/>
    <a:p>
      <a:pPr>
        <a:defRPr sz="23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Cumulative Sun Hours / h</a:t>
            </a:r>
          </a:p>
        </c:rich>
      </c:tx>
      <c:layout>
        <c:manualLayout>
          <c:xMode val="edge"/>
          <c:yMode val="edge"/>
          <c:x val="0.42778132143439052"/>
          <c:y val="2.71226415094339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502160052459488E-2"/>
          <c:y val="8.7264150943396221E-2"/>
          <c:w val="0.9403813516721462"/>
          <c:h val="0.86202830188679247"/>
        </c:manualLayout>
      </c:layout>
      <c:lineChart>
        <c:grouping val="standard"/>
        <c:varyColors val="0"/>
        <c:ser>
          <c:idx val="1"/>
          <c:order val="0"/>
          <c:tx>
            <c:v>Cumulative Sun Hours</c:v>
          </c:tx>
          <c:spPr>
            <a:ln w="38100">
              <a:solidFill>
                <a:srgbClr val="FFFF00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99CC00"/>
              </a:solidFill>
              <a:ln>
                <a:solidFill>
                  <a:srgbClr val="99CC00"/>
                </a:solidFill>
                <a:prstDash val="solid"/>
              </a:ln>
            </c:spPr>
          </c:marker>
          <c:cat>
            <c:numRef>
              <c:f>JAN!$E$4:$E$31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Feb!$AG$91:$AG$118</c:f>
              <c:numCache>
                <c:formatCode>0</c:formatCode>
                <c:ptCount val="28"/>
                <c:pt idx="0">
                  <c:v>0.2</c:v>
                </c:pt>
                <c:pt idx="1">
                  <c:v>0.30000000000000004</c:v>
                </c:pt>
                <c:pt idx="2">
                  <c:v>6.3</c:v>
                </c:pt>
                <c:pt idx="3">
                  <c:v>6.3999999999999995</c:v>
                </c:pt>
                <c:pt idx="4">
                  <c:v>6.3999999999999995</c:v>
                </c:pt>
                <c:pt idx="5">
                  <c:v>6.3999999999999995</c:v>
                </c:pt>
                <c:pt idx="6">
                  <c:v>7.1</c:v>
                </c:pt>
                <c:pt idx="7">
                  <c:v>14.1</c:v>
                </c:pt>
                <c:pt idx="8">
                  <c:v>17.100000000000001</c:v>
                </c:pt>
                <c:pt idx="9">
                  <c:v>17.100000000000001</c:v>
                </c:pt>
                <c:pt idx="10">
                  <c:v>17.3</c:v>
                </c:pt>
                <c:pt idx="11">
                  <c:v>19.8</c:v>
                </c:pt>
                <c:pt idx="12">
                  <c:v>19.8</c:v>
                </c:pt>
                <c:pt idx="13">
                  <c:v>25.3</c:v>
                </c:pt>
                <c:pt idx="14">
                  <c:v>25.3</c:v>
                </c:pt>
                <c:pt idx="15">
                  <c:v>27.3</c:v>
                </c:pt>
                <c:pt idx="16">
                  <c:v>28.3</c:v>
                </c:pt>
                <c:pt idx="17">
                  <c:v>28.8</c:v>
                </c:pt>
                <c:pt idx="18">
                  <c:v>28.8</c:v>
                </c:pt>
                <c:pt idx="19">
                  <c:v>28.8</c:v>
                </c:pt>
                <c:pt idx="20">
                  <c:v>28.8</c:v>
                </c:pt>
                <c:pt idx="21">
                  <c:v>28.8</c:v>
                </c:pt>
                <c:pt idx="22">
                  <c:v>28.8</c:v>
                </c:pt>
                <c:pt idx="23">
                  <c:v>33.799999999999997</c:v>
                </c:pt>
                <c:pt idx="24">
                  <c:v>35.799999999999997</c:v>
                </c:pt>
                <c:pt idx="25">
                  <c:v>36.099999999999994</c:v>
                </c:pt>
                <c:pt idx="26">
                  <c:v>40.099999999999994</c:v>
                </c:pt>
                <c:pt idx="27">
                  <c:v>40.099999999999994</c:v>
                </c:pt>
              </c:numCache>
            </c:numRef>
          </c:val>
          <c:smooth val="0"/>
        </c:ser>
        <c:ser>
          <c:idx val="2"/>
          <c:order val="1"/>
          <c:tx>
            <c:v>E (Cumulative Sun Hours)</c:v>
          </c:tx>
          <c:spPr>
            <a:ln w="25400">
              <a:solidFill>
                <a:srgbClr val="FFFF99"/>
              </a:solidFill>
              <a:prstDash val="lgDash"/>
            </a:ln>
          </c:spPr>
          <c:marker>
            <c:symbol val="diamond"/>
            <c:size val="2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cat>
            <c:numRef>
              <c:f>JAN!$E$4:$E$31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Feb!$AH$91:$AH$118</c:f>
              <c:numCache>
                <c:formatCode>0.0</c:formatCode>
                <c:ptCount val="28"/>
                <c:pt idx="0">
                  <c:v>2.4575176746900653</c:v>
                </c:pt>
                <c:pt idx="1">
                  <c:v>4.9300696650876024</c:v>
                </c:pt>
                <c:pt idx="2">
                  <c:v>7.4178502843177014</c:v>
                </c:pt>
                <c:pt idx="3">
                  <c:v>9.9210467772975903</c:v>
                </c:pt>
                <c:pt idx="4">
                  <c:v>12.43983946236713</c:v>
                </c:pt>
                <c:pt idx="5">
                  <c:v>14.974401876755024</c:v>
                </c:pt>
                <c:pt idx="6">
                  <c:v>17.52490092522488</c:v>
                </c:pt>
                <c:pt idx="7">
                  <c:v>20.091497031276976</c:v>
                </c:pt>
                <c:pt idx="8">
                  <c:v>22.674344290313606</c:v>
                </c:pt>
                <c:pt idx="9">
                  <c:v>25.273590624207799</c:v>
                </c:pt>
                <c:pt idx="10">
                  <c:v>27.889377936746996</c:v>
                </c:pt>
                <c:pt idx="11">
                  <c:v>30.521842269454545</c:v>
                </c:pt>
                <c:pt idx="12">
                  <c:v>33.171113957322589</c:v>
                </c:pt>
                <c:pt idx="13">
                  <c:v>35.837317784019923</c:v>
                </c:pt>
                <c:pt idx="14">
                  <c:v>38.520573136167471</c:v>
                </c:pt>
                <c:pt idx="15">
                  <c:v>41.22099415630219</c:v>
                </c:pt>
                <c:pt idx="16">
                  <c:v>43.938689894177323</c:v>
                </c:pt>
                <c:pt idx="17">
                  <c:v>46.67376445607286</c:v>
                </c:pt>
                <c:pt idx="18">
                  <c:v>49.426317151815049</c:v>
                </c:pt>
                <c:pt idx="19">
                  <c:v>52.196442639227328</c:v>
                </c:pt>
                <c:pt idx="20">
                  <c:v>54.984231065757584</c:v>
                </c:pt>
                <c:pt idx="21">
                  <c:v>57.789768207047942</c:v>
                </c:pt>
                <c:pt idx="22">
                  <c:v>60.613135602233314</c:v>
                </c:pt>
                <c:pt idx="23">
                  <c:v>63.45441068577378</c:v>
                </c:pt>
                <c:pt idx="24">
                  <c:v>66.31366691564368</c:v>
                </c:pt>
                <c:pt idx="25">
                  <c:v>69.190973897716759</c:v>
                </c:pt>
                <c:pt idx="26">
                  <c:v>72.086397506202076</c:v>
                </c:pt>
                <c:pt idx="27">
                  <c:v>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4881280"/>
        <c:axId val="114882816"/>
      </c:lineChart>
      <c:lineChart>
        <c:grouping val="standard"/>
        <c:varyColors val="0"/>
        <c:ser>
          <c:idx val="0"/>
          <c:order val="2"/>
          <c:tx>
            <c:v>Cumulative Anomaly</c:v>
          </c:tx>
          <c:spPr>
            <a:ln w="12700">
              <a:solidFill>
                <a:srgbClr val="99CC00"/>
              </a:solidFill>
              <a:prstDash val="solid"/>
            </a:ln>
          </c:spPr>
          <c:marker>
            <c:symbol val="circle"/>
            <c:size val="2"/>
            <c:spPr>
              <a:solidFill>
                <a:srgbClr val="808000"/>
              </a:solidFill>
              <a:ln>
                <a:solidFill>
                  <a:srgbClr val="808000"/>
                </a:solidFill>
                <a:prstDash val="solid"/>
              </a:ln>
            </c:spPr>
          </c:marker>
          <c:cat>
            <c:numRef>
              <c:f>JAN!$E$4:$E$31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Feb!$AI$91:$AI$118</c:f>
              <c:numCache>
                <c:formatCode>0%</c:formatCode>
                <c:ptCount val="28"/>
                <c:pt idx="0">
                  <c:v>8.1382934519575081E-2</c:v>
                </c:pt>
                <c:pt idx="1">
                  <c:v>6.0851067100421867E-2</c:v>
                </c:pt>
                <c:pt idx="2">
                  <c:v>0.84930266297218449</c:v>
                </c:pt>
                <c:pt idx="3">
                  <c:v>0.64509321885722481</c:v>
                </c:pt>
                <c:pt idx="4">
                  <c:v>0.514476092666727</c:v>
                </c:pt>
                <c:pt idx="5">
                  <c:v>0.42739603575985297</c:v>
                </c:pt>
                <c:pt idx="6">
                  <c:v>0.40513781106633517</c:v>
                </c:pt>
                <c:pt idx="7">
                  <c:v>0.70178941758546654</c:v>
                </c:pt>
                <c:pt idx="8">
                  <c:v>0.75415631786560888</c:v>
                </c:pt>
                <c:pt idx="9">
                  <c:v>0.67659559159042137</c:v>
                </c:pt>
                <c:pt idx="10">
                  <c:v>0.62030784764136138</c:v>
                </c:pt>
                <c:pt idx="11">
                  <c:v>0.64871575657853786</c:v>
                </c:pt>
                <c:pt idx="12">
                  <c:v>0.59690488614504644</c:v>
                </c:pt>
                <c:pt idx="13">
                  <c:v>0.70596801224006289</c:v>
                </c:pt>
                <c:pt idx="14">
                  <c:v>0.65679188911770103</c:v>
                </c:pt>
                <c:pt idx="15">
                  <c:v>0.66228388127864113</c:v>
                </c:pt>
                <c:pt idx="16">
                  <c:v>0.64407928566277683</c:v>
                </c:pt>
                <c:pt idx="17">
                  <c:v>0.61704900677349905</c:v>
                </c:pt>
                <c:pt idx="18">
                  <c:v>0.5826855339340693</c:v>
                </c:pt>
                <c:pt idx="19">
                  <c:v>0.55176173976185616</c:v>
                </c:pt>
                <c:pt idx="20">
                  <c:v>0.5237865373720888</c:v>
                </c:pt>
                <c:pt idx="21">
                  <c:v>0.49835811586604706</c:v>
                </c:pt>
                <c:pt idx="22">
                  <c:v>0.47514453284510255</c:v>
                </c:pt>
                <c:pt idx="23">
                  <c:v>0.53266588775644907</c:v>
                </c:pt>
                <c:pt idx="24">
                  <c:v>0.53985854900077357</c:v>
                </c:pt>
                <c:pt idx="25">
                  <c:v>0.52174435430502386</c:v>
                </c:pt>
                <c:pt idx="26">
                  <c:v>0.55627693139402512</c:v>
                </c:pt>
                <c:pt idx="27">
                  <c:v>0.53466666666666662</c:v>
                </c:pt>
              </c:numCache>
            </c:numRef>
          </c:val>
          <c:smooth val="0"/>
        </c:ser>
        <c:ser>
          <c:idx val="3"/>
          <c:order val="3"/>
          <c:tx>
            <c:v>E (Cumulative Anomaly)</c:v>
          </c:tx>
          <c:spPr>
            <a:ln w="12700">
              <a:solidFill>
                <a:srgbClr val="808000"/>
              </a:solidFill>
              <a:prstDash val="lgDash"/>
            </a:ln>
          </c:spPr>
          <c:marker>
            <c:symbol val="none"/>
          </c:marker>
          <c:cat>
            <c:numRef>
              <c:f>JAN!$E$4:$E$31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JAN!$J$54:$J$81</c:f>
              <c:numCache>
                <c:formatCode>General</c:formatCode>
                <c:ptCount val="28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4892800"/>
        <c:axId val="114894336"/>
      </c:lineChart>
      <c:catAx>
        <c:axId val="114881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48828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4882816"/>
        <c:scaling>
          <c:orientation val="minMax"/>
          <c:max val="100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4881280"/>
        <c:crosses val="autoZero"/>
        <c:crossBetween val="between"/>
        <c:majorUnit val="20"/>
      </c:valAx>
      <c:catAx>
        <c:axId val="1148928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4894336"/>
        <c:crosses val="autoZero"/>
        <c:auto val="1"/>
        <c:lblAlgn val="ctr"/>
        <c:lblOffset val="100"/>
        <c:noMultiLvlLbl val="0"/>
      </c:catAx>
      <c:valAx>
        <c:axId val="114894336"/>
        <c:scaling>
          <c:orientation val="minMax"/>
          <c:max val="1.25"/>
          <c:min val="0"/>
        </c:scaling>
        <c:delete val="0"/>
        <c:axPos val="r"/>
        <c:numFmt formatCode="0%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4892800"/>
        <c:crosses val="max"/>
        <c:crossBetween val="between"/>
        <c:majorUnit val="0.25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 horizontalDpi="-3" verticalDpi="0"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 sz="14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Mean' &amp; Mean Temperature / </a:t>
            </a:r>
            <a:r>
              <a:rPr lang="en-GB" sz="1400" b="1" i="0" u="none" strike="noStrike" baseline="30000">
                <a:solidFill>
                  <a:srgbClr val="000000"/>
                </a:solidFill>
                <a:latin typeface="Arial"/>
                <a:cs typeface="Arial"/>
              </a:rPr>
              <a:t>o</a:t>
            </a:r>
            <a:r>
              <a:rPr lang="en-GB" sz="14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C</a:t>
            </a:r>
          </a:p>
        </c:rich>
      </c:tx>
      <c:layout>
        <c:manualLayout>
          <c:xMode val="edge"/>
          <c:yMode val="edge"/>
          <c:x val="0.40872784878534313"/>
          <c:y val="1.990632318501171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970505042623335E-2"/>
          <c:y val="8.6651053864168617E-2"/>
          <c:w val="0.97357128173116314"/>
          <c:h val="0.86299765807962525"/>
        </c:manualLayout>
      </c:layout>
      <c:lineChart>
        <c:grouping val="standard"/>
        <c:varyColors val="0"/>
        <c:ser>
          <c:idx val="2"/>
          <c:order val="0"/>
          <c:tx>
            <c:v>Mean Temperature</c:v>
          </c:tx>
          <c:spPr>
            <a:ln w="25400">
              <a:solidFill>
                <a:srgbClr val="666699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333399"/>
              </a:solidFill>
              <a:ln>
                <a:solidFill>
                  <a:srgbClr val="333399"/>
                </a:solidFill>
                <a:prstDash val="solid"/>
              </a:ln>
            </c:spPr>
          </c:marker>
          <c:cat>
            <c:numRef>
              <c:f>JAN!$E$4:$E$31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Feb!$L$91:$L$118</c:f>
              <c:numCache>
                <c:formatCode>0.0</c:formatCode>
                <c:ptCount val="28"/>
                <c:pt idx="0">
                  <c:v>2.6</c:v>
                </c:pt>
                <c:pt idx="1">
                  <c:v>6.5</c:v>
                </c:pt>
                <c:pt idx="2">
                  <c:v>6.9</c:v>
                </c:pt>
                <c:pt idx="3">
                  <c:v>10.9</c:v>
                </c:pt>
                <c:pt idx="4">
                  <c:v>12.15</c:v>
                </c:pt>
                <c:pt idx="5">
                  <c:v>10.649999999999999</c:v>
                </c:pt>
                <c:pt idx="6">
                  <c:v>8.5500000000000007</c:v>
                </c:pt>
                <c:pt idx="7">
                  <c:v>5.3</c:v>
                </c:pt>
                <c:pt idx="8">
                  <c:v>7.95</c:v>
                </c:pt>
                <c:pt idx="9">
                  <c:v>9.4499999999999993</c:v>
                </c:pt>
                <c:pt idx="10">
                  <c:v>10.199999999999999</c:v>
                </c:pt>
                <c:pt idx="11">
                  <c:v>8.0500000000000007</c:v>
                </c:pt>
                <c:pt idx="12">
                  <c:v>7.1</c:v>
                </c:pt>
                <c:pt idx="13">
                  <c:v>7</c:v>
                </c:pt>
                <c:pt idx="14">
                  <c:v>5.85</c:v>
                </c:pt>
                <c:pt idx="15">
                  <c:v>7.2</c:v>
                </c:pt>
                <c:pt idx="16">
                  <c:v>6.25</c:v>
                </c:pt>
                <c:pt idx="17">
                  <c:v>4.55</c:v>
                </c:pt>
                <c:pt idx="18">
                  <c:v>4.3499999999999996</c:v>
                </c:pt>
                <c:pt idx="19">
                  <c:v>4.3499999999999996</c:v>
                </c:pt>
                <c:pt idx="20">
                  <c:v>5</c:v>
                </c:pt>
                <c:pt idx="21">
                  <c:v>5.8</c:v>
                </c:pt>
                <c:pt idx="22">
                  <c:v>8.4</c:v>
                </c:pt>
                <c:pt idx="23">
                  <c:v>11</c:v>
                </c:pt>
                <c:pt idx="24">
                  <c:v>11.149999999999999</c:v>
                </c:pt>
                <c:pt idx="25">
                  <c:v>7.95</c:v>
                </c:pt>
                <c:pt idx="26">
                  <c:v>6.4499999999999993</c:v>
                </c:pt>
                <c:pt idx="27">
                  <c:v>3.85</c:v>
                </c:pt>
              </c:numCache>
            </c:numRef>
          </c:val>
          <c:smooth val="0"/>
        </c:ser>
        <c:ser>
          <c:idx val="0"/>
          <c:order val="1"/>
          <c:tx>
            <c:v>Mean' Temperature</c:v>
          </c:tx>
          <c:spPr>
            <a:ln w="38100">
              <a:solidFill>
                <a:srgbClr val="800080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666699"/>
              </a:solidFill>
              <a:ln>
                <a:solidFill>
                  <a:srgbClr val="666699"/>
                </a:solidFill>
                <a:prstDash val="solid"/>
              </a:ln>
            </c:spPr>
          </c:marker>
          <c:cat>
            <c:numRef>
              <c:f>JAN!$E$4:$E$31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Feb!$H$4:$H$31</c:f>
              <c:numCache>
                <c:formatCode>0.0</c:formatCode>
                <c:ptCount val="28"/>
                <c:pt idx="0">
                  <c:v>3.5</c:v>
                </c:pt>
                <c:pt idx="1">
                  <c:v>6.6</c:v>
                </c:pt>
                <c:pt idx="2">
                  <c:v>7.5</c:v>
                </c:pt>
                <c:pt idx="3">
                  <c:v>11</c:v>
                </c:pt>
                <c:pt idx="4">
                  <c:v>12</c:v>
                </c:pt>
                <c:pt idx="5">
                  <c:v>10.8</c:v>
                </c:pt>
                <c:pt idx="6">
                  <c:v>9</c:v>
                </c:pt>
                <c:pt idx="7">
                  <c:v>5.5</c:v>
                </c:pt>
                <c:pt idx="8">
                  <c:v>8.1</c:v>
                </c:pt>
                <c:pt idx="9">
                  <c:v>9.6</c:v>
                </c:pt>
                <c:pt idx="10">
                  <c:v>10.1</c:v>
                </c:pt>
                <c:pt idx="11">
                  <c:v>8.9</c:v>
                </c:pt>
                <c:pt idx="12">
                  <c:v>7.4</c:v>
                </c:pt>
                <c:pt idx="13">
                  <c:v>6.8</c:v>
                </c:pt>
                <c:pt idx="14">
                  <c:v>6.1</c:v>
                </c:pt>
                <c:pt idx="15">
                  <c:v>6.9</c:v>
                </c:pt>
                <c:pt idx="16">
                  <c:v>6</c:v>
                </c:pt>
                <c:pt idx="17">
                  <c:v>4.5</c:v>
                </c:pt>
                <c:pt idx="18">
                  <c:v>4.5999999999999996</c:v>
                </c:pt>
                <c:pt idx="19">
                  <c:v>4.3</c:v>
                </c:pt>
                <c:pt idx="20">
                  <c:v>5</c:v>
                </c:pt>
                <c:pt idx="21">
                  <c:v>5.9</c:v>
                </c:pt>
                <c:pt idx="22">
                  <c:v>8.1999999999999993</c:v>
                </c:pt>
                <c:pt idx="23">
                  <c:v>10.6</c:v>
                </c:pt>
                <c:pt idx="24">
                  <c:v>11.1</c:v>
                </c:pt>
                <c:pt idx="25">
                  <c:v>8.5</c:v>
                </c:pt>
                <c:pt idx="26">
                  <c:v>5.2</c:v>
                </c:pt>
                <c:pt idx="27">
                  <c:v>3.5</c:v>
                </c:pt>
              </c:numCache>
            </c:numRef>
          </c:val>
          <c:smooth val="0"/>
        </c:ser>
        <c:ser>
          <c:idx val="1"/>
          <c:order val="2"/>
          <c:tx>
            <c:v>E (Mean)</c:v>
          </c:tx>
          <c:spPr>
            <a:ln w="38100">
              <a:solidFill>
                <a:srgbClr val="CC99FF"/>
              </a:solidFill>
              <a:prstDash val="lgDash"/>
            </a:ln>
          </c:spPr>
          <c:marker>
            <c:symbol val="none"/>
          </c:marker>
          <c:cat>
            <c:numRef>
              <c:f>JAN!$E$4:$E$31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Feb!$H$91:$H$118</c:f>
              <c:numCache>
                <c:formatCode>0.0</c:formatCode>
                <c:ptCount val="28"/>
                <c:pt idx="0">
                  <c:v>4.71</c:v>
                </c:pt>
                <c:pt idx="1">
                  <c:v>4.72</c:v>
                </c:pt>
                <c:pt idx="2">
                  <c:v>4.7450000000000001</c:v>
                </c:pt>
                <c:pt idx="3">
                  <c:v>4.7649999999999997</c:v>
                </c:pt>
                <c:pt idx="4">
                  <c:v>4.8250000000000002</c:v>
                </c:pt>
                <c:pt idx="5">
                  <c:v>4.8650000000000002</c:v>
                </c:pt>
                <c:pt idx="6">
                  <c:v>4.8319999999999999</c:v>
                </c:pt>
                <c:pt idx="7">
                  <c:v>4.7990000000000004</c:v>
                </c:pt>
                <c:pt idx="8">
                  <c:v>4.7201666666666666</c:v>
                </c:pt>
                <c:pt idx="9">
                  <c:v>4.6413333333333338</c:v>
                </c:pt>
                <c:pt idx="10">
                  <c:v>4.5625</c:v>
                </c:pt>
                <c:pt idx="11">
                  <c:v>4.5472222222222216</c:v>
                </c:pt>
                <c:pt idx="12">
                  <c:v>4.5319444444444441</c:v>
                </c:pt>
                <c:pt idx="13">
                  <c:v>4.5166666666666666</c:v>
                </c:pt>
                <c:pt idx="14">
                  <c:v>4.5472222222222216</c:v>
                </c:pt>
                <c:pt idx="15">
                  <c:v>4.5777777777777775</c:v>
                </c:pt>
                <c:pt idx="16">
                  <c:v>4.6476190476190471</c:v>
                </c:pt>
                <c:pt idx="17">
                  <c:v>4.7174603174603167</c:v>
                </c:pt>
                <c:pt idx="18">
                  <c:v>4.7873015873015863</c:v>
                </c:pt>
                <c:pt idx="19">
                  <c:v>4.8571428571428577</c:v>
                </c:pt>
                <c:pt idx="20">
                  <c:v>4.9714285714285715</c:v>
                </c:pt>
                <c:pt idx="21">
                  <c:v>5.0857142857142863</c:v>
                </c:pt>
                <c:pt idx="22">
                  <c:v>5.2250000000000005</c:v>
                </c:pt>
                <c:pt idx="23">
                  <c:v>5.3199999999999994</c:v>
                </c:pt>
                <c:pt idx="24">
                  <c:v>5.415</c:v>
                </c:pt>
                <c:pt idx="25">
                  <c:v>5.51</c:v>
                </c:pt>
                <c:pt idx="26">
                  <c:v>5.6050000000000004</c:v>
                </c:pt>
                <c:pt idx="27">
                  <c:v>5.7</c:v>
                </c:pt>
              </c:numCache>
            </c:numRef>
          </c:val>
          <c:smooth val="0"/>
        </c:ser>
        <c:ser>
          <c:idx val="3"/>
          <c:order val="3"/>
          <c:tx>
            <c:v>E (Max)</c:v>
          </c:tx>
          <c:spPr>
            <a:ln w="12700">
              <a:solidFill>
                <a:srgbClr val="FFCC99"/>
              </a:solidFill>
              <a:prstDash val="lgDash"/>
            </a:ln>
          </c:spPr>
          <c:marker>
            <c:symbol val="none"/>
          </c:marker>
          <c:cat>
            <c:numRef>
              <c:f>JAN!$E$4:$E$31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Feb!$G$91:$G$118</c:f>
              <c:numCache>
                <c:formatCode>0.0</c:formatCode>
                <c:ptCount val="28"/>
                <c:pt idx="0">
                  <c:v>7.07</c:v>
                </c:pt>
                <c:pt idx="1">
                  <c:v>7.09</c:v>
                </c:pt>
                <c:pt idx="2">
                  <c:v>7.14</c:v>
                </c:pt>
                <c:pt idx="3">
                  <c:v>7.18</c:v>
                </c:pt>
                <c:pt idx="4">
                  <c:v>7.3</c:v>
                </c:pt>
                <c:pt idx="5">
                  <c:v>7.38</c:v>
                </c:pt>
                <c:pt idx="6">
                  <c:v>7.3140000000000001</c:v>
                </c:pt>
                <c:pt idx="7">
                  <c:v>7.2480000000000002</c:v>
                </c:pt>
                <c:pt idx="8">
                  <c:v>7.1820000000000004</c:v>
                </c:pt>
                <c:pt idx="9">
                  <c:v>7.1160000000000005</c:v>
                </c:pt>
                <c:pt idx="10">
                  <c:v>7.05</c:v>
                </c:pt>
                <c:pt idx="11">
                  <c:v>7.1111111111111107</c:v>
                </c:pt>
                <c:pt idx="12">
                  <c:v>7.1722222222222216</c:v>
                </c:pt>
                <c:pt idx="13">
                  <c:v>7.2333333333333325</c:v>
                </c:pt>
                <c:pt idx="14">
                  <c:v>7.2944444444444434</c:v>
                </c:pt>
                <c:pt idx="15">
                  <c:v>7.3555555555555543</c:v>
                </c:pt>
                <c:pt idx="16">
                  <c:v>7.4166666666666652</c:v>
                </c:pt>
                <c:pt idx="17">
                  <c:v>7.4777777777777761</c:v>
                </c:pt>
                <c:pt idx="18">
                  <c:v>7.538888888888887</c:v>
                </c:pt>
                <c:pt idx="19">
                  <c:v>7.6</c:v>
                </c:pt>
                <c:pt idx="20">
                  <c:v>7.75</c:v>
                </c:pt>
                <c:pt idx="21">
                  <c:v>7.9</c:v>
                </c:pt>
                <c:pt idx="22">
                  <c:v>8.0500000000000007</c:v>
                </c:pt>
                <c:pt idx="23">
                  <c:v>8.1999999999999993</c:v>
                </c:pt>
                <c:pt idx="24">
                  <c:v>8.35</c:v>
                </c:pt>
                <c:pt idx="25">
                  <c:v>8.5</c:v>
                </c:pt>
                <c:pt idx="26">
                  <c:v>8.65</c:v>
                </c:pt>
                <c:pt idx="27">
                  <c:v>8.8000000000000007</c:v>
                </c:pt>
              </c:numCache>
            </c:numRef>
          </c:val>
          <c:smooth val="0"/>
        </c:ser>
        <c:ser>
          <c:idx val="4"/>
          <c:order val="4"/>
          <c:tx>
            <c:v>E (Min)</c:v>
          </c:tx>
          <c:spPr>
            <a:ln w="12700">
              <a:solidFill>
                <a:srgbClr val="00CCFF"/>
              </a:solidFill>
              <a:prstDash val="lgDash"/>
            </a:ln>
          </c:spPr>
          <c:marker>
            <c:symbol val="none"/>
          </c:marker>
          <c:cat>
            <c:numRef>
              <c:f>JAN!$E$4:$E$31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Feb!$F$91:$F$118</c:f>
              <c:numCache>
                <c:formatCode>0.0</c:formatCode>
                <c:ptCount val="28"/>
                <c:pt idx="0">
                  <c:v>2.35</c:v>
                </c:pt>
                <c:pt idx="1">
                  <c:v>2.35</c:v>
                </c:pt>
                <c:pt idx="2">
                  <c:v>2.35</c:v>
                </c:pt>
                <c:pt idx="3">
                  <c:v>2.35</c:v>
                </c:pt>
                <c:pt idx="4">
                  <c:v>2.35</c:v>
                </c:pt>
                <c:pt idx="5">
                  <c:v>2.35</c:v>
                </c:pt>
                <c:pt idx="6">
                  <c:v>2.35</c:v>
                </c:pt>
                <c:pt idx="7">
                  <c:v>2.35</c:v>
                </c:pt>
                <c:pt idx="8">
                  <c:v>2.2583333333333333</c:v>
                </c:pt>
                <c:pt idx="9">
                  <c:v>2.1666666666666665</c:v>
                </c:pt>
                <c:pt idx="10">
                  <c:v>2.0750000000000002</c:v>
                </c:pt>
                <c:pt idx="11">
                  <c:v>1.9833333333333332</c:v>
                </c:pt>
                <c:pt idx="12">
                  <c:v>1.8916666666666666</c:v>
                </c:pt>
                <c:pt idx="13">
                  <c:v>1.8</c:v>
                </c:pt>
                <c:pt idx="14">
                  <c:v>1.8</c:v>
                </c:pt>
                <c:pt idx="15">
                  <c:v>1.8</c:v>
                </c:pt>
                <c:pt idx="16">
                  <c:v>1.8785714285714288</c:v>
                </c:pt>
                <c:pt idx="17">
                  <c:v>1.9571428571428573</c:v>
                </c:pt>
                <c:pt idx="18">
                  <c:v>2.035714285714286</c:v>
                </c:pt>
                <c:pt idx="19">
                  <c:v>2.1142857142857148</c:v>
                </c:pt>
                <c:pt idx="20">
                  <c:v>2.1928571428571435</c:v>
                </c:pt>
                <c:pt idx="21">
                  <c:v>2.2714285714285722</c:v>
                </c:pt>
                <c:pt idx="22">
                  <c:v>2.4</c:v>
                </c:pt>
                <c:pt idx="23">
                  <c:v>2.44</c:v>
                </c:pt>
                <c:pt idx="24">
                  <c:v>2.48</c:v>
                </c:pt>
                <c:pt idx="25">
                  <c:v>2.52</c:v>
                </c:pt>
                <c:pt idx="26">
                  <c:v>2.56</c:v>
                </c:pt>
                <c:pt idx="27">
                  <c:v>2.6</c:v>
                </c:pt>
              </c:numCache>
            </c:numRef>
          </c:val>
          <c:smooth val="0"/>
        </c:ser>
        <c:ser>
          <c:idx val="5"/>
          <c:order val="5"/>
          <c:tx>
            <c:v>Cold Threshold</c:v>
          </c:tx>
          <c:spPr>
            <a:ln w="25400">
              <a:solidFill>
                <a:srgbClr val="0000FF"/>
              </a:solidFill>
              <a:prstDash val="sysDash"/>
            </a:ln>
          </c:spPr>
          <c:marker>
            <c:symbol val="none"/>
          </c:marker>
          <c:cat>
            <c:numRef>
              <c:f>JAN!$E$4:$E$31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Feb!$BC$91:$BC$118</c:f>
              <c:numCache>
                <c:formatCode>0.0</c:formatCode>
                <c:ptCount val="28"/>
                <c:pt idx="0">
                  <c:v>3.1366666666666667</c:v>
                </c:pt>
                <c:pt idx="1">
                  <c:v>3.14</c:v>
                </c:pt>
                <c:pt idx="2">
                  <c:v>3.1483333333333334</c:v>
                </c:pt>
                <c:pt idx="3">
                  <c:v>3.1549999999999998</c:v>
                </c:pt>
                <c:pt idx="4">
                  <c:v>3.1749999999999998</c:v>
                </c:pt>
                <c:pt idx="5">
                  <c:v>3.1883333333333335</c:v>
                </c:pt>
                <c:pt idx="6">
                  <c:v>3.1773333333333333</c:v>
                </c:pt>
                <c:pt idx="7">
                  <c:v>3.1663333333333341</c:v>
                </c:pt>
                <c:pt idx="8">
                  <c:v>3.0789444444444438</c:v>
                </c:pt>
                <c:pt idx="9">
                  <c:v>2.9915555555555562</c:v>
                </c:pt>
                <c:pt idx="10">
                  <c:v>2.9041666666666668</c:v>
                </c:pt>
                <c:pt idx="11">
                  <c:v>2.8379629629629628</c:v>
                </c:pt>
                <c:pt idx="12">
                  <c:v>2.7717592592592588</c:v>
                </c:pt>
                <c:pt idx="13">
                  <c:v>2.7055555555555557</c:v>
                </c:pt>
                <c:pt idx="14">
                  <c:v>2.7157407407407401</c:v>
                </c:pt>
                <c:pt idx="15">
                  <c:v>2.7259259259259263</c:v>
                </c:pt>
                <c:pt idx="16">
                  <c:v>2.8015873015873014</c:v>
                </c:pt>
                <c:pt idx="17">
                  <c:v>2.8772486772486774</c:v>
                </c:pt>
                <c:pt idx="18">
                  <c:v>2.9529100529100525</c:v>
                </c:pt>
                <c:pt idx="19">
                  <c:v>3.0285714285714294</c:v>
                </c:pt>
                <c:pt idx="20">
                  <c:v>3.1190476190476195</c:v>
                </c:pt>
                <c:pt idx="21">
                  <c:v>3.2095238095238106</c:v>
                </c:pt>
                <c:pt idx="22">
                  <c:v>3.3416666666666668</c:v>
                </c:pt>
                <c:pt idx="23">
                  <c:v>3.4</c:v>
                </c:pt>
                <c:pt idx="24">
                  <c:v>3.4583333333333339</c:v>
                </c:pt>
                <c:pt idx="25">
                  <c:v>3.5166666666666666</c:v>
                </c:pt>
                <c:pt idx="26">
                  <c:v>3.5750000000000002</c:v>
                </c:pt>
                <c:pt idx="27">
                  <c:v>3.6333333333333342</c:v>
                </c:pt>
              </c:numCache>
            </c:numRef>
          </c:val>
          <c:smooth val="0"/>
        </c:ser>
        <c:ser>
          <c:idx val="6"/>
          <c:order val="6"/>
          <c:tx>
            <c:v>Mild Threshold</c:v>
          </c:tx>
          <c:spPr>
            <a:ln w="25400">
              <a:solidFill>
                <a:srgbClr val="FF6600"/>
              </a:solidFill>
              <a:prstDash val="sysDash"/>
            </a:ln>
          </c:spPr>
          <c:marker>
            <c:symbol val="none"/>
          </c:marker>
          <c:cat>
            <c:numRef>
              <c:f>JAN!$E$4:$E$31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Feb!$BD$91:$BD$118</c:f>
              <c:numCache>
                <c:formatCode>0.0</c:formatCode>
                <c:ptCount val="28"/>
                <c:pt idx="0">
                  <c:v>6.2833333333333332</c:v>
                </c:pt>
                <c:pt idx="1">
                  <c:v>6.3</c:v>
                </c:pt>
                <c:pt idx="2">
                  <c:v>6.3416666666666668</c:v>
                </c:pt>
                <c:pt idx="3">
                  <c:v>6.375</c:v>
                </c:pt>
                <c:pt idx="4">
                  <c:v>6.4749999999999996</c:v>
                </c:pt>
                <c:pt idx="5">
                  <c:v>6.541666666666667</c:v>
                </c:pt>
                <c:pt idx="6">
                  <c:v>6.4866666666666664</c:v>
                </c:pt>
                <c:pt idx="7">
                  <c:v>6.4316666666666666</c:v>
                </c:pt>
                <c:pt idx="8">
                  <c:v>6.3613888888888894</c:v>
                </c:pt>
                <c:pt idx="9">
                  <c:v>6.2911111111111113</c:v>
                </c:pt>
                <c:pt idx="10">
                  <c:v>6.2208333333333332</c:v>
                </c:pt>
                <c:pt idx="11">
                  <c:v>6.2564814814814804</c:v>
                </c:pt>
                <c:pt idx="12">
                  <c:v>6.2921296296296294</c:v>
                </c:pt>
                <c:pt idx="13">
                  <c:v>6.3277777777777775</c:v>
                </c:pt>
                <c:pt idx="14">
                  <c:v>6.3787037037037031</c:v>
                </c:pt>
                <c:pt idx="15">
                  <c:v>6.4296296296296287</c:v>
                </c:pt>
                <c:pt idx="16">
                  <c:v>6.4936507936507928</c:v>
                </c:pt>
                <c:pt idx="17">
                  <c:v>6.557671957671956</c:v>
                </c:pt>
                <c:pt idx="18">
                  <c:v>6.6216931216931201</c:v>
                </c:pt>
                <c:pt idx="19">
                  <c:v>6.6857142857142859</c:v>
                </c:pt>
                <c:pt idx="20">
                  <c:v>6.8238095238095235</c:v>
                </c:pt>
                <c:pt idx="21">
                  <c:v>6.961904761904762</c:v>
                </c:pt>
                <c:pt idx="22">
                  <c:v>7.1083333333333343</c:v>
                </c:pt>
                <c:pt idx="23">
                  <c:v>7.24</c:v>
                </c:pt>
                <c:pt idx="24">
                  <c:v>7.3716666666666679</c:v>
                </c:pt>
                <c:pt idx="25">
                  <c:v>7.5033333333333347</c:v>
                </c:pt>
                <c:pt idx="26">
                  <c:v>7.6349999999999998</c:v>
                </c:pt>
                <c:pt idx="27">
                  <c:v>7.7666666666666675</c:v>
                </c:pt>
              </c:numCache>
            </c:numRef>
          </c:val>
          <c:smooth val="0"/>
        </c:ser>
        <c:ser>
          <c:idx val="7"/>
          <c:order val="7"/>
          <c:tx>
            <c:v>Freezing Point</c:v>
          </c:tx>
          <c:spPr>
            <a:ln w="38100">
              <a:solidFill>
                <a:srgbClr val="000080"/>
              </a:solidFill>
              <a:prstDash val="sysDash"/>
            </a:ln>
          </c:spPr>
          <c:marker>
            <c:symbol val="none"/>
          </c:marker>
          <c:cat>
            <c:numRef>
              <c:f>JAN!$E$4:$E$31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JAN!$T$4:$T$31</c:f>
              <c:numCache>
                <c:formatCode>0.0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val>
          <c:smooth val="0"/>
        </c:ser>
        <c:ser>
          <c:idx val="8"/>
          <c:order val="8"/>
          <c:tx>
            <c:v>Cum. Mean</c:v>
          </c:tx>
          <c:spPr>
            <a:ln w="12700">
              <a:solidFill>
                <a:srgbClr val="993366"/>
              </a:solidFill>
              <a:prstDash val="solid"/>
            </a:ln>
          </c:spPr>
          <c:marker>
            <c:symbol val="circle"/>
            <c:size val="2"/>
            <c:spPr>
              <a:solidFill>
                <a:srgbClr val="800080"/>
              </a:solidFill>
              <a:ln>
                <a:solidFill>
                  <a:srgbClr val="800080"/>
                </a:solidFill>
                <a:prstDash val="solid"/>
              </a:ln>
            </c:spPr>
          </c:marker>
          <c:val>
            <c:numRef>
              <c:f>Feb!$R$91:$R$118</c:f>
              <c:numCache>
                <c:formatCode>0.0</c:formatCode>
                <c:ptCount val="28"/>
                <c:pt idx="0">
                  <c:v>3.5</c:v>
                </c:pt>
                <c:pt idx="1">
                  <c:v>5.05</c:v>
                </c:pt>
                <c:pt idx="2">
                  <c:v>5.8666666666666671</c:v>
                </c:pt>
                <c:pt idx="3">
                  <c:v>7.15</c:v>
                </c:pt>
                <c:pt idx="4">
                  <c:v>8.120000000000001</c:v>
                </c:pt>
                <c:pt idx="5">
                  <c:v>8.5666666666666682</c:v>
                </c:pt>
                <c:pt idx="6">
                  <c:v>8.6285714285714299</c:v>
                </c:pt>
                <c:pt idx="7">
                  <c:v>8.2375000000000007</c:v>
                </c:pt>
                <c:pt idx="8">
                  <c:v>8.2222222222222214</c:v>
                </c:pt>
                <c:pt idx="9">
                  <c:v>8.36</c:v>
                </c:pt>
                <c:pt idx="10">
                  <c:v>8.5181818181818176</c:v>
                </c:pt>
                <c:pt idx="11">
                  <c:v>8.5499999999999989</c:v>
                </c:pt>
                <c:pt idx="12">
                  <c:v>8.4615384615384617</c:v>
                </c:pt>
                <c:pt idx="13">
                  <c:v>8.3428571428571434</c:v>
                </c:pt>
                <c:pt idx="14">
                  <c:v>8.1933333333333334</c:v>
                </c:pt>
                <c:pt idx="15">
                  <c:v>8.1124999999999989</c:v>
                </c:pt>
                <c:pt idx="16">
                  <c:v>7.9882352941176462</c:v>
                </c:pt>
                <c:pt idx="17">
                  <c:v>7.7944444444444434</c:v>
                </c:pt>
                <c:pt idx="18">
                  <c:v>7.6263157894736828</c:v>
                </c:pt>
                <c:pt idx="19">
                  <c:v>7.4599999999999991</c:v>
                </c:pt>
                <c:pt idx="20">
                  <c:v>7.3428571428571425</c:v>
                </c:pt>
                <c:pt idx="21">
                  <c:v>7.2772727272727273</c:v>
                </c:pt>
                <c:pt idx="22">
                  <c:v>7.3173913043478249</c:v>
                </c:pt>
                <c:pt idx="23">
                  <c:v>7.4541666666666657</c:v>
                </c:pt>
                <c:pt idx="24">
                  <c:v>7.5999999999999988</c:v>
                </c:pt>
                <c:pt idx="25">
                  <c:v>7.6346153846153832</c:v>
                </c:pt>
                <c:pt idx="26">
                  <c:v>7.5444444444444434</c:v>
                </c:pt>
                <c:pt idx="27">
                  <c:v>7.3999999999999986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4936448"/>
        <c:axId val="114946816"/>
      </c:lineChart>
      <c:catAx>
        <c:axId val="1149364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4946816"/>
        <c:crossesAt val="-5"/>
        <c:auto val="1"/>
        <c:lblAlgn val="ctr"/>
        <c:lblOffset val="100"/>
        <c:tickLblSkip val="1"/>
        <c:tickMarkSkip val="1"/>
        <c:noMultiLvlLbl val="0"/>
      </c:catAx>
      <c:valAx>
        <c:axId val="114946816"/>
        <c:scaling>
          <c:orientation val="minMax"/>
          <c:max val="13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4936448"/>
        <c:crosses val="autoZero"/>
        <c:crossBetween val="between"/>
        <c:majorUnit val="2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Pressure / Temperature</a:t>
            </a:r>
          </a:p>
        </c:rich>
      </c:tx>
      <c:layout>
        <c:manualLayout>
          <c:xMode val="edge"/>
          <c:yMode val="edge"/>
          <c:x val="0.41474654377880182"/>
          <c:y val="2.968036529680365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0829493087557605E-2"/>
          <c:y val="0.1278541663415167"/>
          <c:w val="0.9244239631336405"/>
          <c:h val="0.76027566770937616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993366"/>
              </a:solidFill>
              <a:ln>
                <a:solidFill>
                  <a:srgbClr val="993366"/>
                </a:solidFill>
                <a:prstDash val="solid"/>
              </a:ln>
            </c:spPr>
          </c:marker>
          <c:trendline>
            <c:spPr>
              <a:ln w="12700">
                <a:solidFill>
                  <a:srgbClr val="000080"/>
                </a:solidFill>
                <a:prstDash val="solid"/>
              </a:ln>
            </c:spPr>
            <c:trendlineType val="linear"/>
            <c:forward val="0.5"/>
            <c:backward val="3"/>
            <c:dispRSqr val="1"/>
            <c:dispEq val="1"/>
            <c:trendlineLbl>
              <c:layout>
                <c:manualLayout>
                  <c:xMode val="edge"/>
                  <c:yMode val="edge"/>
                  <c:x val="4.608294930875576E-3"/>
                  <c:y val="1.1415550566206849E-2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175" b="0" i="0" u="none" strike="noStrike" baseline="0">
                      <a:solidFill>
                        <a:srgbClr val="00000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en-US"/>
                </a:p>
              </c:txPr>
            </c:trendlineLbl>
          </c:trendline>
          <c:xVal>
            <c:numRef>
              <c:f>Feb!$BG$91:$BG$118</c:f>
              <c:numCache>
                <c:formatCode>General</c:formatCode>
                <c:ptCount val="28"/>
                <c:pt idx="0">
                  <c:v>3.5</c:v>
                </c:pt>
                <c:pt idx="1">
                  <c:v>6.6</c:v>
                </c:pt>
                <c:pt idx="2">
                  <c:v>7.5</c:v>
                </c:pt>
                <c:pt idx="3">
                  <c:v>11</c:v>
                </c:pt>
                <c:pt idx="4">
                  <c:v>12</c:v>
                </c:pt>
                <c:pt idx="5">
                  <c:v>10.8</c:v>
                </c:pt>
                <c:pt idx="6">
                  <c:v>9</c:v>
                </c:pt>
                <c:pt idx="7">
                  <c:v>5.5</c:v>
                </c:pt>
                <c:pt idx="8">
                  <c:v>8.1</c:v>
                </c:pt>
                <c:pt idx="9">
                  <c:v>9.6</c:v>
                </c:pt>
                <c:pt idx="10">
                  <c:v>10.1</c:v>
                </c:pt>
                <c:pt idx="11">
                  <c:v>8.9</c:v>
                </c:pt>
                <c:pt idx="12">
                  <c:v>7.4</c:v>
                </c:pt>
                <c:pt idx="13">
                  <c:v>6.8</c:v>
                </c:pt>
                <c:pt idx="14">
                  <c:v>6.1</c:v>
                </c:pt>
                <c:pt idx="15">
                  <c:v>6.9</c:v>
                </c:pt>
                <c:pt idx="16">
                  <c:v>6</c:v>
                </c:pt>
                <c:pt idx="17">
                  <c:v>4.5</c:v>
                </c:pt>
                <c:pt idx="18">
                  <c:v>4.5999999999999996</c:v>
                </c:pt>
                <c:pt idx="19">
                  <c:v>4.3</c:v>
                </c:pt>
                <c:pt idx="20">
                  <c:v>5</c:v>
                </c:pt>
                <c:pt idx="21">
                  <c:v>5.9</c:v>
                </c:pt>
                <c:pt idx="22">
                  <c:v>8.1999999999999993</c:v>
                </c:pt>
                <c:pt idx="23">
                  <c:v>10.6</c:v>
                </c:pt>
                <c:pt idx="24">
                  <c:v>11.1</c:v>
                </c:pt>
                <c:pt idx="25">
                  <c:v>8.5</c:v>
                </c:pt>
                <c:pt idx="26">
                  <c:v>5.2</c:v>
                </c:pt>
                <c:pt idx="27">
                  <c:v>3.5</c:v>
                </c:pt>
              </c:numCache>
            </c:numRef>
          </c:xVal>
          <c:yVal>
            <c:numRef>
              <c:f>Feb!$AK$91:$AK$118</c:f>
              <c:numCache>
                <c:formatCode>0</c:formatCode>
                <c:ptCount val="28"/>
                <c:pt idx="0">
                  <c:v>1026</c:v>
                </c:pt>
                <c:pt idx="1">
                  <c:v>1024</c:v>
                </c:pt>
                <c:pt idx="2">
                  <c:v>1021.5</c:v>
                </c:pt>
                <c:pt idx="3">
                  <c:v>1016</c:v>
                </c:pt>
                <c:pt idx="4">
                  <c:v>1017.5</c:v>
                </c:pt>
                <c:pt idx="5">
                  <c:v>1019.5</c:v>
                </c:pt>
                <c:pt idx="6">
                  <c:v>1014.5</c:v>
                </c:pt>
                <c:pt idx="7">
                  <c:v>1022</c:v>
                </c:pt>
                <c:pt idx="8">
                  <c:v>1018</c:v>
                </c:pt>
                <c:pt idx="9">
                  <c:v>1012.5</c:v>
                </c:pt>
                <c:pt idx="10">
                  <c:v>1011</c:v>
                </c:pt>
                <c:pt idx="11">
                  <c:v>1011</c:v>
                </c:pt>
                <c:pt idx="12">
                  <c:v>1003</c:v>
                </c:pt>
                <c:pt idx="13">
                  <c:v>1000</c:v>
                </c:pt>
                <c:pt idx="14">
                  <c:v>993.5</c:v>
                </c:pt>
                <c:pt idx="15">
                  <c:v>995.5</c:v>
                </c:pt>
                <c:pt idx="16">
                  <c:v>1005.5</c:v>
                </c:pt>
                <c:pt idx="17">
                  <c:v>1012.5</c:v>
                </c:pt>
                <c:pt idx="18">
                  <c:v>1011</c:v>
                </c:pt>
                <c:pt idx="19">
                  <c:v>1014.5</c:v>
                </c:pt>
                <c:pt idx="20">
                  <c:v>1014</c:v>
                </c:pt>
                <c:pt idx="21">
                  <c:v>1016.5</c:v>
                </c:pt>
                <c:pt idx="22">
                  <c:v>1016.5</c:v>
                </c:pt>
                <c:pt idx="23">
                  <c:v>1020.5</c:v>
                </c:pt>
                <c:pt idx="24">
                  <c:v>1021.5</c:v>
                </c:pt>
                <c:pt idx="25">
                  <c:v>1013.5</c:v>
                </c:pt>
                <c:pt idx="26">
                  <c:v>1021.5</c:v>
                </c:pt>
                <c:pt idx="27">
                  <c:v>1030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049600"/>
        <c:axId val="115051136"/>
      </c:scatterChart>
      <c:valAx>
        <c:axId val="115049600"/>
        <c:scaling>
          <c:orientation val="minMax"/>
          <c:max val="13"/>
          <c:min val="3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5051136"/>
        <c:crosses val="autoZero"/>
        <c:crossBetween val="midCat"/>
        <c:majorUnit val="1"/>
      </c:valAx>
      <c:valAx>
        <c:axId val="115051136"/>
        <c:scaling>
          <c:orientation val="minMax"/>
          <c:max val="1035"/>
          <c:min val="99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5049600"/>
        <c:crossesAt val="-3"/>
        <c:crossBetween val="midCat"/>
        <c:majorUnit val="10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Relative Humidity Range / Temperature Range </a:t>
            </a:r>
          </a:p>
        </c:rich>
      </c:tx>
      <c:layout>
        <c:manualLayout>
          <c:xMode val="edge"/>
          <c:yMode val="edge"/>
          <c:x val="0.34658040665434381"/>
          <c:y val="3.009259259259259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4.4362292051756007E-2"/>
          <c:y val="0.12268546252319906"/>
          <c:w val="0.94085027726432535"/>
          <c:h val="0.76389061571048478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993366"/>
              </a:solidFill>
              <a:ln>
                <a:solidFill>
                  <a:srgbClr val="993366"/>
                </a:solidFill>
                <a:prstDash val="solid"/>
              </a:ln>
            </c:spPr>
          </c:marker>
          <c:trendline>
            <c:spPr>
              <a:ln w="12700">
                <a:solidFill>
                  <a:srgbClr val="0000FF"/>
                </a:solidFill>
                <a:prstDash val="solid"/>
              </a:ln>
            </c:spPr>
            <c:trendlineType val="linear"/>
            <c:forward val="0.5"/>
            <c:backward val="2.5"/>
            <c:dispRSqr val="1"/>
            <c:dispEq val="1"/>
            <c:trendlineLbl>
              <c:layout>
                <c:manualLayout>
                  <c:xMode val="edge"/>
                  <c:yMode val="edge"/>
                  <c:x val="0.21811460258780038"/>
                  <c:y val="1.1574100238037647E-2"/>
                </c:manualLayout>
              </c:layout>
              <c:numFmt formatCode="0.00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200" b="0" i="0" u="none" strike="noStrike" baseline="0">
                      <a:solidFill>
                        <a:srgbClr val="00000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en-US"/>
                </a:p>
              </c:txPr>
            </c:trendlineLbl>
          </c:trendline>
          <c:xVal>
            <c:numRef>
              <c:f>Feb!$K$91:$K$118</c:f>
              <c:numCache>
                <c:formatCode>0.0</c:formatCode>
                <c:ptCount val="28"/>
                <c:pt idx="0">
                  <c:v>8.6</c:v>
                </c:pt>
                <c:pt idx="1">
                  <c:v>7</c:v>
                </c:pt>
                <c:pt idx="2">
                  <c:v>5.3999999999999995</c:v>
                </c:pt>
                <c:pt idx="3">
                  <c:v>2.8000000000000007</c:v>
                </c:pt>
                <c:pt idx="4">
                  <c:v>1.6999999999999993</c:v>
                </c:pt>
                <c:pt idx="5">
                  <c:v>1.9000000000000004</c:v>
                </c:pt>
                <c:pt idx="6">
                  <c:v>5.7</c:v>
                </c:pt>
                <c:pt idx="7">
                  <c:v>7.6</c:v>
                </c:pt>
                <c:pt idx="8">
                  <c:v>5.0999999999999996</c:v>
                </c:pt>
                <c:pt idx="9">
                  <c:v>2.2999999999999989</c:v>
                </c:pt>
                <c:pt idx="10">
                  <c:v>3.5999999999999996</c:v>
                </c:pt>
                <c:pt idx="11">
                  <c:v>4.9000000000000004</c:v>
                </c:pt>
                <c:pt idx="12">
                  <c:v>3</c:v>
                </c:pt>
                <c:pt idx="13">
                  <c:v>4.6000000000000005</c:v>
                </c:pt>
                <c:pt idx="14">
                  <c:v>1.8999999999999995</c:v>
                </c:pt>
                <c:pt idx="15">
                  <c:v>6.4</c:v>
                </c:pt>
                <c:pt idx="16">
                  <c:v>4.5</c:v>
                </c:pt>
                <c:pt idx="17">
                  <c:v>4.5</c:v>
                </c:pt>
                <c:pt idx="18">
                  <c:v>3.3</c:v>
                </c:pt>
                <c:pt idx="19">
                  <c:v>1.4999999999999996</c:v>
                </c:pt>
                <c:pt idx="20">
                  <c:v>2.8000000000000003</c:v>
                </c:pt>
                <c:pt idx="21">
                  <c:v>3</c:v>
                </c:pt>
                <c:pt idx="22">
                  <c:v>4</c:v>
                </c:pt>
                <c:pt idx="23">
                  <c:v>5.3999999999999986</c:v>
                </c:pt>
                <c:pt idx="24">
                  <c:v>6.1</c:v>
                </c:pt>
                <c:pt idx="25">
                  <c:v>5.9</c:v>
                </c:pt>
                <c:pt idx="26">
                  <c:v>5.3</c:v>
                </c:pt>
                <c:pt idx="27">
                  <c:v>1.7000000000000002</c:v>
                </c:pt>
              </c:numCache>
            </c:numRef>
          </c:xVal>
          <c:yVal>
            <c:numRef>
              <c:f>Feb!$A$91:$A$118</c:f>
              <c:numCache>
                <c:formatCode>0</c:formatCode>
                <c:ptCount val="28"/>
                <c:pt idx="0">
                  <c:v>15</c:v>
                </c:pt>
                <c:pt idx="1">
                  <c:v>16</c:v>
                </c:pt>
                <c:pt idx="2">
                  <c:v>29</c:v>
                </c:pt>
                <c:pt idx="3">
                  <c:v>14</c:v>
                </c:pt>
                <c:pt idx="4">
                  <c:v>11</c:v>
                </c:pt>
                <c:pt idx="5">
                  <c:v>14</c:v>
                </c:pt>
                <c:pt idx="6">
                  <c:v>22</c:v>
                </c:pt>
                <c:pt idx="7">
                  <c:v>43</c:v>
                </c:pt>
                <c:pt idx="8">
                  <c:v>17</c:v>
                </c:pt>
                <c:pt idx="9">
                  <c:v>11</c:v>
                </c:pt>
                <c:pt idx="10">
                  <c:v>8</c:v>
                </c:pt>
                <c:pt idx="11">
                  <c:v>28</c:v>
                </c:pt>
                <c:pt idx="12">
                  <c:v>13</c:v>
                </c:pt>
                <c:pt idx="13">
                  <c:v>36</c:v>
                </c:pt>
                <c:pt idx="14">
                  <c:v>15</c:v>
                </c:pt>
                <c:pt idx="15">
                  <c:v>35</c:v>
                </c:pt>
                <c:pt idx="16">
                  <c:v>17</c:v>
                </c:pt>
                <c:pt idx="17">
                  <c:v>15</c:v>
                </c:pt>
                <c:pt idx="18">
                  <c:v>12</c:v>
                </c:pt>
                <c:pt idx="19">
                  <c:v>5</c:v>
                </c:pt>
                <c:pt idx="20">
                  <c:v>9</c:v>
                </c:pt>
                <c:pt idx="21">
                  <c:v>8</c:v>
                </c:pt>
                <c:pt idx="22">
                  <c:v>16</c:v>
                </c:pt>
                <c:pt idx="23">
                  <c:v>27</c:v>
                </c:pt>
                <c:pt idx="24">
                  <c:v>23</c:v>
                </c:pt>
                <c:pt idx="25">
                  <c:v>28</c:v>
                </c:pt>
                <c:pt idx="26">
                  <c:v>33</c:v>
                </c:pt>
                <c:pt idx="27">
                  <c:v>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067904"/>
        <c:axId val="115077888"/>
      </c:scatterChart>
      <c:valAx>
        <c:axId val="115067904"/>
        <c:scaling>
          <c:orientation val="minMax"/>
          <c:max val="10"/>
          <c:min val="0"/>
        </c:scaling>
        <c:delete val="0"/>
        <c:axPos val="b"/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5077888"/>
        <c:crossesAt val="0"/>
        <c:crossBetween val="midCat"/>
        <c:majorUnit val="1"/>
      </c:valAx>
      <c:valAx>
        <c:axId val="115077888"/>
        <c:scaling>
          <c:orientation val="minMax"/>
          <c:max val="45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5067904"/>
        <c:crosses val="autoZero"/>
        <c:crossBetween val="midCat"/>
        <c:majorUnit val="10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 horizontalDpi="-3" verticalDpi="0"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Time of Temperature Extremes</a:t>
            </a:r>
          </a:p>
        </c:rich>
      </c:tx>
      <c:layout>
        <c:manualLayout>
          <c:xMode val="edge"/>
          <c:yMode val="edge"/>
          <c:x val="0.41718183558328387"/>
          <c:y val="2.130177514792899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893697095932809E-2"/>
          <c:y val="8.6390532544378701E-2"/>
          <c:w val="0.95859114218917252"/>
          <c:h val="0.86272189349112427"/>
        </c:manualLayout>
      </c:layout>
      <c:lineChart>
        <c:grouping val="standard"/>
        <c:varyColors val="0"/>
        <c:ser>
          <c:idx val="1"/>
          <c:order val="0"/>
          <c:tx>
            <c:v>T Min</c:v>
          </c:tx>
          <c:spPr>
            <a:ln w="28575">
              <a:noFill/>
            </a:ln>
          </c:spPr>
          <c:marker>
            <c:symbol val="circle"/>
            <c:size val="10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cat>
            <c:numRef>
              <c:f>JAN!$E$4:$E$31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Feb!$AR$91:$AR$118</c:f>
              <c:numCache>
                <c:formatCode>General</c:formatCode>
                <c:ptCount val="28"/>
                <c:pt idx="0">
                  <c:v>9.375E-2</c:v>
                </c:pt>
                <c:pt idx="1">
                  <c:v>0.19444444444444445</c:v>
                </c:pt>
                <c:pt idx="2">
                  <c:v>0.30208333333333331</c:v>
                </c:pt>
                <c:pt idx="3">
                  <c:v>#N/A</c:v>
                </c:pt>
                <c:pt idx="4">
                  <c:v>0.27430555555555552</c:v>
                </c:pt>
                <c:pt idx="5">
                  <c:v>0.29166666666666669</c:v>
                </c:pt>
                <c:pt idx="6">
                  <c:v>0.30208333333333331</c:v>
                </c:pt>
                <c:pt idx="7">
                  <c:v>0.2986111111111111</c:v>
                </c:pt>
                <c:pt idx="8">
                  <c:v>2.7777777777777776E-2</c:v>
                </c:pt>
                <c:pt idx="9">
                  <c:v>#N/A</c:v>
                </c:pt>
                <c:pt idx="10">
                  <c:v>0.27083333333333331</c:v>
                </c:pt>
                <c:pt idx="11">
                  <c:v>0.375</c:v>
                </c:pt>
                <c:pt idx="12">
                  <c:v>0.31944444444444448</c:v>
                </c:pt>
                <c:pt idx="13">
                  <c:v>0</c:v>
                </c:pt>
                <c:pt idx="14">
                  <c:v>0.26041666666666669</c:v>
                </c:pt>
                <c:pt idx="15">
                  <c:v>0.17708333333333334</c:v>
                </c:pt>
                <c:pt idx="16">
                  <c:v>0.14583333333333334</c:v>
                </c:pt>
                <c:pt idx="17">
                  <c:v>0.30763888888888891</c:v>
                </c:pt>
                <c:pt idx="18">
                  <c:v>#N/A</c:v>
                </c:pt>
                <c:pt idx="19">
                  <c:v>0.34375</c:v>
                </c:pt>
                <c:pt idx="20">
                  <c:v>1.0416666666666666E-2</c:v>
                </c:pt>
                <c:pt idx="21">
                  <c:v>0.29166666666666669</c:v>
                </c:pt>
                <c:pt idx="22">
                  <c:v>0.24652777777777779</c:v>
                </c:pt>
                <c:pt idx="23">
                  <c:v>0.30555555555555552</c:v>
                </c:pt>
                <c:pt idx="24">
                  <c:v>5.2083333333333336E-2</c:v>
                </c:pt>
                <c:pt idx="25">
                  <c:v>0.22916666666666666</c:v>
                </c:pt>
                <c:pt idx="26">
                  <c:v>0.29166666666666669</c:v>
                </c:pt>
                <c:pt idx="27">
                  <c:v>0.35416666666666669</c:v>
                </c:pt>
              </c:numCache>
            </c:numRef>
          </c:val>
          <c:smooth val="0"/>
        </c:ser>
        <c:ser>
          <c:idx val="2"/>
          <c:order val="1"/>
          <c:tx>
            <c:v>T Max</c:v>
          </c:tx>
          <c:spPr>
            <a:ln w="28575">
              <a:noFill/>
            </a:ln>
          </c:spPr>
          <c:marker>
            <c:symbol val="circle"/>
            <c:size val="10"/>
            <c:spPr>
              <a:solidFill>
                <a:srgbClr val="FF6600"/>
              </a:solidFill>
              <a:ln>
                <a:solidFill>
                  <a:srgbClr val="FF6600"/>
                </a:solidFill>
                <a:prstDash val="solid"/>
              </a:ln>
            </c:spPr>
          </c:marker>
          <c:cat>
            <c:numRef>
              <c:f>JAN!$E$4:$E$31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Feb!$AO$91:$AO$118</c:f>
              <c:numCache>
                <c:formatCode>General</c:formatCode>
                <c:ptCount val="28"/>
                <c:pt idx="0">
                  <c:v>0.69791666666666663</c:v>
                </c:pt>
                <c:pt idx="1">
                  <c:v>#N/A</c:v>
                </c:pt>
                <c:pt idx="2">
                  <c:v>0.59375</c:v>
                </c:pt>
                <c:pt idx="3">
                  <c:v>0.55902777777777779</c:v>
                </c:pt>
                <c:pt idx="4">
                  <c:v>0.60416666666666663</c:v>
                </c:pt>
                <c:pt idx="5">
                  <c:v>0.4236111111111111</c:v>
                </c:pt>
                <c:pt idx="6">
                  <c:v>0.63541666666666663</c:v>
                </c:pt>
                <c:pt idx="7">
                  <c:v>0.63888888888888895</c:v>
                </c:pt>
                <c:pt idx="8">
                  <c:v>0.53125</c:v>
                </c:pt>
                <c:pt idx="9">
                  <c:v>#N/A</c:v>
                </c:pt>
                <c:pt idx="10">
                  <c:v>0.625</c:v>
                </c:pt>
                <c:pt idx="11">
                  <c:v>0.56597222222222221</c:v>
                </c:pt>
                <c:pt idx="12">
                  <c:v>0.56944444444444442</c:v>
                </c:pt>
                <c:pt idx="13">
                  <c:v>0.55902777777777779</c:v>
                </c:pt>
                <c:pt idx="14">
                  <c:v>0.5</c:v>
                </c:pt>
                <c:pt idx="15">
                  <c:v>0.62847222222222221</c:v>
                </c:pt>
                <c:pt idx="16">
                  <c:v>0.57986111111111105</c:v>
                </c:pt>
                <c:pt idx="17">
                  <c:v>0.4861111111111111</c:v>
                </c:pt>
                <c:pt idx="18">
                  <c:v>0.68055555555555547</c:v>
                </c:pt>
                <c:pt idx="19">
                  <c:v>0.52083333333333337</c:v>
                </c:pt>
                <c:pt idx="20">
                  <c:v>0.60069444444444442</c:v>
                </c:pt>
                <c:pt idx="21">
                  <c:v>#N/A</c:v>
                </c:pt>
                <c:pt idx="22">
                  <c:v>#N/A</c:v>
                </c:pt>
                <c:pt idx="23">
                  <c:v>0.59027777777777779</c:v>
                </c:pt>
                <c:pt idx="24">
                  <c:v>0.51388888888888895</c:v>
                </c:pt>
                <c:pt idx="25">
                  <c:v>0.61458333333333337</c:v>
                </c:pt>
                <c:pt idx="26">
                  <c:v>0.52777777777777779</c:v>
                </c:pt>
                <c:pt idx="27">
                  <c:v>0.54513888888888895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172096"/>
        <c:axId val="115174016"/>
      </c:lineChart>
      <c:catAx>
        <c:axId val="115172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51740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5174016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hh:mm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5172096"/>
        <c:crosses val="autoZero"/>
        <c:crossBetween val="between"/>
        <c:majorUnit val="8.3333333300000006E-2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0.6347344344626884"/>
          <c:y val="0.17514792899408285"/>
          <c:w val="0.79728085287237727"/>
          <c:h val="0.2272189349112426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Time of Humidity Extremes</a:t>
            </a:r>
          </a:p>
        </c:rich>
      </c:tx>
      <c:layout>
        <c:manualLayout>
          <c:xMode val="edge"/>
          <c:yMode val="edge"/>
          <c:x val="0.42433600988264358"/>
          <c:y val="1.9953051643192488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891290920321186E-2"/>
          <c:y val="8.6854559646603172E-2"/>
          <c:w val="0.95861642989499696"/>
          <c:h val="0.86267704513855858"/>
        </c:manualLayout>
      </c:layout>
      <c:lineChart>
        <c:grouping val="standard"/>
        <c:varyColors val="0"/>
        <c:ser>
          <c:idx val="0"/>
          <c:order val="0"/>
          <c:tx>
            <c:v>H Min</c:v>
          </c:tx>
          <c:spPr>
            <a:ln w="28575">
              <a:noFill/>
            </a:ln>
          </c:spPr>
          <c:marker>
            <c:symbol val="circle"/>
            <c:size val="10"/>
            <c:spPr>
              <a:solidFill>
                <a:srgbClr val="FF9900"/>
              </a:solidFill>
              <a:ln>
                <a:solidFill>
                  <a:srgbClr val="FF9900"/>
                </a:solidFill>
                <a:prstDash val="solid"/>
              </a:ln>
            </c:spPr>
          </c:marker>
          <c:cat>
            <c:numRef>
              <c:f>JAN!$E$4:$E$31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Feb!$AM$91:$AM$118</c:f>
              <c:numCache>
                <c:formatCode>General</c:formatCode>
                <c:ptCount val="28"/>
                <c:pt idx="0">
                  <c:v>#N/A</c:v>
                </c:pt>
                <c:pt idx="1">
                  <c:v>0.58680555555555558</c:v>
                </c:pt>
                <c:pt idx="2">
                  <c:v>0.62847222222222221</c:v>
                </c:pt>
                <c:pt idx="3">
                  <c:v>0.63888888888888895</c:v>
                </c:pt>
                <c:pt idx="4">
                  <c:v>0.62847222222222221</c:v>
                </c:pt>
                <c:pt idx="5">
                  <c:v>0.58680555555555558</c:v>
                </c:pt>
                <c:pt idx="6">
                  <c:v>0.6645833333333333</c:v>
                </c:pt>
                <c:pt idx="7">
                  <c:v>0.70138888888888884</c:v>
                </c:pt>
                <c:pt idx="8">
                  <c:v>0.59722222222222221</c:v>
                </c:pt>
                <c:pt idx="9">
                  <c:v>#N/A</c:v>
                </c:pt>
                <c:pt idx="10">
                  <c:v>0.63888888888888895</c:v>
                </c:pt>
                <c:pt idx="11">
                  <c:v>0.70833333333333337</c:v>
                </c:pt>
                <c:pt idx="12">
                  <c:v>0.625</c:v>
                </c:pt>
                <c:pt idx="13">
                  <c:v>0.57986111111111105</c:v>
                </c:pt>
                <c:pt idx="14">
                  <c:v>0.48958333333333331</c:v>
                </c:pt>
                <c:pt idx="15">
                  <c:v>0.64930555555555558</c:v>
                </c:pt>
                <c:pt idx="16">
                  <c:v>0.6875</c:v>
                </c:pt>
                <c:pt idx="17">
                  <c:v>0.67708333333333337</c:v>
                </c:pt>
                <c:pt idx="18">
                  <c:v>#N/A</c:v>
                </c:pt>
                <c:pt idx="19">
                  <c:v>#N/A</c:v>
                </c:pt>
                <c:pt idx="20">
                  <c:v>0.61111111111111105</c:v>
                </c:pt>
                <c:pt idx="21">
                  <c:v>0.60416666666666663</c:v>
                </c:pt>
                <c:pt idx="22">
                  <c:v>#N/A</c:v>
                </c:pt>
                <c:pt idx="23">
                  <c:v>0.63541666666666663</c:v>
                </c:pt>
                <c:pt idx="24">
                  <c:v>0.56597222222222221</c:v>
                </c:pt>
                <c:pt idx="25">
                  <c:v>#N/A</c:v>
                </c:pt>
                <c:pt idx="26">
                  <c:v>0.53125</c:v>
                </c:pt>
                <c:pt idx="27">
                  <c:v>0.63541666666666663</c:v>
                </c:pt>
              </c:numCache>
            </c:numRef>
          </c:val>
          <c:smooth val="0"/>
        </c:ser>
        <c:ser>
          <c:idx val="3"/>
          <c:order val="1"/>
          <c:tx>
            <c:v>H Max</c:v>
          </c:tx>
          <c:spPr>
            <a:ln w="28575">
              <a:noFill/>
            </a:ln>
          </c:spPr>
          <c:marker>
            <c:symbol val="circle"/>
            <c:size val="10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cat>
            <c:numRef>
              <c:f>JAN!$E$4:$E$31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Feb!$AF$91:$AF$118</c:f>
              <c:numCache>
                <c:formatCode>General</c:formatCode>
                <c:ptCount val="28"/>
                <c:pt idx="0">
                  <c:v>#N/A</c:v>
                </c:pt>
                <c:pt idx="1">
                  <c:v>0.35416666666666669</c:v>
                </c:pt>
                <c:pt idx="2">
                  <c:v>0.3611111111111111</c:v>
                </c:pt>
                <c:pt idx="3">
                  <c:v>#N/A</c:v>
                </c:pt>
                <c:pt idx="4">
                  <c:v>0.35416666666666669</c:v>
                </c:pt>
                <c:pt idx="5">
                  <c:v>0.22569444444444445</c:v>
                </c:pt>
                <c:pt idx="6">
                  <c:v>#N/A</c:v>
                </c:pt>
                <c:pt idx="7">
                  <c:v>0.41666666666666669</c:v>
                </c:pt>
                <c:pt idx="8">
                  <c:v>0.22916666666666666</c:v>
                </c:pt>
                <c:pt idx="9">
                  <c:v>#N/A</c:v>
                </c:pt>
                <c:pt idx="10">
                  <c:v>#N/A</c:v>
                </c:pt>
                <c:pt idx="11">
                  <c:v>0.22222222222222221</c:v>
                </c:pt>
                <c:pt idx="12">
                  <c:v>0.23958333333333334</c:v>
                </c:pt>
                <c:pt idx="13">
                  <c:v>#N/A</c:v>
                </c:pt>
                <c:pt idx="14">
                  <c:v>#N/A</c:v>
                </c:pt>
                <c:pt idx="15">
                  <c:v>0.3125</c:v>
                </c:pt>
                <c:pt idx="16">
                  <c:v>0.33333333333333331</c:v>
                </c:pt>
                <c:pt idx="17">
                  <c:v>0.35416666666666669</c:v>
                </c:pt>
                <c:pt idx="18">
                  <c:v>#N/A</c:v>
                </c:pt>
                <c:pt idx="19">
                  <c:v>2.7777777777777776E-2</c:v>
                </c:pt>
                <c:pt idx="20">
                  <c:v>0.30208333333333331</c:v>
                </c:pt>
                <c:pt idx="21">
                  <c:v>0.22916666666666666</c:v>
                </c:pt>
                <c:pt idx="22">
                  <c:v>#N/A</c:v>
                </c:pt>
                <c:pt idx="23">
                  <c:v>0.34722222222222227</c:v>
                </c:pt>
                <c:pt idx="24">
                  <c:v>0.33680555555555558</c:v>
                </c:pt>
                <c:pt idx="25">
                  <c:v>0.3125</c:v>
                </c:pt>
                <c:pt idx="26">
                  <c:v>#N/A</c:v>
                </c:pt>
                <c:pt idx="27">
                  <c:v>0.34722222222222227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207552"/>
        <c:axId val="115222016"/>
      </c:lineChart>
      <c:catAx>
        <c:axId val="115207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52220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5222016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hh:mm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5207552"/>
        <c:crosses val="autoZero"/>
        <c:crossBetween val="between"/>
        <c:majorUnit val="8.3333333300000006E-2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0.46386658431130329"/>
          <c:y val="0.10328650820055943"/>
          <c:w val="0.66337245213094509"/>
          <c:h val="0.1455400293273199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Time of Max Gust</a:t>
            </a:r>
          </a:p>
        </c:rich>
      </c:tx>
      <c:layout>
        <c:manualLayout>
          <c:xMode val="edge"/>
          <c:yMode val="edge"/>
          <c:x val="0.44814840737500405"/>
          <c:y val="2.026221692491060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8888912331761387E-2"/>
          <c:y val="8.8200238379022647E-2"/>
          <c:w val="0.95864255319405456"/>
          <c:h val="0.86054827175208581"/>
        </c:manualLayout>
      </c:layout>
      <c:lineChart>
        <c:grouping val="standard"/>
        <c:varyColors val="0"/>
        <c:ser>
          <c:idx val="4"/>
          <c:order val="0"/>
          <c:tx>
            <c:v>Gust</c:v>
          </c:tx>
          <c:spPr>
            <a:ln w="28575">
              <a:noFill/>
            </a:ln>
          </c:spPr>
          <c:marker>
            <c:symbol val="circle"/>
            <c:size val="1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cat>
            <c:numRef>
              <c:f>JAN!$E$4:$E$31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Feb!$BJ$49:$BJ$76</c:f>
              <c:numCache>
                <c:formatCode>h:mm</c:formatCode>
                <c:ptCount val="28"/>
                <c:pt idx="0">
                  <c:v>8.1944444444444445E-2</c:v>
                </c:pt>
                <c:pt idx="1">
                  <c:v>0.52222222222222225</c:v>
                </c:pt>
                <c:pt idx="2">
                  <c:v>0.90208333333333324</c:v>
                </c:pt>
                <c:pt idx="3">
                  <c:v>0.96944444444444444</c:v>
                </c:pt>
                <c:pt idx="4">
                  <c:v>3.2638888888888891E-2</c:v>
                </c:pt>
                <c:pt idx="5">
                  <c:v>0.58402777777777781</c:v>
                </c:pt>
                <c:pt idx="6">
                  <c:v>0.36041666666666666</c:v>
                </c:pt>
                <c:pt idx="7">
                  <c:v>0.58333333333333337</c:v>
                </c:pt>
                <c:pt idx="8">
                  <c:v>0.79652777777777783</c:v>
                </c:pt>
                <c:pt idx="9">
                  <c:v>1.2500000000000001E-2</c:v>
                </c:pt>
                <c:pt idx="10">
                  <c:v>0.65208333333333335</c:v>
                </c:pt>
                <c:pt idx="11">
                  <c:v>0.6479166666666667</c:v>
                </c:pt>
                <c:pt idx="12">
                  <c:v>0.65069444444444446</c:v>
                </c:pt>
                <c:pt idx="13">
                  <c:v>0.60347222222222219</c:v>
                </c:pt>
                <c:pt idx="14">
                  <c:v>0.52847222222222223</c:v>
                </c:pt>
                <c:pt idx="15">
                  <c:v>0.55694444444444446</c:v>
                </c:pt>
                <c:pt idx="16">
                  <c:v>0.4909722222222222</c:v>
                </c:pt>
                <c:pt idx="17">
                  <c:v>0.77569444444444446</c:v>
                </c:pt>
                <c:pt idx="18">
                  <c:v>2.8472222222222222E-2</c:v>
                </c:pt>
                <c:pt idx="19">
                  <c:v>0.81180555555555556</c:v>
                </c:pt>
                <c:pt idx="20">
                  <c:v>0.62291666666666667</c:v>
                </c:pt>
                <c:pt idx="21">
                  <c:v>0.96388888888888891</c:v>
                </c:pt>
                <c:pt idx="22">
                  <c:v>0.42708333333333331</c:v>
                </c:pt>
                <c:pt idx="23">
                  <c:v>3.0555555555555555E-2</c:v>
                </c:pt>
                <c:pt idx="24">
                  <c:v>0.4694444444444445</c:v>
                </c:pt>
                <c:pt idx="25">
                  <c:v>8.2638888888888887E-2</c:v>
                </c:pt>
                <c:pt idx="26">
                  <c:v>0.50416666666666665</c:v>
                </c:pt>
                <c:pt idx="27">
                  <c:v>0.54791666666666672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238016"/>
        <c:axId val="115239936"/>
      </c:lineChart>
      <c:catAx>
        <c:axId val="115238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52399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5239936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hh:mm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5238016"/>
        <c:crosses val="autoZero"/>
        <c:crossBetween val="between"/>
        <c:majorUnit val="8.3333333300000006E-2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 sz="14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Rain Rate / mmh</a:t>
            </a:r>
            <a:r>
              <a:rPr lang="en-GB" sz="1400" b="1" i="0" u="none" strike="noStrike" baseline="30000">
                <a:solidFill>
                  <a:srgbClr val="000000"/>
                </a:solidFill>
                <a:latin typeface="Arial"/>
                <a:cs typeface="Arial"/>
              </a:rPr>
              <a:t>-1</a:t>
            </a:r>
          </a:p>
        </c:rich>
      </c:tx>
      <c:layout>
        <c:manualLayout>
          <c:xMode val="edge"/>
          <c:yMode val="edge"/>
          <c:x val="0.44963144963144963"/>
          <c:y val="2.011834319526627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6412776412776413E-2"/>
          <c:y val="9.2307692307692313E-2"/>
          <c:w val="0.95515970515970516"/>
          <c:h val="0.85680473372781063"/>
        </c:manualLayout>
      </c:layout>
      <c:barChart>
        <c:barDir val="col"/>
        <c:grouping val="clustered"/>
        <c:varyColors val="0"/>
        <c:ser>
          <c:idx val="1"/>
          <c:order val="0"/>
          <c:tx>
            <c:v>Mean</c:v>
          </c:tx>
          <c:spPr>
            <a:solidFill>
              <a:srgbClr val="CCFFFF"/>
            </a:solidFill>
            <a:ln w="3175">
              <a:solidFill>
                <a:srgbClr val="333399"/>
              </a:solidFill>
              <a:prstDash val="solid"/>
            </a:ln>
          </c:spPr>
          <c:invertIfNegative val="0"/>
          <c:cat>
            <c:numRef>
              <c:f>JAN!$E$4:$E$31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Feb!$AD$4:$AD$31</c:f>
              <c:numCache>
                <c:formatCode>0.0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1.23</c:v>
                </c:pt>
                <c:pt idx="10">
                  <c:v>0.73333333333333339</c:v>
                </c:pt>
                <c:pt idx="11">
                  <c:v>0.76</c:v>
                </c:pt>
                <c:pt idx="12">
                  <c:v>0.42857142857142855</c:v>
                </c:pt>
                <c:pt idx="13">
                  <c:v>0</c:v>
                </c:pt>
                <c:pt idx="14">
                  <c:v>0.73333333333333339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1.2444444444444445</c:v>
                </c:pt>
                <c:pt idx="19">
                  <c:v>0</c:v>
                </c:pt>
                <c:pt idx="20">
                  <c:v>0</c:v>
                </c:pt>
                <c:pt idx="21">
                  <c:v>0.5</c:v>
                </c:pt>
                <c:pt idx="22">
                  <c:v>0.7</c:v>
                </c:pt>
                <c:pt idx="23">
                  <c:v>0</c:v>
                </c:pt>
                <c:pt idx="24">
                  <c:v>0</c:v>
                </c:pt>
                <c:pt idx="25">
                  <c:v>0.8666666666666667</c:v>
                </c:pt>
                <c:pt idx="26">
                  <c:v>1</c:v>
                </c:pt>
                <c:pt idx="27">
                  <c:v>0.15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-80"/>
        <c:axId val="115323264"/>
        <c:axId val="115324800"/>
      </c:barChart>
      <c:barChart>
        <c:barDir val="col"/>
        <c:grouping val="clustered"/>
        <c:varyColors val="0"/>
        <c:ser>
          <c:idx val="0"/>
          <c:order val="1"/>
          <c:tx>
            <c:v>Max</c:v>
          </c:tx>
          <c:spPr>
            <a:solidFill>
              <a:srgbClr val="9999FF"/>
            </a:solidFill>
            <a:ln w="12700">
              <a:solidFill>
                <a:srgbClr val="000080"/>
              </a:solidFill>
              <a:prstDash val="solid"/>
            </a:ln>
          </c:spPr>
          <c:invertIfNegative val="0"/>
          <c:cat>
            <c:numRef>
              <c:f>JAN!$E$4:$E$31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Feb!$AE$4:$AE$31</c:f>
              <c:numCache>
                <c:formatCode>General</c:formatCode>
                <c:ptCount val="28"/>
                <c:pt idx="9">
                  <c:v>15</c:v>
                </c:pt>
                <c:pt idx="10">
                  <c:v>0</c:v>
                </c:pt>
                <c:pt idx="11">
                  <c:v>1.6</c:v>
                </c:pt>
                <c:pt idx="12">
                  <c:v>2.1</c:v>
                </c:pt>
                <c:pt idx="14">
                  <c:v>3</c:v>
                </c:pt>
                <c:pt idx="18">
                  <c:v>4</c:v>
                </c:pt>
                <c:pt idx="21">
                  <c:v>0</c:v>
                </c:pt>
                <c:pt idx="22">
                  <c:v>2.1</c:v>
                </c:pt>
                <c:pt idx="25">
                  <c:v>6</c:v>
                </c:pt>
                <c:pt idx="26">
                  <c:v>3.5</c:v>
                </c:pt>
                <c:pt idx="2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0"/>
        <c:overlap val="-100"/>
        <c:axId val="115326336"/>
        <c:axId val="115332224"/>
      </c:barChart>
      <c:catAx>
        <c:axId val="115323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53248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5324800"/>
        <c:scaling>
          <c:orientation val="minMax"/>
          <c:max val="2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5323264"/>
        <c:crosses val="autoZero"/>
        <c:crossBetween val="between"/>
        <c:majorUnit val="0.5"/>
      </c:valAx>
      <c:catAx>
        <c:axId val="1153263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5332224"/>
        <c:crosses val="autoZero"/>
        <c:auto val="1"/>
        <c:lblAlgn val="ctr"/>
        <c:lblOffset val="100"/>
        <c:noMultiLvlLbl val="0"/>
      </c:catAx>
      <c:valAx>
        <c:axId val="115332224"/>
        <c:scaling>
          <c:orientation val="minMax"/>
          <c:max val="40"/>
          <c:min val="0"/>
        </c:scaling>
        <c:delete val="0"/>
        <c:axPos val="r"/>
        <c:numFmt formatCode="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5326336"/>
        <c:crosses val="max"/>
        <c:crossBetween val="between"/>
        <c:majorUnit val="10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0.23587223587223588"/>
          <c:y val="0.17514792899408285"/>
          <c:w val="0.38267813267813267"/>
          <c:h val="0.2224852071005917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01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Rainfall / mm</a:t>
            </a:r>
          </a:p>
        </c:rich>
      </c:tx>
      <c:layout>
        <c:manualLayout>
          <c:xMode val="edge"/>
          <c:yMode val="edge"/>
          <c:x val="0.47051597051597049"/>
          <c:y val="1.534828807556080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955773955773956E-2"/>
          <c:y val="8.8547866866898611E-2"/>
          <c:w val="0.97297297297297303"/>
          <c:h val="0.85005952192222656"/>
        </c:manualLayout>
      </c:layout>
      <c:barChart>
        <c:barDir val="col"/>
        <c:grouping val="clustered"/>
        <c:varyColors val="0"/>
        <c:ser>
          <c:idx val="0"/>
          <c:order val="0"/>
          <c:tx>
            <c:v>Rainfall</c:v>
          </c:tx>
          <c:spPr>
            <a:solidFill>
              <a:srgbClr val="3366FF"/>
            </a:solidFill>
            <a:ln w="12700">
              <a:solidFill>
                <a:srgbClr val="000080"/>
              </a:solidFill>
              <a:prstDash val="solid"/>
            </a:ln>
          </c:spPr>
          <c:invertIfNegative val="0"/>
          <c:cat>
            <c:numRef>
              <c:f>JAN!$E$4:$E$31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Feb!$Z$4:$Z$31</c:f>
              <c:numCache>
                <c:formatCode>0.0</c:formatCode>
                <c:ptCount val="28"/>
                <c:pt idx="0">
                  <c:v>0.1</c:v>
                </c:pt>
                <c:pt idx="1">
                  <c:v>0.1</c:v>
                </c:pt>
                <c:pt idx="2">
                  <c:v>0</c:v>
                </c:pt>
                <c:pt idx="3">
                  <c:v>0</c:v>
                </c:pt>
                <c:pt idx="4">
                  <c:v>0.1</c:v>
                </c:pt>
                <c:pt idx="5">
                  <c:v>0</c:v>
                </c:pt>
                <c:pt idx="6">
                  <c:v>0.1</c:v>
                </c:pt>
                <c:pt idx="7">
                  <c:v>0</c:v>
                </c:pt>
                <c:pt idx="8">
                  <c:v>0</c:v>
                </c:pt>
                <c:pt idx="9">
                  <c:v>12.3</c:v>
                </c:pt>
                <c:pt idx="10">
                  <c:v>1.1000000000000001</c:v>
                </c:pt>
                <c:pt idx="11">
                  <c:v>1.9</c:v>
                </c:pt>
                <c:pt idx="12">
                  <c:v>3</c:v>
                </c:pt>
                <c:pt idx="13">
                  <c:v>0</c:v>
                </c:pt>
                <c:pt idx="14">
                  <c:v>2.2000000000000002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11.2</c:v>
                </c:pt>
                <c:pt idx="19">
                  <c:v>0</c:v>
                </c:pt>
                <c:pt idx="20">
                  <c:v>0.1</c:v>
                </c:pt>
                <c:pt idx="21">
                  <c:v>0.5</c:v>
                </c:pt>
                <c:pt idx="22">
                  <c:v>3.5</c:v>
                </c:pt>
                <c:pt idx="23">
                  <c:v>0</c:v>
                </c:pt>
                <c:pt idx="24">
                  <c:v>0</c:v>
                </c:pt>
                <c:pt idx="25">
                  <c:v>5.2</c:v>
                </c:pt>
                <c:pt idx="26">
                  <c:v>2.5</c:v>
                </c:pt>
                <c:pt idx="27">
                  <c:v>0.3</c:v>
                </c:pt>
              </c:numCache>
            </c:numRef>
          </c:val>
        </c:ser>
        <c:ser>
          <c:idx val="1"/>
          <c:order val="1"/>
          <c:tx>
            <c:v>Max In Hour</c:v>
          </c:tx>
          <c:spPr>
            <a:solidFill>
              <a:srgbClr val="00CCFF"/>
            </a:solidFill>
            <a:ln w="12700">
              <a:solidFill>
                <a:srgbClr val="0000FF"/>
              </a:solidFill>
              <a:prstDash val="solid"/>
            </a:ln>
          </c:spPr>
          <c:invertIfNegative val="0"/>
          <c:cat>
            <c:numRef>
              <c:f>JAN!$E$4:$E$31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Feb!$AA$4:$AA$31</c:f>
              <c:numCache>
                <c:formatCode>0.0</c:formatCode>
                <c:ptCount val="28"/>
                <c:pt idx="9">
                  <c:v>3</c:v>
                </c:pt>
                <c:pt idx="10">
                  <c:v>0.5</c:v>
                </c:pt>
                <c:pt idx="11">
                  <c:v>1.4</c:v>
                </c:pt>
                <c:pt idx="12">
                  <c:v>1.1000000000000001</c:v>
                </c:pt>
                <c:pt idx="14">
                  <c:v>0.8</c:v>
                </c:pt>
                <c:pt idx="18">
                  <c:v>2.5</c:v>
                </c:pt>
                <c:pt idx="21">
                  <c:v>0.5</c:v>
                </c:pt>
                <c:pt idx="22">
                  <c:v>1.4</c:v>
                </c:pt>
                <c:pt idx="25">
                  <c:v>1.6</c:v>
                </c:pt>
                <c:pt idx="26">
                  <c:v>1.9</c:v>
                </c:pt>
                <c:pt idx="27">
                  <c:v>0</c:v>
                </c:pt>
              </c:numCache>
            </c:numRef>
          </c:val>
        </c:ser>
        <c:ser>
          <c:idx val="2"/>
          <c:order val="2"/>
          <c:tx>
            <c:v>Max in 10 Minutes</c:v>
          </c:tx>
          <c:spPr>
            <a:solidFill>
              <a:srgbClr val="99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JAN!$E$4:$E$31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Feb!$AB$4:$AB$31</c:f>
              <c:numCache>
                <c:formatCode>0.0</c:formatCode>
                <c:ptCount val="28"/>
                <c:pt idx="9">
                  <c:v>0.8</c:v>
                </c:pt>
                <c:pt idx="10">
                  <c:v>0</c:v>
                </c:pt>
                <c:pt idx="11">
                  <c:v>0.3</c:v>
                </c:pt>
                <c:pt idx="12">
                  <c:v>0.3</c:v>
                </c:pt>
                <c:pt idx="14">
                  <c:v>0.5</c:v>
                </c:pt>
                <c:pt idx="18">
                  <c:v>0.5</c:v>
                </c:pt>
                <c:pt idx="21">
                  <c:v>0</c:v>
                </c:pt>
                <c:pt idx="22">
                  <c:v>0.3</c:v>
                </c:pt>
                <c:pt idx="25">
                  <c:v>0.5</c:v>
                </c:pt>
                <c:pt idx="26">
                  <c:v>0.5</c:v>
                </c:pt>
                <c:pt idx="2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overlap val="100"/>
        <c:axId val="115354240"/>
        <c:axId val="115372416"/>
      </c:barChart>
      <c:catAx>
        <c:axId val="115354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53724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5372416"/>
        <c:scaling>
          <c:orientation val="minMax"/>
          <c:max val="14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5354240"/>
        <c:crosses val="autoZero"/>
        <c:crossBetween val="between"/>
        <c:majorUnit val="2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3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 horizontalDpi="-3" verticalDpi="0"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Wet Hours / h</a:t>
            </a:r>
          </a:p>
        </c:rich>
      </c:tx>
      <c:layout>
        <c:manualLayout>
          <c:xMode val="edge"/>
          <c:yMode val="edge"/>
          <c:x val="0.47116577299003271"/>
          <c:y val="2.243211334120424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926387535464059E-2"/>
          <c:y val="8.2644675742438695E-2"/>
          <c:w val="0.97361992355849891"/>
          <c:h val="0.8665884570707143"/>
        </c:manualLayout>
      </c:layout>
      <c:barChart>
        <c:barDir val="col"/>
        <c:grouping val="clustered"/>
        <c:varyColors val="0"/>
        <c:ser>
          <c:idx val="2"/>
          <c:order val="0"/>
          <c:tx>
            <c:v>Wet</c:v>
          </c:tx>
          <c:spPr>
            <a:solidFill>
              <a:srgbClr val="00FFFF"/>
            </a:solidFill>
            <a:ln w="12700">
              <a:solidFill>
                <a:srgbClr val="3366FF"/>
              </a:solidFill>
              <a:prstDash val="solid"/>
            </a:ln>
          </c:spPr>
          <c:invertIfNegative val="0"/>
          <c:cat>
            <c:numRef>
              <c:f>JAN!$E$4:$E$31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Feb!$AQ$4:$AQ$31</c:f>
              <c:numCache>
                <c:formatCode>General</c:formatCode>
                <c:ptCount val="28"/>
                <c:pt idx="0">
                  <c:v>0.5</c:v>
                </c:pt>
                <c:pt idx="1">
                  <c:v>0.3</c:v>
                </c:pt>
                <c:pt idx="2">
                  <c:v>0</c:v>
                </c:pt>
                <c:pt idx="3">
                  <c:v>0</c:v>
                </c:pt>
                <c:pt idx="4">
                  <c:v>0.3</c:v>
                </c:pt>
                <c:pt idx="5">
                  <c:v>0</c:v>
                </c:pt>
                <c:pt idx="6">
                  <c:v>0.2</c:v>
                </c:pt>
                <c:pt idx="7">
                  <c:v>0</c:v>
                </c:pt>
                <c:pt idx="8">
                  <c:v>0</c:v>
                </c:pt>
                <c:pt idx="9">
                  <c:v>10</c:v>
                </c:pt>
                <c:pt idx="10">
                  <c:v>1.5</c:v>
                </c:pt>
                <c:pt idx="11">
                  <c:v>2.5</c:v>
                </c:pt>
                <c:pt idx="12">
                  <c:v>7</c:v>
                </c:pt>
                <c:pt idx="13">
                  <c:v>0</c:v>
                </c:pt>
                <c:pt idx="14">
                  <c:v>3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9</c:v>
                </c:pt>
                <c:pt idx="19">
                  <c:v>0</c:v>
                </c:pt>
                <c:pt idx="20">
                  <c:v>1</c:v>
                </c:pt>
                <c:pt idx="21">
                  <c:v>1</c:v>
                </c:pt>
                <c:pt idx="22">
                  <c:v>5</c:v>
                </c:pt>
                <c:pt idx="23">
                  <c:v>0</c:v>
                </c:pt>
                <c:pt idx="24">
                  <c:v>0</c:v>
                </c:pt>
                <c:pt idx="25">
                  <c:v>6</c:v>
                </c:pt>
                <c:pt idx="26">
                  <c:v>2.5</c:v>
                </c:pt>
                <c:pt idx="27">
                  <c:v>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overlap val="-10"/>
        <c:axId val="115396608"/>
        <c:axId val="115398144"/>
      </c:barChart>
      <c:catAx>
        <c:axId val="1153966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53981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5398144"/>
        <c:scaling>
          <c:orientation val="minMax"/>
          <c:max val="12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5396608"/>
        <c:crosses val="autoZero"/>
        <c:crossBetween val="between"/>
        <c:majorUnit val="2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Wind Direction Frequency</a:t>
            </a:r>
          </a:p>
        </c:rich>
      </c:tx>
      <c:layout>
        <c:manualLayout>
          <c:xMode val="edge"/>
          <c:yMode val="edge"/>
          <c:x val="0.41079092581238502"/>
          <c:y val="2.836879432624113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9797670141017779"/>
          <c:y val="0.17848720366892415"/>
          <c:w val="0.38013488657265482"/>
          <c:h val="0.73286136605783425"/>
        </c:manualLayout>
      </c:layout>
      <c:radarChart>
        <c:radarStyle val="filled"/>
        <c:varyColors val="1"/>
        <c:ser>
          <c:idx val="0"/>
          <c:order val="0"/>
          <c:tx>
            <c:v>Mean Wind Direction</c:v>
          </c:tx>
          <c:spPr>
            <a:solidFill>
              <a:srgbClr val="FF99CC"/>
            </a:solidFill>
            <a:ln w="38100">
              <a:solidFill>
                <a:srgbClr val="FF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</c:dPt>
          <c:dPt>
            <c:idx val="2"/>
            <c:bubble3D val="0"/>
          </c:dPt>
          <c:dPt>
            <c:idx val="3"/>
            <c:bubble3D val="0"/>
          </c:dPt>
          <c:dPt>
            <c:idx val="4"/>
            <c:bubble3D val="0"/>
          </c:dPt>
          <c:dPt>
            <c:idx val="5"/>
            <c:bubble3D val="0"/>
          </c:dPt>
          <c:dPt>
            <c:idx val="6"/>
            <c:bubble3D val="0"/>
          </c:dPt>
          <c:dPt>
            <c:idx val="7"/>
            <c:bubble3D val="0"/>
          </c:dPt>
          <c:dPt>
            <c:idx val="8"/>
            <c:bubble3D val="0"/>
          </c:dPt>
          <c:dPt>
            <c:idx val="9"/>
            <c:bubble3D val="0"/>
          </c:dPt>
          <c:dPt>
            <c:idx val="10"/>
            <c:bubble3D val="0"/>
          </c:dPt>
          <c:dPt>
            <c:idx val="11"/>
            <c:bubble3D val="0"/>
          </c:dPt>
          <c:dPt>
            <c:idx val="12"/>
            <c:bubble3D val="0"/>
          </c:dPt>
          <c:dPt>
            <c:idx val="13"/>
            <c:bubble3D val="0"/>
          </c:dPt>
          <c:dPt>
            <c:idx val="14"/>
            <c:bubble3D val="0"/>
          </c:dPt>
          <c:dPt>
            <c:idx val="15"/>
            <c:bubble3D val="0"/>
          </c:dPt>
          <c:dLbls>
            <c:dLbl>
              <c:idx val="0"/>
              <c:layout>
                <c:manualLayout>
                  <c:x val="3.4540746784332782E-4"/>
                  <c:y val="-0.33067567994516361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 val="8.4732777501524761E-2"/>
                  <c:y val="-0.28459035219872991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layout>
                <c:manualLayout>
                  <c:x val="0.12865198717113147"/>
                  <c:y val="-0.22584513392345851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layout>
                <c:manualLayout>
                  <c:x val="0.15787438587343963"/>
                  <c:y val="-0.1142409446976687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4"/>
              <c:layout>
                <c:manualLayout>
                  <c:x val="0.16056503666655397"/>
                  <c:y val="-8.0338699597004119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5"/>
              <c:layout>
                <c:manualLayout>
                  <c:x val="0.15443865654132286"/>
                  <c:y val="0.119357125269319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6"/>
              <c:layout>
                <c:manualLayout>
                  <c:x val="0.13600724802103595"/>
                  <c:y val="0.2227755523840808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7"/>
              <c:layout>
                <c:manualLayout>
                  <c:x val="8.3362219207577581E-2"/>
                  <c:y val="0.2711100684510290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8"/>
              <c:layout>
                <c:manualLayout>
                  <c:x val="3.4110113918163648E-3"/>
                  <c:y val="0.19946711576895515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9"/>
              <c:layout>
                <c:manualLayout>
                  <c:x val="-3.3127447051951156E-2"/>
                  <c:y val="3.009781091859143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0"/>
              <c:layout>
                <c:manualLayout>
                  <c:x val="-3.9720120821807189E-2"/>
                  <c:y val="4.373593969692667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1"/>
              <c:layout>
                <c:manualLayout>
                  <c:x val="-7.0232036446088011E-2"/>
                  <c:y val="6.193469259579297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2"/>
              <c:layout>
                <c:manualLayout>
                  <c:x val="-0.16341358617726431"/>
                  <c:y val="-1.157997334385125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3"/>
              <c:layout>
                <c:manualLayout>
                  <c:x val="-0.17363316709874782"/>
                  <c:y val="-0.1327135565211006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4"/>
              <c:layout>
                <c:manualLayout>
                  <c:x val="-0.13467885183879913"/>
                  <c:y val="-0.24470629237545968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5"/>
              <c:layout>
                <c:manualLayout>
                  <c:x val="-7.730381341817251E-2"/>
                  <c:y val="-0.3093229575709299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1" i="0" u="none" strike="noStrike" baseline="0">
                    <a:solidFill>
                      <a:srgbClr val="FF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Nov!$AP$92:$AP$107</c:f>
              <c:strCache>
                <c:ptCount val="16"/>
                <c:pt idx="0">
                  <c:v>N</c:v>
                </c:pt>
                <c:pt idx="1">
                  <c:v>NNE</c:v>
                </c:pt>
                <c:pt idx="2">
                  <c:v>NE</c:v>
                </c:pt>
                <c:pt idx="3">
                  <c:v>ENE</c:v>
                </c:pt>
                <c:pt idx="4">
                  <c:v>E</c:v>
                </c:pt>
                <c:pt idx="5">
                  <c:v>ESE</c:v>
                </c:pt>
                <c:pt idx="6">
                  <c:v>SE</c:v>
                </c:pt>
                <c:pt idx="7">
                  <c:v>SSE</c:v>
                </c:pt>
                <c:pt idx="8">
                  <c:v>S</c:v>
                </c:pt>
                <c:pt idx="9">
                  <c:v>SSW</c:v>
                </c:pt>
                <c:pt idx="10">
                  <c:v>SW</c:v>
                </c:pt>
                <c:pt idx="11">
                  <c:v>WSW</c:v>
                </c:pt>
                <c:pt idx="12">
                  <c:v>W</c:v>
                </c:pt>
                <c:pt idx="13">
                  <c:v>WNW</c:v>
                </c:pt>
                <c:pt idx="14">
                  <c:v>NW</c:v>
                </c:pt>
                <c:pt idx="15">
                  <c:v>NNW</c:v>
                </c:pt>
              </c:strCache>
            </c:strRef>
          </c:cat>
          <c:val>
            <c:numRef>
              <c:f>Feb!$AQ$92:$AQ$107</c:f>
              <c:numCache>
                <c:formatCode>0%</c:formatCode>
                <c:ptCount val="16"/>
                <c:pt idx="0">
                  <c:v>2.7E-2</c:v>
                </c:pt>
                <c:pt idx="1">
                  <c:v>2.9000000000000001E-2</c:v>
                </c:pt>
                <c:pt idx="2">
                  <c:v>0.03</c:v>
                </c:pt>
                <c:pt idx="3">
                  <c:v>4.9000000000000002E-2</c:v>
                </c:pt>
                <c:pt idx="4">
                  <c:v>5.2999999999999999E-2</c:v>
                </c:pt>
                <c:pt idx="5">
                  <c:v>5.0999999999999997E-2</c:v>
                </c:pt>
                <c:pt idx="6">
                  <c:v>2.9000000000000001E-2</c:v>
                </c:pt>
                <c:pt idx="7">
                  <c:v>3.5000000000000003E-2</c:v>
                </c:pt>
                <c:pt idx="8">
                  <c:v>9.4E-2</c:v>
                </c:pt>
                <c:pt idx="9">
                  <c:v>0.19700000000000001</c:v>
                </c:pt>
                <c:pt idx="10">
                  <c:v>0.17599999999999999</c:v>
                </c:pt>
                <c:pt idx="11">
                  <c:v>0.108</c:v>
                </c:pt>
                <c:pt idx="12">
                  <c:v>5.6000000000000001E-2</c:v>
                </c:pt>
                <c:pt idx="13">
                  <c:v>3.3000000000000002E-2</c:v>
                </c:pt>
                <c:pt idx="14">
                  <c:v>1.7999999999999999E-2</c:v>
                </c:pt>
                <c:pt idx="15">
                  <c:v>1.6E-2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476736"/>
        <c:axId val="115486720"/>
      </c:radarChart>
      <c:catAx>
        <c:axId val="115476736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5486720"/>
        <c:crosses val="autoZero"/>
        <c:auto val="0"/>
        <c:lblAlgn val="ctr"/>
        <c:lblOffset val="100"/>
        <c:noMultiLvlLbl val="0"/>
      </c:catAx>
      <c:valAx>
        <c:axId val="115486720"/>
        <c:scaling>
          <c:orientation val="minMax"/>
          <c:max val="0.22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0%" sourceLinked="1"/>
        <c:majorTickMark val="cross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5476736"/>
        <c:crosses val="autoZero"/>
        <c:crossBetween val="between"/>
        <c:majorUnit val="0.02"/>
      </c:valAx>
      <c:spPr>
        <a:solidFill>
          <a:srgbClr val="C0C0C0"/>
        </a:solidFill>
        <a:ln w="25400">
          <a:noFill/>
        </a:ln>
      </c:spPr>
    </c:plotArea>
    <c:plotVisOnly val="1"/>
    <c:dispBlanksAs val="gap"/>
    <c:showDLblsOverMax val="0"/>
  </c:chart>
  <c:spPr>
    <a:solidFill>
      <a:srgbClr val="C0C0C0"/>
    </a:solidFill>
    <a:ln w="3175">
      <a:solidFill>
        <a:srgbClr val="000000"/>
      </a:solidFill>
      <a:prstDash val="solid"/>
    </a:ln>
  </c:spPr>
  <c:txPr>
    <a:bodyPr/>
    <a:lstStyle/>
    <a:p>
      <a:pPr>
        <a:defRPr sz="23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 horizontalDpi="-3" verticalDpi="0"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7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 sz="14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Temperature / °C   </a:t>
            </a:r>
          </a:p>
        </c:rich>
      </c:tx>
      <c:layout>
        <c:manualLayout>
          <c:xMode val="edge"/>
          <c:yMode val="edge"/>
          <c:x val="0.450704353933713"/>
          <c:y val="2.112676056338028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6944282398277949E-2"/>
          <c:y val="8.0986008319129985E-2"/>
          <c:w val="0.95468491497534824"/>
          <c:h val="0.8685455964660318"/>
        </c:manualLayout>
      </c:layout>
      <c:lineChart>
        <c:grouping val="standard"/>
        <c:varyColors val="0"/>
        <c:ser>
          <c:idx val="0"/>
          <c:order val="0"/>
          <c:tx>
            <c:v>Min</c:v>
          </c:tx>
          <c:spPr>
            <a:ln w="38100">
              <a:solidFill>
                <a:srgbClr val="0000FF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JAN!$E$4:$E$34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Mar!$F$4:$F$34</c:f>
              <c:numCache>
                <c:formatCode>0.0</c:formatCode>
                <c:ptCount val="31"/>
                <c:pt idx="0">
                  <c:v>2.5</c:v>
                </c:pt>
                <c:pt idx="1">
                  <c:v>0.1</c:v>
                </c:pt>
                <c:pt idx="2">
                  <c:v>-0.1</c:v>
                </c:pt>
                <c:pt idx="3">
                  <c:v>0.6</c:v>
                </c:pt>
                <c:pt idx="4">
                  <c:v>0.7</c:v>
                </c:pt>
                <c:pt idx="5">
                  <c:v>2.8</c:v>
                </c:pt>
                <c:pt idx="6">
                  <c:v>0.7</c:v>
                </c:pt>
                <c:pt idx="7">
                  <c:v>-2.6</c:v>
                </c:pt>
                <c:pt idx="8">
                  <c:v>4.4000000000000004</c:v>
                </c:pt>
                <c:pt idx="9">
                  <c:v>5.7</c:v>
                </c:pt>
                <c:pt idx="10">
                  <c:v>4.5999999999999996</c:v>
                </c:pt>
                <c:pt idx="11">
                  <c:v>7.9</c:v>
                </c:pt>
                <c:pt idx="12">
                  <c:v>1.9</c:v>
                </c:pt>
                <c:pt idx="13">
                  <c:v>0.8</c:v>
                </c:pt>
                <c:pt idx="14">
                  <c:v>6.2</c:v>
                </c:pt>
                <c:pt idx="15">
                  <c:v>4.0999999999999996</c:v>
                </c:pt>
                <c:pt idx="16">
                  <c:v>3.1</c:v>
                </c:pt>
                <c:pt idx="17">
                  <c:v>1.3</c:v>
                </c:pt>
                <c:pt idx="18">
                  <c:v>-1.6</c:v>
                </c:pt>
                <c:pt idx="19">
                  <c:v>1.6</c:v>
                </c:pt>
                <c:pt idx="20">
                  <c:v>4.5</c:v>
                </c:pt>
                <c:pt idx="21">
                  <c:v>6.5</c:v>
                </c:pt>
                <c:pt idx="22">
                  <c:v>4.3</c:v>
                </c:pt>
                <c:pt idx="23">
                  <c:v>4.8</c:v>
                </c:pt>
                <c:pt idx="24">
                  <c:v>3.6</c:v>
                </c:pt>
                <c:pt idx="25">
                  <c:v>5.0999999999999996</c:v>
                </c:pt>
                <c:pt idx="26">
                  <c:v>6.2</c:v>
                </c:pt>
                <c:pt idx="27">
                  <c:v>5.2</c:v>
                </c:pt>
                <c:pt idx="28">
                  <c:v>2.7</c:v>
                </c:pt>
                <c:pt idx="29">
                  <c:v>9.6999999999999993</c:v>
                </c:pt>
                <c:pt idx="30">
                  <c:v>9.4</c:v>
                </c:pt>
              </c:numCache>
            </c:numRef>
          </c:val>
          <c:smooth val="0"/>
        </c:ser>
        <c:ser>
          <c:idx val="1"/>
          <c:order val="1"/>
          <c:tx>
            <c:v>Max</c:v>
          </c:tx>
          <c:spPr>
            <a:ln w="38100">
              <a:solidFill>
                <a:srgbClr val="FF6600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993300"/>
              </a:solidFill>
              <a:ln>
                <a:solidFill>
                  <a:srgbClr val="993300"/>
                </a:solidFill>
                <a:prstDash val="solid"/>
              </a:ln>
            </c:spPr>
          </c:marker>
          <c:cat>
            <c:numRef>
              <c:f>JAN!$E$4:$E$34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Mar!$G$4:$G$34</c:f>
              <c:numCache>
                <c:formatCode>0.0</c:formatCode>
                <c:ptCount val="31"/>
                <c:pt idx="0">
                  <c:v>4.4000000000000004</c:v>
                </c:pt>
                <c:pt idx="1">
                  <c:v>6.6</c:v>
                </c:pt>
                <c:pt idx="2">
                  <c:v>4</c:v>
                </c:pt>
                <c:pt idx="3">
                  <c:v>6.5</c:v>
                </c:pt>
                <c:pt idx="4">
                  <c:v>7.3</c:v>
                </c:pt>
                <c:pt idx="5">
                  <c:v>6</c:v>
                </c:pt>
                <c:pt idx="6">
                  <c:v>8.6</c:v>
                </c:pt>
                <c:pt idx="7">
                  <c:v>11.4</c:v>
                </c:pt>
                <c:pt idx="8">
                  <c:v>10.5</c:v>
                </c:pt>
                <c:pt idx="9">
                  <c:v>12.7</c:v>
                </c:pt>
                <c:pt idx="10">
                  <c:v>11.6</c:v>
                </c:pt>
                <c:pt idx="11">
                  <c:v>13.9</c:v>
                </c:pt>
                <c:pt idx="12">
                  <c:v>10.6</c:v>
                </c:pt>
                <c:pt idx="13">
                  <c:v>11.6</c:v>
                </c:pt>
                <c:pt idx="14">
                  <c:v>11.7</c:v>
                </c:pt>
                <c:pt idx="15">
                  <c:v>9.3000000000000007</c:v>
                </c:pt>
                <c:pt idx="16">
                  <c:v>9.1</c:v>
                </c:pt>
                <c:pt idx="17">
                  <c:v>7.4</c:v>
                </c:pt>
                <c:pt idx="18">
                  <c:v>11.1</c:v>
                </c:pt>
                <c:pt idx="19">
                  <c:v>12.9</c:v>
                </c:pt>
                <c:pt idx="20">
                  <c:v>14.6</c:v>
                </c:pt>
                <c:pt idx="21">
                  <c:v>15.9</c:v>
                </c:pt>
                <c:pt idx="22">
                  <c:v>16.100000000000001</c:v>
                </c:pt>
                <c:pt idx="23">
                  <c:v>15.8</c:v>
                </c:pt>
                <c:pt idx="24">
                  <c:v>17.2</c:v>
                </c:pt>
                <c:pt idx="25">
                  <c:v>13.4</c:v>
                </c:pt>
                <c:pt idx="26">
                  <c:v>14</c:v>
                </c:pt>
                <c:pt idx="27">
                  <c:v>13.6</c:v>
                </c:pt>
                <c:pt idx="28">
                  <c:v>15.2</c:v>
                </c:pt>
                <c:pt idx="29">
                  <c:v>11.7</c:v>
                </c:pt>
                <c:pt idx="30">
                  <c:v>17.7</c:v>
                </c:pt>
              </c:numCache>
            </c:numRef>
          </c:val>
          <c:smooth val="0"/>
        </c:ser>
        <c:ser>
          <c:idx val="7"/>
          <c:order val="2"/>
          <c:tx>
            <c:v>Cumulative Min</c:v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x"/>
            <c:size val="2"/>
            <c:spPr>
              <a:noFill/>
              <a:ln>
                <a:solidFill>
                  <a:srgbClr val="0000FF"/>
                </a:solidFill>
                <a:prstDash val="solid"/>
              </a:ln>
            </c:spPr>
          </c:marker>
          <c:cat>
            <c:numRef>
              <c:f>JAN!$E$4:$E$34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Mar!$P$91:$P$121</c:f>
              <c:numCache>
                <c:formatCode>0.0</c:formatCode>
                <c:ptCount val="31"/>
                <c:pt idx="0">
                  <c:v>2.5</c:v>
                </c:pt>
                <c:pt idx="1">
                  <c:v>1.3</c:v>
                </c:pt>
                <c:pt idx="2">
                  <c:v>0.83333333333333337</c:v>
                </c:pt>
                <c:pt idx="3">
                  <c:v>0.77500000000000002</c:v>
                </c:pt>
                <c:pt idx="4">
                  <c:v>0.76</c:v>
                </c:pt>
                <c:pt idx="5">
                  <c:v>1.0999999999999999</c:v>
                </c:pt>
                <c:pt idx="6">
                  <c:v>1.0428571428571429</c:v>
                </c:pt>
                <c:pt idx="7">
                  <c:v>0.58749999999999991</c:v>
                </c:pt>
                <c:pt idx="8">
                  <c:v>1.0111111111111111</c:v>
                </c:pt>
                <c:pt idx="9">
                  <c:v>1.48</c:v>
                </c:pt>
                <c:pt idx="10">
                  <c:v>1.7636363636363634</c:v>
                </c:pt>
                <c:pt idx="11">
                  <c:v>2.2749999999999999</c:v>
                </c:pt>
                <c:pt idx="12">
                  <c:v>2.2461538461538457</c:v>
                </c:pt>
                <c:pt idx="13">
                  <c:v>2.1428571428571428</c:v>
                </c:pt>
                <c:pt idx="14">
                  <c:v>2.4133333333333331</c:v>
                </c:pt>
                <c:pt idx="15">
                  <c:v>2.5187499999999998</c:v>
                </c:pt>
                <c:pt idx="16">
                  <c:v>2.552941176470588</c:v>
                </c:pt>
                <c:pt idx="17">
                  <c:v>2.4833333333333329</c:v>
                </c:pt>
                <c:pt idx="18">
                  <c:v>2.2684210526315787</c:v>
                </c:pt>
                <c:pt idx="19">
                  <c:v>2.2349999999999999</c:v>
                </c:pt>
                <c:pt idx="20">
                  <c:v>2.3428571428571425</c:v>
                </c:pt>
                <c:pt idx="21">
                  <c:v>2.5318181818181817</c:v>
                </c:pt>
                <c:pt idx="22">
                  <c:v>2.6086956521739126</c:v>
                </c:pt>
                <c:pt idx="23">
                  <c:v>2.6999999999999997</c:v>
                </c:pt>
                <c:pt idx="24">
                  <c:v>2.7359999999999998</c:v>
                </c:pt>
                <c:pt idx="25">
                  <c:v>2.8269230769230762</c:v>
                </c:pt>
                <c:pt idx="26">
                  <c:v>2.9518518518518513</c:v>
                </c:pt>
                <c:pt idx="27">
                  <c:v>3.032142857142857</c:v>
                </c:pt>
                <c:pt idx="28">
                  <c:v>3.0206896551724136</c:v>
                </c:pt>
                <c:pt idx="29">
                  <c:v>3.2433333333333332</c:v>
                </c:pt>
                <c:pt idx="30">
                  <c:v>3.4419354838709677</c:v>
                </c:pt>
              </c:numCache>
            </c:numRef>
          </c:val>
          <c:smooth val="0"/>
        </c:ser>
        <c:ser>
          <c:idx val="6"/>
          <c:order val="3"/>
          <c:tx>
            <c:v>Cumulative Max</c:v>
          </c:tx>
          <c:spPr>
            <a:ln w="12700">
              <a:solidFill>
                <a:srgbClr val="FF9900"/>
              </a:solidFill>
              <a:prstDash val="solid"/>
            </a:ln>
          </c:spPr>
          <c:marker>
            <c:symbol val="plus"/>
            <c:size val="2"/>
            <c:spPr>
              <a:noFill/>
              <a:ln>
                <a:solidFill>
                  <a:srgbClr val="FF6600"/>
                </a:solidFill>
                <a:prstDash val="solid"/>
              </a:ln>
            </c:spPr>
          </c:marker>
          <c:cat>
            <c:numRef>
              <c:f>JAN!$E$4:$E$34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Mar!$Q$91:$Q$121</c:f>
              <c:numCache>
                <c:formatCode>0.0</c:formatCode>
                <c:ptCount val="31"/>
                <c:pt idx="0">
                  <c:v>4.4000000000000004</c:v>
                </c:pt>
                <c:pt idx="1">
                  <c:v>5.5</c:v>
                </c:pt>
                <c:pt idx="2">
                  <c:v>5</c:v>
                </c:pt>
                <c:pt idx="3">
                  <c:v>5.375</c:v>
                </c:pt>
                <c:pt idx="4">
                  <c:v>5.76</c:v>
                </c:pt>
                <c:pt idx="5">
                  <c:v>5.8</c:v>
                </c:pt>
                <c:pt idx="6">
                  <c:v>6.2</c:v>
                </c:pt>
                <c:pt idx="7">
                  <c:v>6.85</c:v>
                </c:pt>
                <c:pt idx="8">
                  <c:v>7.2555555555555555</c:v>
                </c:pt>
                <c:pt idx="9">
                  <c:v>7.8</c:v>
                </c:pt>
                <c:pt idx="10">
                  <c:v>8.1454545454545446</c:v>
                </c:pt>
                <c:pt idx="11">
                  <c:v>8.625</c:v>
                </c:pt>
                <c:pt idx="12">
                  <c:v>8.7769230769230759</c:v>
                </c:pt>
                <c:pt idx="13">
                  <c:v>8.9785714285714278</c:v>
                </c:pt>
                <c:pt idx="14">
                  <c:v>9.1599999999999984</c:v>
                </c:pt>
                <c:pt idx="15">
                  <c:v>9.1687499999999993</c:v>
                </c:pt>
                <c:pt idx="16">
                  <c:v>9.1647058823529406</c:v>
                </c:pt>
                <c:pt idx="17">
                  <c:v>9.0666666666666664</c:v>
                </c:pt>
                <c:pt idx="18">
                  <c:v>9.1736842105263143</c:v>
                </c:pt>
                <c:pt idx="19">
                  <c:v>9.36</c:v>
                </c:pt>
                <c:pt idx="20">
                  <c:v>9.6095238095238091</c:v>
                </c:pt>
                <c:pt idx="21">
                  <c:v>9.8954545454545446</c:v>
                </c:pt>
                <c:pt idx="22">
                  <c:v>10.165217391304347</c:v>
                </c:pt>
                <c:pt idx="23">
                  <c:v>10.4</c:v>
                </c:pt>
                <c:pt idx="24">
                  <c:v>10.672000000000001</c:v>
                </c:pt>
                <c:pt idx="25">
                  <c:v>10.776923076923076</c:v>
                </c:pt>
                <c:pt idx="26">
                  <c:v>10.896296296296295</c:v>
                </c:pt>
                <c:pt idx="27">
                  <c:v>10.992857142857144</c:v>
                </c:pt>
                <c:pt idx="28">
                  <c:v>11.137931034482758</c:v>
                </c:pt>
                <c:pt idx="29">
                  <c:v>11.156666666666666</c:v>
                </c:pt>
                <c:pt idx="30">
                  <c:v>11.36774193548387</c:v>
                </c:pt>
              </c:numCache>
            </c:numRef>
          </c:val>
          <c:smooth val="0"/>
        </c:ser>
        <c:ser>
          <c:idx val="9"/>
          <c:order val="6"/>
          <c:tx>
            <c:v>E (Min)</c:v>
          </c:tx>
          <c:spPr>
            <a:ln w="25400">
              <a:solidFill>
                <a:srgbClr val="00CCFF"/>
              </a:solidFill>
              <a:prstDash val="lgDash"/>
            </a:ln>
          </c:spPr>
          <c:marker>
            <c:symbol val="star"/>
            <c:size val="2"/>
            <c:spPr>
              <a:noFill/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JAN!$E$4:$E$34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Mar!$F$91:$F$121</c:f>
              <c:numCache>
                <c:formatCode>0.0</c:formatCode>
                <c:ptCount val="31"/>
                <c:pt idx="0">
                  <c:v>2.625</c:v>
                </c:pt>
                <c:pt idx="1">
                  <c:v>2.65</c:v>
                </c:pt>
                <c:pt idx="2">
                  <c:v>2.6749999999999998</c:v>
                </c:pt>
                <c:pt idx="3">
                  <c:v>2.7</c:v>
                </c:pt>
                <c:pt idx="4">
                  <c:v>2.75</c:v>
                </c:pt>
                <c:pt idx="5">
                  <c:v>2.838461538461539</c:v>
                </c:pt>
                <c:pt idx="6">
                  <c:v>2.9269230769230776</c:v>
                </c:pt>
                <c:pt idx="7">
                  <c:v>3.0153846153846162</c:v>
                </c:pt>
                <c:pt idx="8">
                  <c:v>3.1038461538461548</c:v>
                </c:pt>
                <c:pt idx="9">
                  <c:v>3.1923076923076934</c:v>
                </c:pt>
                <c:pt idx="10">
                  <c:v>3.280769230769232</c:v>
                </c:pt>
                <c:pt idx="11">
                  <c:v>3.3692307692307706</c:v>
                </c:pt>
                <c:pt idx="12">
                  <c:v>3.4576923076923092</c:v>
                </c:pt>
                <c:pt idx="13">
                  <c:v>3.5461538461538478</c:v>
                </c:pt>
                <c:pt idx="14">
                  <c:v>3.6346153846153864</c:v>
                </c:pt>
                <c:pt idx="15">
                  <c:v>3.7230769230769249</c:v>
                </c:pt>
                <c:pt idx="16">
                  <c:v>3.8115384615384635</c:v>
                </c:pt>
                <c:pt idx="17">
                  <c:v>3.9</c:v>
                </c:pt>
                <c:pt idx="18">
                  <c:v>3.9461538461538459</c:v>
                </c:pt>
                <c:pt idx="19">
                  <c:v>3.9923076923076919</c:v>
                </c:pt>
                <c:pt idx="20">
                  <c:v>4.0384615384615383</c:v>
                </c:pt>
                <c:pt idx="21">
                  <c:v>4.0846153846153843</c:v>
                </c:pt>
                <c:pt idx="22">
                  <c:v>4.1307692307692303</c:v>
                </c:pt>
                <c:pt idx="23">
                  <c:v>4.1769230769230763</c:v>
                </c:pt>
                <c:pt idx="24">
                  <c:v>4.2230769230769223</c:v>
                </c:pt>
                <c:pt idx="25">
                  <c:v>4.2692307692307683</c:v>
                </c:pt>
                <c:pt idx="26">
                  <c:v>4.3153846153846143</c:v>
                </c:pt>
                <c:pt idx="27">
                  <c:v>4.3615384615384603</c:v>
                </c:pt>
                <c:pt idx="28">
                  <c:v>4.4076923076923062</c:v>
                </c:pt>
                <c:pt idx="29">
                  <c:v>4.4538461538461522</c:v>
                </c:pt>
                <c:pt idx="30">
                  <c:v>4.5</c:v>
                </c:pt>
              </c:numCache>
            </c:numRef>
          </c:val>
          <c:smooth val="0"/>
        </c:ser>
        <c:ser>
          <c:idx val="8"/>
          <c:order val="7"/>
          <c:tx>
            <c:v>E (Max)</c:v>
          </c:tx>
          <c:spPr>
            <a:ln w="25400">
              <a:solidFill>
                <a:srgbClr val="FFCC00"/>
              </a:solidFill>
              <a:prstDash val="lgDash"/>
            </a:ln>
          </c:spPr>
          <c:marker>
            <c:symbol val="diamond"/>
            <c:size val="2"/>
            <c:spPr>
              <a:noFill/>
              <a:ln>
                <a:solidFill>
                  <a:srgbClr val="FFCC00"/>
                </a:solidFill>
                <a:prstDash val="solid"/>
              </a:ln>
            </c:spPr>
          </c:marker>
          <c:cat>
            <c:numRef>
              <c:f>JAN!$E$4:$E$34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Mar!$G$91:$G$121</c:f>
              <c:numCache>
                <c:formatCode>0.0</c:formatCode>
                <c:ptCount val="31"/>
                <c:pt idx="0">
                  <c:v>8.8937500000000007</c:v>
                </c:pt>
                <c:pt idx="1">
                  <c:v>8.9875000000000007</c:v>
                </c:pt>
                <c:pt idx="2">
                  <c:v>9.0812500000000007</c:v>
                </c:pt>
                <c:pt idx="3">
                  <c:v>9.1750000000000007</c:v>
                </c:pt>
                <c:pt idx="4">
                  <c:v>9.3625000000000007</c:v>
                </c:pt>
                <c:pt idx="5">
                  <c:v>9.4576923076923087</c:v>
                </c:pt>
                <c:pt idx="6">
                  <c:v>9.5528846153846168</c:v>
                </c:pt>
                <c:pt idx="7">
                  <c:v>9.6480769230769248</c:v>
                </c:pt>
                <c:pt idx="8">
                  <c:v>9.7432692307692328</c:v>
                </c:pt>
                <c:pt idx="9">
                  <c:v>9.8384615384615408</c:v>
                </c:pt>
                <c:pt idx="10">
                  <c:v>9.9336538461538488</c:v>
                </c:pt>
                <c:pt idx="11">
                  <c:v>10.028846153846157</c:v>
                </c:pt>
                <c:pt idx="12">
                  <c:v>10.124038461538465</c:v>
                </c:pt>
                <c:pt idx="13">
                  <c:v>10.219230769230773</c:v>
                </c:pt>
                <c:pt idx="14">
                  <c:v>10.314423076923081</c:v>
                </c:pt>
                <c:pt idx="15">
                  <c:v>10.409615384615389</c:v>
                </c:pt>
                <c:pt idx="16">
                  <c:v>10.504807692307697</c:v>
                </c:pt>
                <c:pt idx="17">
                  <c:v>10.6</c:v>
                </c:pt>
                <c:pt idx="18">
                  <c:v>10.680769230769231</c:v>
                </c:pt>
                <c:pt idx="19">
                  <c:v>10.761538461538462</c:v>
                </c:pt>
                <c:pt idx="20">
                  <c:v>10.842307692307694</c:v>
                </c:pt>
                <c:pt idx="21">
                  <c:v>10.923076923076925</c:v>
                </c:pt>
                <c:pt idx="22">
                  <c:v>11.003846153846156</c:v>
                </c:pt>
                <c:pt idx="23">
                  <c:v>11.084615384615388</c:v>
                </c:pt>
                <c:pt idx="24">
                  <c:v>11.165384615384619</c:v>
                </c:pt>
                <c:pt idx="25">
                  <c:v>11.246153846153851</c:v>
                </c:pt>
                <c:pt idx="26">
                  <c:v>11.326923076923082</c:v>
                </c:pt>
                <c:pt idx="27">
                  <c:v>11.407692307692313</c:v>
                </c:pt>
                <c:pt idx="28">
                  <c:v>11.488461538461545</c:v>
                </c:pt>
                <c:pt idx="29">
                  <c:v>11.569230769230776</c:v>
                </c:pt>
                <c:pt idx="30">
                  <c:v>11.65</c:v>
                </c:pt>
              </c:numCache>
            </c:numRef>
          </c:val>
          <c:smooth val="0"/>
        </c:ser>
        <c:ser>
          <c:idx val="4"/>
          <c:order val="8"/>
          <c:tx>
            <c:v>E (Mean)</c:v>
          </c:tx>
          <c:spPr>
            <a:ln w="25400">
              <a:solidFill>
                <a:srgbClr val="CC99FF"/>
              </a:solidFill>
              <a:prstDash val="lgDash"/>
            </a:ln>
          </c:spPr>
          <c:marker>
            <c:symbol val="square"/>
            <c:size val="2"/>
            <c:spPr>
              <a:noFill/>
              <a:ln w="9525">
                <a:noFill/>
              </a:ln>
            </c:spPr>
          </c:marker>
          <c:cat>
            <c:numRef>
              <c:f>JAN!$E$4:$E$34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Mar!$H$91:$H$121</c:f>
              <c:numCache>
                <c:formatCode>0.0</c:formatCode>
                <c:ptCount val="31"/>
                <c:pt idx="0">
                  <c:v>5.7593750000000004</c:v>
                </c:pt>
                <c:pt idx="1">
                  <c:v>5.8187500000000005</c:v>
                </c:pt>
                <c:pt idx="2">
                  <c:v>5.8781250000000007</c:v>
                </c:pt>
                <c:pt idx="3">
                  <c:v>5.9375</c:v>
                </c:pt>
                <c:pt idx="4">
                  <c:v>6.0562500000000004</c:v>
                </c:pt>
                <c:pt idx="5">
                  <c:v>6.1480769230769239</c:v>
                </c:pt>
                <c:pt idx="6">
                  <c:v>6.2399038461538474</c:v>
                </c:pt>
                <c:pt idx="7">
                  <c:v>6.3317307692307701</c:v>
                </c:pt>
                <c:pt idx="8">
                  <c:v>6.4235576923076936</c:v>
                </c:pt>
                <c:pt idx="9">
                  <c:v>6.5153846153846171</c:v>
                </c:pt>
                <c:pt idx="10">
                  <c:v>6.6072115384615406</c:v>
                </c:pt>
                <c:pt idx="11">
                  <c:v>6.6990384615384642</c:v>
                </c:pt>
                <c:pt idx="12">
                  <c:v>6.7908653846153868</c:v>
                </c:pt>
                <c:pt idx="13">
                  <c:v>6.8826923076923103</c:v>
                </c:pt>
                <c:pt idx="14">
                  <c:v>6.9745192307692339</c:v>
                </c:pt>
                <c:pt idx="15">
                  <c:v>7.0663461538461565</c:v>
                </c:pt>
                <c:pt idx="16">
                  <c:v>7.15817307692308</c:v>
                </c:pt>
                <c:pt idx="17">
                  <c:v>7.25</c:v>
                </c:pt>
                <c:pt idx="18">
                  <c:v>7.3134615384615387</c:v>
                </c:pt>
                <c:pt idx="19">
                  <c:v>7.3769230769230774</c:v>
                </c:pt>
                <c:pt idx="20">
                  <c:v>7.440384615384616</c:v>
                </c:pt>
                <c:pt idx="21">
                  <c:v>7.5038461538461547</c:v>
                </c:pt>
                <c:pt idx="22">
                  <c:v>7.5673076923076934</c:v>
                </c:pt>
                <c:pt idx="23">
                  <c:v>7.6307692307692321</c:v>
                </c:pt>
                <c:pt idx="24">
                  <c:v>7.6942307692307708</c:v>
                </c:pt>
                <c:pt idx="25">
                  <c:v>7.7576923076923094</c:v>
                </c:pt>
                <c:pt idx="26">
                  <c:v>7.8211538461538481</c:v>
                </c:pt>
                <c:pt idx="27">
                  <c:v>7.8846153846153868</c:v>
                </c:pt>
                <c:pt idx="28">
                  <c:v>7.9480769230769255</c:v>
                </c:pt>
                <c:pt idx="29">
                  <c:v>8.0115384615384642</c:v>
                </c:pt>
                <c:pt idx="30">
                  <c:v>8.0749999999999993</c:v>
                </c:pt>
              </c:numCache>
            </c:numRef>
          </c:val>
          <c:smooth val="1"/>
        </c:ser>
        <c:ser>
          <c:idx val="14"/>
          <c:order val="10"/>
          <c:tx>
            <c:v>Freezing Level</c:v>
          </c:tx>
          <c:spPr>
            <a:ln w="38100">
              <a:solidFill>
                <a:srgbClr val="000080"/>
              </a:solidFill>
              <a:prstDash val="sysDash"/>
            </a:ln>
          </c:spPr>
          <c:marker>
            <c:symbol val="none"/>
          </c:marker>
          <c:cat>
            <c:numRef>
              <c:f>JAN!$E$4:$E$34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JAN!$T$4:$T$34</c:f>
              <c:numCache>
                <c:formatCode>0.0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852864"/>
        <c:axId val="39268352"/>
      </c:lineChart>
      <c:lineChart>
        <c:grouping val="standard"/>
        <c:varyColors val="0"/>
        <c:ser>
          <c:idx val="3"/>
          <c:order val="4"/>
          <c:tx>
            <c:v>Range</c:v>
          </c:tx>
          <c:spPr>
            <a:ln w="38100">
              <a:solidFill>
                <a:srgbClr val="339966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cat>
            <c:numRef>
              <c:f>JAN!$E$4:$E$34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Mar!$K$91:$K$121</c:f>
              <c:numCache>
                <c:formatCode>0.0</c:formatCode>
                <c:ptCount val="31"/>
                <c:pt idx="0">
                  <c:v>1.9000000000000004</c:v>
                </c:pt>
                <c:pt idx="1">
                  <c:v>6.5</c:v>
                </c:pt>
                <c:pt idx="2">
                  <c:v>4.0999999999999996</c:v>
                </c:pt>
                <c:pt idx="3">
                  <c:v>5.9</c:v>
                </c:pt>
                <c:pt idx="4">
                  <c:v>6.6</c:v>
                </c:pt>
                <c:pt idx="5">
                  <c:v>3.2</c:v>
                </c:pt>
                <c:pt idx="6">
                  <c:v>7.8999999999999995</c:v>
                </c:pt>
                <c:pt idx="7">
                  <c:v>14</c:v>
                </c:pt>
                <c:pt idx="8">
                  <c:v>6.1</c:v>
                </c:pt>
                <c:pt idx="9">
                  <c:v>6.9999999999999991</c:v>
                </c:pt>
                <c:pt idx="10">
                  <c:v>7</c:v>
                </c:pt>
                <c:pt idx="11">
                  <c:v>6</c:v>
                </c:pt>
                <c:pt idx="12">
                  <c:v>8.6999999999999993</c:v>
                </c:pt>
                <c:pt idx="13">
                  <c:v>10.799999999999999</c:v>
                </c:pt>
                <c:pt idx="14">
                  <c:v>5.4999999999999991</c:v>
                </c:pt>
                <c:pt idx="15">
                  <c:v>5.2000000000000011</c:v>
                </c:pt>
                <c:pt idx="16">
                  <c:v>6</c:v>
                </c:pt>
                <c:pt idx="17">
                  <c:v>6.1000000000000005</c:v>
                </c:pt>
                <c:pt idx="18">
                  <c:v>12.7</c:v>
                </c:pt>
                <c:pt idx="19">
                  <c:v>11.3</c:v>
                </c:pt>
                <c:pt idx="20">
                  <c:v>10.1</c:v>
                </c:pt>
                <c:pt idx="21">
                  <c:v>9.4</c:v>
                </c:pt>
                <c:pt idx="22">
                  <c:v>11.8</c:v>
                </c:pt>
                <c:pt idx="23">
                  <c:v>11</c:v>
                </c:pt>
                <c:pt idx="24">
                  <c:v>13.6</c:v>
                </c:pt>
                <c:pt idx="25">
                  <c:v>8.3000000000000007</c:v>
                </c:pt>
                <c:pt idx="26">
                  <c:v>7.8</c:v>
                </c:pt>
                <c:pt idx="27">
                  <c:v>8.3999999999999986</c:v>
                </c:pt>
                <c:pt idx="28">
                  <c:v>12.5</c:v>
                </c:pt>
                <c:pt idx="29">
                  <c:v>2</c:v>
                </c:pt>
                <c:pt idx="30">
                  <c:v>8.2999999999999989</c:v>
                </c:pt>
              </c:numCache>
            </c:numRef>
          </c:val>
          <c:smooth val="0"/>
        </c:ser>
        <c:ser>
          <c:idx val="12"/>
          <c:order val="5"/>
          <c:tx>
            <c:v>Cumulative Range</c:v>
          </c:tx>
          <c:spPr>
            <a:ln w="12700">
              <a:solidFill>
                <a:srgbClr val="008000"/>
              </a:solidFill>
              <a:prstDash val="solid"/>
            </a:ln>
          </c:spPr>
          <c:marker>
            <c:symbol val="none"/>
          </c:marker>
          <c:cat>
            <c:numRef>
              <c:f>JAN!$E$4:$E$34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Mar!$S$91:$S$121</c:f>
              <c:numCache>
                <c:formatCode>0.0</c:formatCode>
                <c:ptCount val="31"/>
                <c:pt idx="0">
                  <c:v>1.9000000000000004</c:v>
                </c:pt>
                <c:pt idx="1">
                  <c:v>4.2</c:v>
                </c:pt>
                <c:pt idx="2">
                  <c:v>4.166666666666667</c:v>
                </c:pt>
                <c:pt idx="3">
                  <c:v>4.5999999999999996</c:v>
                </c:pt>
                <c:pt idx="4">
                  <c:v>5</c:v>
                </c:pt>
                <c:pt idx="5">
                  <c:v>4.7</c:v>
                </c:pt>
                <c:pt idx="6">
                  <c:v>5.1571428571428575</c:v>
                </c:pt>
                <c:pt idx="7">
                  <c:v>6.2625000000000002</c:v>
                </c:pt>
                <c:pt idx="8">
                  <c:v>6.2444444444444445</c:v>
                </c:pt>
                <c:pt idx="9">
                  <c:v>6.32</c:v>
                </c:pt>
                <c:pt idx="10">
                  <c:v>6.3818181818181818</c:v>
                </c:pt>
                <c:pt idx="11">
                  <c:v>6.3500000000000005</c:v>
                </c:pt>
                <c:pt idx="12">
                  <c:v>6.5307692307692315</c:v>
                </c:pt>
                <c:pt idx="13">
                  <c:v>6.8357142857142863</c:v>
                </c:pt>
                <c:pt idx="14">
                  <c:v>6.746666666666667</c:v>
                </c:pt>
                <c:pt idx="15">
                  <c:v>6.65</c:v>
                </c:pt>
                <c:pt idx="16">
                  <c:v>6.6117647058823534</c:v>
                </c:pt>
                <c:pt idx="17">
                  <c:v>6.583333333333333</c:v>
                </c:pt>
                <c:pt idx="18">
                  <c:v>6.9052631578947361</c:v>
                </c:pt>
                <c:pt idx="19">
                  <c:v>7.125</c:v>
                </c:pt>
                <c:pt idx="20">
                  <c:v>7.2666666666666666</c:v>
                </c:pt>
                <c:pt idx="21">
                  <c:v>7.3636363636363633</c:v>
                </c:pt>
                <c:pt idx="22">
                  <c:v>7.5565217391304351</c:v>
                </c:pt>
                <c:pt idx="23">
                  <c:v>7.7</c:v>
                </c:pt>
                <c:pt idx="24">
                  <c:v>7.9359999999999999</c:v>
                </c:pt>
                <c:pt idx="25">
                  <c:v>7.9500000000000011</c:v>
                </c:pt>
                <c:pt idx="26">
                  <c:v>7.9444444444444455</c:v>
                </c:pt>
                <c:pt idx="27">
                  <c:v>7.9607142857142872</c:v>
                </c:pt>
                <c:pt idx="28">
                  <c:v>8.1172413793103466</c:v>
                </c:pt>
                <c:pt idx="29">
                  <c:v>7.9133333333333349</c:v>
                </c:pt>
                <c:pt idx="30">
                  <c:v>7.925806451612905</c:v>
                </c:pt>
              </c:numCache>
            </c:numRef>
          </c:val>
          <c:smooth val="0"/>
        </c:ser>
        <c:ser>
          <c:idx val="11"/>
          <c:order val="9"/>
          <c:tx>
            <c:v>E (Range)</c:v>
          </c:tx>
          <c:spPr>
            <a:ln w="25400">
              <a:solidFill>
                <a:srgbClr val="00FF00"/>
              </a:solidFill>
              <a:prstDash val="lgDash"/>
            </a:ln>
          </c:spPr>
          <c:marker>
            <c:symbol val="none"/>
          </c:marker>
          <c:cat>
            <c:numRef>
              <c:f>JAN!$E$4:$E$34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Mar!$I$91:$I$121</c:f>
              <c:numCache>
                <c:formatCode>0.0</c:formatCode>
                <c:ptCount val="31"/>
                <c:pt idx="0">
                  <c:v>6.2687500000000007</c:v>
                </c:pt>
                <c:pt idx="1">
                  <c:v>6.3375000000000004</c:v>
                </c:pt>
                <c:pt idx="2">
                  <c:v>6.4062500000000009</c:v>
                </c:pt>
                <c:pt idx="3">
                  <c:v>6.4750000000000005</c:v>
                </c:pt>
                <c:pt idx="4">
                  <c:v>6.6125000000000007</c:v>
                </c:pt>
                <c:pt idx="5">
                  <c:v>6.6192307692307697</c:v>
                </c:pt>
                <c:pt idx="6">
                  <c:v>6.6259615384615387</c:v>
                </c:pt>
                <c:pt idx="7">
                  <c:v>6.6326923076923086</c:v>
                </c:pt>
                <c:pt idx="8">
                  <c:v>6.6394230769230784</c:v>
                </c:pt>
                <c:pt idx="9">
                  <c:v>6.6461538461538474</c:v>
                </c:pt>
                <c:pt idx="10">
                  <c:v>6.6528846153846164</c:v>
                </c:pt>
                <c:pt idx="11">
                  <c:v>6.6596153846153863</c:v>
                </c:pt>
                <c:pt idx="12">
                  <c:v>6.6663461538461561</c:v>
                </c:pt>
                <c:pt idx="13">
                  <c:v>6.6730769230769251</c:v>
                </c:pt>
                <c:pt idx="14">
                  <c:v>6.6798076923076941</c:v>
                </c:pt>
                <c:pt idx="15">
                  <c:v>6.686538461538464</c:v>
                </c:pt>
                <c:pt idx="16">
                  <c:v>6.6932692307692339</c:v>
                </c:pt>
                <c:pt idx="17">
                  <c:v>6.6999999999999993</c:v>
                </c:pt>
                <c:pt idx="18">
                  <c:v>6.7346153846153847</c:v>
                </c:pt>
                <c:pt idx="19">
                  <c:v>6.7692307692307701</c:v>
                </c:pt>
                <c:pt idx="20">
                  <c:v>6.8038461538461554</c:v>
                </c:pt>
                <c:pt idx="21">
                  <c:v>6.8384615384615408</c:v>
                </c:pt>
                <c:pt idx="22">
                  <c:v>6.8730769230769262</c:v>
                </c:pt>
                <c:pt idx="23">
                  <c:v>6.9076923076923116</c:v>
                </c:pt>
                <c:pt idx="24">
                  <c:v>6.942307692307697</c:v>
                </c:pt>
                <c:pt idx="25">
                  <c:v>6.9769230769230823</c:v>
                </c:pt>
                <c:pt idx="26">
                  <c:v>7.0115384615384677</c:v>
                </c:pt>
                <c:pt idx="27">
                  <c:v>7.0461538461538531</c:v>
                </c:pt>
                <c:pt idx="28">
                  <c:v>7.0807692307692385</c:v>
                </c:pt>
                <c:pt idx="29">
                  <c:v>7.1153846153846239</c:v>
                </c:pt>
                <c:pt idx="30">
                  <c:v>7.15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269888"/>
        <c:axId val="39271424"/>
      </c:lineChart>
      <c:catAx>
        <c:axId val="38852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9268352"/>
        <c:crossesAt val="-10"/>
        <c:auto val="1"/>
        <c:lblAlgn val="ctr"/>
        <c:lblOffset val="100"/>
        <c:tickLblSkip val="1"/>
        <c:tickMarkSkip val="1"/>
        <c:noMultiLvlLbl val="0"/>
      </c:catAx>
      <c:valAx>
        <c:axId val="39268352"/>
        <c:scaling>
          <c:orientation val="minMax"/>
          <c:max val="18"/>
          <c:min val="-10"/>
        </c:scaling>
        <c:delete val="0"/>
        <c:axPos val="l"/>
        <c:majorGridlines>
          <c:spPr>
            <a:ln w="12700">
              <a:solidFill>
                <a:srgbClr val="333333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8852864"/>
        <c:crosses val="autoZero"/>
        <c:crossBetween val="between"/>
        <c:majorUnit val="5"/>
      </c:valAx>
      <c:catAx>
        <c:axId val="39269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9271424"/>
        <c:crosses val="autoZero"/>
        <c:auto val="1"/>
        <c:lblAlgn val="ctr"/>
        <c:lblOffset val="100"/>
        <c:noMultiLvlLbl val="0"/>
      </c:catAx>
      <c:valAx>
        <c:axId val="39271424"/>
        <c:scaling>
          <c:orientation val="minMax"/>
          <c:max val="56"/>
          <c:min val="0"/>
        </c:scaling>
        <c:delete val="0"/>
        <c:axPos val="r"/>
        <c:numFmt formatCode="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9269888"/>
        <c:crosses val="max"/>
        <c:crossBetween val="between"/>
        <c:majorUnit val="10"/>
      </c:valAx>
      <c:spPr>
        <a:solidFill>
          <a:srgbClr val="969696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5.3276178812002452E-2"/>
          <c:y val="7.8638620876615772E-2"/>
          <c:w val="0.4304961481774362"/>
          <c:h val="0.1737091666358606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1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7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 horizontalDpi="-3"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Relative Humidity / %</a:t>
            </a:r>
          </a:p>
        </c:rich>
      </c:tx>
      <c:layout>
        <c:manualLayout>
          <c:xMode val="edge"/>
          <c:yMode val="edge"/>
          <c:x val="0.44022072348252606"/>
          <c:y val="2.597402597402597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429797670141016E-2"/>
          <c:y val="9.5631696216250492E-2"/>
          <c:w val="0.94788473329245859"/>
          <c:h val="0.85360143659690257"/>
        </c:manualLayout>
      </c:layout>
      <c:lineChart>
        <c:grouping val="standard"/>
        <c:varyColors val="0"/>
        <c:ser>
          <c:idx val="2"/>
          <c:order val="0"/>
          <c:tx>
            <c:v>Max</c:v>
          </c:tx>
          <c:spPr>
            <a:ln w="38100">
              <a:solidFill>
                <a:srgbClr val="008000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003300"/>
              </a:solidFill>
              <a:ln>
                <a:solidFill>
                  <a:srgbClr val="003300"/>
                </a:solidFill>
                <a:prstDash val="solid"/>
              </a:ln>
            </c:spPr>
          </c:marker>
          <c:cat>
            <c:numRef>
              <c:f>JAN!$E$4:$E$34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Mar!$L$4:$L$34</c:f>
              <c:numCache>
                <c:formatCode>0</c:formatCode>
                <c:ptCount val="31"/>
                <c:pt idx="0">
                  <c:v>88</c:v>
                </c:pt>
                <c:pt idx="1">
                  <c:v>87</c:v>
                </c:pt>
                <c:pt idx="2">
                  <c:v>91</c:v>
                </c:pt>
                <c:pt idx="3">
                  <c:v>82</c:v>
                </c:pt>
                <c:pt idx="4">
                  <c:v>90</c:v>
                </c:pt>
                <c:pt idx="5">
                  <c:v>79</c:v>
                </c:pt>
                <c:pt idx="6">
                  <c:v>85</c:v>
                </c:pt>
                <c:pt idx="7">
                  <c:v>89</c:v>
                </c:pt>
                <c:pt idx="8">
                  <c:v>81</c:v>
                </c:pt>
                <c:pt idx="9">
                  <c:v>78</c:v>
                </c:pt>
                <c:pt idx="10">
                  <c:v>84</c:v>
                </c:pt>
                <c:pt idx="11">
                  <c:v>84</c:v>
                </c:pt>
                <c:pt idx="12">
                  <c:v>89</c:v>
                </c:pt>
                <c:pt idx="13">
                  <c:v>92</c:v>
                </c:pt>
                <c:pt idx="14">
                  <c:v>98</c:v>
                </c:pt>
                <c:pt idx="15">
                  <c:v>98</c:v>
                </c:pt>
                <c:pt idx="16">
                  <c:v>98</c:v>
                </c:pt>
                <c:pt idx="17">
                  <c:v>88</c:v>
                </c:pt>
                <c:pt idx="18">
                  <c:v>94</c:v>
                </c:pt>
                <c:pt idx="19">
                  <c:v>79</c:v>
                </c:pt>
                <c:pt idx="20">
                  <c:v>87</c:v>
                </c:pt>
                <c:pt idx="21">
                  <c:v>85</c:v>
                </c:pt>
                <c:pt idx="22">
                  <c:v>91</c:v>
                </c:pt>
                <c:pt idx="23">
                  <c:v>95</c:v>
                </c:pt>
                <c:pt idx="24">
                  <c:v>87</c:v>
                </c:pt>
                <c:pt idx="25">
                  <c:v>92</c:v>
                </c:pt>
                <c:pt idx="26">
                  <c:v>87</c:v>
                </c:pt>
                <c:pt idx="27">
                  <c:v>78</c:v>
                </c:pt>
                <c:pt idx="28">
                  <c:v>80</c:v>
                </c:pt>
                <c:pt idx="29">
                  <c:v>91</c:v>
                </c:pt>
                <c:pt idx="30">
                  <c:v>97</c:v>
                </c:pt>
              </c:numCache>
            </c:numRef>
          </c:val>
          <c:smooth val="0"/>
        </c:ser>
        <c:ser>
          <c:idx val="1"/>
          <c:order val="1"/>
          <c:tx>
            <c:v>Min</c:v>
          </c:tx>
          <c:spPr>
            <a:ln w="38100">
              <a:solidFill>
                <a:srgbClr val="FF9900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FF6600"/>
              </a:solidFill>
              <a:ln>
                <a:solidFill>
                  <a:srgbClr val="FF6600"/>
                </a:solidFill>
                <a:prstDash val="solid"/>
              </a:ln>
            </c:spPr>
          </c:marker>
          <c:cat>
            <c:numRef>
              <c:f>JAN!$E$4:$E$34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Mar!$K$4:$K$34</c:f>
              <c:numCache>
                <c:formatCode>0</c:formatCode>
                <c:ptCount val="31"/>
                <c:pt idx="0">
                  <c:v>75</c:v>
                </c:pt>
                <c:pt idx="1">
                  <c:v>69</c:v>
                </c:pt>
                <c:pt idx="2">
                  <c:v>73</c:v>
                </c:pt>
                <c:pt idx="3">
                  <c:v>64</c:v>
                </c:pt>
                <c:pt idx="4">
                  <c:v>69</c:v>
                </c:pt>
                <c:pt idx="5">
                  <c:v>59</c:v>
                </c:pt>
                <c:pt idx="6">
                  <c:v>41</c:v>
                </c:pt>
                <c:pt idx="7">
                  <c:v>47</c:v>
                </c:pt>
                <c:pt idx="8">
                  <c:v>48</c:v>
                </c:pt>
                <c:pt idx="9">
                  <c:v>52</c:v>
                </c:pt>
                <c:pt idx="10">
                  <c:v>52</c:v>
                </c:pt>
                <c:pt idx="11">
                  <c:v>51</c:v>
                </c:pt>
                <c:pt idx="12">
                  <c:v>73</c:v>
                </c:pt>
                <c:pt idx="13">
                  <c:v>49</c:v>
                </c:pt>
                <c:pt idx="14">
                  <c:v>77</c:v>
                </c:pt>
                <c:pt idx="15">
                  <c:v>82</c:v>
                </c:pt>
                <c:pt idx="16">
                  <c:v>73</c:v>
                </c:pt>
                <c:pt idx="17">
                  <c:v>64</c:v>
                </c:pt>
                <c:pt idx="18">
                  <c:v>39</c:v>
                </c:pt>
                <c:pt idx="19">
                  <c:v>53</c:v>
                </c:pt>
                <c:pt idx="20">
                  <c:v>57</c:v>
                </c:pt>
                <c:pt idx="21">
                  <c:v>47</c:v>
                </c:pt>
                <c:pt idx="22">
                  <c:v>49</c:v>
                </c:pt>
                <c:pt idx="23">
                  <c:v>36</c:v>
                </c:pt>
                <c:pt idx="24">
                  <c:v>45</c:v>
                </c:pt>
                <c:pt idx="25">
                  <c:v>67</c:v>
                </c:pt>
                <c:pt idx="26">
                  <c:v>54</c:v>
                </c:pt>
                <c:pt idx="27">
                  <c:v>51</c:v>
                </c:pt>
                <c:pt idx="28">
                  <c:v>57</c:v>
                </c:pt>
                <c:pt idx="29">
                  <c:v>74</c:v>
                </c:pt>
                <c:pt idx="30">
                  <c:v>56</c:v>
                </c:pt>
              </c:numCache>
            </c:numRef>
          </c:val>
          <c:smooth val="0"/>
        </c:ser>
        <c:ser>
          <c:idx val="3"/>
          <c:order val="2"/>
          <c:tx>
            <c:v>Mean</c:v>
          </c:tx>
          <c:spPr>
            <a:ln w="38100">
              <a:solidFill>
                <a:srgbClr val="993366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800080"/>
              </a:solidFill>
              <a:ln>
                <a:solidFill>
                  <a:srgbClr val="800080"/>
                </a:solidFill>
                <a:prstDash val="solid"/>
              </a:ln>
            </c:spPr>
          </c:marker>
          <c:cat>
            <c:numRef>
              <c:f>JAN!$E$4:$E$34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Mar!$BF$91:$BF$121</c:f>
              <c:numCache>
                <c:formatCode>0</c:formatCode>
                <c:ptCount val="31"/>
                <c:pt idx="0">
                  <c:v>82</c:v>
                </c:pt>
                <c:pt idx="1">
                  <c:v>80</c:v>
                </c:pt>
                <c:pt idx="2">
                  <c:v>83</c:v>
                </c:pt>
                <c:pt idx="3">
                  <c:v>76</c:v>
                </c:pt>
                <c:pt idx="4">
                  <c:v>81</c:v>
                </c:pt>
                <c:pt idx="5">
                  <c:v>68</c:v>
                </c:pt>
                <c:pt idx="6">
                  <c:v>63</c:v>
                </c:pt>
                <c:pt idx="7">
                  <c:v>68</c:v>
                </c:pt>
                <c:pt idx="8">
                  <c:v>66</c:v>
                </c:pt>
                <c:pt idx="9">
                  <c:v>68</c:v>
                </c:pt>
                <c:pt idx="10">
                  <c:v>69</c:v>
                </c:pt>
                <c:pt idx="11">
                  <c:v>66</c:v>
                </c:pt>
                <c:pt idx="12">
                  <c:v>83</c:v>
                </c:pt>
                <c:pt idx="13">
                  <c:v>77</c:v>
                </c:pt>
                <c:pt idx="14">
                  <c:v>91</c:v>
                </c:pt>
                <c:pt idx="15">
                  <c:v>92</c:v>
                </c:pt>
                <c:pt idx="16">
                  <c:v>89</c:v>
                </c:pt>
                <c:pt idx="17">
                  <c:v>82</c:v>
                </c:pt>
                <c:pt idx="18">
                  <c:v>65</c:v>
                </c:pt>
                <c:pt idx="19">
                  <c:v>68</c:v>
                </c:pt>
                <c:pt idx="20">
                  <c:v>72</c:v>
                </c:pt>
                <c:pt idx="21">
                  <c:v>67</c:v>
                </c:pt>
                <c:pt idx="22">
                  <c:v>71</c:v>
                </c:pt>
                <c:pt idx="23">
                  <c:v>70</c:v>
                </c:pt>
                <c:pt idx="24">
                  <c:v>68</c:v>
                </c:pt>
                <c:pt idx="25">
                  <c:v>79</c:v>
                </c:pt>
                <c:pt idx="26">
                  <c:v>73</c:v>
                </c:pt>
                <c:pt idx="27">
                  <c:v>64</c:v>
                </c:pt>
                <c:pt idx="28">
                  <c:v>69</c:v>
                </c:pt>
                <c:pt idx="29">
                  <c:v>82</c:v>
                </c:pt>
                <c:pt idx="30">
                  <c:v>81</c:v>
                </c:pt>
              </c:numCache>
            </c:numRef>
          </c:val>
          <c:smooth val="0"/>
        </c:ser>
        <c:ser>
          <c:idx val="5"/>
          <c:order val="5"/>
          <c:tx>
            <c:v>Cumulative Mean</c:v>
          </c:tx>
          <c:spPr>
            <a:ln w="12700">
              <a:solidFill>
                <a:srgbClr val="CC99FF"/>
              </a:solidFill>
              <a:prstDash val="solid"/>
            </a:ln>
          </c:spPr>
          <c:marker>
            <c:symbol val="none"/>
          </c:marker>
          <c:cat>
            <c:numRef>
              <c:f>JAN!$E$4:$E$34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Mar!$O$91:$O$121</c:f>
              <c:numCache>
                <c:formatCode>0.0</c:formatCode>
                <c:ptCount val="31"/>
                <c:pt idx="0">
                  <c:v>82</c:v>
                </c:pt>
                <c:pt idx="1">
                  <c:v>81</c:v>
                </c:pt>
                <c:pt idx="2">
                  <c:v>81.666666666666671</c:v>
                </c:pt>
                <c:pt idx="3">
                  <c:v>80.25</c:v>
                </c:pt>
                <c:pt idx="4">
                  <c:v>80.400000000000006</c:v>
                </c:pt>
                <c:pt idx="5">
                  <c:v>78.333333333333329</c:v>
                </c:pt>
                <c:pt idx="6">
                  <c:v>76.142857142857139</c:v>
                </c:pt>
                <c:pt idx="7">
                  <c:v>75.125</c:v>
                </c:pt>
                <c:pt idx="8">
                  <c:v>74.111111111111114</c:v>
                </c:pt>
                <c:pt idx="9">
                  <c:v>73.5</c:v>
                </c:pt>
                <c:pt idx="10">
                  <c:v>73.090909090909093</c:v>
                </c:pt>
                <c:pt idx="11">
                  <c:v>72.5</c:v>
                </c:pt>
                <c:pt idx="12">
                  <c:v>73.307692307692307</c:v>
                </c:pt>
                <c:pt idx="13">
                  <c:v>73.571428571428569</c:v>
                </c:pt>
                <c:pt idx="14">
                  <c:v>74.733333333333334</c:v>
                </c:pt>
                <c:pt idx="15">
                  <c:v>75.8125</c:v>
                </c:pt>
                <c:pt idx="16">
                  <c:v>76.588235294117652</c:v>
                </c:pt>
                <c:pt idx="17">
                  <c:v>76.888888888888886</c:v>
                </c:pt>
                <c:pt idx="18">
                  <c:v>76.263157894736835</c:v>
                </c:pt>
                <c:pt idx="19">
                  <c:v>75.849999999999994</c:v>
                </c:pt>
                <c:pt idx="20">
                  <c:v>75.666666666666671</c:v>
                </c:pt>
                <c:pt idx="21">
                  <c:v>75.272727272727266</c:v>
                </c:pt>
                <c:pt idx="22">
                  <c:v>75.086956521739125</c:v>
                </c:pt>
                <c:pt idx="23">
                  <c:v>74.875</c:v>
                </c:pt>
                <c:pt idx="24">
                  <c:v>74.599999999999994</c:v>
                </c:pt>
                <c:pt idx="25">
                  <c:v>74.769230769230774</c:v>
                </c:pt>
                <c:pt idx="26">
                  <c:v>74.703703703703709</c:v>
                </c:pt>
                <c:pt idx="27">
                  <c:v>74.321428571428569</c:v>
                </c:pt>
                <c:pt idx="28">
                  <c:v>74.137931034482762</c:v>
                </c:pt>
                <c:pt idx="29">
                  <c:v>74.400000000000006</c:v>
                </c:pt>
                <c:pt idx="30">
                  <c:v>74.612903225806448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465728"/>
        <c:axId val="39467264"/>
      </c:lineChart>
      <c:lineChart>
        <c:grouping val="standard"/>
        <c:varyColors val="0"/>
        <c:ser>
          <c:idx val="0"/>
          <c:order val="3"/>
          <c:tx>
            <c:v>Range</c:v>
          </c:tx>
          <c:spPr>
            <a:ln w="25400">
              <a:solidFill>
                <a:srgbClr val="00FF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339966"/>
              </a:solidFill>
              <a:ln>
                <a:solidFill>
                  <a:srgbClr val="339966"/>
                </a:solidFill>
                <a:prstDash val="solid"/>
              </a:ln>
            </c:spPr>
          </c:marker>
          <c:cat>
            <c:numRef>
              <c:f>JAN!$E$4:$E$34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Mar!$A$91:$A$121</c:f>
              <c:numCache>
                <c:formatCode>0</c:formatCode>
                <c:ptCount val="31"/>
                <c:pt idx="0">
                  <c:v>13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21</c:v>
                </c:pt>
                <c:pt idx="5">
                  <c:v>20</c:v>
                </c:pt>
                <c:pt idx="6">
                  <c:v>44</c:v>
                </c:pt>
                <c:pt idx="7">
                  <c:v>42</c:v>
                </c:pt>
                <c:pt idx="8">
                  <c:v>33</c:v>
                </c:pt>
                <c:pt idx="9">
                  <c:v>26</c:v>
                </c:pt>
                <c:pt idx="10">
                  <c:v>32</c:v>
                </c:pt>
                <c:pt idx="11">
                  <c:v>33</c:v>
                </c:pt>
                <c:pt idx="12">
                  <c:v>16</c:v>
                </c:pt>
                <c:pt idx="13">
                  <c:v>43</c:v>
                </c:pt>
                <c:pt idx="14">
                  <c:v>21</c:v>
                </c:pt>
                <c:pt idx="15">
                  <c:v>16</c:v>
                </c:pt>
                <c:pt idx="16">
                  <c:v>25</c:v>
                </c:pt>
                <c:pt idx="17">
                  <c:v>24</c:v>
                </c:pt>
                <c:pt idx="18">
                  <c:v>55</c:v>
                </c:pt>
                <c:pt idx="19">
                  <c:v>26</c:v>
                </c:pt>
                <c:pt idx="20">
                  <c:v>30</c:v>
                </c:pt>
                <c:pt idx="21">
                  <c:v>38</c:v>
                </c:pt>
                <c:pt idx="22">
                  <c:v>42</c:v>
                </c:pt>
                <c:pt idx="23">
                  <c:v>59</c:v>
                </c:pt>
                <c:pt idx="24">
                  <c:v>42</c:v>
                </c:pt>
                <c:pt idx="25">
                  <c:v>25</c:v>
                </c:pt>
                <c:pt idx="26">
                  <c:v>33</c:v>
                </c:pt>
                <c:pt idx="27">
                  <c:v>27</c:v>
                </c:pt>
                <c:pt idx="28">
                  <c:v>23</c:v>
                </c:pt>
                <c:pt idx="29">
                  <c:v>17</c:v>
                </c:pt>
                <c:pt idx="30">
                  <c:v>41</c:v>
                </c:pt>
              </c:numCache>
            </c:numRef>
          </c:val>
          <c:smooth val="0"/>
        </c:ser>
        <c:ser>
          <c:idx val="4"/>
          <c:order val="4"/>
          <c:tx>
            <c:v>Rainfall</c:v>
          </c:tx>
          <c:spPr>
            <a:ln w="25400">
              <a:solidFill>
                <a:srgbClr val="33CCCC"/>
              </a:solidFill>
              <a:prstDash val="solid"/>
            </a:ln>
          </c:spPr>
          <c:marker>
            <c:symbol val="none"/>
          </c:marker>
          <c:cat>
            <c:numRef>
              <c:f>JAN!$E$4:$E$34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Mar!$Z$4:$Z$34</c:f>
              <c:numCache>
                <c:formatCode>0.0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0.1</c:v>
                </c:pt>
                <c:pt idx="12">
                  <c:v>0.8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4.4000000000000004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0.5</c:v>
                </c:pt>
                <c:pt idx="29">
                  <c:v>2.2000000000000002</c:v>
                </c:pt>
                <c:pt idx="30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3207680"/>
        <c:axId val="123209216"/>
      </c:lineChart>
      <c:catAx>
        <c:axId val="394657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94672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39467264"/>
        <c:scaling>
          <c:orientation val="minMax"/>
          <c:max val="100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9465728"/>
        <c:crosses val="autoZero"/>
        <c:crossBetween val="between"/>
        <c:majorUnit val="10"/>
      </c:valAx>
      <c:catAx>
        <c:axId val="1232076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3209216"/>
        <c:crosses val="autoZero"/>
        <c:auto val="1"/>
        <c:lblAlgn val="ctr"/>
        <c:lblOffset val="100"/>
        <c:noMultiLvlLbl val="0"/>
      </c:catAx>
      <c:valAx>
        <c:axId val="123209216"/>
        <c:scaling>
          <c:orientation val="minMax"/>
          <c:max val="200"/>
          <c:min val="0"/>
        </c:scaling>
        <c:delete val="0"/>
        <c:axPos val="r"/>
        <c:numFmt formatCode="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3207680"/>
        <c:crosses val="max"/>
        <c:crossBetween val="between"/>
        <c:majorUnit val="20"/>
      </c:valAx>
      <c:spPr>
        <a:solidFill>
          <a:srgbClr val="969696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6.2538320049049662E-2"/>
          <c:y val="0.62101572014242024"/>
          <c:w val="0.34763948497854075"/>
          <c:h val="0.694215247887402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1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6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Pressure / hPa</a:t>
            </a:r>
          </a:p>
        </c:rich>
      </c:tx>
      <c:layout>
        <c:manualLayout>
          <c:xMode val="edge"/>
          <c:yMode val="edge"/>
          <c:x val="0.45677498467198036"/>
          <c:y val="1.895734597156398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94788473329246E-2"/>
          <c:y val="8.6492941034219631E-2"/>
          <c:w val="0.94665849172286942"/>
          <c:h val="0.86255974072482033"/>
        </c:manualLayout>
      </c:layout>
      <c:lineChart>
        <c:grouping val="standard"/>
        <c:varyColors val="0"/>
        <c:ser>
          <c:idx val="5"/>
          <c:order val="0"/>
          <c:tx>
            <c:v>Cum. Mean</c:v>
          </c:tx>
          <c:spPr>
            <a:ln w="12700">
              <a:solidFill>
                <a:srgbClr val="993366"/>
              </a:solidFill>
              <a:prstDash val="solid"/>
            </a:ln>
          </c:spPr>
          <c:marker>
            <c:symbol val="square"/>
            <c:size val="2"/>
            <c:spPr>
              <a:noFill/>
              <a:ln>
                <a:solidFill>
                  <a:srgbClr val="808080"/>
                </a:solidFill>
                <a:prstDash val="solid"/>
              </a:ln>
            </c:spPr>
          </c:marker>
          <c:cat>
            <c:numRef>
              <c:f>JAN!$E$4:$E$34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Mar!$AD$91:$AD$121</c:f>
              <c:numCache>
                <c:formatCode>0</c:formatCode>
                <c:ptCount val="31"/>
                <c:pt idx="0">
                  <c:v>1037</c:v>
                </c:pt>
                <c:pt idx="1">
                  <c:v>1036.75</c:v>
                </c:pt>
                <c:pt idx="2">
                  <c:v>1036</c:v>
                </c:pt>
                <c:pt idx="3">
                  <c:v>1035.25</c:v>
                </c:pt>
                <c:pt idx="4">
                  <c:v>1034.3</c:v>
                </c:pt>
                <c:pt idx="5">
                  <c:v>1033.9166666666667</c:v>
                </c:pt>
                <c:pt idx="6">
                  <c:v>1033.1428571428571</c:v>
                </c:pt>
                <c:pt idx="7">
                  <c:v>1031.5</c:v>
                </c:pt>
                <c:pt idx="8">
                  <c:v>1029.7222222222222</c:v>
                </c:pt>
                <c:pt idx="9">
                  <c:v>1027.95</c:v>
                </c:pt>
                <c:pt idx="10">
                  <c:v>1026.590909090909</c:v>
                </c:pt>
                <c:pt idx="11">
                  <c:v>1024.7083333333333</c:v>
                </c:pt>
                <c:pt idx="12">
                  <c:v>1023.0769230769231</c:v>
                </c:pt>
                <c:pt idx="13">
                  <c:v>1022.3928571428571</c:v>
                </c:pt>
                <c:pt idx="14">
                  <c:v>1021.9</c:v>
                </c:pt>
                <c:pt idx="15">
                  <c:v>1021.3125</c:v>
                </c:pt>
                <c:pt idx="16">
                  <c:v>1020.9705882352941</c:v>
                </c:pt>
                <c:pt idx="17">
                  <c:v>1021.1388888888889</c:v>
                </c:pt>
                <c:pt idx="18">
                  <c:v>1021.7368421052631</c:v>
                </c:pt>
                <c:pt idx="19">
                  <c:v>1022.25</c:v>
                </c:pt>
                <c:pt idx="20">
                  <c:v>1022.8333333333334</c:v>
                </c:pt>
                <c:pt idx="21">
                  <c:v>1023.5227272727273</c:v>
                </c:pt>
                <c:pt idx="22">
                  <c:v>1024.2391304347825</c:v>
                </c:pt>
                <c:pt idx="23">
                  <c:v>1024.5833333333333</c:v>
                </c:pt>
                <c:pt idx="24">
                  <c:v>1024.48</c:v>
                </c:pt>
                <c:pt idx="25">
                  <c:v>1024.1346153846155</c:v>
                </c:pt>
                <c:pt idx="26">
                  <c:v>1023.7592592592592</c:v>
                </c:pt>
                <c:pt idx="27">
                  <c:v>1023.5</c:v>
                </c:pt>
                <c:pt idx="28">
                  <c:v>1023.1551724137931</c:v>
                </c:pt>
                <c:pt idx="29">
                  <c:v>1022.75</c:v>
                </c:pt>
                <c:pt idx="30">
                  <c:v>1022.4032258064516</c:v>
                </c:pt>
              </c:numCache>
            </c:numRef>
          </c:val>
          <c:smooth val="0"/>
        </c:ser>
        <c:ser>
          <c:idx val="1"/>
          <c:order val="1"/>
          <c:tx>
            <c:v>Max</c:v>
          </c:tx>
          <c:spPr>
            <a:ln w="38100">
              <a:solidFill>
                <a:srgbClr val="00CCFF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cat>
            <c:numRef>
              <c:f>JAN!$E$4:$E$34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Mar!$Q$4:$Q$34</c:f>
              <c:numCache>
                <c:formatCode>0</c:formatCode>
                <c:ptCount val="31"/>
                <c:pt idx="0">
                  <c:v>1039</c:v>
                </c:pt>
                <c:pt idx="1">
                  <c:v>1038</c:v>
                </c:pt>
                <c:pt idx="2">
                  <c:v>1035</c:v>
                </c:pt>
                <c:pt idx="3">
                  <c:v>1035</c:v>
                </c:pt>
                <c:pt idx="4">
                  <c:v>1032</c:v>
                </c:pt>
                <c:pt idx="5">
                  <c:v>1033</c:v>
                </c:pt>
                <c:pt idx="6">
                  <c:v>1032</c:v>
                </c:pt>
                <c:pt idx="7">
                  <c:v>1025</c:v>
                </c:pt>
                <c:pt idx="8">
                  <c:v>1017</c:v>
                </c:pt>
                <c:pt idx="9">
                  <c:v>1015</c:v>
                </c:pt>
                <c:pt idx="10">
                  <c:v>1016</c:v>
                </c:pt>
                <c:pt idx="11">
                  <c:v>1010</c:v>
                </c:pt>
                <c:pt idx="12">
                  <c:v>1010</c:v>
                </c:pt>
                <c:pt idx="13">
                  <c:v>1017</c:v>
                </c:pt>
                <c:pt idx="14">
                  <c:v>1017</c:v>
                </c:pt>
                <c:pt idx="15">
                  <c:v>1014</c:v>
                </c:pt>
                <c:pt idx="16">
                  <c:v>1019</c:v>
                </c:pt>
                <c:pt idx="17">
                  <c:v>1029</c:v>
                </c:pt>
                <c:pt idx="18">
                  <c:v>1035</c:v>
                </c:pt>
                <c:pt idx="19">
                  <c:v>1033</c:v>
                </c:pt>
                <c:pt idx="20">
                  <c:v>1036</c:v>
                </c:pt>
                <c:pt idx="21">
                  <c:v>1040</c:v>
                </c:pt>
                <c:pt idx="22">
                  <c:v>1042</c:v>
                </c:pt>
                <c:pt idx="23">
                  <c:v>1038</c:v>
                </c:pt>
                <c:pt idx="24">
                  <c:v>1027</c:v>
                </c:pt>
                <c:pt idx="25">
                  <c:v>1016</c:v>
                </c:pt>
                <c:pt idx="26">
                  <c:v>1015</c:v>
                </c:pt>
                <c:pt idx="27">
                  <c:v>1018</c:v>
                </c:pt>
                <c:pt idx="28">
                  <c:v>1016</c:v>
                </c:pt>
                <c:pt idx="29">
                  <c:v>1012</c:v>
                </c:pt>
                <c:pt idx="30">
                  <c:v>1017</c:v>
                </c:pt>
              </c:numCache>
            </c:numRef>
          </c:val>
          <c:smooth val="0"/>
        </c:ser>
        <c:ser>
          <c:idx val="2"/>
          <c:order val="2"/>
          <c:tx>
            <c:v>Mean</c:v>
          </c:tx>
          <c:spPr>
            <a:ln w="25400">
              <a:solidFill>
                <a:srgbClr val="800080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666699"/>
              </a:solidFill>
              <a:ln>
                <a:solidFill>
                  <a:srgbClr val="666699"/>
                </a:solidFill>
                <a:prstDash val="solid"/>
              </a:ln>
            </c:spPr>
          </c:marker>
          <c:cat>
            <c:numRef>
              <c:f>JAN!$E$4:$E$34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Mar!$AK$91:$AK$121</c:f>
              <c:numCache>
                <c:formatCode>0</c:formatCode>
                <c:ptCount val="31"/>
                <c:pt idx="0">
                  <c:v>1037</c:v>
                </c:pt>
                <c:pt idx="1">
                  <c:v>1036.5</c:v>
                </c:pt>
                <c:pt idx="2">
                  <c:v>1034.5</c:v>
                </c:pt>
                <c:pt idx="3">
                  <c:v>1033</c:v>
                </c:pt>
                <c:pt idx="4">
                  <c:v>1030.5</c:v>
                </c:pt>
                <c:pt idx="5">
                  <c:v>1032</c:v>
                </c:pt>
                <c:pt idx="6">
                  <c:v>1028.5</c:v>
                </c:pt>
                <c:pt idx="7">
                  <c:v>1020</c:v>
                </c:pt>
                <c:pt idx="8">
                  <c:v>1015.5</c:v>
                </c:pt>
                <c:pt idx="9">
                  <c:v>1012</c:v>
                </c:pt>
                <c:pt idx="10">
                  <c:v>1013</c:v>
                </c:pt>
                <c:pt idx="11">
                  <c:v>1004</c:v>
                </c:pt>
                <c:pt idx="12">
                  <c:v>1003.5</c:v>
                </c:pt>
                <c:pt idx="13">
                  <c:v>1013.5</c:v>
                </c:pt>
                <c:pt idx="14">
                  <c:v>1015</c:v>
                </c:pt>
                <c:pt idx="15">
                  <c:v>1012.5</c:v>
                </c:pt>
                <c:pt idx="16">
                  <c:v>1015.5</c:v>
                </c:pt>
                <c:pt idx="17">
                  <c:v>1024</c:v>
                </c:pt>
                <c:pt idx="18">
                  <c:v>1032.5</c:v>
                </c:pt>
                <c:pt idx="19">
                  <c:v>1032</c:v>
                </c:pt>
                <c:pt idx="20">
                  <c:v>1034.5</c:v>
                </c:pt>
                <c:pt idx="21">
                  <c:v>1038</c:v>
                </c:pt>
                <c:pt idx="22">
                  <c:v>1040</c:v>
                </c:pt>
                <c:pt idx="23">
                  <c:v>1032.5</c:v>
                </c:pt>
                <c:pt idx="24">
                  <c:v>1022</c:v>
                </c:pt>
                <c:pt idx="25">
                  <c:v>1015.5</c:v>
                </c:pt>
                <c:pt idx="26">
                  <c:v>1014</c:v>
                </c:pt>
                <c:pt idx="27">
                  <c:v>1016.5</c:v>
                </c:pt>
                <c:pt idx="28">
                  <c:v>1013.5</c:v>
                </c:pt>
                <c:pt idx="29">
                  <c:v>1011</c:v>
                </c:pt>
                <c:pt idx="30">
                  <c:v>1012</c:v>
                </c:pt>
              </c:numCache>
            </c:numRef>
          </c:val>
          <c:smooth val="0"/>
        </c:ser>
        <c:ser>
          <c:idx val="0"/>
          <c:order val="4"/>
          <c:tx>
            <c:v>Min</c:v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cat>
            <c:numRef>
              <c:f>JAN!$E$4:$E$34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Mar!$P$4:$P$34</c:f>
              <c:numCache>
                <c:formatCode>0</c:formatCode>
                <c:ptCount val="31"/>
                <c:pt idx="0">
                  <c:v>1035</c:v>
                </c:pt>
                <c:pt idx="1">
                  <c:v>1035</c:v>
                </c:pt>
                <c:pt idx="2">
                  <c:v>1034</c:v>
                </c:pt>
                <c:pt idx="3">
                  <c:v>1031</c:v>
                </c:pt>
                <c:pt idx="4">
                  <c:v>1029</c:v>
                </c:pt>
                <c:pt idx="5">
                  <c:v>1031</c:v>
                </c:pt>
                <c:pt idx="6">
                  <c:v>1025</c:v>
                </c:pt>
                <c:pt idx="7">
                  <c:v>1015</c:v>
                </c:pt>
                <c:pt idx="8">
                  <c:v>1014</c:v>
                </c:pt>
                <c:pt idx="9">
                  <c:v>1009</c:v>
                </c:pt>
                <c:pt idx="10">
                  <c:v>1010</c:v>
                </c:pt>
                <c:pt idx="11">
                  <c:v>998</c:v>
                </c:pt>
                <c:pt idx="12">
                  <c:v>997</c:v>
                </c:pt>
                <c:pt idx="13">
                  <c:v>1010</c:v>
                </c:pt>
                <c:pt idx="14">
                  <c:v>1013</c:v>
                </c:pt>
                <c:pt idx="15">
                  <c:v>1011</c:v>
                </c:pt>
                <c:pt idx="16">
                  <c:v>1012</c:v>
                </c:pt>
                <c:pt idx="17">
                  <c:v>1019</c:v>
                </c:pt>
                <c:pt idx="18">
                  <c:v>1030</c:v>
                </c:pt>
                <c:pt idx="19">
                  <c:v>1031</c:v>
                </c:pt>
                <c:pt idx="20">
                  <c:v>1033</c:v>
                </c:pt>
                <c:pt idx="21">
                  <c:v>1036</c:v>
                </c:pt>
                <c:pt idx="22">
                  <c:v>1038</c:v>
                </c:pt>
                <c:pt idx="23">
                  <c:v>1027</c:v>
                </c:pt>
                <c:pt idx="24">
                  <c:v>1017</c:v>
                </c:pt>
                <c:pt idx="25">
                  <c:v>1015</c:v>
                </c:pt>
                <c:pt idx="26">
                  <c:v>1013</c:v>
                </c:pt>
                <c:pt idx="27">
                  <c:v>1015</c:v>
                </c:pt>
                <c:pt idx="28">
                  <c:v>1011</c:v>
                </c:pt>
                <c:pt idx="29">
                  <c:v>1010</c:v>
                </c:pt>
                <c:pt idx="30">
                  <c:v>1007</c:v>
                </c:pt>
              </c:numCache>
            </c:numRef>
          </c:val>
          <c:smooth val="0"/>
        </c:ser>
        <c:ser>
          <c:idx val="4"/>
          <c:order val="5"/>
          <c:tx>
            <c:v>MSLP</c:v>
          </c:tx>
          <c:spPr>
            <a:ln w="25400">
              <a:solidFill>
                <a:srgbClr val="CC99FF"/>
              </a:solidFill>
              <a:prstDash val="lgDash"/>
            </a:ln>
          </c:spPr>
          <c:marker>
            <c:symbol val="none"/>
          </c:marker>
          <c:cat>
            <c:numRef>
              <c:f>JAN!$E$4:$E$34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JAN!$AM$4:$AM$34</c:f>
              <c:numCache>
                <c:formatCode>0.0</c:formatCode>
                <c:ptCount val="31"/>
                <c:pt idx="0">
                  <c:v>1013.25</c:v>
                </c:pt>
                <c:pt idx="1">
                  <c:v>1013.25</c:v>
                </c:pt>
                <c:pt idx="2">
                  <c:v>1013.25</c:v>
                </c:pt>
                <c:pt idx="3">
                  <c:v>1013.25</c:v>
                </c:pt>
                <c:pt idx="4">
                  <c:v>1013.25</c:v>
                </c:pt>
                <c:pt idx="5">
                  <c:v>1013.25</c:v>
                </c:pt>
                <c:pt idx="6">
                  <c:v>1013.25</c:v>
                </c:pt>
                <c:pt idx="7">
                  <c:v>1013.25</c:v>
                </c:pt>
                <c:pt idx="8">
                  <c:v>1013.25</c:v>
                </c:pt>
                <c:pt idx="9">
                  <c:v>1013.25</c:v>
                </c:pt>
                <c:pt idx="10">
                  <c:v>1013.25</c:v>
                </c:pt>
                <c:pt idx="11">
                  <c:v>1013.25</c:v>
                </c:pt>
                <c:pt idx="12">
                  <c:v>1013.25</c:v>
                </c:pt>
                <c:pt idx="13">
                  <c:v>1013.25</c:v>
                </c:pt>
                <c:pt idx="14">
                  <c:v>1013.25</c:v>
                </c:pt>
                <c:pt idx="15">
                  <c:v>1013.25</c:v>
                </c:pt>
                <c:pt idx="16">
                  <c:v>1013.25</c:v>
                </c:pt>
                <c:pt idx="17">
                  <c:v>1013.25</c:v>
                </c:pt>
                <c:pt idx="18">
                  <c:v>1013.25</c:v>
                </c:pt>
                <c:pt idx="19">
                  <c:v>1013.25</c:v>
                </c:pt>
                <c:pt idx="20">
                  <c:v>1013.25</c:v>
                </c:pt>
                <c:pt idx="21">
                  <c:v>1013.25</c:v>
                </c:pt>
                <c:pt idx="22">
                  <c:v>1013.25</c:v>
                </c:pt>
                <c:pt idx="23">
                  <c:v>1013.25</c:v>
                </c:pt>
                <c:pt idx="24">
                  <c:v>1013.25</c:v>
                </c:pt>
                <c:pt idx="25">
                  <c:v>1013.25</c:v>
                </c:pt>
                <c:pt idx="26">
                  <c:v>1013.25</c:v>
                </c:pt>
                <c:pt idx="27">
                  <c:v>1013.25</c:v>
                </c:pt>
                <c:pt idx="28">
                  <c:v>1013.25</c:v>
                </c:pt>
                <c:pt idx="29">
                  <c:v>1013.25</c:v>
                </c:pt>
                <c:pt idx="30">
                  <c:v>1013.25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3239808"/>
        <c:axId val="123257984"/>
      </c:lineChart>
      <c:lineChart>
        <c:grouping val="standard"/>
        <c:varyColors val="0"/>
        <c:ser>
          <c:idx val="3"/>
          <c:order val="3"/>
          <c:tx>
            <c:v>Range</c:v>
          </c:tx>
          <c:spPr>
            <a:ln w="25400">
              <a:solidFill>
                <a:srgbClr val="00FF00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cat>
            <c:numRef>
              <c:f>JAN!$E$4:$E$34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Mar!$Y$91:$Y$121</c:f>
              <c:numCache>
                <c:formatCode>0</c:formatCode>
                <c:ptCount val="31"/>
                <c:pt idx="0">
                  <c:v>4</c:v>
                </c:pt>
                <c:pt idx="1">
                  <c:v>3</c:v>
                </c:pt>
                <c:pt idx="2">
                  <c:v>1</c:v>
                </c:pt>
                <c:pt idx="3">
                  <c:v>4</c:v>
                </c:pt>
                <c:pt idx="4">
                  <c:v>3</c:v>
                </c:pt>
                <c:pt idx="5">
                  <c:v>2</c:v>
                </c:pt>
                <c:pt idx="6">
                  <c:v>7</c:v>
                </c:pt>
                <c:pt idx="7">
                  <c:v>10</c:v>
                </c:pt>
                <c:pt idx="8">
                  <c:v>3</c:v>
                </c:pt>
                <c:pt idx="9">
                  <c:v>6</c:v>
                </c:pt>
                <c:pt idx="10">
                  <c:v>6</c:v>
                </c:pt>
                <c:pt idx="11">
                  <c:v>12</c:v>
                </c:pt>
                <c:pt idx="12">
                  <c:v>13</c:v>
                </c:pt>
                <c:pt idx="13">
                  <c:v>7</c:v>
                </c:pt>
                <c:pt idx="14">
                  <c:v>4</c:v>
                </c:pt>
                <c:pt idx="15">
                  <c:v>3</c:v>
                </c:pt>
                <c:pt idx="16">
                  <c:v>7</c:v>
                </c:pt>
                <c:pt idx="17">
                  <c:v>10</c:v>
                </c:pt>
                <c:pt idx="18">
                  <c:v>5</c:v>
                </c:pt>
                <c:pt idx="19">
                  <c:v>2</c:v>
                </c:pt>
                <c:pt idx="20">
                  <c:v>3</c:v>
                </c:pt>
                <c:pt idx="21">
                  <c:v>4</c:v>
                </c:pt>
                <c:pt idx="22">
                  <c:v>4</c:v>
                </c:pt>
                <c:pt idx="23">
                  <c:v>11</c:v>
                </c:pt>
                <c:pt idx="24">
                  <c:v>10</c:v>
                </c:pt>
                <c:pt idx="25">
                  <c:v>1</c:v>
                </c:pt>
                <c:pt idx="26">
                  <c:v>2</c:v>
                </c:pt>
                <c:pt idx="27">
                  <c:v>3</c:v>
                </c:pt>
                <c:pt idx="28">
                  <c:v>5</c:v>
                </c:pt>
                <c:pt idx="29">
                  <c:v>2</c:v>
                </c:pt>
                <c:pt idx="30">
                  <c:v>10</c:v>
                </c:pt>
              </c:numCache>
            </c:numRef>
          </c:val>
          <c:smooth val="0"/>
        </c:ser>
        <c:ser>
          <c:idx val="6"/>
          <c:order val="6"/>
          <c:tx>
            <c:v>Rainfall/3</c:v>
          </c:tx>
          <c:spPr>
            <a:ln w="12700">
              <a:solidFill>
                <a:srgbClr val="33CCCC"/>
              </a:solidFill>
              <a:prstDash val="solid"/>
            </a:ln>
          </c:spPr>
          <c:marker>
            <c:symbol val="none"/>
          </c:marker>
          <c:cat>
            <c:numRef>
              <c:f>JAN!$E$4:$E$34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Mar!$N$91:$N$121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3.3333333333333333E-2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3.3333333333333333E-2</c:v>
                </c:pt>
                <c:pt idx="12">
                  <c:v>0.26666666666666666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1.4666666666666668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0.16666666666666666</c:v>
                </c:pt>
                <c:pt idx="29">
                  <c:v>0.73333333333333339</c:v>
                </c:pt>
                <c:pt idx="30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3259520"/>
        <c:axId val="123261312"/>
      </c:lineChart>
      <c:catAx>
        <c:axId val="1232398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32579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3257984"/>
        <c:scaling>
          <c:orientation val="minMax"/>
          <c:max val="1045"/>
          <c:min val="980"/>
        </c:scaling>
        <c:delete val="0"/>
        <c:axPos val="l"/>
        <c:majorGridlines>
          <c:spPr>
            <a:ln w="3175">
              <a:solidFill>
                <a:srgbClr val="333333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3239808"/>
        <c:crosses val="autoZero"/>
        <c:crossBetween val="between"/>
        <c:majorUnit val="10"/>
      </c:valAx>
      <c:catAx>
        <c:axId val="1232595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3261312"/>
        <c:crosses val="autoZero"/>
        <c:auto val="1"/>
        <c:lblAlgn val="ctr"/>
        <c:lblOffset val="100"/>
        <c:noMultiLvlLbl val="0"/>
      </c:catAx>
      <c:valAx>
        <c:axId val="123261312"/>
        <c:scaling>
          <c:orientation val="minMax"/>
          <c:max val="65"/>
          <c:min val="0"/>
        </c:scaling>
        <c:delete val="0"/>
        <c:axPos val="r"/>
        <c:numFmt formatCode="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3259520"/>
        <c:crosses val="max"/>
        <c:crossBetween val="between"/>
        <c:majorUnit val="10"/>
      </c:valAx>
      <c:spPr>
        <a:solidFill>
          <a:srgbClr val="969696"/>
        </a:solidFill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 sz="14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Wind Speed / mh</a:t>
            </a:r>
            <a:r>
              <a:rPr lang="en-GB" sz="1400" b="1" i="0" u="none" strike="noStrike" baseline="30000">
                <a:solidFill>
                  <a:srgbClr val="000000"/>
                </a:solidFill>
                <a:latin typeface="Arial"/>
                <a:cs typeface="Arial"/>
              </a:rPr>
              <a:t>-1</a:t>
            </a:r>
          </a:p>
        </c:rich>
      </c:tx>
      <c:layout>
        <c:manualLayout>
          <c:xMode val="edge"/>
          <c:yMode val="edge"/>
          <c:x val="0.44800000000000001"/>
          <c:y val="2.011834319526627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4E-2"/>
          <c:y val="8.7573964497041426E-2"/>
          <c:w val="0.95753846153846156"/>
          <c:h val="0.86153846153846159"/>
        </c:manualLayout>
      </c:layout>
      <c:lineChart>
        <c:grouping val="standard"/>
        <c:varyColors val="0"/>
        <c:ser>
          <c:idx val="1"/>
          <c:order val="0"/>
          <c:tx>
            <c:v>Mean</c:v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800000"/>
              </a:solidFill>
              <a:ln>
                <a:solidFill>
                  <a:srgbClr val="800000"/>
                </a:solidFill>
                <a:prstDash val="solid"/>
              </a:ln>
            </c:spPr>
          </c:marker>
          <c:cat>
            <c:numRef>
              <c:f>JAN!$E$4:$E$34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Mar!$U$4:$U$34</c:f>
              <c:numCache>
                <c:formatCode>0.0</c:formatCode>
                <c:ptCount val="31"/>
                <c:pt idx="0">
                  <c:v>6.5</c:v>
                </c:pt>
                <c:pt idx="1">
                  <c:v>7.2</c:v>
                </c:pt>
                <c:pt idx="2">
                  <c:v>7</c:v>
                </c:pt>
                <c:pt idx="3">
                  <c:v>4.4000000000000004</c:v>
                </c:pt>
                <c:pt idx="4">
                  <c:v>5.2</c:v>
                </c:pt>
                <c:pt idx="5">
                  <c:v>7.7</c:v>
                </c:pt>
                <c:pt idx="6">
                  <c:v>4.5999999999999996</c:v>
                </c:pt>
                <c:pt idx="7">
                  <c:v>4.4000000000000004</c:v>
                </c:pt>
                <c:pt idx="8">
                  <c:v>6.8</c:v>
                </c:pt>
                <c:pt idx="9">
                  <c:v>9.3000000000000007</c:v>
                </c:pt>
                <c:pt idx="10">
                  <c:v>6.1</c:v>
                </c:pt>
                <c:pt idx="11">
                  <c:v>5</c:v>
                </c:pt>
                <c:pt idx="12">
                  <c:v>2.7</c:v>
                </c:pt>
                <c:pt idx="13">
                  <c:v>5.0999999999999996</c:v>
                </c:pt>
                <c:pt idx="14">
                  <c:v>6.1</c:v>
                </c:pt>
                <c:pt idx="15">
                  <c:v>5.5</c:v>
                </c:pt>
                <c:pt idx="16">
                  <c:v>2.2999999999999998</c:v>
                </c:pt>
                <c:pt idx="17">
                  <c:v>3.1</c:v>
                </c:pt>
                <c:pt idx="18">
                  <c:v>1.6</c:v>
                </c:pt>
                <c:pt idx="19">
                  <c:v>4.0999999999999996</c:v>
                </c:pt>
                <c:pt idx="20">
                  <c:v>2.5</c:v>
                </c:pt>
                <c:pt idx="21">
                  <c:v>1.9</c:v>
                </c:pt>
                <c:pt idx="22">
                  <c:v>3.1</c:v>
                </c:pt>
                <c:pt idx="23">
                  <c:v>4.3</c:v>
                </c:pt>
                <c:pt idx="24">
                  <c:v>1.6</c:v>
                </c:pt>
                <c:pt idx="25">
                  <c:v>4.5</c:v>
                </c:pt>
                <c:pt idx="26">
                  <c:v>4.9000000000000004</c:v>
                </c:pt>
                <c:pt idx="27">
                  <c:v>2.1</c:v>
                </c:pt>
                <c:pt idx="28">
                  <c:v>1.2</c:v>
                </c:pt>
                <c:pt idx="29">
                  <c:v>5.8</c:v>
                </c:pt>
                <c:pt idx="30">
                  <c:v>8.6</c:v>
                </c:pt>
              </c:numCache>
            </c:numRef>
          </c:val>
          <c:smooth val="0"/>
        </c:ser>
        <c:ser>
          <c:idx val="0"/>
          <c:order val="1"/>
          <c:tx>
            <c:v>E (Mean)</c:v>
          </c:tx>
          <c:spPr>
            <a:ln w="25400">
              <a:solidFill>
                <a:srgbClr val="FF99CC"/>
              </a:solidFill>
              <a:prstDash val="lgDash"/>
            </a:ln>
          </c:spPr>
          <c:marker>
            <c:symbol val="none"/>
          </c:marker>
          <c:cat>
            <c:numRef>
              <c:f>JAN!$E$4:$E$34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Mar!$AZ$91:$AZ$121</c:f>
              <c:numCache>
                <c:formatCode>0.0</c:formatCode>
                <c:ptCount val="31"/>
                <c:pt idx="0">
                  <c:v>5.2</c:v>
                </c:pt>
                <c:pt idx="1">
                  <c:v>5.2</c:v>
                </c:pt>
                <c:pt idx="2">
                  <c:v>5.2</c:v>
                </c:pt>
                <c:pt idx="3">
                  <c:v>5.2</c:v>
                </c:pt>
                <c:pt idx="4">
                  <c:v>5.2</c:v>
                </c:pt>
                <c:pt idx="5">
                  <c:v>5.2</c:v>
                </c:pt>
                <c:pt idx="6">
                  <c:v>5.2</c:v>
                </c:pt>
                <c:pt idx="7">
                  <c:v>5.2</c:v>
                </c:pt>
                <c:pt idx="8">
                  <c:v>5.2</c:v>
                </c:pt>
                <c:pt idx="9">
                  <c:v>5.2</c:v>
                </c:pt>
                <c:pt idx="10">
                  <c:v>5.2</c:v>
                </c:pt>
                <c:pt idx="11">
                  <c:v>5.2</c:v>
                </c:pt>
                <c:pt idx="12">
                  <c:v>5.2</c:v>
                </c:pt>
                <c:pt idx="13">
                  <c:v>5.2</c:v>
                </c:pt>
                <c:pt idx="14">
                  <c:v>5.2</c:v>
                </c:pt>
                <c:pt idx="15">
                  <c:v>5.2</c:v>
                </c:pt>
                <c:pt idx="16">
                  <c:v>5.2</c:v>
                </c:pt>
                <c:pt idx="17">
                  <c:v>5.2</c:v>
                </c:pt>
                <c:pt idx="18">
                  <c:v>5.2</c:v>
                </c:pt>
                <c:pt idx="19">
                  <c:v>5.2</c:v>
                </c:pt>
                <c:pt idx="20">
                  <c:v>5.2</c:v>
                </c:pt>
                <c:pt idx="21">
                  <c:v>5.2</c:v>
                </c:pt>
                <c:pt idx="22">
                  <c:v>5.2</c:v>
                </c:pt>
                <c:pt idx="23">
                  <c:v>5.2</c:v>
                </c:pt>
                <c:pt idx="24">
                  <c:v>5.2</c:v>
                </c:pt>
                <c:pt idx="25">
                  <c:v>5.2</c:v>
                </c:pt>
                <c:pt idx="26">
                  <c:v>5.2</c:v>
                </c:pt>
                <c:pt idx="27">
                  <c:v>5.2</c:v>
                </c:pt>
                <c:pt idx="28">
                  <c:v>5.2</c:v>
                </c:pt>
                <c:pt idx="29">
                  <c:v>5.2</c:v>
                </c:pt>
                <c:pt idx="30">
                  <c:v>5.2</c:v>
                </c:pt>
              </c:numCache>
            </c:numRef>
          </c:val>
          <c:smooth val="0"/>
        </c:ser>
        <c:ser>
          <c:idx val="2"/>
          <c:order val="4"/>
          <c:tx>
            <c:v>Cumulative Mean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numRef>
              <c:f>JAN!$E$4:$E$34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Mar!$M$91:$M$121</c:f>
              <c:numCache>
                <c:formatCode>0.0</c:formatCode>
                <c:ptCount val="31"/>
                <c:pt idx="0">
                  <c:v>6.5</c:v>
                </c:pt>
                <c:pt idx="1">
                  <c:v>6.85</c:v>
                </c:pt>
                <c:pt idx="2">
                  <c:v>6.8999999999999995</c:v>
                </c:pt>
                <c:pt idx="3">
                  <c:v>6.2750000000000004</c:v>
                </c:pt>
                <c:pt idx="4">
                  <c:v>6.0600000000000005</c:v>
                </c:pt>
                <c:pt idx="5">
                  <c:v>6.333333333333333</c:v>
                </c:pt>
                <c:pt idx="6">
                  <c:v>6.0857142857142863</c:v>
                </c:pt>
                <c:pt idx="7">
                  <c:v>5.875</c:v>
                </c:pt>
                <c:pt idx="8">
                  <c:v>5.9777777777777779</c:v>
                </c:pt>
                <c:pt idx="9">
                  <c:v>6.31</c:v>
                </c:pt>
                <c:pt idx="10">
                  <c:v>6.2909090909090901</c:v>
                </c:pt>
                <c:pt idx="11">
                  <c:v>6.1833333333333327</c:v>
                </c:pt>
                <c:pt idx="12">
                  <c:v>5.9153846153846148</c:v>
                </c:pt>
                <c:pt idx="13">
                  <c:v>5.8571428571428559</c:v>
                </c:pt>
                <c:pt idx="14">
                  <c:v>5.8733333333333322</c:v>
                </c:pt>
                <c:pt idx="15">
                  <c:v>5.8499999999999988</c:v>
                </c:pt>
                <c:pt idx="16">
                  <c:v>5.6411764705882339</c:v>
                </c:pt>
                <c:pt idx="17">
                  <c:v>5.4999999999999982</c:v>
                </c:pt>
                <c:pt idx="18">
                  <c:v>5.2947368421052614</c:v>
                </c:pt>
                <c:pt idx="19">
                  <c:v>5.2349999999999977</c:v>
                </c:pt>
                <c:pt idx="20">
                  <c:v>5.1047619047619026</c:v>
                </c:pt>
                <c:pt idx="21">
                  <c:v>4.9590909090909072</c:v>
                </c:pt>
                <c:pt idx="22">
                  <c:v>4.8782608695652154</c:v>
                </c:pt>
                <c:pt idx="23">
                  <c:v>4.8541666666666652</c:v>
                </c:pt>
                <c:pt idx="24">
                  <c:v>4.7239999999999984</c:v>
                </c:pt>
                <c:pt idx="25">
                  <c:v>4.7153846153846137</c:v>
                </c:pt>
                <c:pt idx="26">
                  <c:v>4.7222222222222205</c:v>
                </c:pt>
                <c:pt idx="27">
                  <c:v>4.6285714285714272</c:v>
                </c:pt>
                <c:pt idx="28">
                  <c:v>4.5103448275862057</c:v>
                </c:pt>
                <c:pt idx="29">
                  <c:v>4.5533333333333319</c:v>
                </c:pt>
                <c:pt idx="30">
                  <c:v>4.6838709677419343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3305984"/>
        <c:axId val="123307904"/>
      </c:lineChart>
      <c:lineChart>
        <c:grouping val="standard"/>
        <c:varyColors val="0"/>
        <c:ser>
          <c:idx val="3"/>
          <c:order val="2"/>
          <c:tx>
            <c:v>Max Gust</c:v>
          </c:tx>
          <c:spPr>
            <a:ln w="28575">
              <a:noFill/>
            </a:ln>
          </c:spPr>
          <c:marker>
            <c:symbol val="circle"/>
            <c:size val="9"/>
            <c:spPr>
              <a:solidFill>
                <a:srgbClr val="FFCC00"/>
              </a:solidFill>
              <a:ln>
                <a:solidFill>
                  <a:srgbClr val="FFCC00"/>
                </a:solidFill>
                <a:prstDash val="solid"/>
              </a:ln>
            </c:spPr>
          </c:marker>
          <c:cat>
            <c:numRef>
              <c:f>JAN!$E$4:$E$34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Mar!$W$4:$W$34</c:f>
              <c:numCache>
                <c:formatCode>0.0</c:formatCode>
                <c:ptCount val="31"/>
                <c:pt idx="0">
                  <c:v>25.5</c:v>
                </c:pt>
                <c:pt idx="1">
                  <c:v>19.7</c:v>
                </c:pt>
                <c:pt idx="2">
                  <c:v>23.7</c:v>
                </c:pt>
                <c:pt idx="3">
                  <c:v>16.8</c:v>
                </c:pt>
                <c:pt idx="4">
                  <c:v>20.399999999999999</c:v>
                </c:pt>
                <c:pt idx="5">
                  <c:v>20.6</c:v>
                </c:pt>
                <c:pt idx="6" formatCode="General">
                  <c:v>14.3</c:v>
                </c:pt>
                <c:pt idx="7">
                  <c:v>19</c:v>
                </c:pt>
                <c:pt idx="8" formatCode="General">
                  <c:v>19.899999999999999</c:v>
                </c:pt>
                <c:pt idx="9" formatCode="General">
                  <c:v>33.4</c:v>
                </c:pt>
                <c:pt idx="10" formatCode="General">
                  <c:v>19.7</c:v>
                </c:pt>
                <c:pt idx="11" formatCode="General">
                  <c:v>19.2</c:v>
                </c:pt>
                <c:pt idx="12" formatCode="General">
                  <c:v>13.2</c:v>
                </c:pt>
                <c:pt idx="13">
                  <c:v>19.399999999999999</c:v>
                </c:pt>
                <c:pt idx="14">
                  <c:v>17.3</c:v>
                </c:pt>
                <c:pt idx="15">
                  <c:v>14.5</c:v>
                </c:pt>
                <c:pt idx="16">
                  <c:v>10.7</c:v>
                </c:pt>
                <c:pt idx="17">
                  <c:v>13.2</c:v>
                </c:pt>
                <c:pt idx="18">
                  <c:v>8.5</c:v>
                </c:pt>
                <c:pt idx="19">
                  <c:v>13.2</c:v>
                </c:pt>
                <c:pt idx="20">
                  <c:v>10.7</c:v>
                </c:pt>
                <c:pt idx="21">
                  <c:v>11.2</c:v>
                </c:pt>
                <c:pt idx="22">
                  <c:v>12.8</c:v>
                </c:pt>
                <c:pt idx="23">
                  <c:v>15.4</c:v>
                </c:pt>
                <c:pt idx="24">
                  <c:v>8.6999999999999993</c:v>
                </c:pt>
                <c:pt idx="25">
                  <c:v>17.899999999999999</c:v>
                </c:pt>
                <c:pt idx="26">
                  <c:v>15.4</c:v>
                </c:pt>
                <c:pt idx="27">
                  <c:v>10.5</c:v>
                </c:pt>
                <c:pt idx="28">
                  <c:v>9.1999999999999993</c:v>
                </c:pt>
                <c:pt idx="29">
                  <c:v>19.899999999999999</c:v>
                </c:pt>
                <c:pt idx="30">
                  <c:v>30.6</c:v>
                </c:pt>
              </c:numCache>
            </c:numRef>
          </c:val>
          <c:smooth val="0"/>
        </c:ser>
        <c:ser>
          <c:idx val="4"/>
          <c:order val="3"/>
          <c:tx>
            <c:v>Max Average</c:v>
          </c:tx>
          <c:spPr>
            <a:ln w="28575">
              <a:noFill/>
            </a:ln>
          </c:spPr>
          <c:marker>
            <c:symbol val="circle"/>
            <c:size val="6"/>
            <c:spPr>
              <a:solidFill>
                <a:srgbClr val="800000"/>
              </a:solidFill>
              <a:ln>
                <a:solidFill>
                  <a:srgbClr val="800000"/>
                </a:solidFill>
                <a:prstDash val="solid"/>
              </a:ln>
            </c:spPr>
          </c:marker>
          <c:cat>
            <c:numRef>
              <c:f>JAN!$E$4:$E$34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Mar!$V$4:$V$34</c:f>
              <c:numCache>
                <c:formatCode>0.0</c:formatCode>
                <c:ptCount val="31"/>
                <c:pt idx="0">
                  <c:v>16.600000000000001</c:v>
                </c:pt>
                <c:pt idx="1">
                  <c:v>14.7</c:v>
                </c:pt>
                <c:pt idx="2">
                  <c:v>14.7</c:v>
                </c:pt>
                <c:pt idx="3">
                  <c:v>12.3</c:v>
                </c:pt>
                <c:pt idx="4">
                  <c:v>13.8</c:v>
                </c:pt>
                <c:pt idx="5">
                  <c:v>14.5</c:v>
                </c:pt>
                <c:pt idx="6">
                  <c:v>11.4</c:v>
                </c:pt>
                <c:pt idx="7">
                  <c:v>13.2</c:v>
                </c:pt>
                <c:pt idx="8">
                  <c:v>14.5</c:v>
                </c:pt>
                <c:pt idx="9">
                  <c:v>21.9</c:v>
                </c:pt>
                <c:pt idx="10">
                  <c:v>14</c:v>
                </c:pt>
                <c:pt idx="11">
                  <c:v>11.8</c:v>
                </c:pt>
                <c:pt idx="12">
                  <c:v>9.8000000000000007</c:v>
                </c:pt>
                <c:pt idx="13">
                  <c:v>13</c:v>
                </c:pt>
                <c:pt idx="14">
                  <c:v>12.1</c:v>
                </c:pt>
                <c:pt idx="15">
                  <c:v>12.1</c:v>
                </c:pt>
                <c:pt idx="16">
                  <c:v>7.8</c:v>
                </c:pt>
                <c:pt idx="17">
                  <c:v>9.8000000000000007</c:v>
                </c:pt>
                <c:pt idx="18">
                  <c:v>6.2</c:v>
                </c:pt>
                <c:pt idx="19">
                  <c:v>10.9</c:v>
                </c:pt>
                <c:pt idx="20">
                  <c:v>8.1</c:v>
                </c:pt>
                <c:pt idx="21">
                  <c:v>7.6</c:v>
                </c:pt>
                <c:pt idx="22">
                  <c:v>9.8000000000000007</c:v>
                </c:pt>
                <c:pt idx="23">
                  <c:v>11.5</c:v>
                </c:pt>
                <c:pt idx="24">
                  <c:v>7.1</c:v>
                </c:pt>
                <c:pt idx="25">
                  <c:v>13.5</c:v>
                </c:pt>
                <c:pt idx="26">
                  <c:v>11.5</c:v>
                </c:pt>
                <c:pt idx="27">
                  <c:v>8.5</c:v>
                </c:pt>
                <c:pt idx="28">
                  <c:v>6.4</c:v>
                </c:pt>
                <c:pt idx="29">
                  <c:v>14.7</c:v>
                </c:pt>
                <c:pt idx="30">
                  <c:v>23.9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3309440"/>
        <c:axId val="123311232"/>
      </c:lineChart>
      <c:catAx>
        <c:axId val="123305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33079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3307904"/>
        <c:scaling>
          <c:orientation val="minMax"/>
          <c:max val="10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3305984"/>
        <c:crosses val="autoZero"/>
        <c:crossBetween val="between"/>
        <c:majorUnit val="2"/>
      </c:valAx>
      <c:catAx>
        <c:axId val="1233094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3311232"/>
        <c:crosses val="autoZero"/>
        <c:auto val="1"/>
        <c:lblAlgn val="ctr"/>
        <c:lblOffset val="100"/>
        <c:noMultiLvlLbl val="0"/>
      </c:catAx>
      <c:valAx>
        <c:axId val="123311232"/>
        <c:scaling>
          <c:orientation val="minMax"/>
          <c:max val="50"/>
          <c:min val="0"/>
        </c:scaling>
        <c:delete val="0"/>
        <c:axPos val="r"/>
        <c:numFmt formatCode="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3309440"/>
        <c:crosses val="max"/>
        <c:crossBetween val="between"/>
        <c:majorUnit val="10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4.0615384615384616E-2"/>
          <c:y val="0.81656804733727806"/>
          <c:w val="0.4073846153846154"/>
          <c:h val="0.8994082840236685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1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Sun Hours / h</a:t>
            </a:r>
          </a:p>
        </c:rich>
      </c:tx>
      <c:layout>
        <c:manualLayout>
          <c:xMode val="edge"/>
          <c:yMode val="edge"/>
          <c:x val="0.46040541433241655"/>
          <c:y val="2.803738317757009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941082492304096E-2"/>
          <c:y val="9.2289772270286646E-2"/>
          <c:w val="0.97360402135369983"/>
          <c:h val="0.85747712463785308"/>
        </c:manualLayout>
      </c:layout>
      <c:barChart>
        <c:barDir val="col"/>
        <c:grouping val="clustered"/>
        <c:varyColors val="0"/>
        <c:ser>
          <c:idx val="1"/>
          <c:order val="0"/>
          <c:tx>
            <c:v>Sun</c:v>
          </c:tx>
          <c:spPr>
            <a:solidFill>
              <a:srgbClr val="FFFF00"/>
            </a:solidFill>
            <a:ln w="12700">
              <a:solidFill>
                <a:srgbClr val="99CC00"/>
              </a:solidFill>
              <a:prstDash val="solid"/>
            </a:ln>
          </c:spPr>
          <c:invertIfNegative val="0"/>
          <c:cat>
            <c:numRef>
              <c:f>JAN!$E$4:$E$34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Mar!$AP$4:$AP$34</c:f>
              <c:numCache>
                <c:formatCode>General</c:formatCode>
                <c:ptCount val="31"/>
                <c:pt idx="0">
                  <c:v>0</c:v>
                </c:pt>
                <c:pt idx="1">
                  <c:v>4</c:v>
                </c:pt>
                <c:pt idx="2">
                  <c:v>2</c:v>
                </c:pt>
                <c:pt idx="3">
                  <c:v>5.5</c:v>
                </c:pt>
                <c:pt idx="4">
                  <c:v>1</c:v>
                </c:pt>
                <c:pt idx="5">
                  <c:v>1.5</c:v>
                </c:pt>
                <c:pt idx="6">
                  <c:v>10.1</c:v>
                </c:pt>
                <c:pt idx="7">
                  <c:v>10</c:v>
                </c:pt>
                <c:pt idx="8">
                  <c:v>3</c:v>
                </c:pt>
                <c:pt idx="9">
                  <c:v>1.5</c:v>
                </c:pt>
                <c:pt idx="10">
                  <c:v>2.5</c:v>
                </c:pt>
                <c:pt idx="11">
                  <c:v>4</c:v>
                </c:pt>
                <c:pt idx="12">
                  <c:v>1</c:v>
                </c:pt>
                <c:pt idx="13">
                  <c:v>6</c:v>
                </c:pt>
                <c:pt idx="14">
                  <c:v>3</c:v>
                </c:pt>
                <c:pt idx="15">
                  <c:v>0</c:v>
                </c:pt>
                <c:pt idx="16">
                  <c:v>1</c:v>
                </c:pt>
                <c:pt idx="17">
                  <c:v>0.3</c:v>
                </c:pt>
                <c:pt idx="18">
                  <c:v>10.9</c:v>
                </c:pt>
                <c:pt idx="19">
                  <c:v>5</c:v>
                </c:pt>
                <c:pt idx="20">
                  <c:v>2.5</c:v>
                </c:pt>
                <c:pt idx="21">
                  <c:v>1.5</c:v>
                </c:pt>
                <c:pt idx="22">
                  <c:v>10.7</c:v>
                </c:pt>
                <c:pt idx="23">
                  <c:v>10</c:v>
                </c:pt>
                <c:pt idx="24">
                  <c:v>10</c:v>
                </c:pt>
                <c:pt idx="25">
                  <c:v>1</c:v>
                </c:pt>
                <c:pt idx="26">
                  <c:v>7</c:v>
                </c:pt>
                <c:pt idx="27">
                  <c:v>5</c:v>
                </c:pt>
                <c:pt idx="28">
                  <c:v>2</c:v>
                </c:pt>
                <c:pt idx="29">
                  <c:v>0</c:v>
                </c:pt>
                <c:pt idx="30">
                  <c:v>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overlap val="-10"/>
        <c:axId val="123347712"/>
        <c:axId val="123349248"/>
      </c:barChart>
      <c:catAx>
        <c:axId val="1233477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33492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3349248"/>
        <c:scaling>
          <c:orientation val="minMax"/>
          <c:max val="1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3347712"/>
        <c:crosses val="autoZero"/>
        <c:crossBetween val="between"/>
        <c:majorUnit val="2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Cumulative Rain / mm</a:t>
            </a:r>
          </a:p>
        </c:rich>
      </c:tx>
      <c:layout>
        <c:manualLayout>
          <c:xMode val="edge"/>
          <c:yMode val="edge"/>
          <c:x val="0.43726963096402616"/>
          <c:y val="1.97444831591173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985254257748993E-2"/>
          <c:y val="9.1753878749590262E-2"/>
          <c:w val="0.9501850725185178"/>
          <c:h val="0.8583052708347747"/>
        </c:manualLayout>
      </c:layout>
      <c:lineChart>
        <c:grouping val="standard"/>
        <c:varyColors val="0"/>
        <c:ser>
          <c:idx val="1"/>
          <c:order val="0"/>
          <c:tx>
            <c:v>Cumulative Rain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cat>
            <c:numRef>
              <c:f>JAN!$E$4:$E$34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Mar!$Z$91:$Z$121</c:f>
              <c:numCache>
                <c:formatCode>0.0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0.2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5.4</c:v>
                </c:pt>
                <c:pt idx="18">
                  <c:v>5.4</c:v>
                </c:pt>
                <c:pt idx="19">
                  <c:v>5.4</c:v>
                </c:pt>
                <c:pt idx="20">
                  <c:v>5.4</c:v>
                </c:pt>
                <c:pt idx="21">
                  <c:v>5.4</c:v>
                </c:pt>
                <c:pt idx="22">
                  <c:v>5.4</c:v>
                </c:pt>
                <c:pt idx="23">
                  <c:v>5.4</c:v>
                </c:pt>
                <c:pt idx="24">
                  <c:v>5.4</c:v>
                </c:pt>
                <c:pt idx="25">
                  <c:v>5.4</c:v>
                </c:pt>
                <c:pt idx="26">
                  <c:v>5.4</c:v>
                </c:pt>
                <c:pt idx="27">
                  <c:v>5.4</c:v>
                </c:pt>
                <c:pt idx="28">
                  <c:v>5.9</c:v>
                </c:pt>
                <c:pt idx="29">
                  <c:v>8.1000000000000014</c:v>
                </c:pt>
                <c:pt idx="30">
                  <c:v>11.100000000000001</c:v>
                </c:pt>
              </c:numCache>
            </c:numRef>
          </c:val>
          <c:smooth val="0"/>
        </c:ser>
        <c:ser>
          <c:idx val="2"/>
          <c:order val="1"/>
          <c:tx>
            <c:v>E (Cumulative Rain)</c:v>
          </c:tx>
          <c:spPr>
            <a:ln w="25400">
              <a:solidFill>
                <a:srgbClr val="00CCFF"/>
              </a:solidFill>
              <a:prstDash val="lgDash"/>
            </a:ln>
          </c:spPr>
          <c:marker>
            <c:symbol val="none"/>
          </c:marker>
          <c:cat>
            <c:numRef>
              <c:f>JAN!$E$4:$E$34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Mar!$AA$91:$AA$121</c:f>
              <c:numCache>
                <c:formatCode>0.0</c:formatCode>
                <c:ptCount val="31"/>
                <c:pt idx="0">
                  <c:v>1.6451612903225807</c:v>
                </c:pt>
                <c:pt idx="1">
                  <c:v>3.2903225806451615</c:v>
                </c:pt>
                <c:pt idx="2">
                  <c:v>4.935483870967742</c:v>
                </c:pt>
                <c:pt idx="3">
                  <c:v>6.580645161290323</c:v>
                </c:pt>
                <c:pt idx="4">
                  <c:v>8.2258064516129039</c:v>
                </c:pt>
                <c:pt idx="5">
                  <c:v>9.870967741935484</c:v>
                </c:pt>
                <c:pt idx="6">
                  <c:v>11.516129032258066</c:v>
                </c:pt>
                <c:pt idx="7">
                  <c:v>13.161290322580646</c:v>
                </c:pt>
                <c:pt idx="8">
                  <c:v>14.806451612903226</c:v>
                </c:pt>
                <c:pt idx="9">
                  <c:v>16.451612903225808</c:v>
                </c:pt>
                <c:pt idx="10">
                  <c:v>18.096774193548388</c:v>
                </c:pt>
                <c:pt idx="11">
                  <c:v>19.741935483870968</c:v>
                </c:pt>
                <c:pt idx="12">
                  <c:v>21.387096774193548</c:v>
                </c:pt>
                <c:pt idx="13">
                  <c:v>23.032258064516132</c:v>
                </c:pt>
                <c:pt idx="14">
                  <c:v>24.677419354838712</c:v>
                </c:pt>
                <c:pt idx="15">
                  <c:v>26.322580645161292</c:v>
                </c:pt>
                <c:pt idx="16">
                  <c:v>27.967741935483872</c:v>
                </c:pt>
                <c:pt idx="17">
                  <c:v>29.612903225806452</c:v>
                </c:pt>
                <c:pt idx="18">
                  <c:v>31.258064516129036</c:v>
                </c:pt>
                <c:pt idx="19">
                  <c:v>32.903225806451616</c:v>
                </c:pt>
                <c:pt idx="20">
                  <c:v>34.548387096774192</c:v>
                </c:pt>
                <c:pt idx="21">
                  <c:v>36.193548387096776</c:v>
                </c:pt>
                <c:pt idx="22">
                  <c:v>37.838709677419359</c:v>
                </c:pt>
                <c:pt idx="23">
                  <c:v>39.483870967741936</c:v>
                </c:pt>
                <c:pt idx="24">
                  <c:v>41.12903225806452</c:v>
                </c:pt>
                <c:pt idx="25">
                  <c:v>42.774193548387096</c:v>
                </c:pt>
                <c:pt idx="26">
                  <c:v>44.41935483870968</c:v>
                </c:pt>
                <c:pt idx="27">
                  <c:v>46.064516129032263</c:v>
                </c:pt>
                <c:pt idx="28">
                  <c:v>47.70967741935484</c:v>
                </c:pt>
                <c:pt idx="29">
                  <c:v>49.354838709677423</c:v>
                </c:pt>
                <c:pt idx="30">
                  <c:v>51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3385344"/>
        <c:axId val="123386880"/>
      </c:lineChart>
      <c:lineChart>
        <c:grouping val="standard"/>
        <c:varyColors val="0"/>
        <c:ser>
          <c:idx val="0"/>
          <c:order val="2"/>
          <c:tx>
            <c:v>Cumulative Anomaly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circle"/>
            <c:size val="2"/>
            <c:spPr>
              <a:solidFill>
                <a:srgbClr val="333399"/>
              </a:solidFill>
              <a:ln>
                <a:solidFill>
                  <a:srgbClr val="333399"/>
                </a:solidFill>
                <a:prstDash val="solid"/>
              </a:ln>
            </c:spPr>
          </c:marker>
          <c:cat>
            <c:numRef>
              <c:f>JAN!$E$4:$E$34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Mar!$AC$91:$AC$121</c:f>
              <c:numCache>
                <c:formatCode>0%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1.215686274509804E-2</c:v>
                </c:pt>
                <c:pt idx="5">
                  <c:v>1.0130718954248366E-2</c:v>
                </c:pt>
                <c:pt idx="6">
                  <c:v>8.6834733893557409E-3</c:v>
                </c:pt>
                <c:pt idx="7">
                  <c:v>7.5980392156862744E-3</c:v>
                </c:pt>
                <c:pt idx="8">
                  <c:v>6.7538126361655773E-3</c:v>
                </c:pt>
                <c:pt idx="9">
                  <c:v>6.0784313725490199E-3</c:v>
                </c:pt>
                <c:pt idx="10">
                  <c:v>5.5258467023172903E-3</c:v>
                </c:pt>
                <c:pt idx="11">
                  <c:v>1.0130718954248366E-2</c:v>
                </c:pt>
                <c:pt idx="12">
                  <c:v>4.6757164404223228E-2</c:v>
                </c:pt>
                <c:pt idx="13">
                  <c:v>4.341736694677871E-2</c:v>
                </c:pt>
                <c:pt idx="14">
                  <c:v>4.0522875816993459E-2</c:v>
                </c:pt>
                <c:pt idx="15">
                  <c:v>3.7990196078431369E-2</c:v>
                </c:pt>
                <c:pt idx="16">
                  <c:v>3.5755478662053058E-2</c:v>
                </c:pt>
                <c:pt idx="17">
                  <c:v>0.18235294117647061</c:v>
                </c:pt>
                <c:pt idx="18">
                  <c:v>0.17275541795665633</c:v>
                </c:pt>
                <c:pt idx="19">
                  <c:v>0.16411764705882353</c:v>
                </c:pt>
                <c:pt idx="20">
                  <c:v>0.15630252100840339</c:v>
                </c:pt>
                <c:pt idx="21">
                  <c:v>0.14919786096256685</c:v>
                </c:pt>
                <c:pt idx="22">
                  <c:v>0.14271099744245525</c:v>
                </c:pt>
                <c:pt idx="23">
                  <c:v>0.13676470588235295</c:v>
                </c:pt>
                <c:pt idx="24">
                  <c:v>0.13129411764705881</c:v>
                </c:pt>
                <c:pt idx="25">
                  <c:v>0.12624434389140274</c:v>
                </c:pt>
                <c:pt idx="26">
                  <c:v>0.12156862745098039</c:v>
                </c:pt>
                <c:pt idx="27">
                  <c:v>0.11722689075630252</c:v>
                </c:pt>
                <c:pt idx="28">
                  <c:v>0.12366463826910075</c:v>
                </c:pt>
                <c:pt idx="29">
                  <c:v>0.16411764705882353</c:v>
                </c:pt>
                <c:pt idx="30">
                  <c:v>0.21764705882352944</c:v>
                </c:pt>
              </c:numCache>
            </c:numRef>
          </c:val>
          <c:smooth val="0"/>
        </c:ser>
        <c:ser>
          <c:idx val="3"/>
          <c:order val="3"/>
          <c:tx>
            <c:v>E (Cumulative Anomaly)</c:v>
          </c:tx>
          <c:spPr>
            <a:ln w="3175">
              <a:solidFill>
                <a:srgbClr val="0000FF"/>
              </a:solidFill>
              <a:prstDash val="lgDash"/>
            </a:ln>
          </c:spPr>
          <c:marker>
            <c:symbol val="none"/>
          </c:marker>
          <c:cat>
            <c:numRef>
              <c:f>JAN!$E$4:$E$34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JAN!$J$54:$J$84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3392768"/>
        <c:axId val="123394304"/>
      </c:lineChart>
      <c:catAx>
        <c:axId val="123385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33868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3386880"/>
        <c:scaling>
          <c:orientation val="minMax"/>
          <c:max val="6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3385344"/>
        <c:crosses val="autoZero"/>
        <c:crossBetween val="between"/>
        <c:majorUnit val="10"/>
      </c:valAx>
      <c:catAx>
        <c:axId val="1233927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3394304"/>
        <c:crosses val="autoZero"/>
        <c:auto val="1"/>
        <c:lblAlgn val="ctr"/>
        <c:lblOffset val="100"/>
        <c:noMultiLvlLbl val="0"/>
      </c:catAx>
      <c:valAx>
        <c:axId val="123394304"/>
        <c:scaling>
          <c:orientation val="minMax"/>
          <c:max val="1.5"/>
          <c:min val="0"/>
        </c:scaling>
        <c:delete val="0"/>
        <c:axPos val="r"/>
        <c:numFmt formatCode="0%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3392768"/>
        <c:crosses val="max"/>
        <c:crossBetween val="between"/>
        <c:majorUnit val="0.25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 sz="14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Dew Point / </a:t>
            </a:r>
            <a:r>
              <a:rPr lang="en-GB" sz="1400" b="1" i="0" u="none" strike="noStrike" baseline="30000">
                <a:solidFill>
                  <a:srgbClr val="000000"/>
                </a:solidFill>
                <a:latin typeface="Arial"/>
                <a:cs typeface="Arial"/>
              </a:rPr>
              <a:t>o</a:t>
            </a:r>
            <a:r>
              <a:rPr lang="en-GB" sz="14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C</a:t>
            </a:r>
          </a:p>
        </c:rich>
      </c:tx>
      <c:layout>
        <c:manualLayout>
          <c:xMode val="edge"/>
          <c:yMode val="edge"/>
          <c:x val="0.45817984006611717"/>
          <c:y val="2.007083825265643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985254257748993E-2"/>
          <c:y val="8.736722864200662E-2"/>
          <c:w val="0.97355532025683733"/>
          <c:h val="0.86186590417114639"/>
        </c:manualLayout>
      </c:layout>
      <c:lineChart>
        <c:grouping val="standard"/>
        <c:varyColors val="0"/>
        <c:ser>
          <c:idx val="2"/>
          <c:order val="0"/>
          <c:tx>
            <c:v>Min Dew Point</c:v>
          </c:tx>
          <c:spPr>
            <a:ln w="38100">
              <a:solidFill>
                <a:srgbClr val="99CC00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808000"/>
              </a:solidFill>
              <a:ln>
                <a:solidFill>
                  <a:srgbClr val="808000"/>
                </a:solidFill>
                <a:prstDash val="solid"/>
              </a:ln>
            </c:spPr>
          </c:marker>
          <c:cat>
            <c:numRef>
              <c:f>JAN!$E$4:$E$34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Mar!$AG$4:$AG$34</c:f>
              <c:numCache>
                <c:formatCode>0.0</c:formatCode>
                <c:ptCount val="31"/>
                <c:pt idx="0">
                  <c:v>-0.5</c:v>
                </c:pt>
                <c:pt idx="1">
                  <c:v>-1.9</c:v>
                </c:pt>
                <c:pt idx="2">
                  <c:v>-2</c:v>
                </c:pt>
                <c:pt idx="3">
                  <c:v>-2.4</c:v>
                </c:pt>
                <c:pt idx="4">
                  <c:v>-1.4</c:v>
                </c:pt>
                <c:pt idx="5">
                  <c:v>-2.8</c:v>
                </c:pt>
                <c:pt idx="6">
                  <c:v>-5.9</c:v>
                </c:pt>
                <c:pt idx="7">
                  <c:v>-4.8</c:v>
                </c:pt>
                <c:pt idx="8">
                  <c:v>-0.7</c:v>
                </c:pt>
                <c:pt idx="9">
                  <c:v>0.8</c:v>
                </c:pt>
                <c:pt idx="10">
                  <c:v>1.8</c:v>
                </c:pt>
                <c:pt idx="11">
                  <c:v>2.9</c:v>
                </c:pt>
                <c:pt idx="12">
                  <c:v>-0.4</c:v>
                </c:pt>
                <c:pt idx="13">
                  <c:v>-2.2000000000000002</c:v>
                </c:pt>
                <c:pt idx="14">
                  <c:v>5.3</c:v>
                </c:pt>
                <c:pt idx="15">
                  <c:v>2.9</c:v>
                </c:pt>
                <c:pt idx="16">
                  <c:v>2.2000000000000002</c:v>
                </c:pt>
                <c:pt idx="17">
                  <c:v>-2.5</c:v>
                </c:pt>
                <c:pt idx="18">
                  <c:v>-3.7</c:v>
                </c:pt>
                <c:pt idx="19">
                  <c:v>-2.9</c:v>
                </c:pt>
                <c:pt idx="20">
                  <c:v>1.8</c:v>
                </c:pt>
                <c:pt idx="21">
                  <c:v>3.1</c:v>
                </c:pt>
                <c:pt idx="22">
                  <c:v>1.7</c:v>
                </c:pt>
                <c:pt idx="23">
                  <c:v>0.1</c:v>
                </c:pt>
                <c:pt idx="24">
                  <c:v>0.8</c:v>
                </c:pt>
                <c:pt idx="25">
                  <c:v>3.2</c:v>
                </c:pt>
                <c:pt idx="26">
                  <c:v>1.9</c:v>
                </c:pt>
                <c:pt idx="27">
                  <c:v>-0.1</c:v>
                </c:pt>
                <c:pt idx="28">
                  <c:v>-1.5</c:v>
                </c:pt>
                <c:pt idx="29">
                  <c:v>6.1</c:v>
                </c:pt>
                <c:pt idx="30">
                  <c:v>8</c:v>
                </c:pt>
              </c:numCache>
            </c:numRef>
          </c:val>
          <c:smooth val="0"/>
        </c:ser>
        <c:ser>
          <c:idx val="3"/>
          <c:order val="1"/>
          <c:tx>
            <c:v>Frost Point</c:v>
          </c:tx>
          <c:spPr>
            <a:ln w="38100">
              <a:solidFill>
                <a:srgbClr val="000080"/>
              </a:solidFill>
              <a:prstDash val="sysDash"/>
            </a:ln>
          </c:spPr>
          <c:marker>
            <c:symbol val="none"/>
          </c:marker>
          <c:cat>
            <c:numRef>
              <c:f>JAN!$E$4:$E$34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JAN!$T$4:$T$34</c:f>
              <c:numCache>
                <c:formatCode>0.0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</c:ser>
        <c:ser>
          <c:idx val="0"/>
          <c:order val="2"/>
          <c:tx>
            <c:v>Mean' Dew Point</c:v>
          </c:tx>
          <c:spPr>
            <a:ln w="38100">
              <a:solidFill>
                <a:srgbClr val="008080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666699"/>
              </a:solidFill>
              <a:ln>
                <a:solidFill>
                  <a:srgbClr val="666699"/>
                </a:solidFill>
                <a:prstDash val="solid"/>
              </a:ln>
            </c:spPr>
          </c:marker>
          <c:cat>
            <c:numRef>
              <c:f>JAN!$E$4:$E$34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Mar!$AI$4:$AI$34</c:f>
              <c:numCache>
                <c:formatCode>0.0</c:formatCode>
                <c:ptCount val="31"/>
                <c:pt idx="0">
                  <c:v>0.6</c:v>
                </c:pt>
                <c:pt idx="1">
                  <c:v>0.2</c:v>
                </c:pt>
                <c:pt idx="2">
                  <c:v>-0.8</c:v>
                </c:pt>
                <c:pt idx="3">
                  <c:v>-1.1000000000000001</c:v>
                </c:pt>
                <c:pt idx="4">
                  <c:v>0.9</c:v>
                </c:pt>
                <c:pt idx="5">
                  <c:v>-1.3</c:v>
                </c:pt>
                <c:pt idx="6">
                  <c:v>-2.5</c:v>
                </c:pt>
                <c:pt idx="7">
                  <c:v>-0.8</c:v>
                </c:pt>
                <c:pt idx="8">
                  <c:v>1.4</c:v>
                </c:pt>
                <c:pt idx="9">
                  <c:v>3.6</c:v>
                </c:pt>
                <c:pt idx="10">
                  <c:v>2.8</c:v>
                </c:pt>
                <c:pt idx="11">
                  <c:v>4.0999999999999996</c:v>
                </c:pt>
                <c:pt idx="12">
                  <c:v>5.8</c:v>
                </c:pt>
                <c:pt idx="13">
                  <c:v>2.2999999999999998</c:v>
                </c:pt>
                <c:pt idx="14">
                  <c:v>7.2</c:v>
                </c:pt>
                <c:pt idx="15">
                  <c:v>6.4</c:v>
                </c:pt>
                <c:pt idx="16">
                  <c:v>3.7</c:v>
                </c:pt>
                <c:pt idx="17">
                  <c:v>2.5</c:v>
                </c:pt>
                <c:pt idx="18">
                  <c:v>-1.4</c:v>
                </c:pt>
                <c:pt idx="19">
                  <c:v>2.1</c:v>
                </c:pt>
                <c:pt idx="20">
                  <c:v>4.5999999999999996</c:v>
                </c:pt>
                <c:pt idx="21">
                  <c:v>5</c:v>
                </c:pt>
                <c:pt idx="22">
                  <c:v>5.2</c:v>
                </c:pt>
                <c:pt idx="23">
                  <c:v>4</c:v>
                </c:pt>
                <c:pt idx="24">
                  <c:v>4.5999999999999996</c:v>
                </c:pt>
                <c:pt idx="25">
                  <c:v>5.2</c:v>
                </c:pt>
                <c:pt idx="26">
                  <c:v>4.5999999999999996</c:v>
                </c:pt>
                <c:pt idx="27">
                  <c:v>2.7</c:v>
                </c:pt>
                <c:pt idx="28">
                  <c:v>3.6</c:v>
                </c:pt>
                <c:pt idx="29">
                  <c:v>7.6</c:v>
                </c:pt>
                <c:pt idx="30">
                  <c:v>9.6</c:v>
                </c:pt>
              </c:numCache>
            </c:numRef>
          </c:val>
          <c:smooth val="0"/>
        </c:ser>
        <c:ser>
          <c:idx val="4"/>
          <c:order val="3"/>
          <c:tx>
            <c:v>Max Dew Point</c:v>
          </c:tx>
          <c:spPr>
            <a:ln w="38100">
              <a:solidFill>
                <a:srgbClr val="003300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003366"/>
              </a:solidFill>
              <a:ln>
                <a:solidFill>
                  <a:srgbClr val="003366"/>
                </a:solidFill>
                <a:prstDash val="solid"/>
              </a:ln>
            </c:spPr>
          </c:marker>
          <c:cat>
            <c:numRef>
              <c:f>JAN!$E$4:$E$34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Mar!$AH$4:$AH$34</c:f>
              <c:numCache>
                <c:formatCode>0.0</c:formatCode>
                <c:ptCount val="31"/>
                <c:pt idx="0">
                  <c:v>1.3</c:v>
                </c:pt>
                <c:pt idx="1">
                  <c:v>1.7</c:v>
                </c:pt>
                <c:pt idx="2">
                  <c:v>0.9</c:v>
                </c:pt>
                <c:pt idx="3">
                  <c:v>0.6</c:v>
                </c:pt>
                <c:pt idx="4">
                  <c:v>4.0999999999999996</c:v>
                </c:pt>
                <c:pt idx="5">
                  <c:v>0.8</c:v>
                </c:pt>
                <c:pt idx="6">
                  <c:v>1.2</c:v>
                </c:pt>
                <c:pt idx="7">
                  <c:v>2.5</c:v>
                </c:pt>
                <c:pt idx="8">
                  <c:v>4.7</c:v>
                </c:pt>
                <c:pt idx="9">
                  <c:v>6</c:v>
                </c:pt>
                <c:pt idx="10">
                  <c:v>4.2</c:v>
                </c:pt>
                <c:pt idx="11">
                  <c:v>6.8</c:v>
                </c:pt>
                <c:pt idx="12">
                  <c:v>8.6</c:v>
                </c:pt>
                <c:pt idx="13">
                  <c:v>5.5</c:v>
                </c:pt>
                <c:pt idx="14">
                  <c:v>9.8000000000000007</c:v>
                </c:pt>
                <c:pt idx="15">
                  <c:v>8.1</c:v>
                </c:pt>
                <c:pt idx="16">
                  <c:v>5.8</c:v>
                </c:pt>
                <c:pt idx="17">
                  <c:v>4.9000000000000004</c:v>
                </c:pt>
                <c:pt idx="18">
                  <c:v>4.2</c:v>
                </c:pt>
                <c:pt idx="19">
                  <c:v>4.9000000000000004</c:v>
                </c:pt>
                <c:pt idx="20">
                  <c:v>7.3</c:v>
                </c:pt>
                <c:pt idx="21">
                  <c:v>8.9</c:v>
                </c:pt>
                <c:pt idx="22">
                  <c:v>8</c:v>
                </c:pt>
                <c:pt idx="23">
                  <c:v>7.9</c:v>
                </c:pt>
                <c:pt idx="24">
                  <c:v>8</c:v>
                </c:pt>
                <c:pt idx="25">
                  <c:v>8.4</c:v>
                </c:pt>
                <c:pt idx="26">
                  <c:v>6.5</c:v>
                </c:pt>
                <c:pt idx="27">
                  <c:v>4.5999999999999996</c:v>
                </c:pt>
                <c:pt idx="28">
                  <c:v>7.7</c:v>
                </c:pt>
                <c:pt idx="29">
                  <c:v>8.8000000000000007</c:v>
                </c:pt>
                <c:pt idx="30">
                  <c:v>12.6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3506688"/>
        <c:axId val="123508608"/>
      </c:lineChart>
      <c:catAx>
        <c:axId val="123506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3508608"/>
        <c:crossesAt val="-10"/>
        <c:auto val="1"/>
        <c:lblAlgn val="ctr"/>
        <c:lblOffset val="100"/>
        <c:tickLblSkip val="1"/>
        <c:tickMarkSkip val="1"/>
        <c:noMultiLvlLbl val="0"/>
      </c:catAx>
      <c:valAx>
        <c:axId val="123508608"/>
        <c:scaling>
          <c:orientation val="minMax"/>
          <c:max val="14"/>
          <c:min val="-6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3506688"/>
        <c:crosses val="autoZero"/>
        <c:crossBetween val="between"/>
        <c:majorUnit val="2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Mean Wind Direction Frequency</a:t>
            </a:r>
          </a:p>
        </c:rich>
      </c:tx>
      <c:layout>
        <c:manualLayout>
          <c:xMode val="edge"/>
          <c:yMode val="edge"/>
          <c:x val="0.40434296945276205"/>
          <c:y val="2.585193889541715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086856229171383"/>
          <c:y val="0.16098707403055229"/>
          <c:w val="0.37089223133770227"/>
          <c:h val="0.74265569917743834"/>
        </c:manualLayout>
      </c:layout>
      <c:radarChart>
        <c:radarStyle val="filled"/>
        <c:varyColors val="1"/>
        <c:ser>
          <c:idx val="0"/>
          <c:order val="0"/>
          <c:tx>
            <c:v>Mean Wind Direction</c:v>
          </c:tx>
          <c:spPr>
            <a:solidFill>
              <a:srgbClr val="FF99CC"/>
            </a:solidFill>
            <a:ln w="38100">
              <a:solidFill>
                <a:srgbClr val="FF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</c:dPt>
          <c:dPt>
            <c:idx val="2"/>
            <c:bubble3D val="0"/>
          </c:dPt>
          <c:dPt>
            <c:idx val="3"/>
            <c:bubble3D val="0"/>
          </c:dPt>
          <c:dPt>
            <c:idx val="4"/>
            <c:bubble3D val="0"/>
          </c:dPt>
          <c:dPt>
            <c:idx val="5"/>
            <c:bubble3D val="0"/>
          </c:dPt>
          <c:dPt>
            <c:idx val="6"/>
            <c:bubble3D val="0"/>
          </c:dPt>
          <c:dPt>
            <c:idx val="7"/>
            <c:bubble3D val="0"/>
          </c:dPt>
          <c:dLbls>
            <c:dLbl>
              <c:idx val="0"/>
              <c:layout>
                <c:manualLayout>
                  <c:x val="3.717393456502325E-4"/>
                  <c:y val="-0.3312376669720045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 val="7.3709548030132396E-2"/>
                  <c:y val="-0.1226604488774978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layout>
                <c:manualLayout>
                  <c:x val="2.5199726874357981E-2"/>
                  <c:y val="-5.1898800546524623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layout>
                <c:manualLayout>
                  <c:x val="0.13047183150198693"/>
                  <c:y val="0.2212383146583762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4"/>
              <c:layout>
                <c:manualLayout>
                  <c:x val="1.5454489384910317E-3"/>
                  <c:y val="0.3051900651079014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5"/>
              <c:layout>
                <c:manualLayout>
                  <c:x val="-7.6851319082810954E-2"/>
                  <c:y val="0.12241062699125008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6"/>
              <c:layout>
                <c:manualLayout>
                  <c:x val="-0.15228879399887962"/>
                  <c:y val="-9.890232581091873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7"/>
              <c:layout>
                <c:manualLayout>
                  <c:x val="-0.14087859394267435"/>
                  <c:y val="-0.23749351542573041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50" b="1" i="0" u="none" strike="noStrike" baseline="0">
                    <a:solidFill>
                      <a:srgbClr val="FF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JAN!$W$46:$W$53</c:f>
              <c:strCache>
                <c:ptCount val="8"/>
                <c:pt idx="0">
                  <c:v>N</c:v>
                </c:pt>
                <c:pt idx="1">
                  <c:v>NE</c:v>
                </c:pt>
                <c:pt idx="2">
                  <c:v>E</c:v>
                </c:pt>
                <c:pt idx="3">
                  <c:v>SE</c:v>
                </c:pt>
                <c:pt idx="4">
                  <c:v>S</c:v>
                </c:pt>
                <c:pt idx="5">
                  <c:v>SW</c:v>
                </c:pt>
                <c:pt idx="6">
                  <c:v>W</c:v>
                </c:pt>
                <c:pt idx="7">
                  <c:v>NW</c:v>
                </c:pt>
              </c:strCache>
            </c:strRef>
          </c:cat>
          <c:val>
            <c:numRef>
              <c:f>Mar!$X$46:$X$53</c:f>
              <c:numCache>
                <c:formatCode>0</c:formatCode>
                <c:ptCount val="8"/>
                <c:pt idx="0">
                  <c:v>1</c:v>
                </c:pt>
                <c:pt idx="1">
                  <c:v>7</c:v>
                </c:pt>
                <c:pt idx="2">
                  <c:v>11</c:v>
                </c:pt>
                <c:pt idx="3">
                  <c:v>1</c:v>
                </c:pt>
                <c:pt idx="4">
                  <c:v>2</c:v>
                </c:pt>
                <c:pt idx="5">
                  <c:v>6</c:v>
                </c:pt>
                <c:pt idx="6">
                  <c:v>2</c:v>
                </c:pt>
                <c:pt idx="7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350848"/>
        <c:axId val="124352384"/>
      </c:radarChart>
      <c:catAx>
        <c:axId val="124350848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4352384"/>
        <c:crosses val="autoZero"/>
        <c:auto val="0"/>
        <c:lblAlgn val="ctr"/>
        <c:lblOffset val="100"/>
        <c:noMultiLvlLbl val="0"/>
      </c:catAx>
      <c:valAx>
        <c:axId val="124352384"/>
        <c:scaling>
          <c:orientation val="minMax"/>
          <c:max val="12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0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4350848"/>
        <c:crosses val="autoZero"/>
        <c:crossBetween val="between"/>
        <c:majorUnit val="2"/>
      </c:valAx>
      <c:spPr>
        <a:solidFill>
          <a:srgbClr val="C0C0C0"/>
        </a:solidFill>
        <a:ln w="25400">
          <a:noFill/>
        </a:ln>
      </c:spPr>
    </c:plotArea>
    <c:plotVisOnly val="1"/>
    <c:dispBlanksAs val="gap"/>
    <c:showDLblsOverMax val="0"/>
  </c:chart>
  <c:spPr>
    <a:solidFill>
      <a:srgbClr val="C0C0C0"/>
    </a:solidFill>
    <a:ln w="3175">
      <a:solidFill>
        <a:srgbClr val="000000"/>
      </a:solidFill>
      <a:prstDash val="solid"/>
    </a:ln>
  </c:spPr>
  <c:txPr>
    <a:bodyPr/>
    <a:lstStyle/>
    <a:p>
      <a:pPr>
        <a:defRPr sz="23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Cumulative Sun Hours / h</a:t>
            </a:r>
          </a:p>
        </c:rich>
      </c:tx>
      <c:layout>
        <c:manualLayout>
          <c:xMode val="edge"/>
          <c:yMode val="edge"/>
          <c:x val="0.4173326428849129"/>
          <c:y val="2.45614035087719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502160052459488E-2"/>
          <c:y val="8.6549806457655407E-2"/>
          <c:w val="0.9403813516721462"/>
          <c:h val="0.86315888061823898"/>
        </c:manualLayout>
      </c:layout>
      <c:lineChart>
        <c:grouping val="standard"/>
        <c:varyColors val="0"/>
        <c:ser>
          <c:idx val="1"/>
          <c:order val="0"/>
          <c:tx>
            <c:v>Cumulative Sun Hours</c:v>
          </c:tx>
          <c:spPr>
            <a:ln w="38100">
              <a:solidFill>
                <a:srgbClr val="FFFF00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99CC00"/>
              </a:solidFill>
              <a:ln>
                <a:solidFill>
                  <a:srgbClr val="99CC00"/>
                </a:solidFill>
                <a:prstDash val="solid"/>
              </a:ln>
            </c:spPr>
          </c:marker>
          <c:cat>
            <c:numRef>
              <c:f>JAN!$E$4:$E$34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Mar!$AG$91:$AG$121</c:f>
              <c:numCache>
                <c:formatCode>0</c:formatCode>
                <c:ptCount val="31"/>
                <c:pt idx="0">
                  <c:v>0</c:v>
                </c:pt>
                <c:pt idx="1">
                  <c:v>4</c:v>
                </c:pt>
                <c:pt idx="2">
                  <c:v>6</c:v>
                </c:pt>
                <c:pt idx="3">
                  <c:v>11.5</c:v>
                </c:pt>
                <c:pt idx="4">
                  <c:v>12.5</c:v>
                </c:pt>
                <c:pt idx="5">
                  <c:v>14</c:v>
                </c:pt>
                <c:pt idx="6">
                  <c:v>24.1</c:v>
                </c:pt>
                <c:pt idx="7">
                  <c:v>34.1</c:v>
                </c:pt>
                <c:pt idx="8">
                  <c:v>37.1</c:v>
                </c:pt>
                <c:pt idx="9">
                  <c:v>38.6</c:v>
                </c:pt>
                <c:pt idx="10">
                  <c:v>41.1</c:v>
                </c:pt>
                <c:pt idx="11">
                  <c:v>45.1</c:v>
                </c:pt>
                <c:pt idx="12">
                  <c:v>46.1</c:v>
                </c:pt>
                <c:pt idx="13">
                  <c:v>52.1</c:v>
                </c:pt>
                <c:pt idx="14">
                  <c:v>55.1</c:v>
                </c:pt>
                <c:pt idx="15">
                  <c:v>55.1</c:v>
                </c:pt>
                <c:pt idx="16">
                  <c:v>56.1</c:v>
                </c:pt>
                <c:pt idx="17">
                  <c:v>56.4</c:v>
                </c:pt>
                <c:pt idx="18">
                  <c:v>67.3</c:v>
                </c:pt>
                <c:pt idx="19">
                  <c:v>72.3</c:v>
                </c:pt>
                <c:pt idx="20">
                  <c:v>74.8</c:v>
                </c:pt>
                <c:pt idx="21">
                  <c:v>76.3</c:v>
                </c:pt>
                <c:pt idx="22">
                  <c:v>87</c:v>
                </c:pt>
                <c:pt idx="23">
                  <c:v>97</c:v>
                </c:pt>
                <c:pt idx="24">
                  <c:v>107</c:v>
                </c:pt>
                <c:pt idx="25">
                  <c:v>108</c:v>
                </c:pt>
                <c:pt idx="26">
                  <c:v>115</c:v>
                </c:pt>
                <c:pt idx="27">
                  <c:v>120</c:v>
                </c:pt>
                <c:pt idx="28">
                  <c:v>122</c:v>
                </c:pt>
                <c:pt idx="29">
                  <c:v>122</c:v>
                </c:pt>
                <c:pt idx="30">
                  <c:v>125</c:v>
                </c:pt>
              </c:numCache>
            </c:numRef>
          </c:val>
          <c:smooth val="0"/>
        </c:ser>
        <c:ser>
          <c:idx val="2"/>
          <c:order val="1"/>
          <c:tx>
            <c:v>E (Cumulative Sun Hours)</c:v>
          </c:tx>
          <c:spPr>
            <a:ln w="25400">
              <a:solidFill>
                <a:srgbClr val="FFFF99"/>
              </a:solidFill>
              <a:prstDash val="lgDash"/>
            </a:ln>
          </c:spPr>
          <c:marker>
            <c:symbol val="diamond"/>
            <c:size val="2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cat>
            <c:numRef>
              <c:f>JAN!$E$4:$E$34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Mar!$AH$91:$AH$121</c:f>
              <c:numCache>
                <c:formatCode>0.0</c:formatCode>
                <c:ptCount val="31"/>
                <c:pt idx="0">
                  <c:v>3.0926766866317372</c:v>
                </c:pt>
                <c:pt idx="1">
                  <c:v>6.2046499026511217</c:v>
                </c:pt>
                <c:pt idx="2">
                  <c:v>9.3359745730869044</c:v>
                </c:pt>
                <c:pt idx="3">
                  <c:v>12.486702254954293</c:v>
                </c:pt>
                <c:pt idx="4">
                  <c:v>15.656881236858769</c:v>
                </c:pt>
                <c:pt idx="5">
                  <c:v>18.846556633726696</c:v>
                </c:pt>
                <c:pt idx="6">
                  <c:v>22.055770476602085</c:v>
                </c:pt>
                <c:pt idx="7">
                  <c:v>25.284561797456448</c:v>
                </c:pt>
                <c:pt idx="8">
                  <c:v>28.532966708965485</c:v>
                </c:pt>
                <c:pt idx="9">
                  <c:v>31.801018479212441</c:v>
                </c:pt>
                <c:pt idx="10">
                  <c:v>35.088747601283501</c:v>
                </c:pt>
                <c:pt idx="11">
                  <c:v>38.396181857725431</c:v>
                </c:pt>
                <c:pt idx="12">
                  <c:v>41.723346379840052</c:v>
                </c:pt>
                <c:pt idx="13">
                  <c:v>45.070263701793941</c:v>
                </c:pt>
                <c:pt idx="14">
                  <c:v>48.436953809525178</c:v>
                </c:pt>
                <c:pt idx="15">
                  <c:v>51.823434184431861</c:v>
                </c:pt>
                <c:pt idx="16">
                  <c:v>55.229719841829777</c:v>
                </c:pt>
                <c:pt idx="17">
                  <c:v>58.655823364168825</c:v>
                </c:pt>
                <c:pt idx="18">
                  <c:v>62.101754928999817</c:v>
                </c:pt>
                <c:pt idx="19">
                  <c:v>65.56752233168497</c:v>
                </c:pt>
                <c:pt idx="20">
                  <c:v>69.053131002846911</c:v>
                </c:pt>
                <c:pt idx="21">
                  <c:v>72.558584020552516</c:v>
                </c:pt>
                <c:pt idx="22">
                  <c:v>76.083882117228853</c:v>
                </c:pt>
                <c:pt idx="23">
                  <c:v>79.629023681309945</c:v>
                </c:pt>
                <c:pt idx="24">
                  <c:v>83.194004753613953</c:v>
                </c:pt>
                <c:pt idx="25">
                  <c:v>86.778819018451557</c:v>
                </c:pt>
                <c:pt idx="26">
                  <c:v>90.383457789467315</c:v>
                </c:pt>
                <c:pt idx="27">
                  <c:v>94.007909990217101</c:v>
                </c:pt>
                <c:pt idx="28">
                  <c:v>97.652162129485788</c:v>
                </c:pt>
                <c:pt idx="29">
                  <c:v>101.31619827135098</c:v>
                </c:pt>
                <c:pt idx="30">
                  <c:v>105.00000000000006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4786176"/>
        <c:axId val="124787712"/>
      </c:lineChart>
      <c:lineChart>
        <c:grouping val="standard"/>
        <c:varyColors val="0"/>
        <c:ser>
          <c:idx val="0"/>
          <c:order val="2"/>
          <c:tx>
            <c:v>Cumulative Anomaly</c:v>
          </c:tx>
          <c:spPr>
            <a:ln w="12700">
              <a:solidFill>
                <a:srgbClr val="99CC00"/>
              </a:solidFill>
              <a:prstDash val="solid"/>
            </a:ln>
          </c:spPr>
          <c:marker>
            <c:symbol val="circle"/>
            <c:size val="2"/>
            <c:spPr>
              <a:solidFill>
                <a:srgbClr val="808000"/>
              </a:solidFill>
              <a:ln>
                <a:solidFill>
                  <a:srgbClr val="808000"/>
                </a:solidFill>
                <a:prstDash val="solid"/>
              </a:ln>
            </c:spPr>
          </c:marker>
          <c:cat>
            <c:numRef>
              <c:f>JAN!$E$4:$E$34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Mar!$AI$91:$AI$121</c:f>
              <c:numCache>
                <c:formatCode>0%</c:formatCode>
                <c:ptCount val="31"/>
                <c:pt idx="0">
                  <c:v>0</c:v>
                </c:pt>
                <c:pt idx="1">
                  <c:v>0.64467779210086951</c:v>
                </c:pt>
                <c:pt idx="2">
                  <c:v>0.64267527219883192</c:v>
                </c:pt>
                <c:pt idx="3">
                  <c:v>0.92097975631934337</c:v>
                </c:pt>
                <c:pt idx="4">
                  <c:v>0.79837100447393239</c:v>
                </c:pt>
                <c:pt idx="5">
                  <c:v>0.74284126655510208</c:v>
                </c:pt>
                <c:pt idx="6">
                  <c:v>1.092684566407079</c:v>
                </c:pt>
                <c:pt idx="7">
                  <c:v>1.3486490401993187</c:v>
                </c:pt>
                <c:pt idx="8">
                  <c:v>1.30025035175689</c:v>
                </c:pt>
                <c:pt idx="9">
                  <c:v>1.2137976029048219</c:v>
                </c:pt>
                <c:pt idx="10">
                  <c:v>1.1713156726772607</c:v>
                </c:pt>
                <c:pt idx="11">
                  <c:v>1.1745959576687894</c:v>
                </c:pt>
                <c:pt idx="12">
                  <c:v>1.104896994126882</c:v>
                </c:pt>
                <c:pt idx="13">
                  <c:v>1.1559728237828406</c:v>
                </c:pt>
                <c:pt idx="14">
                  <c:v>1.1375612144536746</c:v>
                </c:pt>
                <c:pt idx="15">
                  <c:v>1.0632255632443681</c:v>
                </c:pt>
                <c:pt idx="16">
                  <c:v>1.0157574610311728</c:v>
                </c:pt>
                <c:pt idx="17">
                  <c:v>0.96154135711021582</c:v>
                </c:pt>
                <c:pt idx="18">
                  <c:v>1.0837052846081929</c:v>
                </c:pt>
                <c:pt idx="19">
                  <c:v>1.1026800682547921</c:v>
                </c:pt>
                <c:pt idx="20">
                  <c:v>1.0832238728887782</c:v>
                </c:pt>
                <c:pt idx="21">
                  <c:v>1.0515640710186367</c:v>
                </c:pt>
                <c:pt idx="22">
                  <c:v>1.1434747751955108</c:v>
                </c:pt>
                <c:pt idx="23">
                  <c:v>1.2181488044888245</c:v>
                </c:pt>
                <c:pt idx="24">
                  <c:v>1.2861503700523795</c:v>
                </c:pt>
                <c:pt idx="25">
                  <c:v>1.2445433254517584</c:v>
                </c:pt>
                <c:pt idx="26">
                  <c:v>1.2723567211587841</c:v>
                </c:pt>
                <c:pt idx="27">
                  <c:v>1.2764883296787233</c:v>
                </c:pt>
                <c:pt idx="28">
                  <c:v>1.2493322967926632</c:v>
                </c:pt>
                <c:pt idx="29">
                  <c:v>1.2041509855438164</c:v>
                </c:pt>
                <c:pt idx="30">
                  <c:v>1.1904761904761898</c:v>
                </c:pt>
              </c:numCache>
            </c:numRef>
          </c:val>
          <c:smooth val="0"/>
        </c:ser>
        <c:ser>
          <c:idx val="3"/>
          <c:order val="3"/>
          <c:tx>
            <c:v>E (Cumulative Anomaly)</c:v>
          </c:tx>
          <c:spPr>
            <a:ln w="12700">
              <a:solidFill>
                <a:srgbClr val="808000"/>
              </a:solidFill>
              <a:prstDash val="lgDash"/>
            </a:ln>
          </c:spPr>
          <c:marker>
            <c:symbol val="none"/>
          </c:marker>
          <c:cat>
            <c:numRef>
              <c:f>JAN!$E$4:$E$34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JAN!$J$54:$J$84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4797696"/>
        <c:axId val="124799232"/>
      </c:lineChart>
      <c:catAx>
        <c:axId val="124786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47877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4787712"/>
        <c:scaling>
          <c:orientation val="minMax"/>
          <c:max val="150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4786176"/>
        <c:crosses val="autoZero"/>
        <c:crossBetween val="between"/>
        <c:majorUnit val="25"/>
      </c:valAx>
      <c:catAx>
        <c:axId val="1247976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4799232"/>
        <c:crosses val="autoZero"/>
        <c:auto val="1"/>
        <c:lblAlgn val="ctr"/>
        <c:lblOffset val="100"/>
        <c:noMultiLvlLbl val="0"/>
      </c:catAx>
      <c:valAx>
        <c:axId val="124799232"/>
        <c:scaling>
          <c:orientation val="minMax"/>
          <c:max val="1.5"/>
          <c:min val="0"/>
        </c:scaling>
        <c:delete val="0"/>
        <c:axPos val="r"/>
        <c:numFmt formatCode="0%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4797696"/>
        <c:crosses val="max"/>
        <c:crossBetween val="between"/>
        <c:majorUnit val="0.25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 horizontalDpi="-3" verticalDpi="0"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 sz="14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Mean' &amp; Mean Temperature / </a:t>
            </a:r>
            <a:r>
              <a:rPr lang="en-GB" sz="1400" b="1" i="0" u="none" strike="noStrike" baseline="30000">
                <a:solidFill>
                  <a:srgbClr val="000000"/>
                </a:solidFill>
                <a:latin typeface="Arial"/>
                <a:cs typeface="Arial"/>
              </a:rPr>
              <a:t>o</a:t>
            </a:r>
            <a:r>
              <a:rPr lang="en-GB" sz="14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C</a:t>
            </a:r>
          </a:p>
        </c:rich>
      </c:tx>
      <c:layout>
        <c:manualLayout>
          <c:xMode val="edge"/>
          <c:yMode val="edge"/>
          <c:x val="0.40872784878534313"/>
          <c:y val="2.002355712603062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970505042623335E-2"/>
          <c:y val="8.8339324227174693E-2"/>
          <c:w val="0.95513243169837592"/>
          <c:h val="0.86101394680086274"/>
        </c:manualLayout>
      </c:layout>
      <c:lineChart>
        <c:grouping val="standard"/>
        <c:varyColors val="0"/>
        <c:ser>
          <c:idx val="0"/>
          <c:order val="0"/>
          <c:tx>
            <c:v>Mean' Temperature</c:v>
          </c:tx>
          <c:spPr>
            <a:ln w="38100">
              <a:solidFill>
                <a:srgbClr val="800080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666699"/>
              </a:solidFill>
              <a:ln>
                <a:solidFill>
                  <a:srgbClr val="666699"/>
                </a:solidFill>
                <a:prstDash val="solid"/>
              </a:ln>
            </c:spPr>
          </c:marker>
          <c:cat>
            <c:numRef>
              <c:f>JAN!$E$4:$E$34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Mar!$H$4:$H$34</c:f>
              <c:numCache>
                <c:formatCode>0.0</c:formatCode>
                <c:ptCount val="31"/>
                <c:pt idx="0">
                  <c:v>3.4</c:v>
                </c:pt>
                <c:pt idx="1">
                  <c:v>3.4</c:v>
                </c:pt>
                <c:pt idx="2">
                  <c:v>1.8</c:v>
                </c:pt>
                <c:pt idx="3">
                  <c:v>2.9</c:v>
                </c:pt>
                <c:pt idx="4">
                  <c:v>3.8</c:v>
                </c:pt>
                <c:pt idx="5">
                  <c:v>4.0999999999999996</c:v>
                </c:pt>
                <c:pt idx="6">
                  <c:v>4.3</c:v>
                </c:pt>
                <c:pt idx="7">
                  <c:v>4.9000000000000004</c:v>
                </c:pt>
                <c:pt idx="8">
                  <c:v>7.7</c:v>
                </c:pt>
                <c:pt idx="9">
                  <c:v>9.3000000000000007</c:v>
                </c:pt>
                <c:pt idx="10">
                  <c:v>8.3000000000000007</c:v>
                </c:pt>
                <c:pt idx="11">
                  <c:v>10.3</c:v>
                </c:pt>
                <c:pt idx="12">
                  <c:v>8.6</c:v>
                </c:pt>
                <c:pt idx="13">
                  <c:v>6.4</c:v>
                </c:pt>
                <c:pt idx="14">
                  <c:v>8.6</c:v>
                </c:pt>
                <c:pt idx="15">
                  <c:v>7.7</c:v>
                </c:pt>
                <c:pt idx="16">
                  <c:v>5.4</c:v>
                </c:pt>
                <c:pt idx="17">
                  <c:v>5.4</c:v>
                </c:pt>
                <c:pt idx="18">
                  <c:v>5.3</c:v>
                </c:pt>
                <c:pt idx="19">
                  <c:v>7.9</c:v>
                </c:pt>
                <c:pt idx="20">
                  <c:v>9.6</c:v>
                </c:pt>
                <c:pt idx="21">
                  <c:v>11.2</c:v>
                </c:pt>
                <c:pt idx="22">
                  <c:v>10.6</c:v>
                </c:pt>
                <c:pt idx="23">
                  <c:v>9.8000000000000007</c:v>
                </c:pt>
                <c:pt idx="24">
                  <c:v>10.6</c:v>
                </c:pt>
                <c:pt idx="25">
                  <c:v>8.6</c:v>
                </c:pt>
                <c:pt idx="26">
                  <c:v>9.4</c:v>
                </c:pt>
                <c:pt idx="27">
                  <c:v>9.3000000000000007</c:v>
                </c:pt>
                <c:pt idx="28">
                  <c:v>9</c:v>
                </c:pt>
                <c:pt idx="29">
                  <c:v>10.5</c:v>
                </c:pt>
                <c:pt idx="30">
                  <c:v>13.1</c:v>
                </c:pt>
              </c:numCache>
            </c:numRef>
          </c:val>
          <c:smooth val="0"/>
        </c:ser>
        <c:ser>
          <c:idx val="1"/>
          <c:order val="1"/>
          <c:tx>
            <c:v>E (Mean)</c:v>
          </c:tx>
          <c:spPr>
            <a:ln w="25400">
              <a:solidFill>
                <a:srgbClr val="CC99FF"/>
              </a:solidFill>
              <a:prstDash val="lgDash"/>
            </a:ln>
          </c:spPr>
          <c:marker>
            <c:symbol val="none"/>
          </c:marker>
          <c:cat>
            <c:numRef>
              <c:f>JAN!$E$4:$E$34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Mar!$H$91:$H$121</c:f>
              <c:numCache>
                <c:formatCode>0.0</c:formatCode>
                <c:ptCount val="31"/>
                <c:pt idx="0">
                  <c:v>5.7593750000000004</c:v>
                </c:pt>
                <c:pt idx="1">
                  <c:v>5.8187500000000005</c:v>
                </c:pt>
                <c:pt idx="2">
                  <c:v>5.8781250000000007</c:v>
                </c:pt>
                <c:pt idx="3">
                  <c:v>5.9375</c:v>
                </c:pt>
                <c:pt idx="4">
                  <c:v>6.0562500000000004</c:v>
                </c:pt>
                <c:pt idx="5">
                  <c:v>6.1480769230769239</c:v>
                </c:pt>
                <c:pt idx="6">
                  <c:v>6.2399038461538474</c:v>
                </c:pt>
                <c:pt idx="7">
                  <c:v>6.3317307692307701</c:v>
                </c:pt>
                <c:pt idx="8">
                  <c:v>6.4235576923076936</c:v>
                </c:pt>
                <c:pt idx="9">
                  <c:v>6.5153846153846171</c:v>
                </c:pt>
                <c:pt idx="10">
                  <c:v>6.6072115384615406</c:v>
                </c:pt>
                <c:pt idx="11">
                  <c:v>6.6990384615384642</c:v>
                </c:pt>
                <c:pt idx="12">
                  <c:v>6.7908653846153868</c:v>
                </c:pt>
                <c:pt idx="13">
                  <c:v>6.8826923076923103</c:v>
                </c:pt>
                <c:pt idx="14">
                  <c:v>6.9745192307692339</c:v>
                </c:pt>
                <c:pt idx="15">
                  <c:v>7.0663461538461565</c:v>
                </c:pt>
                <c:pt idx="16">
                  <c:v>7.15817307692308</c:v>
                </c:pt>
                <c:pt idx="17">
                  <c:v>7.25</c:v>
                </c:pt>
                <c:pt idx="18">
                  <c:v>7.3134615384615387</c:v>
                </c:pt>
                <c:pt idx="19">
                  <c:v>7.3769230769230774</c:v>
                </c:pt>
                <c:pt idx="20">
                  <c:v>7.440384615384616</c:v>
                </c:pt>
                <c:pt idx="21">
                  <c:v>7.5038461538461547</c:v>
                </c:pt>
                <c:pt idx="22">
                  <c:v>7.5673076923076934</c:v>
                </c:pt>
                <c:pt idx="23">
                  <c:v>7.6307692307692321</c:v>
                </c:pt>
                <c:pt idx="24">
                  <c:v>7.6942307692307708</c:v>
                </c:pt>
                <c:pt idx="25">
                  <c:v>7.7576923076923094</c:v>
                </c:pt>
                <c:pt idx="26">
                  <c:v>7.8211538461538481</c:v>
                </c:pt>
                <c:pt idx="27">
                  <c:v>7.8846153846153868</c:v>
                </c:pt>
                <c:pt idx="28">
                  <c:v>7.9480769230769255</c:v>
                </c:pt>
                <c:pt idx="29">
                  <c:v>8.0115384615384642</c:v>
                </c:pt>
                <c:pt idx="30">
                  <c:v>8.0749999999999993</c:v>
                </c:pt>
              </c:numCache>
            </c:numRef>
          </c:val>
          <c:smooth val="0"/>
        </c:ser>
        <c:ser>
          <c:idx val="3"/>
          <c:order val="2"/>
          <c:tx>
            <c:v>E (Max)</c:v>
          </c:tx>
          <c:spPr>
            <a:ln w="12700">
              <a:solidFill>
                <a:srgbClr val="FFCC99"/>
              </a:solidFill>
              <a:prstDash val="lgDash"/>
            </a:ln>
          </c:spPr>
          <c:marker>
            <c:symbol val="none"/>
          </c:marker>
          <c:cat>
            <c:numRef>
              <c:f>JAN!$E$4:$E$34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Mar!$G$91:$G$121</c:f>
              <c:numCache>
                <c:formatCode>0.0</c:formatCode>
                <c:ptCount val="31"/>
                <c:pt idx="0">
                  <c:v>8.8937500000000007</c:v>
                </c:pt>
                <c:pt idx="1">
                  <c:v>8.9875000000000007</c:v>
                </c:pt>
                <c:pt idx="2">
                  <c:v>9.0812500000000007</c:v>
                </c:pt>
                <c:pt idx="3">
                  <c:v>9.1750000000000007</c:v>
                </c:pt>
                <c:pt idx="4">
                  <c:v>9.3625000000000007</c:v>
                </c:pt>
                <c:pt idx="5">
                  <c:v>9.4576923076923087</c:v>
                </c:pt>
                <c:pt idx="6">
                  <c:v>9.5528846153846168</c:v>
                </c:pt>
                <c:pt idx="7">
                  <c:v>9.6480769230769248</c:v>
                </c:pt>
                <c:pt idx="8">
                  <c:v>9.7432692307692328</c:v>
                </c:pt>
                <c:pt idx="9">
                  <c:v>9.8384615384615408</c:v>
                </c:pt>
                <c:pt idx="10">
                  <c:v>9.9336538461538488</c:v>
                </c:pt>
                <c:pt idx="11">
                  <c:v>10.028846153846157</c:v>
                </c:pt>
                <c:pt idx="12">
                  <c:v>10.124038461538465</c:v>
                </c:pt>
                <c:pt idx="13">
                  <c:v>10.219230769230773</c:v>
                </c:pt>
                <c:pt idx="14">
                  <c:v>10.314423076923081</c:v>
                </c:pt>
                <c:pt idx="15">
                  <c:v>10.409615384615389</c:v>
                </c:pt>
                <c:pt idx="16">
                  <c:v>10.504807692307697</c:v>
                </c:pt>
                <c:pt idx="17">
                  <c:v>10.6</c:v>
                </c:pt>
                <c:pt idx="18">
                  <c:v>10.680769230769231</c:v>
                </c:pt>
                <c:pt idx="19">
                  <c:v>10.761538461538462</c:v>
                </c:pt>
                <c:pt idx="20">
                  <c:v>10.842307692307694</c:v>
                </c:pt>
                <c:pt idx="21">
                  <c:v>10.923076923076925</c:v>
                </c:pt>
                <c:pt idx="22">
                  <c:v>11.003846153846156</c:v>
                </c:pt>
                <c:pt idx="23">
                  <c:v>11.084615384615388</c:v>
                </c:pt>
                <c:pt idx="24">
                  <c:v>11.165384615384619</c:v>
                </c:pt>
                <c:pt idx="25">
                  <c:v>11.246153846153851</c:v>
                </c:pt>
                <c:pt idx="26">
                  <c:v>11.326923076923082</c:v>
                </c:pt>
                <c:pt idx="27">
                  <c:v>11.407692307692313</c:v>
                </c:pt>
                <c:pt idx="28">
                  <c:v>11.488461538461545</c:v>
                </c:pt>
                <c:pt idx="29">
                  <c:v>11.569230769230776</c:v>
                </c:pt>
                <c:pt idx="30">
                  <c:v>11.65</c:v>
                </c:pt>
              </c:numCache>
            </c:numRef>
          </c:val>
          <c:smooth val="0"/>
        </c:ser>
        <c:ser>
          <c:idx val="4"/>
          <c:order val="3"/>
          <c:tx>
            <c:v>E (Min)</c:v>
          </c:tx>
          <c:spPr>
            <a:ln w="12700">
              <a:solidFill>
                <a:srgbClr val="00CCFF"/>
              </a:solidFill>
              <a:prstDash val="lgDash"/>
            </a:ln>
          </c:spPr>
          <c:marker>
            <c:symbol val="none"/>
          </c:marker>
          <c:cat>
            <c:numRef>
              <c:f>JAN!$E$4:$E$34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Mar!$F$91:$F$121</c:f>
              <c:numCache>
                <c:formatCode>0.0</c:formatCode>
                <c:ptCount val="31"/>
                <c:pt idx="0">
                  <c:v>2.625</c:v>
                </c:pt>
                <c:pt idx="1">
                  <c:v>2.65</c:v>
                </c:pt>
                <c:pt idx="2">
                  <c:v>2.6749999999999998</c:v>
                </c:pt>
                <c:pt idx="3">
                  <c:v>2.7</c:v>
                </c:pt>
                <c:pt idx="4">
                  <c:v>2.75</c:v>
                </c:pt>
                <c:pt idx="5">
                  <c:v>2.838461538461539</c:v>
                </c:pt>
                <c:pt idx="6">
                  <c:v>2.9269230769230776</c:v>
                </c:pt>
                <c:pt idx="7">
                  <c:v>3.0153846153846162</c:v>
                </c:pt>
                <c:pt idx="8">
                  <c:v>3.1038461538461548</c:v>
                </c:pt>
                <c:pt idx="9">
                  <c:v>3.1923076923076934</c:v>
                </c:pt>
                <c:pt idx="10">
                  <c:v>3.280769230769232</c:v>
                </c:pt>
                <c:pt idx="11">
                  <c:v>3.3692307692307706</c:v>
                </c:pt>
                <c:pt idx="12">
                  <c:v>3.4576923076923092</c:v>
                </c:pt>
                <c:pt idx="13">
                  <c:v>3.5461538461538478</c:v>
                </c:pt>
                <c:pt idx="14">
                  <c:v>3.6346153846153864</c:v>
                </c:pt>
                <c:pt idx="15">
                  <c:v>3.7230769230769249</c:v>
                </c:pt>
                <c:pt idx="16">
                  <c:v>3.8115384615384635</c:v>
                </c:pt>
                <c:pt idx="17">
                  <c:v>3.9</c:v>
                </c:pt>
                <c:pt idx="18">
                  <c:v>3.9461538461538459</c:v>
                </c:pt>
                <c:pt idx="19">
                  <c:v>3.9923076923076919</c:v>
                </c:pt>
                <c:pt idx="20">
                  <c:v>4.0384615384615383</c:v>
                </c:pt>
                <c:pt idx="21">
                  <c:v>4.0846153846153843</c:v>
                </c:pt>
                <c:pt idx="22">
                  <c:v>4.1307692307692303</c:v>
                </c:pt>
                <c:pt idx="23">
                  <c:v>4.1769230769230763</c:v>
                </c:pt>
                <c:pt idx="24">
                  <c:v>4.2230769230769223</c:v>
                </c:pt>
                <c:pt idx="25">
                  <c:v>4.2692307692307683</c:v>
                </c:pt>
                <c:pt idx="26">
                  <c:v>4.3153846153846143</c:v>
                </c:pt>
                <c:pt idx="27">
                  <c:v>4.3615384615384603</c:v>
                </c:pt>
                <c:pt idx="28">
                  <c:v>4.4076923076923062</c:v>
                </c:pt>
                <c:pt idx="29">
                  <c:v>4.4538461538461522</c:v>
                </c:pt>
                <c:pt idx="30">
                  <c:v>4.5</c:v>
                </c:pt>
              </c:numCache>
            </c:numRef>
          </c:val>
          <c:smooth val="0"/>
        </c:ser>
        <c:ser>
          <c:idx val="5"/>
          <c:order val="4"/>
          <c:tx>
            <c:v>Cold Threshold</c:v>
          </c:tx>
          <c:spPr>
            <a:ln w="25400">
              <a:solidFill>
                <a:srgbClr val="0000FF"/>
              </a:solidFill>
              <a:prstDash val="sysDash"/>
            </a:ln>
          </c:spPr>
          <c:marker>
            <c:symbol val="none"/>
          </c:marker>
          <c:cat>
            <c:numRef>
              <c:f>JAN!$E$4:$E$34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Mar!$BC$91:$BC$121</c:f>
              <c:numCache>
                <c:formatCode>0.0</c:formatCode>
                <c:ptCount val="31"/>
                <c:pt idx="0">
                  <c:v>3.6697916666666668</c:v>
                </c:pt>
                <c:pt idx="1">
                  <c:v>3.7062499999999998</c:v>
                </c:pt>
                <c:pt idx="2">
                  <c:v>3.7427083333333342</c:v>
                </c:pt>
                <c:pt idx="3">
                  <c:v>3.7791666666666663</c:v>
                </c:pt>
                <c:pt idx="4">
                  <c:v>3.8520833333333333</c:v>
                </c:pt>
                <c:pt idx="5">
                  <c:v>3.9416666666666673</c:v>
                </c:pt>
                <c:pt idx="6">
                  <c:v>4.03125</c:v>
                </c:pt>
                <c:pt idx="7">
                  <c:v>4.1208333333333336</c:v>
                </c:pt>
                <c:pt idx="8">
                  <c:v>4.2104166666666671</c:v>
                </c:pt>
                <c:pt idx="9">
                  <c:v>4.3</c:v>
                </c:pt>
                <c:pt idx="10">
                  <c:v>4.3895833333333352</c:v>
                </c:pt>
                <c:pt idx="11">
                  <c:v>4.4791666666666687</c:v>
                </c:pt>
                <c:pt idx="12">
                  <c:v>4.5687499999999996</c:v>
                </c:pt>
                <c:pt idx="13">
                  <c:v>4.658333333333335</c:v>
                </c:pt>
                <c:pt idx="14">
                  <c:v>4.7479166666666686</c:v>
                </c:pt>
                <c:pt idx="15">
                  <c:v>4.8375000000000004</c:v>
                </c:pt>
                <c:pt idx="16">
                  <c:v>4.9270833333333357</c:v>
                </c:pt>
                <c:pt idx="17">
                  <c:v>5.0166666666666675</c:v>
                </c:pt>
                <c:pt idx="18">
                  <c:v>5.0685897435897438</c:v>
                </c:pt>
                <c:pt idx="19">
                  <c:v>5.1205128205128201</c:v>
                </c:pt>
                <c:pt idx="20">
                  <c:v>5.1724358974358982</c:v>
                </c:pt>
                <c:pt idx="21">
                  <c:v>5.2243589743589745</c:v>
                </c:pt>
                <c:pt idx="22">
                  <c:v>5.2762820512820507</c:v>
                </c:pt>
                <c:pt idx="23">
                  <c:v>5.3282051282051288</c:v>
                </c:pt>
                <c:pt idx="24">
                  <c:v>5.3801282051282051</c:v>
                </c:pt>
                <c:pt idx="25">
                  <c:v>5.4320512820512814</c:v>
                </c:pt>
                <c:pt idx="26">
                  <c:v>5.4839743589743595</c:v>
                </c:pt>
                <c:pt idx="27">
                  <c:v>5.5358974358974358</c:v>
                </c:pt>
                <c:pt idx="28">
                  <c:v>5.5878205128205121</c:v>
                </c:pt>
                <c:pt idx="29">
                  <c:v>5.6397435897435901</c:v>
                </c:pt>
                <c:pt idx="30">
                  <c:v>5.6916666666666664</c:v>
                </c:pt>
              </c:numCache>
            </c:numRef>
          </c:val>
          <c:smooth val="0"/>
        </c:ser>
        <c:ser>
          <c:idx val="6"/>
          <c:order val="5"/>
          <c:tx>
            <c:v>Mild Threshold</c:v>
          </c:tx>
          <c:spPr>
            <a:ln w="25400">
              <a:solidFill>
                <a:srgbClr val="FF6600"/>
              </a:solidFill>
              <a:prstDash val="sysDash"/>
            </a:ln>
          </c:spPr>
          <c:marker>
            <c:symbol val="none"/>
          </c:marker>
          <c:cat>
            <c:numRef>
              <c:f>JAN!$E$4:$E$34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Mar!$BD$91:$BD$121</c:f>
              <c:numCache>
                <c:formatCode>0.0</c:formatCode>
                <c:ptCount val="31"/>
                <c:pt idx="0">
                  <c:v>7.8489583333333339</c:v>
                </c:pt>
                <c:pt idx="1">
                  <c:v>7.9312500000000004</c:v>
                </c:pt>
                <c:pt idx="2">
                  <c:v>8.0135416666666668</c:v>
                </c:pt>
                <c:pt idx="3">
                  <c:v>8.0958333333333332</c:v>
                </c:pt>
                <c:pt idx="4">
                  <c:v>8.2604166666666679</c:v>
                </c:pt>
                <c:pt idx="5">
                  <c:v>8.3544871794871796</c:v>
                </c:pt>
                <c:pt idx="6">
                  <c:v>8.448557692307693</c:v>
                </c:pt>
                <c:pt idx="7">
                  <c:v>8.5426282051282065</c:v>
                </c:pt>
                <c:pt idx="8">
                  <c:v>8.63669871794872</c:v>
                </c:pt>
                <c:pt idx="9">
                  <c:v>8.7307692307692335</c:v>
                </c:pt>
                <c:pt idx="10">
                  <c:v>8.8248397435897452</c:v>
                </c:pt>
                <c:pt idx="11">
                  <c:v>8.9189102564102605</c:v>
                </c:pt>
                <c:pt idx="12">
                  <c:v>9.0129807692307722</c:v>
                </c:pt>
                <c:pt idx="13">
                  <c:v>9.1070512820512857</c:v>
                </c:pt>
                <c:pt idx="14">
                  <c:v>9.2011217948717992</c:v>
                </c:pt>
                <c:pt idx="15">
                  <c:v>9.2951923076923109</c:v>
                </c:pt>
                <c:pt idx="16">
                  <c:v>9.3892628205128243</c:v>
                </c:pt>
                <c:pt idx="17">
                  <c:v>9.4833333333333325</c:v>
                </c:pt>
                <c:pt idx="18">
                  <c:v>9.5583333333333336</c:v>
                </c:pt>
                <c:pt idx="19">
                  <c:v>9.6333333333333346</c:v>
                </c:pt>
                <c:pt idx="20">
                  <c:v>9.7083333333333339</c:v>
                </c:pt>
                <c:pt idx="21">
                  <c:v>9.783333333333335</c:v>
                </c:pt>
                <c:pt idx="22">
                  <c:v>9.8583333333333361</c:v>
                </c:pt>
                <c:pt idx="23">
                  <c:v>9.9333333333333353</c:v>
                </c:pt>
                <c:pt idx="24">
                  <c:v>10.008333333333336</c:v>
                </c:pt>
                <c:pt idx="25">
                  <c:v>10.083333333333337</c:v>
                </c:pt>
                <c:pt idx="26">
                  <c:v>10.158333333333337</c:v>
                </c:pt>
                <c:pt idx="27">
                  <c:v>10.233333333333338</c:v>
                </c:pt>
                <c:pt idx="28">
                  <c:v>10.308333333333339</c:v>
                </c:pt>
                <c:pt idx="29">
                  <c:v>10.383333333333338</c:v>
                </c:pt>
                <c:pt idx="30">
                  <c:v>10.458333333333336</c:v>
                </c:pt>
              </c:numCache>
            </c:numRef>
          </c:val>
          <c:smooth val="0"/>
        </c:ser>
        <c:ser>
          <c:idx val="7"/>
          <c:order val="6"/>
          <c:tx>
            <c:v>Freezing Point</c:v>
          </c:tx>
          <c:spPr>
            <a:ln w="38100">
              <a:solidFill>
                <a:srgbClr val="0000FF"/>
              </a:solidFill>
              <a:prstDash val="sysDash"/>
            </a:ln>
          </c:spPr>
          <c:marker>
            <c:symbol val="none"/>
          </c:marker>
          <c:cat>
            <c:numRef>
              <c:f>JAN!$E$4:$E$34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JAN!$T$4:$T$34</c:f>
              <c:numCache>
                <c:formatCode>0.0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</c:ser>
        <c:ser>
          <c:idx val="8"/>
          <c:order val="7"/>
          <c:tx>
            <c:v>Cum. Mean</c:v>
          </c:tx>
          <c:spPr>
            <a:ln w="12700">
              <a:solidFill>
                <a:srgbClr val="993366"/>
              </a:solidFill>
              <a:prstDash val="solid"/>
            </a:ln>
          </c:spPr>
          <c:marker>
            <c:symbol val="circle"/>
            <c:size val="2"/>
            <c:spPr>
              <a:solidFill>
                <a:srgbClr val="800080"/>
              </a:solidFill>
              <a:ln>
                <a:solidFill>
                  <a:srgbClr val="800080"/>
                </a:solidFill>
                <a:prstDash val="solid"/>
              </a:ln>
            </c:spPr>
          </c:marker>
          <c:val>
            <c:numRef>
              <c:f>Mar!$R$91:$R$121</c:f>
              <c:numCache>
                <c:formatCode>0.0</c:formatCode>
                <c:ptCount val="31"/>
                <c:pt idx="0">
                  <c:v>3.4</c:v>
                </c:pt>
                <c:pt idx="1">
                  <c:v>3.4</c:v>
                </c:pt>
                <c:pt idx="2">
                  <c:v>2.8666666666666667</c:v>
                </c:pt>
                <c:pt idx="3">
                  <c:v>2.875</c:v>
                </c:pt>
                <c:pt idx="4">
                  <c:v>3.06</c:v>
                </c:pt>
                <c:pt idx="5">
                  <c:v>3.2333333333333329</c:v>
                </c:pt>
                <c:pt idx="6">
                  <c:v>3.3857142857142857</c:v>
                </c:pt>
                <c:pt idx="7">
                  <c:v>3.5750000000000002</c:v>
                </c:pt>
                <c:pt idx="8">
                  <c:v>4.0333333333333341</c:v>
                </c:pt>
                <c:pt idx="9">
                  <c:v>4.5600000000000005</c:v>
                </c:pt>
                <c:pt idx="10">
                  <c:v>4.9000000000000004</c:v>
                </c:pt>
                <c:pt idx="11">
                  <c:v>5.3500000000000005</c:v>
                </c:pt>
                <c:pt idx="12">
                  <c:v>5.6</c:v>
                </c:pt>
                <c:pt idx="13">
                  <c:v>5.6571428571428575</c:v>
                </c:pt>
                <c:pt idx="14">
                  <c:v>5.8533333333333335</c:v>
                </c:pt>
                <c:pt idx="15">
                  <c:v>5.96875</c:v>
                </c:pt>
                <c:pt idx="16">
                  <c:v>5.9352941176470591</c:v>
                </c:pt>
                <c:pt idx="17">
                  <c:v>5.9055555555555559</c:v>
                </c:pt>
                <c:pt idx="18">
                  <c:v>5.8736842105263163</c:v>
                </c:pt>
                <c:pt idx="19">
                  <c:v>5.9750000000000005</c:v>
                </c:pt>
                <c:pt idx="20">
                  <c:v>6.1476190476190489</c:v>
                </c:pt>
                <c:pt idx="21">
                  <c:v>6.3772727272727279</c:v>
                </c:pt>
                <c:pt idx="22">
                  <c:v>6.5608695652173914</c:v>
                </c:pt>
                <c:pt idx="23">
                  <c:v>6.6958333333333337</c:v>
                </c:pt>
                <c:pt idx="24">
                  <c:v>6.8520000000000003</c:v>
                </c:pt>
                <c:pt idx="25">
                  <c:v>6.9192307692307695</c:v>
                </c:pt>
                <c:pt idx="26">
                  <c:v>7.011111111111112</c:v>
                </c:pt>
                <c:pt idx="27">
                  <c:v>7.0928571428571434</c:v>
                </c:pt>
                <c:pt idx="28">
                  <c:v>7.158620689655173</c:v>
                </c:pt>
                <c:pt idx="29">
                  <c:v>7.2700000000000005</c:v>
                </c:pt>
                <c:pt idx="30">
                  <c:v>7.4580645161290331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4853248"/>
        <c:axId val="124871808"/>
      </c:lineChart>
      <c:catAx>
        <c:axId val="1248532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4871808"/>
        <c:crossesAt val="-5"/>
        <c:auto val="1"/>
        <c:lblAlgn val="ctr"/>
        <c:lblOffset val="100"/>
        <c:tickLblSkip val="1"/>
        <c:tickMarkSkip val="1"/>
        <c:noMultiLvlLbl val="0"/>
      </c:catAx>
      <c:valAx>
        <c:axId val="124871808"/>
        <c:scaling>
          <c:orientation val="minMax"/>
          <c:max val="14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4853248"/>
        <c:crosses val="autoZero"/>
        <c:crossBetween val="between"/>
        <c:majorUnit val="2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0.54271685000653347"/>
          <c:y val="0.84687967007657605"/>
          <c:w val="0.92931808539298288"/>
          <c:h val="0.926974022240152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01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 horizontalDpi="200" verticalDpi="200"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Pressure / Temperature</a:t>
            </a:r>
          </a:p>
        </c:rich>
      </c:tx>
      <c:layout>
        <c:manualLayout>
          <c:xMode val="edge"/>
          <c:yMode val="edge"/>
          <c:x val="0.41566820276497696"/>
          <c:y val="5.251141552511415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0829493087557605E-2"/>
          <c:y val="0.1278541663415167"/>
          <c:w val="0.9244239631336405"/>
          <c:h val="0.76027566770937616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993366"/>
              </a:solidFill>
              <a:ln>
                <a:solidFill>
                  <a:srgbClr val="993366"/>
                </a:solidFill>
                <a:prstDash val="solid"/>
              </a:ln>
            </c:spPr>
          </c:marker>
          <c:trendline>
            <c:spPr>
              <a:ln w="12700">
                <a:solidFill>
                  <a:srgbClr val="000080"/>
                </a:solidFill>
                <a:prstDash val="solid"/>
              </a:ln>
            </c:spPr>
            <c:trendlineType val="linear"/>
            <c:forward val="0.5"/>
            <c:backward val="3"/>
            <c:dispRSqr val="1"/>
            <c:dispEq val="1"/>
            <c:trendlineLbl>
              <c:layout>
                <c:manualLayout>
                  <c:xMode val="edge"/>
                  <c:yMode val="edge"/>
                  <c:x val="4.608294930875576E-3"/>
                  <c:y val="1.1415550566206849E-2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175" b="0" i="0" u="none" strike="noStrike" baseline="0">
                      <a:solidFill>
                        <a:srgbClr val="00000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en-US"/>
                </a:p>
              </c:txPr>
            </c:trendlineLbl>
          </c:trendline>
          <c:xVal>
            <c:numRef>
              <c:f>Mar!$BG$91:$BG$121</c:f>
              <c:numCache>
                <c:formatCode>General</c:formatCode>
                <c:ptCount val="31"/>
                <c:pt idx="0">
                  <c:v>3.4</c:v>
                </c:pt>
                <c:pt idx="1">
                  <c:v>3.4</c:v>
                </c:pt>
                <c:pt idx="2">
                  <c:v>1.8</c:v>
                </c:pt>
                <c:pt idx="3">
                  <c:v>2.9</c:v>
                </c:pt>
                <c:pt idx="4">
                  <c:v>3.8</c:v>
                </c:pt>
                <c:pt idx="5">
                  <c:v>4.0999999999999996</c:v>
                </c:pt>
                <c:pt idx="6">
                  <c:v>4.3</c:v>
                </c:pt>
                <c:pt idx="7">
                  <c:v>4.9000000000000004</c:v>
                </c:pt>
                <c:pt idx="8">
                  <c:v>7.7</c:v>
                </c:pt>
                <c:pt idx="9">
                  <c:v>9.3000000000000007</c:v>
                </c:pt>
                <c:pt idx="10">
                  <c:v>8.3000000000000007</c:v>
                </c:pt>
                <c:pt idx="11">
                  <c:v>10.3</c:v>
                </c:pt>
                <c:pt idx="12">
                  <c:v>8.6</c:v>
                </c:pt>
                <c:pt idx="13">
                  <c:v>6.4</c:v>
                </c:pt>
                <c:pt idx="14">
                  <c:v>8.6</c:v>
                </c:pt>
                <c:pt idx="15">
                  <c:v>7.7</c:v>
                </c:pt>
                <c:pt idx="16">
                  <c:v>5.4</c:v>
                </c:pt>
                <c:pt idx="17">
                  <c:v>5.4</c:v>
                </c:pt>
                <c:pt idx="18">
                  <c:v>5.3</c:v>
                </c:pt>
                <c:pt idx="19">
                  <c:v>7.9</c:v>
                </c:pt>
                <c:pt idx="20">
                  <c:v>9.6</c:v>
                </c:pt>
                <c:pt idx="21">
                  <c:v>11.2</c:v>
                </c:pt>
                <c:pt idx="22">
                  <c:v>10.6</c:v>
                </c:pt>
                <c:pt idx="23">
                  <c:v>9.8000000000000007</c:v>
                </c:pt>
                <c:pt idx="24">
                  <c:v>10.6</c:v>
                </c:pt>
                <c:pt idx="25">
                  <c:v>8.6</c:v>
                </c:pt>
                <c:pt idx="26">
                  <c:v>9.4</c:v>
                </c:pt>
                <c:pt idx="27">
                  <c:v>9.3000000000000007</c:v>
                </c:pt>
                <c:pt idx="28">
                  <c:v>9</c:v>
                </c:pt>
                <c:pt idx="29">
                  <c:v>10.5</c:v>
                </c:pt>
                <c:pt idx="30">
                  <c:v>13.1</c:v>
                </c:pt>
              </c:numCache>
            </c:numRef>
          </c:xVal>
          <c:yVal>
            <c:numRef>
              <c:f>Mar!$AK$91:$AK$121</c:f>
              <c:numCache>
                <c:formatCode>0</c:formatCode>
                <c:ptCount val="31"/>
                <c:pt idx="0">
                  <c:v>1037</c:v>
                </c:pt>
                <c:pt idx="1">
                  <c:v>1036.5</c:v>
                </c:pt>
                <c:pt idx="2">
                  <c:v>1034.5</c:v>
                </c:pt>
                <c:pt idx="3">
                  <c:v>1033</c:v>
                </c:pt>
                <c:pt idx="4">
                  <c:v>1030.5</c:v>
                </c:pt>
                <c:pt idx="5">
                  <c:v>1032</c:v>
                </c:pt>
                <c:pt idx="6">
                  <c:v>1028.5</c:v>
                </c:pt>
                <c:pt idx="7">
                  <c:v>1020</c:v>
                </c:pt>
                <c:pt idx="8">
                  <c:v>1015.5</c:v>
                </c:pt>
                <c:pt idx="9">
                  <c:v>1012</c:v>
                </c:pt>
                <c:pt idx="10">
                  <c:v>1013</c:v>
                </c:pt>
                <c:pt idx="11">
                  <c:v>1004</c:v>
                </c:pt>
                <c:pt idx="12">
                  <c:v>1003.5</c:v>
                </c:pt>
                <c:pt idx="13">
                  <c:v>1013.5</c:v>
                </c:pt>
                <c:pt idx="14">
                  <c:v>1015</c:v>
                </c:pt>
                <c:pt idx="15">
                  <c:v>1012.5</c:v>
                </c:pt>
                <c:pt idx="16">
                  <c:v>1015.5</c:v>
                </c:pt>
                <c:pt idx="17">
                  <c:v>1024</c:v>
                </c:pt>
                <c:pt idx="18">
                  <c:v>1032.5</c:v>
                </c:pt>
                <c:pt idx="19">
                  <c:v>1032</c:v>
                </c:pt>
                <c:pt idx="20">
                  <c:v>1034.5</c:v>
                </c:pt>
                <c:pt idx="21">
                  <c:v>1038</c:v>
                </c:pt>
                <c:pt idx="22">
                  <c:v>1040</c:v>
                </c:pt>
                <c:pt idx="23">
                  <c:v>1032.5</c:v>
                </c:pt>
                <c:pt idx="24">
                  <c:v>1022</c:v>
                </c:pt>
                <c:pt idx="25">
                  <c:v>1015.5</c:v>
                </c:pt>
                <c:pt idx="26">
                  <c:v>1014</c:v>
                </c:pt>
                <c:pt idx="27">
                  <c:v>1016.5</c:v>
                </c:pt>
                <c:pt idx="28">
                  <c:v>1013.5</c:v>
                </c:pt>
                <c:pt idx="29">
                  <c:v>1011</c:v>
                </c:pt>
                <c:pt idx="30">
                  <c:v>1012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905728"/>
        <c:axId val="125108224"/>
      </c:scatterChart>
      <c:valAx>
        <c:axId val="124905728"/>
        <c:scaling>
          <c:orientation val="minMax"/>
          <c:max val="14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5108224"/>
        <c:crosses val="autoZero"/>
        <c:crossBetween val="midCat"/>
        <c:majorUnit val="1"/>
      </c:valAx>
      <c:valAx>
        <c:axId val="125108224"/>
        <c:scaling>
          <c:orientation val="minMax"/>
          <c:max val="1040"/>
          <c:min val="99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4905728"/>
        <c:crossesAt val="-3"/>
        <c:crossBetween val="midCat"/>
        <c:majorUnit val="10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Relative Humidity Range / Temperature Range </a:t>
            </a:r>
          </a:p>
        </c:rich>
      </c:tx>
      <c:layout>
        <c:manualLayout>
          <c:xMode val="edge"/>
          <c:yMode val="edge"/>
          <c:x val="0.34658040665434381"/>
          <c:y val="3.009259259259259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4.4362292051756007E-2"/>
          <c:y val="0.12268546252319906"/>
          <c:w val="0.94085027726432535"/>
          <c:h val="0.76389061571048478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993366"/>
              </a:solidFill>
              <a:ln>
                <a:solidFill>
                  <a:srgbClr val="993366"/>
                </a:solidFill>
                <a:prstDash val="solid"/>
              </a:ln>
            </c:spPr>
          </c:marker>
          <c:trendline>
            <c:spPr>
              <a:ln w="12700">
                <a:solidFill>
                  <a:srgbClr val="0000FF"/>
                </a:solidFill>
                <a:prstDash val="solid"/>
              </a:ln>
            </c:spPr>
            <c:trendlineType val="linear"/>
            <c:forward val="0.5"/>
            <c:backward val="2.5"/>
            <c:dispRSqr val="1"/>
            <c:dispEq val="1"/>
            <c:trendlineLbl>
              <c:layout>
                <c:manualLayout>
                  <c:xMode val="edge"/>
                  <c:yMode val="edge"/>
                  <c:x val="6.6543438077634007E-2"/>
                  <c:y val="7.1759421475833418E-2"/>
                </c:manualLayout>
              </c:layout>
              <c:numFmt formatCode="0.00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200" b="0" i="0" u="none" strike="noStrike" baseline="0">
                      <a:solidFill>
                        <a:srgbClr val="00000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en-US"/>
                </a:p>
              </c:txPr>
            </c:trendlineLbl>
          </c:trendline>
          <c:xVal>
            <c:numRef>
              <c:f>Mar!$K$91:$K$121</c:f>
              <c:numCache>
                <c:formatCode>0.0</c:formatCode>
                <c:ptCount val="31"/>
                <c:pt idx="0">
                  <c:v>1.9000000000000004</c:v>
                </c:pt>
                <c:pt idx="1">
                  <c:v>6.5</c:v>
                </c:pt>
                <c:pt idx="2">
                  <c:v>4.0999999999999996</c:v>
                </c:pt>
                <c:pt idx="3">
                  <c:v>5.9</c:v>
                </c:pt>
                <c:pt idx="4">
                  <c:v>6.6</c:v>
                </c:pt>
                <c:pt idx="5">
                  <c:v>3.2</c:v>
                </c:pt>
                <c:pt idx="6">
                  <c:v>7.8999999999999995</c:v>
                </c:pt>
                <c:pt idx="7">
                  <c:v>14</c:v>
                </c:pt>
                <c:pt idx="8">
                  <c:v>6.1</c:v>
                </c:pt>
                <c:pt idx="9">
                  <c:v>6.9999999999999991</c:v>
                </c:pt>
                <c:pt idx="10">
                  <c:v>7</c:v>
                </c:pt>
                <c:pt idx="11">
                  <c:v>6</c:v>
                </c:pt>
                <c:pt idx="12">
                  <c:v>8.6999999999999993</c:v>
                </c:pt>
                <c:pt idx="13">
                  <c:v>10.799999999999999</c:v>
                </c:pt>
                <c:pt idx="14">
                  <c:v>5.4999999999999991</c:v>
                </c:pt>
                <c:pt idx="15">
                  <c:v>5.2000000000000011</c:v>
                </c:pt>
                <c:pt idx="16">
                  <c:v>6</c:v>
                </c:pt>
                <c:pt idx="17">
                  <c:v>6.1000000000000005</c:v>
                </c:pt>
                <c:pt idx="18">
                  <c:v>12.7</c:v>
                </c:pt>
                <c:pt idx="19">
                  <c:v>11.3</c:v>
                </c:pt>
                <c:pt idx="20">
                  <c:v>10.1</c:v>
                </c:pt>
                <c:pt idx="21">
                  <c:v>9.4</c:v>
                </c:pt>
                <c:pt idx="22">
                  <c:v>11.8</c:v>
                </c:pt>
                <c:pt idx="23">
                  <c:v>11</c:v>
                </c:pt>
                <c:pt idx="24">
                  <c:v>13.6</c:v>
                </c:pt>
                <c:pt idx="25">
                  <c:v>8.3000000000000007</c:v>
                </c:pt>
                <c:pt idx="26">
                  <c:v>7.8</c:v>
                </c:pt>
                <c:pt idx="27">
                  <c:v>8.3999999999999986</c:v>
                </c:pt>
                <c:pt idx="28">
                  <c:v>12.5</c:v>
                </c:pt>
                <c:pt idx="29">
                  <c:v>2</c:v>
                </c:pt>
                <c:pt idx="30">
                  <c:v>8.2999999999999989</c:v>
                </c:pt>
              </c:numCache>
            </c:numRef>
          </c:xVal>
          <c:yVal>
            <c:numRef>
              <c:f>Mar!$A$91:$A$121</c:f>
              <c:numCache>
                <c:formatCode>0</c:formatCode>
                <c:ptCount val="31"/>
                <c:pt idx="0">
                  <c:v>13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21</c:v>
                </c:pt>
                <c:pt idx="5">
                  <c:v>20</c:v>
                </c:pt>
                <c:pt idx="6">
                  <c:v>44</c:v>
                </c:pt>
                <c:pt idx="7">
                  <c:v>42</c:v>
                </c:pt>
                <c:pt idx="8">
                  <c:v>33</c:v>
                </c:pt>
                <c:pt idx="9">
                  <c:v>26</c:v>
                </c:pt>
                <c:pt idx="10">
                  <c:v>32</c:v>
                </c:pt>
                <c:pt idx="11">
                  <c:v>33</c:v>
                </c:pt>
                <c:pt idx="12">
                  <c:v>16</c:v>
                </c:pt>
                <c:pt idx="13">
                  <c:v>43</c:v>
                </c:pt>
                <c:pt idx="14">
                  <c:v>21</c:v>
                </c:pt>
                <c:pt idx="15">
                  <c:v>16</c:v>
                </c:pt>
                <c:pt idx="16">
                  <c:v>25</c:v>
                </c:pt>
                <c:pt idx="17">
                  <c:v>24</c:v>
                </c:pt>
                <c:pt idx="18">
                  <c:v>55</c:v>
                </c:pt>
                <c:pt idx="19">
                  <c:v>26</c:v>
                </c:pt>
                <c:pt idx="20">
                  <c:v>30</c:v>
                </c:pt>
                <c:pt idx="21">
                  <c:v>38</c:v>
                </c:pt>
                <c:pt idx="22">
                  <c:v>42</c:v>
                </c:pt>
                <c:pt idx="23">
                  <c:v>59</c:v>
                </c:pt>
                <c:pt idx="24">
                  <c:v>42</c:v>
                </c:pt>
                <c:pt idx="25">
                  <c:v>25</c:v>
                </c:pt>
                <c:pt idx="26">
                  <c:v>33</c:v>
                </c:pt>
                <c:pt idx="27">
                  <c:v>27</c:v>
                </c:pt>
                <c:pt idx="28">
                  <c:v>23</c:v>
                </c:pt>
                <c:pt idx="29">
                  <c:v>17</c:v>
                </c:pt>
                <c:pt idx="30">
                  <c:v>41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133184"/>
        <c:axId val="125134720"/>
      </c:scatterChart>
      <c:valAx>
        <c:axId val="125133184"/>
        <c:scaling>
          <c:orientation val="minMax"/>
          <c:max val="15"/>
          <c:min val="0"/>
        </c:scaling>
        <c:delete val="0"/>
        <c:axPos val="b"/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5134720"/>
        <c:crossesAt val="0"/>
        <c:crossBetween val="midCat"/>
        <c:majorUnit val="1"/>
      </c:valAx>
      <c:valAx>
        <c:axId val="125134720"/>
        <c:scaling>
          <c:orientation val="minMax"/>
          <c:max val="60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5133184"/>
        <c:crosses val="autoZero"/>
        <c:crossBetween val="midCat"/>
        <c:majorUnit val="10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 horizontalDpi="-3" verticalDpi="0"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Time of Temperature Extremes / GMT</a:t>
            </a:r>
          </a:p>
        </c:rich>
      </c:tx>
      <c:layout>
        <c:manualLayout>
          <c:xMode val="edge"/>
          <c:yMode val="edge"/>
          <c:x val="0.39864042643618869"/>
          <c:y val="2.115158636897767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893697095932809E-2"/>
          <c:y val="8.4606345475910699E-2"/>
          <c:w val="0.95859114218917252"/>
          <c:h val="0.86486486486486491"/>
        </c:manualLayout>
      </c:layout>
      <c:lineChart>
        <c:grouping val="standard"/>
        <c:varyColors val="0"/>
        <c:ser>
          <c:idx val="1"/>
          <c:order val="0"/>
          <c:tx>
            <c:v>T Min</c:v>
          </c:tx>
          <c:spPr>
            <a:ln w="28575">
              <a:noFill/>
            </a:ln>
          </c:spPr>
          <c:marker>
            <c:symbol val="circle"/>
            <c:size val="10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cat>
            <c:numRef>
              <c:f>JAN!$E$4:$E$34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Mar!$AR$91:$AR$121</c:f>
              <c:numCache>
                <c:formatCode>General</c:formatCode>
                <c:ptCount val="31"/>
                <c:pt idx="0">
                  <c:v>0.20833333333333334</c:v>
                </c:pt>
                <c:pt idx="1">
                  <c:v>0.16666666666666666</c:v>
                </c:pt>
                <c:pt idx="2">
                  <c:v>2.0833333333333332E-2</c:v>
                </c:pt>
                <c:pt idx="3">
                  <c:v>0.28125</c:v>
                </c:pt>
                <c:pt idx="4">
                  <c:v>0.28125</c:v>
                </c:pt>
                <c:pt idx="5">
                  <c:v>0.30555555555555552</c:v>
                </c:pt>
                <c:pt idx="6">
                  <c:v>0.27083333333333331</c:v>
                </c:pt>
                <c:pt idx="7">
                  <c:v>0.27777777777777779</c:v>
                </c:pt>
                <c:pt idx="8">
                  <c:v>9.7222222222222224E-2</c:v>
                </c:pt>
                <c:pt idx="9">
                  <c:v>4.1666666666666664E-2</c:v>
                </c:pt>
                <c:pt idx="10">
                  <c:v>0.28472222222222221</c:v>
                </c:pt>
                <c:pt idx="11">
                  <c:v>0.10416666666666667</c:v>
                </c:pt>
                <c:pt idx="12">
                  <c:v>#N/A</c:v>
                </c:pt>
                <c:pt idx="13">
                  <c:v>0.26041666666666669</c:v>
                </c:pt>
                <c:pt idx="14">
                  <c:v>0.36805555555555558</c:v>
                </c:pt>
                <c:pt idx="15">
                  <c:v>9.0277777777777776E-2</c:v>
                </c:pt>
                <c:pt idx="16">
                  <c:v>0.20833333333333334</c:v>
                </c:pt>
                <c:pt idx="17">
                  <c:v>#N/A</c:v>
                </c:pt>
                <c:pt idx="18">
                  <c:v>0.2638888888888889</c:v>
                </c:pt>
                <c:pt idx="19">
                  <c:v>6.9444444444444434E-2</c:v>
                </c:pt>
                <c:pt idx="20">
                  <c:v>0.24652777777777779</c:v>
                </c:pt>
                <c:pt idx="21">
                  <c:v>0.13194444444444445</c:v>
                </c:pt>
                <c:pt idx="22">
                  <c:v>0.21180555555555555</c:v>
                </c:pt>
                <c:pt idx="23">
                  <c:v>0.28472222222222221</c:v>
                </c:pt>
                <c:pt idx="24">
                  <c:v>0.24305555555555555</c:v>
                </c:pt>
                <c:pt idx="25">
                  <c:v>0.23263888888888887</c:v>
                </c:pt>
                <c:pt idx="26">
                  <c:v>0.22916666666666666</c:v>
                </c:pt>
                <c:pt idx="27">
                  <c:v>2.7777777777777776E-2</c:v>
                </c:pt>
                <c:pt idx="28">
                  <c:v>0.23611111111111113</c:v>
                </c:pt>
                <c:pt idx="29">
                  <c:v>0.25694444444444448</c:v>
                </c:pt>
                <c:pt idx="30">
                  <c:v>0.15972222222222224</c:v>
                </c:pt>
              </c:numCache>
            </c:numRef>
          </c:val>
          <c:smooth val="0"/>
        </c:ser>
        <c:ser>
          <c:idx val="2"/>
          <c:order val="1"/>
          <c:tx>
            <c:v>T Max</c:v>
          </c:tx>
          <c:spPr>
            <a:ln w="28575">
              <a:noFill/>
            </a:ln>
          </c:spPr>
          <c:marker>
            <c:symbol val="circle"/>
            <c:size val="10"/>
            <c:spPr>
              <a:solidFill>
                <a:srgbClr val="FF6600"/>
              </a:solidFill>
              <a:ln>
                <a:solidFill>
                  <a:srgbClr val="FF6600"/>
                </a:solidFill>
                <a:prstDash val="solid"/>
              </a:ln>
            </c:spPr>
          </c:marker>
          <c:cat>
            <c:numRef>
              <c:f>JAN!$E$4:$E$34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Mar!$AO$91:$AO$121</c:f>
              <c:numCache>
                <c:formatCode>General</c:formatCode>
                <c:ptCount val="31"/>
                <c:pt idx="0">
                  <c:v>0.57291666666666663</c:v>
                </c:pt>
                <c:pt idx="1">
                  <c:v>0.66666666666666663</c:v>
                </c:pt>
                <c:pt idx="2">
                  <c:v>0.62847222222222221</c:v>
                </c:pt>
                <c:pt idx="3">
                  <c:v>0.66666666666666663</c:v>
                </c:pt>
                <c:pt idx="4">
                  <c:v>0.61458333333333337</c:v>
                </c:pt>
                <c:pt idx="5">
                  <c:v>0.54513888888888895</c:v>
                </c:pt>
                <c:pt idx="6">
                  <c:v>0.59722222222222221</c:v>
                </c:pt>
                <c:pt idx="7">
                  <c:v>0.62847222222222221</c:v>
                </c:pt>
                <c:pt idx="8">
                  <c:v>0.59722222222222221</c:v>
                </c:pt>
                <c:pt idx="9">
                  <c:v>0.67361111111111116</c:v>
                </c:pt>
                <c:pt idx="10">
                  <c:v>0.625</c:v>
                </c:pt>
                <c:pt idx="11">
                  <c:v>0.625</c:v>
                </c:pt>
                <c:pt idx="12">
                  <c:v>#N/A</c:v>
                </c:pt>
                <c:pt idx="13">
                  <c:v>0.55555555555555558</c:v>
                </c:pt>
                <c:pt idx="14">
                  <c:v>0.65625</c:v>
                </c:pt>
                <c:pt idx="15">
                  <c:v>0.56944444444444442</c:v>
                </c:pt>
                <c:pt idx="16">
                  <c:v>0.71875</c:v>
                </c:pt>
                <c:pt idx="17">
                  <c:v>#N/A</c:v>
                </c:pt>
                <c:pt idx="18">
                  <c:v>0.61458333333333337</c:v>
                </c:pt>
                <c:pt idx="19">
                  <c:v>0.64930555555555558</c:v>
                </c:pt>
                <c:pt idx="20">
                  <c:v>0.59027777777777779</c:v>
                </c:pt>
                <c:pt idx="21">
                  <c:v>0.60069444444444442</c:v>
                </c:pt>
                <c:pt idx="22">
                  <c:v>0.63541666666666663</c:v>
                </c:pt>
                <c:pt idx="23">
                  <c:v>0.58680555555555558</c:v>
                </c:pt>
                <c:pt idx="24">
                  <c:v>0.67708333333333337</c:v>
                </c:pt>
                <c:pt idx="25">
                  <c:v>0.53819444444444442</c:v>
                </c:pt>
                <c:pt idx="26">
                  <c:v>0.63194444444444442</c:v>
                </c:pt>
                <c:pt idx="27">
                  <c:v>0.55902777777777779</c:v>
                </c:pt>
                <c:pt idx="28">
                  <c:v>0.70138888888888884</c:v>
                </c:pt>
                <c:pt idx="29">
                  <c:v>0.4548611111111111</c:v>
                </c:pt>
                <c:pt idx="30">
                  <c:v>0.58333333333333337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171584"/>
        <c:axId val="125378560"/>
      </c:lineChart>
      <c:catAx>
        <c:axId val="125171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53785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5378560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hh:mm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5171584"/>
        <c:crosses val="autoZero"/>
        <c:crossBetween val="between"/>
        <c:majorUnit val="8.3333333300000006E-2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0.6347344344626884"/>
          <c:y val="0.17156286721504113"/>
          <c:w val="0.79728085287237727"/>
          <c:h val="0.223266745005875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Time of Humidity Extremes / GMT</a:t>
            </a:r>
          </a:p>
        </c:rich>
      </c:tx>
      <c:layout>
        <c:manualLayout>
          <c:xMode val="edge"/>
          <c:yMode val="edge"/>
          <c:x val="0.40580605311920936"/>
          <c:y val="2.02863961813842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891290920321186E-2"/>
          <c:y val="8.8305540713531985E-2"/>
          <c:w val="0.95861642989499696"/>
          <c:h val="0.86038236289806158"/>
        </c:manualLayout>
      </c:layout>
      <c:lineChart>
        <c:grouping val="standard"/>
        <c:varyColors val="0"/>
        <c:ser>
          <c:idx val="0"/>
          <c:order val="0"/>
          <c:tx>
            <c:v>H Min</c:v>
          </c:tx>
          <c:spPr>
            <a:ln w="28575">
              <a:noFill/>
            </a:ln>
          </c:spPr>
          <c:marker>
            <c:symbol val="circle"/>
            <c:size val="10"/>
            <c:spPr>
              <a:solidFill>
                <a:srgbClr val="FF9900"/>
              </a:solidFill>
              <a:ln>
                <a:solidFill>
                  <a:srgbClr val="FF9900"/>
                </a:solidFill>
                <a:prstDash val="solid"/>
              </a:ln>
            </c:spPr>
          </c:marker>
          <c:cat>
            <c:numRef>
              <c:f>JAN!$E$4:$E$34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Mar!$AM$91:$AM$121</c:f>
              <c:numCache>
                <c:formatCode>General</c:formatCode>
                <c:ptCount val="31"/>
                <c:pt idx="0">
                  <c:v>0.63541666666666663</c:v>
                </c:pt>
                <c:pt idx="1">
                  <c:v>0.64930555555555558</c:v>
                </c:pt>
                <c:pt idx="2">
                  <c:v>0.70833333333333337</c:v>
                </c:pt>
                <c:pt idx="3">
                  <c:v>0.67708333333333337</c:v>
                </c:pt>
                <c:pt idx="4">
                  <c:v>0.625</c:v>
                </c:pt>
                <c:pt idx="5">
                  <c:v>0.66319444444444442</c:v>
                </c:pt>
                <c:pt idx="6">
                  <c:v>0.6875</c:v>
                </c:pt>
                <c:pt idx="7">
                  <c:v>0.63888888888888895</c:v>
                </c:pt>
                <c:pt idx="8">
                  <c:v>0.54166666666666663</c:v>
                </c:pt>
                <c:pt idx="9">
                  <c:v>0.70833333333333337</c:v>
                </c:pt>
                <c:pt idx="10">
                  <c:v>0.64236111111111105</c:v>
                </c:pt>
                <c:pt idx="11">
                  <c:v>0.53472222222222221</c:v>
                </c:pt>
                <c:pt idx="12">
                  <c:v>0.77083333333333337</c:v>
                </c:pt>
                <c:pt idx="13">
                  <c:v>0.51180555555555551</c:v>
                </c:pt>
                <c:pt idx="14">
                  <c:v>0.73958333333333337</c:v>
                </c:pt>
                <c:pt idx="15">
                  <c:v>0.59722222222222221</c:v>
                </c:pt>
                <c:pt idx="16">
                  <c:v>0.70486111111111116</c:v>
                </c:pt>
                <c:pt idx="17">
                  <c:v>#N/A</c:v>
                </c:pt>
                <c:pt idx="18">
                  <c:v>0.6875</c:v>
                </c:pt>
                <c:pt idx="19">
                  <c:v>0.67013888888888884</c:v>
                </c:pt>
                <c:pt idx="20">
                  <c:v>0.65625</c:v>
                </c:pt>
                <c:pt idx="21">
                  <c:v>0.61805555555555558</c:v>
                </c:pt>
                <c:pt idx="22">
                  <c:v>0.65972222222222221</c:v>
                </c:pt>
                <c:pt idx="23">
                  <c:v>0.65625</c:v>
                </c:pt>
                <c:pt idx="24">
                  <c:v>0.67361111111111116</c:v>
                </c:pt>
                <c:pt idx="25">
                  <c:v>0.62152777777777779</c:v>
                </c:pt>
                <c:pt idx="26">
                  <c:v>0.6875</c:v>
                </c:pt>
                <c:pt idx="27">
                  <c:v>0.56944444444444442</c:v>
                </c:pt>
                <c:pt idx="28">
                  <c:v>0.69791666666666663</c:v>
                </c:pt>
                <c:pt idx="29">
                  <c:v>0.4375</c:v>
                </c:pt>
                <c:pt idx="30">
                  <c:v>0.59375</c:v>
                </c:pt>
              </c:numCache>
            </c:numRef>
          </c:val>
          <c:smooth val="0"/>
        </c:ser>
        <c:ser>
          <c:idx val="3"/>
          <c:order val="1"/>
          <c:tx>
            <c:v>H Max</c:v>
          </c:tx>
          <c:spPr>
            <a:ln w="28575">
              <a:noFill/>
            </a:ln>
          </c:spPr>
          <c:marker>
            <c:symbol val="circle"/>
            <c:size val="10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cat>
            <c:numRef>
              <c:f>JAN!$E$4:$E$34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Mar!$AF$91:$AF$121</c:f>
              <c:numCache>
                <c:formatCode>General</c:formatCode>
                <c:ptCount val="31"/>
                <c:pt idx="0">
                  <c:v>0.2638888888888889</c:v>
                </c:pt>
                <c:pt idx="1">
                  <c:v>0.33333333333333331</c:v>
                </c:pt>
                <c:pt idx="2">
                  <c:v>0.40972222222222227</c:v>
                </c:pt>
                <c:pt idx="3">
                  <c:v>0.15625</c:v>
                </c:pt>
                <c:pt idx="4">
                  <c:v>#N/A</c:v>
                </c:pt>
                <c:pt idx="5">
                  <c:v>3.4722222222222224E-2</c:v>
                </c:pt>
                <c:pt idx="6">
                  <c:v>0.31597222222222221</c:v>
                </c:pt>
                <c:pt idx="7">
                  <c:v>0.34722222222222227</c:v>
                </c:pt>
                <c:pt idx="8">
                  <c:v>0.30208333333333331</c:v>
                </c:pt>
                <c:pt idx="9">
                  <c:v>0.16666666666666666</c:v>
                </c:pt>
                <c:pt idx="10">
                  <c:v>0.26041666666666669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0.375</c:v>
                </c:pt>
                <c:pt idx="15">
                  <c:v>0.33333333333333331</c:v>
                </c:pt>
                <c:pt idx="16">
                  <c:v>0.32291666666666669</c:v>
                </c:pt>
                <c:pt idx="17">
                  <c:v>#N/A</c:v>
                </c:pt>
                <c:pt idx="18">
                  <c:v>0.3298611111111111</c:v>
                </c:pt>
                <c:pt idx="19">
                  <c:v>0.33680555555555558</c:v>
                </c:pt>
                <c:pt idx="20">
                  <c:v>0.27777777777777779</c:v>
                </c:pt>
                <c:pt idx="21">
                  <c:v>0.19791666666666666</c:v>
                </c:pt>
                <c:pt idx="22">
                  <c:v>0.3125</c:v>
                </c:pt>
                <c:pt idx="23">
                  <c:v>0.3611111111111111</c:v>
                </c:pt>
                <c:pt idx="24">
                  <c:v>0.30555555555555552</c:v>
                </c:pt>
                <c:pt idx="25">
                  <c:v>0.28472222222222221</c:v>
                </c:pt>
                <c:pt idx="26">
                  <c:v>0.27083333333333331</c:v>
                </c:pt>
                <c:pt idx="27">
                  <c:v>0.28472222222222221</c:v>
                </c:pt>
                <c:pt idx="28">
                  <c:v>0.28472222222222221</c:v>
                </c:pt>
                <c:pt idx="29">
                  <c:v>#N/A</c:v>
                </c:pt>
                <c:pt idx="30">
                  <c:v>0.32291666666666669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408000"/>
        <c:axId val="125409920"/>
      </c:lineChart>
      <c:catAx>
        <c:axId val="125408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54099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5409920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hh:mm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5408000"/>
        <c:crosses val="autoZero"/>
        <c:crossBetween val="between"/>
        <c:majorUnit val="8.3333333300000006E-2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0.46386658431130329"/>
          <c:y val="0.10739856801909307"/>
          <c:w val="0.66337245213094509"/>
          <c:h val="0.150357995226730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Time of Max Gust / GMT</a:t>
            </a:r>
          </a:p>
        </c:rich>
      </c:tx>
      <c:layout>
        <c:manualLayout>
          <c:xMode val="edge"/>
          <c:yMode val="edge"/>
          <c:x val="0.42962988885648551"/>
          <c:y val="1.99296600234466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8888912331761387E-2"/>
          <c:y val="8.5580353795172481E-2"/>
          <c:w val="0.95864255319405456"/>
          <c:h val="0.86400987324715228"/>
        </c:manualLayout>
      </c:layout>
      <c:lineChart>
        <c:grouping val="standard"/>
        <c:varyColors val="0"/>
        <c:ser>
          <c:idx val="4"/>
          <c:order val="0"/>
          <c:tx>
            <c:v>Gust</c:v>
          </c:tx>
          <c:spPr>
            <a:ln w="28575">
              <a:noFill/>
            </a:ln>
          </c:spPr>
          <c:marker>
            <c:symbol val="circle"/>
            <c:size val="1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cat>
            <c:numRef>
              <c:f>JAN!$E$4:$E$34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Mar!$BJ$49:$BJ$79</c:f>
              <c:numCache>
                <c:formatCode>h:mm</c:formatCode>
                <c:ptCount val="31"/>
                <c:pt idx="0">
                  <c:v>0.81805555555555554</c:v>
                </c:pt>
                <c:pt idx="1">
                  <c:v>0.10277777777777779</c:v>
                </c:pt>
                <c:pt idx="2">
                  <c:v>0.93125000000000002</c:v>
                </c:pt>
                <c:pt idx="3">
                  <c:v>2.5000000000000001E-2</c:v>
                </c:pt>
                <c:pt idx="4">
                  <c:v>0.8666666666666667</c:v>
                </c:pt>
                <c:pt idx="5">
                  <c:v>0.39166666666666666</c:v>
                </c:pt>
                <c:pt idx="6">
                  <c:v>0.48055555555555557</c:v>
                </c:pt>
                <c:pt idx="7">
                  <c:v>0.66597222222222219</c:v>
                </c:pt>
                <c:pt idx="8">
                  <c:v>0.3840277777777778</c:v>
                </c:pt>
                <c:pt idx="9">
                  <c:v>0.62777777777777777</c:v>
                </c:pt>
                <c:pt idx="10">
                  <c:v>0.49791666666666662</c:v>
                </c:pt>
                <c:pt idx="11">
                  <c:v>0.65138888888888891</c:v>
                </c:pt>
                <c:pt idx="12">
                  <c:v>0.30763888888888891</c:v>
                </c:pt>
                <c:pt idx="13">
                  <c:v>0.4548611111111111</c:v>
                </c:pt>
                <c:pt idx="14">
                  <c:v>0.49513888888888885</c:v>
                </c:pt>
                <c:pt idx="15">
                  <c:v>0.71180555555555547</c:v>
                </c:pt>
                <c:pt idx="16">
                  <c:v>0.6118055555555556</c:v>
                </c:pt>
                <c:pt idx="17">
                  <c:v>0.57222222222222219</c:v>
                </c:pt>
                <c:pt idx="18">
                  <c:v>0.62569444444444444</c:v>
                </c:pt>
                <c:pt idx="19">
                  <c:v>0.74652777777777779</c:v>
                </c:pt>
                <c:pt idx="20">
                  <c:v>0.54652777777777783</c:v>
                </c:pt>
                <c:pt idx="21">
                  <c:v>0.60069444444444442</c:v>
                </c:pt>
                <c:pt idx="22">
                  <c:v>0.62986111111111109</c:v>
                </c:pt>
                <c:pt idx="23">
                  <c:v>0.51180555555555551</c:v>
                </c:pt>
                <c:pt idx="24">
                  <c:v>0.72083333333333333</c:v>
                </c:pt>
                <c:pt idx="25">
                  <c:v>0.81458333333333333</c:v>
                </c:pt>
                <c:pt idx="26">
                  <c:v>0.26319444444444445</c:v>
                </c:pt>
                <c:pt idx="27">
                  <c:v>0.76041666666666663</c:v>
                </c:pt>
                <c:pt idx="28">
                  <c:v>0.54027777777777775</c:v>
                </c:pt>
                <c:pt idx="29">
                  <c:v>0.6479166666666667</c:v>
                </c:pt>
                <c:pt idx="30">
                  <c:v>0.55555555555555558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446400"/>
        <c:axId val="125448576"/>
      </c:lineChart>
      <c:catAx>
        <c:axId val="1254464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54485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5448576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hh:mm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5446400"/>
        <c:crosses val="autoZero"/>
        <c:crossBetween val="between"/>
        <c:majorUnit val="8.3333333300000006E-2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 sz="14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Rain Rate / mmh</a:t>
            </a:r>
            <a:r>
              <a:rPr lang="en-GB" sz="1400" b="1" i="0" u="none" strike="noStrike" baseline="30000">
                <a:solidFill>
                  <a:srgbClr val="000000"/>
                </a:solidFill>
                <a:latin typeface="Arial"/>
                <a:cs typeface="Arial"/>
              </a:rPr>
              <a:t>-1</a:t>
            </a:r>
          </a:p>
        </c:rich>
      </c:tx>
      <c:layout>
        <c:manualLayout>
          <c:xMode val="edge"/>
          <c:yMode val="edge"/>
          <c:x val="0.44963144963144963"/>
          <c:y val="2.002355712603062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6412776412776413E-2"/>
          <c:y val="9.1872897196261682E-2"/>
          <c:w val="0.95515970515970516"/>
          <c:h val="0.85748037383177567"/>
        </c:manualLayout>
      </c:layout>
      <c:barChart>
        <c:barDir val="col"/>
        <c:grouping val="clustered"/>
        <c:varyColors val="0"/>
        <c:ser>
          <c:idx val="1"/>
          <c:order val="0"/>
          <c:tx>
            <c:v>Mean</c:v>
          </c:tx>
          <c:spPr>
            <a:solidFill>
              <a:srgbClr val="CCFFFF"/>
            </a:solidFill>
            <a:ln w="3175">
              <a:solidFill>
                <a:srgbClr val="333399"/>
              </a:solidFill>
              <a:prstDash val="solid"/>
            </a:ln>
          </c:spPr>
          <c:invertIfNegative val="0"/>
          <c:cat>
            <c:numRef>
              <c:f>JAN!$E$4:$E$34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Mar!$AD$4:$AD$34</c:f>
              <c:numCache>
                <c:formatCode>0.0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0.8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0.8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1.1000000000000001</c:v>
                </c:pt>
                <c:pt idx="30">
                  <c:v>0.75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-80"/>
        <c:axId val="125491072"/>
        <c:axId val="125492608"/>
      </c:barChart>
      <c:barChart>
        <c:barDir val="col"/>
        <c:grouping val="clustered"/>
        <c:varyColors val="0"/>
        <c:ser>
          <c:idx val="0"/>
          <c:order val="1"/>
          <c:tx>
            <c:v>Max</c:v>
          </c:tx>
          <c:spPr>
            <a:solidFill>
              <a:srgbClr val="9999FF"/>
            </a:solidFill>
            <a:ln w="12700">
              <a:solidFill>
                <a:srgbClr val="000080"/>
              </a:solidFill>
              <a:prstDash val="solid"/>
            </a:ln>
          </c:spPr>
          <c:invertIfNegative val="0"/>
          <c:cat>
            <c:numRef>
              <c:f>JAN!$E$4:$E$34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Mar!$AE$4:$AE$34</c:f>
              <c:numCache>
                <c:formatCode>General</c:formatCode>
                <c:ptCount val="31"/>
                <c:pt idx="12">
                  <c:v>2.5</c:v>
                </c:pt>
                <c:pt idx="17">
                  <c:v>2.2999999999999998</c:v>
                </c:pt>
                <c:pt idx="28">
                  <c:v>5</c:v>
                </c:pt>
                <c:pt idx="29" formatCode="0.0">
                  <c:v>2.0099999999999998</c:v>
                </c:pt>
                <c:pt idx="30">
                  <c:v>1.6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0"/>
        <c:overlap val="-100"/>
        <c:axId val="125506688"/>
        <c:axId val="125508224"/>
      </c:barChart>
      <c:catAx>
        <c:axId val="1254910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54926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5492608"/>
        <c:scaling>
          <c:orientation val="minMax"/>
          <c:max val="2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5491072"/>
        <c:crosses val="autoZero"/>
        <c:crossBetween val="between"/>
        <c:majorUnit val="0.5"/>
      </c:valAx>
      <c:catAx>
        <c:axId val="1255066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5508224"/>
        <c:crosses val="autoZero"/>
        <c:auto val="1"/>
        <c:lblAlgn val="ctr"/>
        <c:lblOffset val="100"/>
        <c:noMultiLvlLbl val="0"/>
      </c:catAx>
      <c:valAx>
        <c:axId val="125508224"/>
        <c:scaling>
          <c:orientation val="minMax"/>
          <c:max val="40"/>
          <c:min val="0"/>
        </c:scaling>
        <c:delete val="0"/>
        <c:axPos val="r"/>
        <c:numFmt formatCode="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5506688"/>
        <c:crosses val="max"/>
        <c:crossBetween val="between"/>
        <c:majorUnit val="5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0.23587223587223588"/>
          <c:y val="0.17667869254859042"/>
          <c:w val="0.38267813267813267"/>
          <c:h val="0.2237929446098389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01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Rainfall / mm</a:t>
            </a:r>
          </a:p>
        </c:rich>
      </c:tx>
      <c:layout>
        <c:manualLayout>
          <c:xMode val="edge"/>
          <c:yMode val="edge"/>
          <c:x val="0.47051597051597049"/>
          <c:y val="1.524032825322391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955773955773956E-2"/>
          <c:y val="8.7925021022437475E-2"/>
          <c:w val="0.95700245700245701"/>
          <c:h val="0.85228653711082736"/>
        </c:manualLayout>
      </c:layout>
      <c:barChart>
        <c:barDir val="col"/>
        <c:grouping val="clustered"/>
        <c:varyColors val="0"/>
        <c:ser>
          <c:idx val="0"/>
          <c:order val="0"/>
          <c:tx>
            <c:v>Rainfall</c:v>
          </c:tx>
          <c:spPr>
            <a:solidFill>
              <a:srgbClr val="3366FF"/>
            </a:solidFill>
            <a:ln w="12700">
              <a:solidFill>
                <a:srgbClr val="000080"/>
              </a:solidFill>
              <a:prstDash val="solid"/>
            </a:ln>
          </c:spPr>
          <c:invertIfNegative val="0"/>
          <c:cat>
            <c:numRef>
              <c:f>JAN!$E$4:$E$34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Mar!$Z$4:$Z$34</c:f>
              <c:numCache>
                <c:formatCode>0.0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0.1</c:v>
                </c:pt>
                <c:pt idx="12">
                  <c:v>0.8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4.4000000000000004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0.5</c:v>
                </c:pt>
                <c:pt idx="29">
                  <c:v>2.2000000000000002</c:v>
                </c:pt>
                <c:pt idx="30">
                  <c:v>3</c:v>
                </c:pt>
              </c:numCache>
            </c:numRef>
          </c:val>
        </c:ser>
        <c:ser>
          <c:idx val="1"/>
          <c:order val="1"/>
          <c:tx>
            <c:v>Max In Hour</c:v>
          </c:tx>
          <c:spPr>
            <a:solidFill>
              <a:srgbClr val="00CCFF"/>
            </a:solidFill>
            <a:ln w="12700">
              <a:solidFill>
                <a:srgbClr val="0000FF"/>
              </a:solidFill>
              <a:prstDash val="solid"/>
            </a:ln>
          </c:spPr>
          <c:invertIfNegative val="0"/>
          <c:cat>
            <c:numRef>
              <c:f>JAN!$E$4:$E$34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Mar!$AA$4:$AA$34</c:f>
              <c:numCache>
                <c:formatCode>0.0</c:formatCode>
                <c:ptCount val="31"/>
                <c:pt idx="12">
                  <c:v>0.8</c:v>
                </c:pt>
                <c:pt idx="17">
                  <c:v>1.4</c:v>
                </c:pt>
                <c:pt idx="28">
                  <c:v>0</c:v>
                </c:pt>
                <c:pt idx="29">
                  <c:v>1.4</c:v>
                </c:pt>
                <c:pt idx="30">
                  <c:v>1.4</c:v>
                </c:pt>
              </c:numCache>
            </c:numRef>
          </c:val>
        </c:ser>
        <c:ser>
          <c:idx val="2"/>
          <c:order val="2"/>
          <c:tx>
            <c:v>Max in 10 Minutes</c:v>
          </c:tx>
          <c:spPr>
            <a:solidFill>
              <a:srgbClr val="99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JAN!$E$4:$E$34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Mar!$AB$4:$AB$34</c:f>
              <c:numCache>
                <c:formatCode>0.0</c:formatCode>
                <c:ptCount val="31"/>
                <c:pt idx="12">
                  <c:v>0.3</c:v>
                </c:pt>
                <c:pt idx="17">
                  <c:v>0.3</c:v>
                </c:pt>
                <c:pt idx="28">
                  <c:v>0.5</c:v>
                </c:pt>
                <c:pt idx="29">
                  <c:v>0.5</c:v>
                </c:pt>
                <c:pt idx="30">
                  <c:v>0.3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overlap val="100"/>
        <c:axId val="125837696"/>
        <c:axId val="125839232"/>
      </c:barChart>
      <c:catAx>
        <c:axId val="125837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58392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5839232"/>
        <c:scaling>
          <c:orientation val="minMax"/>
          <c:max val="10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5837696"/>
        <c:crosses val="autoZero"/>
        <c:crossBetween val="between"/>
        <c:majorUnit val="2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0.59152334152334152"/>
          <c:y val="0.30246202225894098"/>
          <c:w val="0.71437346437346438"/>
          <c:h val="0.416178440766416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1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3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 horizontalDpi="-3" verticalDpi="0"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Wet Hours / h</a:t>
            </a:r>
          </a:p>
        </c:rich>
      </c:tx>
      <c:layout>
        <c:manualLayout>
          <c:xMode val="edge"/>
          <c:yMode val="edge"/>
          <c:x val="0.47116577299003271"/>
          <c:y val="2.22482435597189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926387535464059E-2"/>
          <c:y val="8.1967213114754092E-2"/>
          <c:w val="0.97361992355849891"/>
          <c:h val="0.86768149882903978"/>
        </c:manualLayout>
      </c:layout>
      <c:barChart>
        <c:barDir val="col"/>
        <c:grouping val="clustered"/>
        <c:varyColors val="0"/>
        <c:ser>
          <c:idx val="2"/>
          <c:order val="0"/>
          <c:tx>
            <c:v>Wet</c:v>
          </c:tx>
          <c:spPr>
            <a:solidFill>
              <a:srgbClr val="00FFFF"/>
            </a:solidFill>
            <a:ln w="12700">
              <a:solidFill>
                <a:srgbClr val="3366FF"/>
              </a:solidFill>
              <a:prstDash val="solid"/>
            </a:ln>
          </c:spPr>
          <c:invertIfNegative val="0"/>
          <c:cat>
            <c:numRef>
              <c:f>JAN!$E$4:$E$34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Mar!$AQ$4:$AQ$34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0.3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5.5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0.1</c:v>
                </c:pt>
                <c:pt idx="26">
                  <c:v>0</c:v>
                </c:pt>
                <c:pt idx="27">
                  <c:v>0</c:v>
                </c:pt>
                <c:pt idx="28">
                  <c:v>0.5</c:v>
                </c:pt>
                <c:pt idx="29">
                  <c:v>2</c:v>
                </c:pt>
                <c:pt idx="30">
                  <c:v>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overlap val="-10"/>
        <c:axId val="125851136"/>
        <c:axId val="125852672"/>
      </c:barChart>
      <c:catAx>
        <c:axId val="125851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58526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5852672"/>
        <c:scaling>
          <c:orientation val="minMax"/>
          <c:max val="1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5851136"/>
        <c:crosses val="autoZero"/>
        <c:crossBetween val="between"/>
        <c:majorUnit val="2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Wind Direction Frequency</a:t>
            </a:r>
          </a:p>
        </c:rich>
      </c:tx>
      <c:layout>
        <c:manualLayout>
          <c:xMode val="edge"/>
          <c:yMode val="edge"/>
          <c:x val="0.41263028816676883"/>
          <c:y val="2.270011947431302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9491109748620481"/>
          <c:y val="0.16845897791006048"/>
          <c:w val="0.38320049049662785"/>
          <c:h val="0.74671532761551629"/>
        </c:manualLayout>
      </c:layout>
      <c:radarChart>
        <c:radarStyle val="filled"/>
        <c:varyColors val="1"/>
        <c:ser>
          <c:idx val="0"/>
          <c:order val="0"/>
          <c:tx>
            <c:v>Mean Wind Direction</c:v>
          </c:tx>
          <c:spPr>
            <a:solidFill>
              <a:srgbClr val="FF99CC"/>
            </a:solidFill>
            <a:ln w="38100">
              <a:solidFill>
                <a:srgbClr val="FF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</c:dPt>
          <c:dPt>
            <c:idx val="2"/>
            <c:bubble3D val="0"/>
          </c:dPt>
          <c:dPt>
            <c:idx val="3"/>
            <c:bubble3D val="0"/>
          </c:dPt>
          <c:dPt>
            <c:idx val="4"/>
            <c:bubble3D val="0"/>
          </c:dPt>
          <c:dPt>
            <c:idx val="5"/>
            <c:bubble3D val="0"/>
          </c:dPt>
          <c:dPt>
            <c:idx val="6"/>
            <c:bubble3D val="0"/>
          </c:dPt>
          <c:dPt>
            <c:idx val="7"/>
            <c:bubble3D val="0"/>
          </c:dPt>
          <c:dPt>
            <c:idx val="8"/>
            <c:bubble3D val="0"/>
          </c:dPt>
          <c:dPt>
            <c:idx val="9"/>
            <c:bubble3D val="0"/>
          </c:dPt>
          <c:dPt>
            <c:idx val="10"/>
            <c:bubble3D val="0"/>
          </c:dPt>
          <c:dPt>
            <c:idx val="11"/>
            <c:bubble3D val="0"/>
          </c:dPt>
          <c:dPt>
            <c:idx val="12"/>
            <c:bubble3D val="0"/>
          </c:dPt>
          <c:dPt>
            <c:idx val="13"/>
            <c:bubble3D val="0"/>
          </c:dPt>
          <c:dPt>
            <c:idx val="14"/>
            <c:bubble3D val="0"/>
          </c:dPt>
          <c:dPt>
            <c:idx val="15"/>
            <c:bubble3D val="0"/>
          </c:dPt>
          <c:dLbls>
            <c:dLbl>
              <c:idx val="0"/>
              <c:layout>
                <c:manualLayout>
                  <c:x val="3.7176039690317497E-3"/>
                  <c:y val="-0.20109066910512499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 val="4.3163188292450548E-2"/>
                  <c:y val="-7.84102480736079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layout>
                <c:manualLayout>
                  <c:x val="3.6039465023953596E-2"/>
                  <c:y val="-4.607418691547953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layout>
                <c:manualLayout>
                  <c:x val="5.1099513848322689E-2"/>
                  <c:y val="-1.432709055519647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4"/>
              <c:layout>
                <c:manualLayout>
                  <c:x val="0.11487450334802574"/>
                  <c:y val="-3.9387164249988088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5"/>
              <c:layout>
                <c:manualLayout>
                  <c:x val="0.15972520602306689"/>
                  <c:y val="0.11667461993324521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6"/>
              <c:layout>
                <c:manualLayout>
                  <c:x val="0.13258613059633642"/>
                  <c:y val="0.21253065288806788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7"/>
              <c:layout>
                <c:manualLayout>
                  <c:x val="8.7481103488673315E-2"/>
                  <c:y val="0.2732364844286469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8"/>
              <c:layout>
                <c:manualLayout>
                  <c:x val="3.7176039690317497E-3"/>
                  <c:y val="0.27346634619106058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9"/>
              <c:layout>
                <c:manualLayout>
                  <c:x val="-7.6164663966360416E-2"/>
                  <c:y val="0.18232392995101201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0"/>
              <c:layout>
                <c:manualLayout>
                  <c:x val="-9.0432193829848517E-2"/>
                  <c:y val="0.1281504507160013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1"/>
              <c:layout>
                <c:manualLayout>
                  <c:x val="-0.13053634390121832"/>
                  <c:y val="6.71481193803673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2"/>
              <c:layout>
                <c:manualLayout>
                  <c:x val="-0.17338811189373859"/>
                  <c:y val="-1.23019280942925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3"/>
              <c:layout>
                <c:manualLayout>
                  <c:x val="-0.17333783920786727"/>
                  <c:y val="-0.1408906086297019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4"/>
              <c:layout>
                <c:manualLayout>
                  <c:x val="-0.12690242045924521"/>
                  <c:y val="-0.2286000878259454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5"/>
              <c:layout>
                <c:manualLayout>
                  <c:x val="-6.8440758209944788E-2"/>
                  <c:y val="-0.2422552513191699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1" i="0" u="none" strike="noStrike" baseline="0">
                    <a:solidFill>
                      <a:srgbClr val="FF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Nov!$AP$92:$AP$107</c:f>
              <c:strCache>
                <c:ptCount val="16"/>
                <c:pt idx="0">
                  <c:v>N</c:v>
                </c:pt>
                <c:pt idx="1">
                  <c:v>NNE</c:v>
                </c:pt>
                <c:pt idx="2">
                  <c:v>NE</c:v>
                </c:pt>
                <c:pt idx="3">
                  <c:v>ENE</c:v>
                </c:pt>
                <c:pt idx="4">
                  <c:v>E</c:v>
                </c:pt>
                <c:pt idx="5">
                  <c:v>ESE</c:v>
                </c:pt>
                <c:pt idx="6">
                  <c:v>SE</c:v>
                </c:pt>
                <c:pt idx="7">
                  <c:v>SSE</c:v>
                </c:pt>
                <c:pt idx="8">
                  <c:v>S</c:v>
                </c:pt>
                <c:pt idx="9">
                  <c:v>SSW</c:v>
                </c:pt>
                <c:pt idx="10">
                  <c:v>SW</c:v>
                </c:pt>
                <c:pt idx="11">
                  <c:v>WSW</c:v>
                </c:pt>
                <c:pt idx="12">
                  <c:v>W</c:v>
                </c:pt>
                <c:pt idx="13">
                  <c:v>WNW</c:v>
                </c:pt>
                <c:pt idx="14">
                  <c:v>NW</c:v>
                </c:pt>
                <c:pt idx="15">
                  <c:v>NNW</c:v>
                </c:pt>
              </c:strCache>
            </c:strRef>
          </c:cat>
          <c:val>
            <c:numRef>
              <c:f>Mar!$AQ$92:$AQ$107</c:f>
              <c:numCache>
                <c:formatCode>0%</c:formatCode>
                <c:ptCount val="16"/>
                <c:pt idx="0">
                  <c:v>7.4999999999999997E-2</c:v>
                </c:pt>
                <c:pt idx="1">
                  <c:v>0.11799999999999999</c:v>
                </c:pt>
                <c:pt idx="2">
                  <c:v>0.13</c:v>
                </c:pt>
                <c:pt idx="3">
                  <c:v>0.14099999999999999</c:v>
                </c:pt>
                <c:pt idx="4">
                  <c:v>8.1000000000000003E-2</c:v>
                </c:pt>
                <c:pt idx="5">
                  <c:v>4.7E-2</c:v>
                </c:pt>
                <c:pt idx="6">
                  <c:v>0.02</c:v>
                </c:pt>
                <c:pt idx="7">
                  <c:v>1.4E-2</c:v>
                </c:pt>
                <c:pt idx="8">
                  <c:v>3.5999999999999997E-2</c:v>
                </c:pt>
                <c:pt idx="9">
                  <c:v>0.08</c:v>
                </c:pt>
                <c:pt idx="10">
                  <c:v>8.2000000000000003E-2</c:v>
                </c:pt>
                <c:pt idx="11">
                  <c:v>6.5000000000000002E-2</c:v>
                </c:pt>
                <c:pt idx="12">
                  <c:v>2.9000000000000001E-2</c:v>
                </c:pt>
                <c:pt idx="13">
                  <c:v>1.7999999999999999E-2</c:v>
                </c:pt>
                <c:pt idx="14">
                  <c:v>2.3E-2</c:v>
                </c:pt>
                <c:pt idx="15">
                  <c:v>4.2000000000000003E-2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078976"/>
        <c:axId val="126080512"/>
      </c:radarChart>
      <c:catAx>
        <c:axId val="126078976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6080512"/>
        <c:crosses val="autoZero"/>
        <c:auto val="0"/>
        <c:lblAlgn val="ctr"/>
        <c:lblOffset val="100"/>
        <c:noMultiLvlLbl val="0"/>
      </c:catAx>
      <c:valAx>
        <c:axId val="126080512"/>
        <c:scaling>
          <c:orientation val="minMax"/>
          <c:max val="0.16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0%" sourceLinked="1"/>
        <c:majorTickMark val="cross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6078976"/>
        <c:crosses val="autoZero"/>
        <c:crossBetween val="between"/>
        <c:majorUnit val="0.05"/>
      </c:valAx>
      <c:spPr>
        <a:solidFill>
          <a:srgbClr val="C0C0C0"/>
        </a:solidFill>
        <a:ln w="25400">
          <a:noFill/>
        </a:ln>
      </c:spPr>
    </c:plotArea>
    <c:plotVisOnly val="1"/>
    <c:dispBlanksAs val="gap"/>
    <c:showDLblsOverMax val="0"/>
  </c:chart>
  <c:spPr>
    <a:solidFill>
      <a:srgbClr val="C0C0C0"/>
    </a:solidFill>
    <a:ln w="3175">
      <a:solidFill>
        <a:srgbClr val="000000"/>
      </a:solidFill>
      <a:prstDash val="solid"/>
    </a:ln>
  </c:spPr>
  <c:txPr>
    <a:bodyPr/>
    <a:lstStyle/>
    <a:p>
      <a:pPr>
        <a:defRPr sz="2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 horizontalDpi="-3" verticalDpi="0"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7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 sz="14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Temperature / °C   </a:t>
            </a:r>
          </a:p>
        </c:rich>
      </c:tx>
      <c:layout>
        <c:manualLayout>
          <c:xMode val="edge"/>
          <c:yMode val="edge"/>
          <c:x val="0.450704353933713"/>
          <c:y val="2.117647058823529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882432125746363E-2"/>
          <c:y val="8.1176517219966229E-2"/>
          <c:w val="0.95468491497534824"/>
          <c:h val="0.86823579287442143"/>
        </c:manualLayout>
      </c:layout>
      <c:lineChart>
        <c:grouping val="standard"/>
        <c:varyColors val="0"/>
        <c:ser>
          <c:idx val="0"/>
          <c:order val="0"/>
          <c:tx>
            <c:v>Min</c:v>
          </c:tx>
          <c:spPr>
            <a:ln w="38100">
              <a:solidFill>
                <a:srgbClr val="0000FF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11.8</c:v>
              </c:pt>
              <c:pt idx="1">
                <c:v>11.1</c:v>
              </c:pt>
              <c:pt idx="2">
                <c:v>6.9</c:v>
              </c:pt>
              <c:pt idx="3">
                <c:v>6.1</c:v>
              </c:pt>
              <c:pt idx="4">
                <c:v>9.1</c:v>
              </c:pt>
              <c:pt idx="5">
                <c:v>11.9</c:v>
              </c:pt>
              <c:pt idx="6">
                <c:v>9.8000000000000007</c:v>
              </c:pt>
              <c:pt idx="7">
                <c:v>7</c:v>
              </c:pt>
              <c:pt idx="8">
                <c:v>7.7</c:v>
              </c:pt>
              <c:pt idx="9">
                <c:v>6.1</c:v>
              </c:pt>
              <c:pt idx="10">
                <c:v>6.1</c:v>
              </c:pt>
              <c:pt idx="11">
                <c:v>5.3</c:v>
              </c:pt>
              <c:pt idx="12">
                <c:v>4.0999999999999996</c:v>
              </c:pt>
              <c:pt idx="13">
                <c:v>8</c:v>
              </c:pt>
              <c:pt idx="14">
                <c:v>9.9</c:v>
              </c:pt>
              <c:pt idx="15">
                <c:v>9.8000000000000007</c:v>
              </c:pt>
              <c:pt idx="16">
                <c:v>7.3</c:v>
              </c:pt>
              <c:pt idx="17">
                <c:v>6.7</c:v>
              </c:pt>
              <c:pt idx="18">
                <c:v>9.3000000000000007</c:v>
              </c:pt>
              <c:pt idx="19">
                <c:v>9.1</c:v>
              </c:pt>
              <c:pt idx="20">
                <c:v>11.6</c:v>
              </c:pt>
              <c:pt idx="21">
                <c:v>9.6</c:v>
              </c:pt>
              <c:pt idx="22">
                <c:v>10.1</c:v>
              </c:pt>
              <c:pt idx="23">
                <c:v>12.4</c:v>
              </c:pt>
              <c:pt idx="24">
                <c:v>9.6999999999999993</c:v>
              </c:pt>
              <c:pt idx="25">
                <c:v>8.5</c:v>
              </c:pt>
              <c:pt idx="26">
                <c:v>7</c:v>
              </c:pt>
              <c:pt idx="27">
                <c:v>6</c:v>
              </c:pt>
              <c:pt idx="28">
                <c:v>9.1</c:v>
              </c:pt>
              <c:pt idx="29">
                <c:v>10.9</c:v>
              </c:pt>
            </c:numLit>
          </c:val>
          <c:smooth val="0"/>
        </c:ser>
        <c:ser>
          <c:idx val="1"/>
          <c:order val="1"/>
          <c:tx>
            <c:v>Max</c:v>
          </c:tx>
          <c:spPr>
            <a:ln w="38100">
              <a:solidFill>
                <a:srgbClr val="FF6600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993300"/>
              </a:solidFill>
              <a:ln>
                <a:solidFill>
                  <a:srgbClr val="993300"/>
                </a:solidFill>
                <a:prstDash val="solid"/>
              </a:ln>
            </c:spPr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15.7</c:v>
              </c:pt>
              <c:pt idx="1">
                <c:v>18.399999999999999</c:v>
              </c:pt>
              <c:pt idx="2">
                <c:v>15.4</c:v>
              </c:pt>
              <c:pt idx="3">
                <c:v>13.6</c:v>
              </c:pt>
              <c:pt idx="4">
                <c:v>12.6</c:v>
              </c:pt>
              <c:pt idx="5">
                <c:v>22.4</c:v>
              </c:pt>
              <c:pt idx="6">
                <c:v>20.9</c:v>
              </c:pt>
              <c:pt idx="7">
                <c:v>20.9</c:v>
              </c:pt>
              <c:pt idx="8">
                <c:v>17.899999999999999</c:v>
              </c:pt>
              <c:pt idx="9">
                <c:v>19</c:v>
              </c:pt>
              <c:pt idx="10">
                <c:v>20</c:v>
              </c:pt>
              <c:pt idx="11">
                <c:v>14</c:v>
              </c:pt>
              <c:pt idx="12">
                <c:v>13</c:v>
              </c:pt>
              <c:pt idx="13">
                <c:v>14.1</c:v>
              </c:pt>
              <c:pt idx="14">
                <c:v>16.8</c:v>
              </c:pt>
              <c:pt idx="15">
                <c:v>17.899999999999999</c:v>
              </c:pt>
              <c:pt idx="16">
                <c:v>19</c:v>
              </c:pt>
              <c:pt idx="17">
                <c:v>18.100000000000001</c:v>
              </c:pt>
              <c:pt idx="18">
                <c:v>24.4</c:v>
              </c:pt>
              <c:pt idx="19">
                <c:v>24.4</c:v>
              </c:pt>
              <c:pt idx="20">
                <c:v>24.4</c:v>
              </c:pt>
              <c:pt idx="21">
                <c:v>25.6</c:v>
              </c:pt>
              <c:pt idx="22">
                <c:v>26.5</c:v>
              </c:pt>
              <c:pt idx="23">
                <c:v>22.7</c:v>
              </c:pt>
              <c:pt idx="24">
                <c:v>20.3</c:v>
              </c:pt>
              <c:pt idx="25">
                <c:v>15.6</c:v>
              </c:pt>
              <c:pt idx="26">
                <c:v>16.3</c:v>
              </c:pt>
              <c:pt idx="27">
                <c:v>15.1</c:v>
              </c:pt>
              <c:pt idx="28">
                <c:v>19.5</c:v>
              </c:pt>
              <c:pt idx="29">
                <c:v>19.7</c:v>
              </c:pt>
            </c:numLit>
          </c:val>
          <c:smooth val="0"/>
        </c:ser>
        <c:ser>
          <c:idx val="7"/>
          <c:order val="2"/>
          <c:tx>
            <c:v>Cumulative Min</c:v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x"/>
            <c:size val="2"/>
            <c:spPr>
              <a:noFill/>
              <a:ln>
                <a:solidFill>
                  <a:srgbClr val="0000FF"/>
                </a:solidFill>
                <a:prstDash val="solid"/>
              </a:ln>
            </c:spPr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11.8</c:v>
              </c:pt>
              <c:pt idx="1">
                <c:v>11.45</c:v>
              </c:pt>
              <c:pt idx="2">
                <c:v>9.9333333333333318</c:v>
              </c:pt>
              <c:pt idx="3">
                <c:v>8.9749999999999996</c:v>
              </c:pt>
              <c:pt idx="4">
                <c:v>9</c:v>
              </c:pt>
              <c:pt idx="5">
                <c:v>9.4833333333333325</c:v>
              </c:pt>
              <c:pt idx="6">
                <c:v>9.5285714285714285</c:v>
              </c:pt>
              <c:pt idx="7">
                <c:v>9.2125000000000004</c:v>
              </c:pt>
              <c:pt idx="8">
                <c:v>9.0444444444444443</c:v>
              </c:pt>
              <c:pt idx="9">
                <c:v>8.75</c:v>
              </c:pt>
              <c:pt idx="10">
                <c:v>8.5090909090909079</c:v>
              </c:pt>
              <c:pt idx="11">
                <c:v>8.2416666666666654</c:v>
              </c:pt>
              <c:pt idx="12">
                <c:v>7.9230769230769216</c:v>
              </c:pt>
              <c:pt idx="13">
                <c:v>7.9285714285714279</c:v>
              </c:pt>
              <c:pt idx="14">
                <c:v>8.0599999999999987</c:v>
              </c:pt>
              <c:pt idx="15">
                <c:v>8.1687499999999993</c:v>
              </c:pt>
              <c:pt idx="16">
                <c:v>8.117647058823529</c:v>
              </c:pt>
              <c:pt idx="17">
                <c:v>8.0388888888888879</c:v>
              </c:pt>
              <c:pt idx="18">
                <c:v>8.1052631578947363</c:v>
              </c:pt>
              <c:pt idx="19">
                <c:v>8.1549999999999994</c:v>
              </c:pt>
              <c:pt idx="20">
                <c:v>8.3190476190476179</c:v>
              </c:pt>
              <c:pt idx="21">
                <c:v>8.377272727272727</c:v>
              </c:pt>
              <c:pt idx="22">
                <c:v>8.4521739130434774</c:v>
              </c:pt>
              <c:pt idx="23">
                <c:v>8.6166666666666654</c:v>
              </c:pt>
              <c:pt idx="24">
                <c:v>8.6599999999999984</c:v>
              </c:pt>
              <c:pt idx="25">
                <c:v>8.6538461538461533</c:v>
              </c:pt>
              <c:pt idx="26">
                <c:v>8.5925925925925917</c:v>
              </c:pt>
              <c:pt idx="27">
                <c:v>8.4999999999999982</c:v>
              </c:pt>
              <c:pt idx="28">
                <c:v>8.5206896551724132</c:v>
              </c:pt>
              <c:pt idx="29">
                <c:v>8.5999999999999979</c:v>
              </c:pt>
            </c:numLit>
          </c:val>
          <c:smooth val="0"/>
        </c:ser>
        <c:ser>
          <c:idx val="6"/>
          <c:order val="3"/>
          <c:tx>
            <c:v>Cumulative Max</c:v>
          </c:tx>
          <c:spPr>
            <a:ln w="12700">
              <a:solidFill>
                <a:srgbClr val="FF9900"/>
              </a:solidFill>
              <a:prstDash val="solid"/>
            </a:ln>
          </c:spPr>
          <c:marker>
            <c:symbol val="plus"/>
            <c:size val="2"/>
            <c:spPr>
              <a:noFill/>
              <a:ln>
                <a:solidFill>
                  <a:srgbClr val="FF6600"/>
                </a:solidFill>
                <a:prstDash val="solid"/>
              </a:ln>
            </c:spPr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15.7</c:v>
              </c:pt>
              <c:pt idx="1">
                <c:v>17.049999999999997</c:v>
              </c:pt>
              <c:pt idx="2">
                <c:v>16.499999999999996</c:v>
              </c:pt>
              <c:pt idx="3">
                <c:v>15.774999999999999</c:v>
              </c:pt>
              <c:pt idx="4">
                <c:v>15.139999999999997</c:v>
              </c:pt>
              <c:pt idx="5">
                <c:v>16.349999999999998</c:v>
              </c:pt>
              <c:pt idx="6">
                <c:v>17</c:v>
              </c:pt>
              <c:pt idx="7">
                <c:v>17.487500000000001</c:v>
              </c:pt>
              <c:pt idx="8">
                <c:v>17.533333333333335</c:v>
              </c:pt>
              <c:pt idx="9">
                <c:v>17.68</c:v>
              </c:pt>
              <c:pt idx="10">
                <c:v>17.890909090909091</c:v>
              </c:pt>
              <c:pt idx="11">
                <c:v>17.566666666666666</c:v>
              </c:pt>
              <c:pt idx="12">
                <c:v>17.215384615384615</c:v>
              </c:pt>
              <c:pt idx="13">
                <c:v>16.992857142857144</c:v>
              </c:pt>
              <c:pt idx="14">
                <c:v>16.98</c:v>
              </c:pt>
              <c:pt idx="15">
                <c:v>17.037500000000001</c:v>
              </c:pt>
              <c:pt idx="16">
                <c:v>17.152941176470591</c:v>
              </c:pt>
              <c:pt idx="17">
                <c:v>17.205555555555559</c:v>
              </c:pt>
              <c:pt idx="18">
                <c:v>17.58421052631579</c:v>
              </c:pt>
              <c:pt idx="19">
                <c:v>17.925000000000001</c:v>
              </c:pt>
              <c:pt idx="20">
                <c:v>18.233333333333331</c:v>
              </c:pt>
              <c:pt idx="21">
                <c:v>18.568181818181817</c:v>
              </c:pt>
              <c:pt idx="22">
                <c:v>18.913043478260871</c:v>
              </c:pt>
              <c:pt idx="23">
                <c:v>19.070833333333333</c:v>
              </c:pt>
              <c:pt idx="24">
                <c:v>19.12</c:v>
              </c:pt>
              <c:pt idx="25">
                <c:v>18.984615384615385</c:v>
              </c:pt>
              <c:pt idx="26">
                <c:v>18.885185185185186</c:v>
              </c:pt>
              <c:pt idx="27">
                <c:v>18.75</c:v>
              </c:pt>
              <c:pt idx="28">
                <c:v>18.775862068965516</c:v>
              </c:pt>
              <c:pt idx="29">
                <c:v>18.806666666666668</c:v>
              </c:pt>
            </c:numLit>
          </c:val>
          <c:smooth val="0"/>
        </c:ser>
        <c:ser>
          <c:idx val="9"/>
          <c:order val="6"/>
          <c:tx>
            <c:v>E (Min)</c:v>
          </c:tx>
          <c:spPr>
            <a:ln w="25400">
              <a:solidFill>
                <a:srgbClr val="00CCFF"/>
              </a:solidFill>
              <a:prstDash val="lgDash"/>
            </a:ln>
          </c:spPr>
          <c:marker>
            <c:symbol val="star"/>
            <c:size val="2"/>
            <c:spPr>
              <a:noFill/>
              <a:ln>
                <a:solidFill>
                  <a:srgbClr val="000080"/>
                </a:solidFill>
                <a:prstDash val="solid"/>
              </a:ln>
            </c:spPr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4.5250000000000004</c:v>
              </c:pt>
              <c:pt idx="1">
                <c:v>4.5500000000000007</c:v>
              </c:pt>
              <c:pt idx="2">
                <c:v>4.5750000000000011</c:v>
              </c:pt>
              <c:pt idx="3">
                <c:v>4.6000000000000014</c:v>
              </c:pt>
              <c:pt idx="4">
                <c:v>4.6250000000000018</c:v>
              </c:pt>
              <c:pt idx="5">
                <c:v>4.6500000000000021</c:v>
              </c:pt>
              <c:pt idx="6">
                <c:v>4.6750000000000025</c:v>
              </c:pt>
              <c:pt idx="7">
                <c:v>4.7000000000000028</c:v>
              </c:pt>
              <c:pt idx="8">
                <c:v>4.7250000000000032</c:v>
              </c:pt>
              <c:pt idx="9">
                <c:v>4.7500000000000036</c:v>
              </c:pt>
              <c:pt idx="10">
                <c:v>4.7750000000000039</c:v>
              </c:pt>
              <c:pt idx="11">
                <c:v>4.8000000000000043</c:v>
              </c:pt>
              <c:pt idx="12">
                <c:v>4.8250000000000046</c:v>
              </c:pt>
              <c:pt idx="13">
                <c:v>4.850000000000005</c:v>
              </c:pt>
              <c:pt idx="14">
                <c:v>4.8750000000000053</c:v>
              </c:pt>
              <c:pt idx="15">
                <c:v>4.9000000000000057</c:v>
              </c:pt>
              <c:pt idx="16">
                <c:v>4.925000000000006</c:v>
              </c:pt>
              <c:pt idx="17">
                <c:v>4.9500000000000064</c:v>
              </c:pt>
              <c:pt idx="18">
                <c:v>4.9750000000000068</c:v>
              </c:pt>
              <c:pt idx="19">
                <c:v>5</c:v>
              </c:pt>
              <c:pt idx="20">
                <c:v>5.1100000000000003</c:v>
              </c:pt>
              <c:pt idx="21">
                <c:v>5.2200000000000006</c:v>
              </c:pt>
              <c:pt idx="22">
                <c:v>5.330000000000001</c:v>
              </c:pt>
              <c:pt idx="23">
                <c:v>5.4400000000000013</c:v>
              </c:pt>
              <c:pt idx="24">
                <c:v>5.5500000000000016</c:v>
              </c:pt>
              <c:pt idx="25">
                <c:v>5.6600000000000019</c:v>
              </c:pt>
              <c:pt idx="26">
                <c:v>5.7700000000000022</c:v>
              </c:pt>
              <c:pt idx="27">
                <c:v>5.8800000000000026</c:v>
              </c:pt>
              <c:pt idx="28">
                <c:v>5.9900000000000029</c:v>
              </c:pt>
              <c:pt idx="29">
                <c:v>6.1000000000000005</c:v>
              </c:pt>
            </c:numLit>
          </c:val>
          <c:smooth val="0"/>
        </c:ser>
        <c:ser>
          <c:idx val="8"/>
          <c:order val="7"/>
          <c:tx>
            <c:v>E (Max)</c:v>
          </c:tx>
          <c:spPr>
            <a:ln w="25400">
              <a:solidFill>
                <a:srgbClr val="FFCC00"/>
              </a:solidFill>
              <a:prstDash val="lgDash"/>
            </a:ln>
          </c:spPr>
          <c:marker>
            <c:symbol val="diamond"/>
            <c:size val="2"/>
            <c:spPr>
              <a:noFill/>
              <a:ln>
                <a:solidFill>
                  <a:srgbClr val="FFCC00"/>
                </a:solidFill>
                <a:prstDash val="solid"/>
              </a:ln>
            </c:spPr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11.675000000000002</c:v>
              </c:pt>
              <c:pt idx="1">
                <c:v>11.700000000000003</c:v>
              </c:pt>
              <c:pt idx="2">
                <c:v>11.725000000000003</c:v>
              </c:pt>
              <c:pt idx="3">
                <c:v>11.750000000000004</c:v>
              </c:pt>
              <c:pt idx="4">
                <c:v>11.775000000000004</c:v>
              </c:pt>
              <c:pt idx="5">
                <c:v>11.8</c:v>
              </c:pt>
              <c:pt idx="6">
                <c:v>11.892857142857144</c:v>
              </c:pt>
              <c:pt idx="7">
                <c:v>11.985714285714288</c:v>
              </c:pt>
              <c:pt idx="8">
                <c:v>12.078571428571431</c:v>
              </c:pt>
              <c:pt idx="9">
                <c:v>12.171428571428574</c:v>
              </c:pt>
              <c:pt idx="10">
                <c:v>12.264285714285718</c:v>
              </c:pt>
              <c:pt idx="11">
                <c:v>12.357142857142861</c:v>
              </c:pt>
              <c:pt idx="12">
                <c:v>12.450000000000005</c:v>
              </c:pt>
              <c:pt idx="13">
                <c:v>12.542857142857148</c:v>
              </c:pt>
              <c:pt idx="14">
                <c:v>12.635714285714291</c:v>
              </c:pt>
              <c:pt idx="15">
                <c:v>12.728571428571435</c:v>
              </c:pt>
              <c:pt idx="16">
                <c:v>12.821428571428578</c:v>
              </c:pt>
              <c:pt idx="17">
                <c:v>12.914285714285722</c:v>
              </c:pt>
              <c:pt idx="18">
                <c:v>13.007142857142865</c:v>
              </c:pt>
              <c:pt idx="19">
                <c:v>13.100000000000001</c:v>
              </c:pt>
              <c:pt idx="20">
                <c:v>13.260000000000002</c:v>
              </c:pt>
              <c:pt idx="21">
                <c:v>13.420000000000002</c:v>
              </c:pt>
              <c:pt idx="22">
                <c:v>13.580000000000002</c:v>
              </c:pt>
              <c:pt idx="23">
                <c:v>13.740000000000002</c:v>
              </c:pt>
              <c:pt idx="24">
                <c:v>13.900000000000002</c:v>
              </c:pt>
              <c:pt idx="25">
                <c:v>14.060000000000002</c:v>
              </c:pt>
              <c:pt idx="26">
                <c:v>14.220000000000002</c:v>
              </c:pt>
              <c:pt idx="27">
                <c:v>14.380000000000003</c:v>
              </c:pt>
              <c:pt idx="28">
                <c:v>14.540000000000003</c:v>
              </c:pt>
              <c:pt idx="29">
                <c:v>14.7</c:v>
              </c:pt>
            </c:numLit>
          </c:val>
          <c:smooth val="0"/>
        </c:ser>
        <c:ser>
          <c:idx val="4"/>
          <c:order val="8"/>
          <c:tx>
            <c:v>E (Mean)</c:v>
          </c:tx>
          <c:spPr>
            <a:ln w="25400">
              <a:solidFill>
                <a:srgbClr val="CC99FF"/>
              </a:solidFill>
              <a:prstDash val="lgDash"/>
            </a:ln>
          </c:spPr>
          <c:marker>
            <c:symbol val="square"/>
            <c:size val="2"/>
            <c:spPr>
              <a:noFill/>
              <a:ln w="9525">
                <a:noFill/>
              </a:ln>
            </c:spPr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8.1000000000000014</c:v>
              </c:pt>
              <c:pt idx="1">
                <c:v>8.1250000000000018</c:v>
              </c:pt>
              <c:pt idx="2">
                <c:v>8.1500000000000021</c:v>
              </c:pt>
              <c:pt idx="3">
                <c:v>8.1750000000000025</c:v>
              </c:pt>
              <c:pt idx="4">
                <c:v>8.2000000000000028</c:v>
              </c:pt>
              <c:pt idx="5">
                <c:v>8.2250000000000014</c:v>
              </c:pt>
              <c:pt idx="6">
                <c:v>8.2839285714285733</c:v>
              </c:pt>
              <c:pt idx="7">
                <c:v>8.3428571428571452</c:v>
              </c:pt>
              <c:pt idx="8">
                <c:v>8.4017857142857171</c:v>
              </c:pt>
              <c:pt idx="9">
                <c:v>8.460714285714289</c:v>
              </c:pt>
              <c:pt idx="10">
                <c:v>8.5196428571428608</c:v>
              </c:pt>
              <c:pt idx="11">
                <c:v>8.5785714285714327</c:v>
              </c:pt>
              <c:pt idx="12">
                <c:v>8.6375000000000046</c:v>
              </c:pt>
              <c:pt idx="13">
                <c:v>8.6964285714285765</c:v>
              </c:pt>
              <c:pt idx="14">
                <c:v>8.7553571428571484</c:v>
              </c:pt>
              <c:pt idx="15">
                <c:v>8.8142857142857203</c:v>
              </c:pt>
              <c:pt idx="16">
                <c:v>8.8732142857142922</c:v>
              </c:pt>
              <c:pt idx="17">
                <c:v>8.932142857142864</c:v>
              </c:pt>
              <c:pt idx="18">
                <c:v>8.9910714285714359</c:v>
              </c:pt>
              <c:pt idx="19">
                <c:v>9.0500000000000007</c:v>
              </c:pt>
              <c:pt idx="20">
                <c:v>9.1850000000000005</c:v>
              </c:pt>
              <c:pt idx="21">
                <c:v>9.32</c:v>
              </c:pt>
              <c:pt idx="22">
                <c:v>9.4550000000000018</c:v>
              </c:pt>
              <c:pt idx="23">
                <c:v>9.5900000000000016</c:v>
              </c:pt>
              <c:pt idx="24">
                <c:v>9.7250000000000014</c:v>
              </c:pt>
              <c:pt idx="25">
                <c:v>9.860000000000003</c:v>
              </c:pt>
              <c:pt idx="26">
                <c:v>9.9950000000000028</c:v>
              </c:pt>
              <c:pt idx="27">
                <c:v>10.130000000000003</c:v>
              </c:pt>
              <c:pt idx="28">
                <c:v>10.265000000000002</c:v>
              </c:pt>
              <c:pt idx="29">
                <c:v>10.4</c:v>
              </c:pt>
            </c:numLit>
          </c:val>
          <c:smooth val="1"/>
        </c:ser>
        <c:ser>
          <c:idx val="14"/>
          <c:order val="10"/>
          <c:tx>
            <c:v>Freezing Level</c:v>
          </c:tx>
          <c:spPr>
            <a:ln w="38100">
              <a:solidFill>
                <a:srgbClr val="000080"/>
              </a:solidFill>
              <a:prstDash val="sysDash"/>
            </a:ln>
          </c:spPr>
          <c:marker>
            <c:symbol val="none"/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344000"/>
        <c:axId val="105362176"/>
      </c:lineChart>
      <c:lineChart>
        <c:grouping val="standard"/>
        <c:varyColors val="0"/>
        <c:ser>
          <c:idx val="3"/>
          <c:order val="4"/>
          <c:tx>
            <c:v>Range</c:v>
          </c:tx>
          <c:spPr>
            <a:ln w="38100">
              <a:solidFill>
                <a:srgbClr val="339966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3.8999999999999986</c:v>
              </c:pt>
              <c:pt idx="1">
                <c:v>7.2999999999999989</c:v>
              </c:pt>
              <c:pt idx="2">
                <c:v>8.5</c:v>
              </c:pt>
              <c:pt idx="3">
                <c:v>7.5</c:v>
              </c:pt>
              <c:pt idx="4">
                <c:v>3.5</c:v>
              </c:pt>
              <c:pt idx="5">
                <c:v>10.499999999999998</c:v>
              </c:pt>
              <c:pt idx="6">
                <c:v>11.099999999999998</c:v>
              </c:pt>
              <c:pt idx="7">
                <c:v>13.899999999999999</c:v>
              </c:pt>
              <c:pt idx="8">
                <c:v>10.199999999999999</c:v>
              </c:pt>
              <c:pt idx="9">
                <c:v>12.9</c:v>
              </c:pt>
              <c:pt idx="10">
                <c:v>13.9</c:v>
              </c:pt>
              <c:pt idx="11">
                <c:v>8.6999999999999993</c:v>
              </c:pt>
              <c:pt idx="12">
                <c:v>8.9</c:v>
              </c:pt>
              <c:pt idx="13">
                <c:v>6.1</c:v>
              </c:pt>
              <c:pt idx="14">
                <c:v>6.9</c:v>
              </c:pt>
              <c:pt idx="15">
                <c:v>8.0999999999999979</c:v>
              </c:pt>
              <c:pt idx="16">
                <c:v>11.7</c:v>
              </c:pt>
              <c:pt idx="17">
                <c:v>11.400000000000002</c:v>
              </c:pt>
              <c:pt idx="18">
                <c:v>15.099999999999998</c:v>
              </c:pt>
              <c:pt idx="19">
                <c:v>15.299999999999999</c:v>
              </c:pt>
              <c:pt idx="20">
                <c:v>12.799999999999999</c:v>
              </c:pt>
              <c:pt idx="21">
                <c:v>16</c:v>
              </c:pt>
              <c:pt idx="22">
                <c:v>16.399999999999999</c:v>
              </c:pt>
              <c:pt idx="23">
                <c:v>10.299999999999999</c:v>
              </c:pt>
              <c:pt idx="24">
                <c:v>10.600000000000001</c:v>
              </c:pt>
              <c:pt idx="25">
                <c:v>7.1</c:v>
              </c:pt>
              <c:pt idx="26">
                <c:v>9.3000000000000007</c:v>
              </c:pt>
              <c:pt idx="27">
                <c:v>9.1</c:v>
              </c:pt>
              <c:pt idx="28">
                <c:v>10.4</c:v>
              </c:pt>
              <c:pt idx="29">
                <c:v>8.7999999999999989</c:v>
              </c:pt>
            </c:numLit>
          </c:val>
          <c:smooth val="0"/>
        </c:ser>
        <c:ser>
          <c:idx val="12"/>
          <c:order val="5"/>
          <c:tx>
            <c:v>Cumulative Range</c:v>
          </c:tx>
          <c:spPr>
            <a:ln w="12700">
              <a:solidFill>
                <a:srgbClr val="008000"/>
              </a:solidFill>
              <a:prstDash val="solid"/>
            </a:ln>
          </c:spPr>
          <c:marker>
            <c:symbol val="none"/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3.8999999999999986</c:v>
              </c:pt>
              <c:pt idx="1">
                <c:v>5.5999999999999988</c:v>
              </c:pt>
              <c:pt idx="2">
                <c:v>6.5666666666666655</c:v>
              </c:pt>
              <c:pt idx="3">
                <c:v>6.7999999999999989</c:v>
              </c:pt>
              <c:pt idx="4">
                <c:v>6.1399999999999988</c:v>
              </c:pt>
              <c:pt idx="5">
                <c:v>6.8666666666666663</c:v>
              </c:pt>
              <c:pt idx="6">
                <c:v>7.4714285714285706</c:v>
              </c:pt>
              <c:pt idx="7">
                <c:v>8.2749999999999986</c:v>
              </c:pt>
              <c:pt idx="8">
                <c:v>8.4888888888888872</c:v>
              </c:pt>
              <c:pt idx="9">
                <c:v>8.93</c:v>
              </c:pt>
              <c:pt idx="10">
                <c:v>9.3818181818181827</c:v>
              </c:pt>
              <c:pt idx="11">
                <c:v>9.3250000000000011</c:v>
              </c:pt>
              <c:pt idx="12">
                <c:v>9.292307692307693</c:v>
              </c:pt>
              <c:pt idx="13">
                <c:v>9.0642857142857149</c:v>
              </c:pt>
              <c:pt idx="14">
                <c:v>8.92</c:v>
              </c:pt>
              <c:pt idx="15">
                <c:v>8.8687500000000004</c:v>
              </c:pt>
              <c:pt idx="16">
                <c:v>9.0352941176470587</c:v>
              </c:pt>
              <c:pt idx="17">
                <c:v>9.1666666666666661</c:v>
              </c:pt>
              <c:pt idx="18">
                <c:v>9.4789473684210517</c:v>
              </c:pt>
              <c:pt idx="19">
                <c:v>9.77</c:v>
              </c:pt>
              <c:pt idx="20">
                <c:v>9.9142857142857146</c:v>
              </c:pt>
              <c:pt idx="21">
                <c:v>10.190909090909091</c:v>
              </c:pt>
              <c:pt idx="22">
                <c:v>10.460869565217392</c:v>
              </c:pt>
              <c:pt idx="23">
                <c:v>10.454166666666667</c:v>
              </c:pt>
              <c:pt idx="24">
                <c:v>10.460000000000003</c:v>
              </c:pt>
              <c:pt idx="25">
                <c:v>10.330769230769233</c:v>
              </c:pt>
              <c:pt idx="26">
                <c:v>10.292592592592596</c:v>
              </c:pt>
              <c:pt idx="27">
                <c:v>10.250000000000004</c:v>
              </c:pt>
              <c:pt idx="28">
                <c:v>10.255172413793106</c:v>
              </c:pt>
              <c:pt idx="29">
                <c:v>10.206666666666671</c:v>
              </c:pt>
            </c:numLit>
          </c:val>
          <c:smooth val="0"/>
        </c:ser>
        <c:ser>
          <c:idx val="11"/>
          <c:order val="9"/>
          <c:tx>
            <c:v>E (Range)</c:v>
          </c:tx>
          <c:spPr>
            <a:ln w="25400">
              <a:solidFill>
                <a:srgbClr val="00FF00"/>
              </a:solidFill>
              <a:prstDash val="lgDash"/>
            </a:ln>
          </c:spPr>
          <c:marker>
            <c:symbol val="none"/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7.8000000000000007</c:v>
              </c:pt>
              <c:pt idx="1">
                <c:v>7.8000000000000007</c:v>
              </c:pt>
              <c:pt idx="2">
                <c:v>7.8000000000000007</c:v>
              </c:pt>
              <c:pt idx="3">
                <c:v>7.8000000000000007</c:v>
              </c:pt>
              <c:pt idx="4">
                <c:v>7.8000000000000007</c:v>
              </c:pt>
              <c:pt idx="5">
                <c:v>7.8000000000000007</c:v>
              </c:pt>
              <c:pt idx="6">
                <c:v>7.8000000000000007</c:v>
              </c:pt>
              <c:pt idx="7">
                <c:v>7.8000000000000007</c:v>
              </c:pt>
              <c:pt idx="8">
                <c:v>7.8000000000000007</c:v>
              </c:pt>
              <c:pt idx="9">
                <c:v>7.8000000000000007</c:v>
              </c:pt>
              <c:pt idx="10">
                <c:v>7.8000000000000007</c:v>
              </c:pt>
              <c:pt idx="11">
                <c:v>7.8000000000000007</c:v>
              </c:pt>
              <c:pt idx="12">
                <c:v>7.8000000000000007</c:v>
              </c:pt>
              <c:pt idx="13">
                <c:v>7.8000000000000007</c:v>
              </c:pt>
              <c:pt idx="14">
                <c:v>7.8000000000000007</c:v>
              </c:pt>
              <c:pt idx="15">
                <c:v>7.8000000000000007</c:v>
              </c:pt>
              <c:pt idx="16">
                <c:v>7.8000000000000007</c:v>
              </c:pt>
              <c:pt idx="17">
                <c:v>7.8000000000000007</c:v>
              </c:pt>
              <c:pt idx="18">
                <c:v>7.8000000000000007</c:v>
              </c:pt>
              <c:pt idx="19">
                <c:v>7.8000000000000007</c:v>
              </c:pt>
              <c:pt idx="20">
                <c:v>7.8000000000000007</c:v>
              </c:pt>
              <c:pt idx="21">
                <c:v>7.8000000000000007</c:v>
              </c:pt>
              <c:pt idx="22">
                <c:v>7.8000000000000007</c:v>
              </c:pt>
              <c:pt idx="23">
                <c:v>7.8000000000000007</c:v>
              </c:pt>
              <c:pt idx="24">
                <c:v>7.8000000000000007</c:v>
              </c:pt>
              <c:pt idx="25">
                <c:v>7.8000000000000007</c:v>
              </c:pt>
              <c:pt idx="26">
                <c:v>7.8000000000000007</c:v>
              </c:pt>
              <c:pt idx="27">
                <c:v>7.8000000000000007</c:v>
              </c:pt>
              <c:pt idx="28">
                <c:v>7.8000000000000007</c:v>
              </c:pt>
              <c:pt idx="29">
                <c:v>7.8000000000000007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363712"/>
        <c:axId val="105369600"/>
      </c:lineChart>
      <c:catAx>
        <c:axId val="105344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5362176"/>
        <c:crossesAt val="-10"/>
        <c:auto val="1"/>
        <c:lblAlgn val="ctr"/>
        <c:lblOffset val="100"/>
        <c:tickLblSkip val="1"/>
        <c:tickMarkSkip val="1"/>
        <c:noMultiLvlLbl val="0"/>
      </c:catAx>
      <c:valAx>
        <c:axId val="105362176"/>
        <c:scaling>
          <c:orientation val="minMax"/>
          <c:max val="27"/>
          <c:min val="-5"/>
        </c:scaling>
        <c:delete val="0"/>
        <c:axPos val="l"/>
        <c:majorGridlines>
          <c:spPr>
            <a:ln w="12700">
              <a:solidFill>
                <a:srgbClr val="333333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5344000"/>
        <c:crosses val="autoZero"/>
        <c:crossBetween val="between"/>
        <c:majorUnit val="5"/>
      </c:valAx>
      <c:catAx>
        <c:axId val="1053637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5369600"/>
        <c:crosses val="autoZero"/>
        <c:auto val="1"/>
        <c:lblAlgn val="ctr"/>
        <c:lblOffset val="100"/>
        <c:noMultiLvlLbl val="0"/>
      </c:catAx>
      <c:valAx>
        <c:axId val="105369600"/>
        <c:scaling>
          <c:orientation val="minMax"/>
          <c:max val="64"/>
          <c:min val="0"/>
        </c:scaling>
        <c:delete val="0"/>
        <c:axPos val="r"/>
        <c:numFmt formatCode="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5363712"/>
        <c:crosses val="max"/>
        <c:crossBetween val="between"/>
        <c:majorUnit val="10"/>
      </c:valAx>
      <c:spPr>
        <a:solidFill>
          <a:srgbClr val="969696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0.32884274952464987"/>
          <c:y val="0.13647071174926664"/>
          <c:w val="0.57685261173339253"/>
          <c:h val="0.2505884823220627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01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7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 horizontalDpi="-3"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Relative Humidity / %</a:t>
            </a:r>
          </a:p>
        </c:rich>
      </c:tx>
      <c:layout>
        <c:manualLayout>
          <c:xMode val="edge"/>
          <c:yMode val="edge"/>
          <c:x val="0.44022072348252606"/>
          <c:y val="2.594339622641509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429797670141016E-2"/>
          <c:y val="9.4339622641509441E-2"/>
          <c:w val="0.94788473329245859"/>
          <c:h val="0.85495283018867929"/>
        </c:manualLayout>
      </c:layout>
      <c:lineChart>
        <c:grouping val="standard"/>
        <c:varyColors val="0"/>
        <c:ser>
          <c:idx val="2"/>
          <c:order val="0"/>
          <c:tx>
            <c:v>Max</c:v>
          </c:tx>
          <c:spPr>
            <a:ln w="38100">
              <a:solidFill>
                <a:srgbClr val="008000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003300"/>
              </a:solidFill>
              <a:ln>
                <a:solidFill>
                  <a:srgbClr val="003300"/>
                </a:solidFill>
                <a:prstDash val="solid"/>
              </a:ln>
            </c:spPr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90</c:v>
              </c:pt>
              <c:pt idx="1">
                <c:v>85</c:v>
              </c:pt>
              <c:pt idx="2">
                <c:v>78</c:v>
              </c:pt>
              <c:pt idx="3">
                <c:v>86</c:v>
              </c:pt>
              <c:pt idx="4">
                <c:v>91</c:v>
              </c:pt>
              <c:pt idx="5">
                <c:v>91</c:v>
              </c:pt>
              <c:pt idx="6">
                <c:v>76</c:v>
              </c:pt>
              <c:pt idx="7">
                <c:v>80</c:v>
              </c:pt>
              <c:pt idx="8">
                <c:v>71</c:v>
              </c:pt>
              <c:pt idx="9">
                <c:v>81</c:v>
              </c:pt>
              <c:pt idx="10">
                <c:v>77</c:v>
              </c:pt>
              <c:pt idx="11">
                <c:v>76</c:v>
              </c:pt>
              <c:pt idx="12">
                <c:v>72</c:v>
              </c:pt>
              <c:pt idx="13">
                <c:v>73</c:v>
              </c:pt>
              <c:pt idx="14">
                <c:v>71</c:v>
              </c:pt>
              <c:pt idx="15">
                <c:v>72</c:v>
              </c:pt>
              <c:pt idx="16">
                <c:v>86</c:v>
              </c:pt>
              <c:pt idx="17">
                <c:v>86</c:v>
              </c:pt>
              <c:pt idx="18">
                <c:v>73</c:v>
              </c:pt>
              <c:pt idx="19">
                <c:v>79</c:v>
              </c:pt>
              <c:pt idx="20">
                <c:v>66</c:v>
              </c:pt>
              <c:pt idx="21">
                <c:v>75</c:v>
              </c:pt>
              <c:pt idx="22">
                <c:v>79</c:v>
              </c:pt>
              <c:pt idx="23">
                <c:v>83</c:v>
              </c:pt>
              <c:pt idx="24">
                <c:v>84</c:v>
              </c:pt>
              <c:pt idx="25">
                <c:v>82</c:v>
              </c:pt>
              <c:pt idx="26">
                <c:v>78</c:v>
              </c:pt>
              <c:pt idx="27">
                <c:v>87</c:v>
              </c:pt>
              <c:pt idx="28">
                <c:v>88</c:v>
              </c:pt>
              <c:pt idx="29">
                <c:v>82</c:v>
              </c:pt>
            </c:numLit>
          </c:val>
          <c:smooth val="0"/>
        </c:ser>
        <c:ser>
          <c:idx val="1"/>
          <c:order val="1"/>
          <c:tx>
            <c:v>Min</c:v>
          </c:tx>
          <c:spPr>
            <a:ln w="38100">
              <a:solidFill>
                <a:srgbClr val="FF9900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FF6600"/>
              </a:solidFill>
              <a:ln>
                <a:solidFill>
                  <a:srgbClr val="FF6600"/>
                </a:solidFill>
                <a:prstDash val="solid"/>
              </a:ln>
            </c:spPr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68</c:v>
              </c:pt>
              <c:pt idx="1">
                <c:v>48</c:v>
              </c:pt>
              <c:pt idx="2">
                <c:v>51</c:v>
              </c:pt>
              <c:pt idx="3">
                <c:v>46</c:v>
              </c:pt>
              <c:pt idx="4">
                <c:v>74</c:v>
              </c:pt>
              <c:pt idx="5">
                <c:v>31</c:v>
              </c:pt>
              <c:pt idx="6">
                <c:v>48</c:v>
              </c:pt>
              <c:pt idx="7">
                <c:v>36</c:v>
              </c:pt>
              <c:pt idx="8">
                <c:v>42</c:v>
              </c:pt>
              <c:pt idx="9">
                <c:v>33</c:v>
              </c:pt>
              <c:pt idx="10">
                <c:v>47</c:v>
              </c:pt>
              <c:pt idx="11">
                <c:v>36</c:v>
              </c:pt>
              <c:pt idx="12">
                <c:v>45</c:v>
              </c:pt>
              <c:pt idx="13">
                <c:v>54</c:v>
              </c:pt>
              <c:pt idx="14">
                <c:v>45</c:v>
              </c:pt>
              <c:pt idx="15">
                <c:v>46</c:v>
              </c:pt>
              <c:pt idx="16">
                <c:v>43</c:v>
              </c:pt>
              <c:pt idx="17">
                <c:v>33</c:v>
              </c:pt>
              <c:pt idx="18">
                <c:v>26</c:v>
              </c:pt>
              <c:pt idx="19">
                <c:v>33</c:v>
              </c:pt>
              <c:pt idx="20">
                <c:v>31</c:v>
              </c:pt>
              <c:pt idx="21">
                <c:v>31</c:v>
              </c:pt>
              <c:pt idx="22">
                <c:v>30</c:v>
              </c:pt>
              <c:pt idx="23">
                <c:v>48</c:v>
              </c:pt>
              <c:pt idx="24">
                <c:v>33</c:v>
              </c:pt>
              <c:pt idx="25">
                <c:v>63</c:v>
              </c:pt>
              <c:pt idx="26">
                <c:v>36</c:v>
              </c:pt>
              <c:pt idx="27">
                <c:v>59</c:v>
              </c:pt>
              <c:pt idx="28">
                <c:v>51</c:v>
              </c:pt>
              <c:pt idx="29">
                <c:v>43</c:v>
              </c:pt>
            </c:numLit>
          </c:val>
          <c:smooth val="0"/>
        </c:ser>
        <c:ser>
          <c:idx val="3"/>
          <c:order val="2"/>
          <c:tx>
            <c:v>Mean</c:v>
          </c:tx>
          <c:spPr>
            <a:ln w="38100">
              <a:solidFill>
                <a:srgbClr val="993366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800080"/>
              </a:solidFill>
              <a:ln>
                <a:solidFill>
                  <a:srgbClr val="800080"/>
                </a:solidFill>
                <a:prstDash val="solid"/>
              </a:ln>
            </c:spPr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80</c:v>
              </c:pt>
              <c:pt idx="1">
                <c:v>68</c:v>
              </c:pt>
              <c:pt idx="2">
                <c:v>64</c:v>
              </c:pt>
              <c:pt idx="3">
                <c:v>67</c:v>
              </c:pt>
              <c:pt idx="4">
                <c:v>84</c:v>
              </c:pt>
              <c:pt idx="5">
                <c:v>60</c:v>
              </c:pt>
              <c:pt idx="6">
                <c:v>60</c:v>
              </c:pt>
              <c:pt idx="7">
                <c:v>57</c:v>
              </c:pt>
              <c:pt idx="8">
                <c:v>55</c:v>
              </c:pt>
              <c:pt idx="9">
                <c:v>59</c:v>
              </c:pt>
              <c:pt idx="10">
                <c:v>61</c:v>
              </c:pt>
              <c:pt idx="11">
                <c:v>54</c:v>
              </c:pt>
              <c:pt idx="12">
                <c:v>57</c:v>
              </c:pt>
              <c:pt idx="13">
                <c:v>65</c:v>
              </c:pt>
              <c:pt idx="14">
                <c:v>58</c:v>
              </c:pt>
              <c:pt idx="15">
                <c:v>60</c:v>
              </c:pt>
              <c:pt idx="16">
                <c:v>64</c:v>
              </c:pt>
              <c:pt idx="17">
                <c:v>59</c:v>
              </c:pt>
              <c:pt idx="18">
                <c:v>52</c:v>
              </c:pt>
              <c:pt idx="19">
                <c:v>54</c:v>
              </c:pt>
              <c:pt idx="20">
                <c:v>48</c:v>
              </c:pt>
              <c:pt idx="21">
                <c:v>50</c:v>
              </c:pt>
              <c:pt idx="22">
                <c:v>52</c:v>
              </c:pt>
              <c:pt idx="23">
                <c:v>65</c:v>
              </c:pt>
              <c:pt idx="24">
                <c:v>58</c:v>
              </c:pt>
              <c:pt idx="25">
                <c:v>73</c:v>
              </c:pt>
              <c:pt idx="26">
                <c:v>59</c:v>
              </c:pt>
              <c:pt idx="27">
                <c:v>74</c:v>
              </c:pt>
              <c:pt idx="28">
                <c:v>73</c:v>
              </c:pt>
              <c:pt idx="29">
                <c:v>61</c:v>
              </c:pt>
            </c:numLit>
          </c:val>
          <c:smooth val="0"/>
        </c:ser>
        <c:ser>
          <c:idx val="5"/>
          <c:order val="5"/>
          <c:tx>
            <c:v>Cumulative Mean</c:v>
          </c:tx>
          <c:spPr>
            <a:ln w="12700">
              <a:solidFill>
                <a:srgbClr val="CC99FF"/>
              </a:solidFill>
              <a:prstDash val="solid"/>
            </a:ln>
          </c:spPr>
          <c:marker>
            <c:symbol val="none"/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80</c:v>
              </c:pt>
              <c:pt idx="1">
                <c:v>74</c:v>
              </c:pt>
              <c:pt idx="2">
                <c:v>70.666666666666671</c:v>
              </c:pt>
              <c:pt idx="3">
                <c:v>69.75</c:v>
              </c:pt>
              <c:pt idx="4">
                <c:v>72.599999999999994</c:v>
              </c:pt>
              <c:pt idx="5">
                <c:v>70.5</c:v>
              </c:pt>
              <c:pt idx="6">
                <c:v>69</c:v>
              </c:pt>
              <c:pt idx="7">
                <c:v>67.5</c:v>
              </c:pt>
              <c:pt idx="8">
                <c:v>66.111111111111114</c:v>
              </c:pt>
              <c:pt idx="9">
                <c:v>65.400000000000006</c:v>
              </c:pt>
              <c:pt idx="10">
                <c:v>65</c:v>
              </c:pt>
              <c:pt idx="11">
                <c:v>64.083333333333329</c:v>
              </c:pt>
              <c:pt idx="12">
                <c:v>63.53846153846154</c:v>
              </c:pt>
              <c:pt idx="13">
                <c:v>63.642857142857146</c:v>
              </c:pt>
              <c:pt idx="14">
                <c:v>63.266666666666666</c:v>
              </c:pt>
              <c:pt idx="15">
                <c:v>63.0625</c:v>
              </c:pt>
              <c:pt idx="16">
                <c:v>63.117647058823529</c:v>
              </c:pt>
              <c:pt idx="17">
                <c:v>62.888888888888886</c:v>
              </c:pt>
              <c:pt idx="18">
                <c:v>62.315789473684212</c:v>
              </c:pt>
              <c:pt idx="19">
                <c:v>61.9</c:v>
              </c:pt>
              <c:pt idx="20">
                <c:v>61.238095238095241</c:v>
              </c:pt>
              <c:pt idx="21">
                <c:v>60.727272727272727</c:v>
              </c:pt>
              <c:pt idx="22">
                <c:v>60.347826086956523</c:v>
              </c:pt>
              <c:pt idx="23">
                <c:v>60.541666666666664</c:v>
              </c:pt>
              <c:pt idx="24">
                <c:v>60.44</c:v>
              </c:pt>
              <c:pt idx="25">
                <c:v>60.92307692307692</c:v>
              </c:pt>
              <c:pt idx="26">
                <c:v>60.851851851851855</c:v>
              </c:pt>
              <c:pt idx="27">
                <c:v>61.321428571428569</c:v>
              </c:pt>
              <c:pt idx="28">
                <c:v>61.724137931034484</c:v>
              </c:pt>
              <c:pt idx="29">
                <c:v>61.7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784832"/>
        <c:axId val="105786368"/>
      </c:lineChart>
      <c:lineChart>
        <c:grouping val="standard"/>
        <c:varyColors val="0"/>
        <c:ser>
          <c:idx val="0"/>
          <c:order val="3"/>
          <c:tx>
            <c:v>Range</c:v>
          </c:tx>
          <c:spPr>
            <a:ln w="25400">
              <a:solidFill>
                <a:srgbClr val="00FF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339966"/>
              </a:solidFill>
              <a:ln>
                <a:solidFill>
                  <a:srgbClr val="339966"/>
                </a:solidFill>
                <a:prstDash val="solid"/>
              </a:ln>
            </c:spPr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22</c:v>
              </c:pt>
              <c:pt idx="1">
                <c:v>37</c:v>
              </c:pt>
              <c:pt idx="2">
                <c:v>27</c:v>
              </c:pt>
              <c:pt idx="3">
                <c:v>40</c:v>
              </c:pt>
              <c:pt idx="4">
                <c:v>17</c:v>
              </c:pt>
              <c:pt idx="5">
                <c:v>60</c:v>
              </c:pt>
              <c:pt idx="6">
                <c:v>28</c:v>
              </c:pt>
              <c:pt idx="7">
                <c:v>44</c:v>
              </c:pt>
              <c:pt idx="8">
                <c:v>29</c:v>
              </c:pt>
              <c:pt idx="9">
                <c:v>48</c:v>
              </c:pt>
              <c:pt idx="10">
                <c:v>30</c:v>
              </c:pt>
              <c:pt idx="11">
                <c:v>40</c:v>
              </c:pt>
              <c:pt idx="12">
                <c:v>27</c:v>
              </c:pt>
              <c:pt idx="13">
                <c:v>19</c:v>
              </c:pt>
              <c:pt idx="14">
                <c:v>26</c:v>
              </c:pt>
              <c:pt idx="15">
                <c:v>26</c:v>
              </c:pt>
              <c:pt idx="16">
                <c:v>43</c:v>
              </c:pt>
              <c:pt idx="17">
                <c:v>53</c:v>
              </c:pt>
              <c:pt idx="18">
                <c:v>47</c:v>
              </c:pt>
              <c:pt idx="19">
                <c:v>46</c:v>
              </c:pt>
              <c:pt idx="20">
                <c:v>35</c:v>
              </c:pt>
              <c:pt idx="21">
                <c:v>44</c:v>
              </c:pt>
              <c:pt idx="22">
                <c:v>49</c:v>
              </c:pt>
              <c:pt idx="23">
                <c:v>35</c:v>
              </c:pt>
              <c:pt idx="24">
                <c:v>51</c:v>
              </c:pt>
              <c:pt idx="25">
                <c:v>19</c:v>
              </c:pt>
              <c:pt idx="26">
                <c:v>42</c:v>
              </c:pt>
              <c:pt idx="27">
                <c:v>28</c:v>
              </c:pt>
              <c:pt idx="28">
                <c:v>37</c:v>
              </c:pt>
              <c:pt idx="29">
                <c:v>39</c:v>
              </c:pt>
            </c:numLit>
          </c:val>
          <c:smooth val="0"/>
        </c:ser>
        <c:ser>
          <c:idx val="4"/>
          <c:order val="4"/>
          <c:tx>
            <c:v>Rainfall</c:v>
          </c:tx>
          <c:spPr>
            <a:ln w="25400">
              <a:solidFill>
                <a:srgbClr val="33CCCC"/>
              </a:solidFill>
              <a:prstDash val="solid"/>
            </a:ln>
          </c:spPr>
          <c:marker>
            <c:symbol val="none"/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1.4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0.3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0.1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800448"/>
        <c:axId val="105801984"/>
      </c:lineChart>
      <c:catAx>
        <c:axId val="1057848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57863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5786368"/>
        <c:scaling>
          <c:orientation val="minMax"/>
          <c:max val="100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5784832"/>
        <c:crosses val="autoZero"/>
        <c:crossBetween val="between"/>
        <c:majorUnit val="10"/>
      </c:valAx>
      <c:catAx>
        <c:axId val="1058004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5801984"/>
        <c:crosses val="autoZero"/>
        <c:auto val="1"/>
        <c:lblAlgn val="ctr"/>
        <c:lblOffset val="100"/>
        <c:noMultiLvlLbl val="0"/>
      </c:catAx>
      <c:valAx>
        <c:axId val="105801984"/>
        <c:scaling>
          <c:orientation val="minMax"/>
          <c:max val="200"/>
          <c:min val="0"/>
        </c:scaling>
        <c:delete val="0"/>
        <c:axPos val="r"/>
        <c:numFmt formatCode="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5800448"/>
        <c:crosses val="max"/>
        <c:crossBetween val="between"/>
        <c:majorUnit val="20"/>
      </c:valAx>
      <c:spPr>
        <a:solidFill>
          <a:srgbClr val="969696"/>
        </a:solidFill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6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Pressure / hPa</a:t>
            </a:r>
          </a:p>
        </c:rich>
      </c:tx>
      <c:layout>
        <c:manualLayout>
          <c:xMode val="edge"/>
          <c:yMode val="edge"/>
          <c:x val="0.45677498467198036"/>
          <c:y val="1.891252955082742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94788473329246E-2"/>
          <c:y val="8.8652584603770276E-2"/>
          <c:w val="0.94236664622930721"/>
          <c:h val="0.86052108788726345"/>
        </c:manualLayout>
      </c:layout>
      <c:lineChart>
        <c:grouping val="standard"/>
        <c:varyColors val="0"/>
        <c:ser>
          <c:idx val="5"/>
          <c:order val="0"/>
          <c:tx>
            <c:v>Cum. Mean</c:v>
          </c:tx>
          <c:spPr>
            <a:ln w="12700">
              <a:solidFill>
                <a:srgbClr val="993366"/>
              </a:solidFill>
              <a:prstDash val="solid"/>
            </a:ln>
          </c:spPr>
          <c:marker>
            <c:symbol val="square"/>
            <c:size val="2"/>
            <c:spPr>
              <a:noFill/>
              <a:ln>
                <a:solidFill>
                  <a:srgbClr val="808080"/>
                </a:solidFill>
                <a:prstDash val="solid"/>
              </a:ln>
            </c:spPr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1017</c:v>
              </c:pt>
              <c:pt idx="1">
                <c:v>1014.25</c:v>
              </c:pt>
              <c:pt idx="2">
                <c:v>1014.5</c:v>
              </c:pt>
              <c:pt idx="3">
                <c:v>1016</c:v>
              </c:pt>
              <c:pt idx="4">
                <c:v>1017.2</c:v>
              </c:pt>
              <c:pt idx="5">
                <c:v>1018.5833333333334</c:v>
              </c:pt>
              <c:pt idx="6">
                <c:v>1019.7857142857143</c:v>
              </c:pt>
              <c:pt idx="7">
                <c:v>1020.75</c:v>
              </c:pt>
              <c:pt idx="8">
                <c:v>1021.3333333333334</c:v>
              </c:pt>
              <c:pt idx="9">
                <c:v>1021.65</c:v>
              </c:pt>
              <c:pt idx="10">
                <c:v>1021.7727272727273</c:v>
              </c:pt>
              <c:pt idx="11">
                <c:v>1022.2916666666666</c:v>
              </c:pt>
              <c:pt idx="12">
                <c:v>1022.4615384615385</c:v>
              </c:pt>
              <c:pt idx="13">
                <c:v>1022.2142857142857</c:v>
              </c:pt>
              <c:pt idx="14">
                <c:v>1022.1</c:v>
              </c:pt>
              <c:pt idx="15">
                <c:v>1022.125</c:v>
              </c:pt>
              <c:pt idx="16">
                <c:v>1022.2941176470588</c:v>
              </c:pt>
              <c:pt idx="17">
                <c:v>1022.0833333333334</c:v>
              </c:pt>
              <c:pt idx="18">
                <c:v>1021.6578947368421</c:v>
              </c:pt>
              <c:pt idx="19">
                <c:v>1021.325</c:v>
              </c:pt>
              <c:pt idx="20">
                <c:v>1020.952380952381</c:v>
              </c:pt>
              <c:pt idx="21">
                <c:v>1020.4318181818181</c:v>
              </c:pt>
              <c:pt idx="22">
                <c:v>1020.0869565217391</c:v>
              </c:pt>
              <c:pt idx="23">
                <c:v>1020.0416666666666</c:v>
              </c:pt>
              <c:pt idx="24">
                <c:v>1020.18</c:v>
              </c:pt>
              <c:pt idx="25">
                <c:v>1020.3653846153846</c:v>
              </c:pt>
              <c:pt idx="26">
                <c:v>1020.5185185185185</c:v>
              </c:pt>
              <c:pt idx="27">
                <c:v>1020.5</c:v>
              </c:pt>
              <c:pt idx="28">
                <c:v>1020.2413793103449</c:v>
              </c:pt>
              <c:pt idx="29">
                <c:v>1019.85</c:v>
              </c:pt>
            </c:numLit>
          </c:val>
          <c:smooth val="0"/>
        </c:ser>
        <c:ser>
          <c:idx val="1"/>
          <c:order val="1"/>
          <c:tx>
            <c:v>Max</c:v>
          </c:tx>
          <c:spPr>
            <a:ln w="38100">
              <a:solidFill>
                <a:srgbClr val="00CCFF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1019</c:v>
              </c:pt>
              <c:pt idx="1">
                <c:v>1015</c:v>
              </c:pt>
              <c:pt idx="2">
                <c:v>1017</c:v>
              </c:pt>
              <c:pt idx="3">
                <c:v>1023</c:v>
              </c:pt>
              <c:pt idx="4">
                <c:v>1024</c:v>
              </c:pt>
              <c:pt idx="5">
                <c:v>1027</c:v>
              </c:pt>
              <c:pt idx="6">
                <c:v>1029</c:v>
              </c:pt>
              <c:pt idx="7">
                <c:v>1029</c:v>
              </c:pt>
              <c:pt idx="8">
                <c:v>1028</c:v>
              </c:pt>
              <c:pt idx="9">
                <c:v>1025</c:v>
              </c:pt>
              <c:pt idx="10">
                <c:v>1025</c:v>
              </c:pt>
              <c:pt idx="11">
                <c:v>1030</c:v>
              </c:pt>
              <c:pt idx="12">
                <c:v>1029</c:v>
              </c:pt>
              <c:pt idx="13">
                <c:v>1020</c:v>
              </c:pt>
              <c:pt idx="14">
                <c:v>1022</c:v>
              </c:pt>
              <c:pt idx="15">
                <c:v>1024</c:v>
              </c:pt>
              <c:pt idx="16">
                <c:v>1026</c:v>
              </c:pt>
              <c:pt idx="17">
                <c:v>1024</c:v>
              </c:pt>
              <c:pt idx="18">
                <c:v>1016</c:v>
              </c:pt>
              <c:pt idx="19">
                <c:v>1016</c:v>
              </c:pt>
              <c:pt idx="20">
                <c:v>1016</c:v>
              </c:pt>
              <c:pt idx="21">
                <c:v>1011</c:v>
              </c:pt>
              <c:pt idx="22">
                <c:v>1015</c:v>
              </c:pt>
              <c:pt idx="23">
                <c:v>1023</c:v>
              </c:pt>
              <c:pt idx="24">
                <c:v>1025</c:v>
              </c:pt>
              <c:pt idx="25">
                <c:v>1026</c:v>
              </c:pt>
              <c:pt idx="26">
                <c:v>1026</c:v>
              </c:pt>
              <c:pt idx="27">
                <c:v>1024</c:v>
              </c:pt>
              <c:pt idx="28">
                <c:v>1016</c:v>
              </c:pt>
              <c:pt idx="29">
                <c:v>1010</c:v>
              </c:pt>
            </c:numLit>
          </c:val>
          <c:smooth val="0"/>
        </c:ser>
        <c:ser>
          <c:idx val="0"/>
          <c:order val="3"/>
          <c:tx>
            <c:v>Min</c:v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1015</c:v>
              </c:pt>
              <c:pt idx="1">
                <c:v>1008</c:v>
              </c:pt>
              <c:pt idx="2">
                <c:v>1013</c:v>
              </c:pt>
              <c:pt idx="3">
                <c:v>1018</c:v>
              </c:pt>
              <c:pt idx="4">
                <c:v>1020</c:v>
              </c:pt>
              <c:pt idx="5">
                <c:v>1024</c:v>
              </c:pt>
              <c:pt idx="6">
                <c:v>1025</c:v>
              </c:pt>
              <c:pt idx="7">
                <c:v>1026</c:v>
              </c:pt>
              <c:pt idx="8">
                <c:v>1024</c:v>
              </c:pt>
              <c:pt idx="9">
                <c:v>1024</c:v>
              </c:pt>
              <c:pt idx="10">
                <c:v>1021</c:v>
              </c:pt>
              <c:pt idx="11">
                <c:v>1026</c:v>
              </c:pt>
              <c:pt idx="12">
                <c:v>1020</c:v>
              </c:pt>
              <c:pt idx="13">
                <c:v>1018</c:v>
              </c:pt>
              <c:pt idx="14">
                <c:v>1019</c:v>
              </c:pt>
              <c:pt idx="15">
                <c:v>1021</c:v>
              </c:pt>
              <c:pt idx="16">
                <c:v>1024</c:v>
              </c:pt>
              <c:pt idx="17">
                <c:v>1013</c:v>
              </c:pt>
              <c:pt idx="18">
                <c:v>1012</c:v>
              </c:pt>
              <c:pt idx="19">
                <c:v>1014</c:v>
              </c:pt>
              <c:pt idx="20">
                <c:v>1011</c:v>
              </c:pt>
              <c:pt idx="21">
                <c:v>1008</c:v>
              </c:pt>
              <c:pt idx="22">
                <c:v>1010</c:v>
              </c:pt>
              <c:pt idx="23">
                <c:v>1015</c:v>
              </c:pt>
              <c:pt idx="24">
                <c:v>1022</c:v>
              </c:pt>
              <c:pt idx="25">
                <c:v>1024</c:v>
              </c:pt>
              <c:pt idx="26">
                <c:v>1023</c:v>
              </c:pt>
              <c:pt idx="27">
                <c:v>1016</c:v>
              </c:pt>
              <c:pt idx="28">
                <c:v>1010</c:v>
              </c:pt>
              <c:pt idx="29">
                <c:v>1007</c:v>
              </c:pt>
            </c:numLit>
          </c:val>
          <c:smooth val="0"/>
        </c:ser>
        <c:ser>
          <c:idx val="4"/>
          <c:order val="4"/>
          <c:tx>
            <c:v>MSLP</c:v>
          </c:tx>
          <c:spPr>
            <a:ln w="25400">
              <a:solidFill>
                <a:srgbClr val="CC99FF"/>
              </a:solidFill>
              <a:prstDash val="lgDash"/>
            </a:ln>
          </c:spPr>
          <c:marker>
            <c:symbol val="none"/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1013.25</c:v>
              </c:pt>
              <c:pt idx="1">
                <c:v>1013.25</c:v>
              </c:pt>
              <c:pt idx="2">
                <c:v>1013.25</c:v>
              </c:pt>
              <c:pt idx="3">
                <c:v>1013.25</c:v>
              </c:pt>
              <c:pt idx="4">
                <c:v>1013.25</c:v>
              </c:pt>
              <c:pt idx="5">
                <c:v>1013.25</c:v>
              </c:pt>
              <c:pt idx="6">
                <c:v>1013.25</c:v>
              </c:pt>
              <c:pt idx="7">
                <c:v>1013.25</c:v>
              </c:pt>
              <c:pt idx="8">
                <c:v>1013.25</c:v>
              </c:pt>
              <c:pt idx="9">
                <c:v>1013.25</c:v>
              </c:pt>
              <c:pt idx="10">
                <c:v>1013.25</c:v>
              </c:pt>
              <c:pt idx="11">
                <c:v>1013.25</c:v>
              </c:pt>
              <c:pt idx="12">
                <c:v>1013.25</c:v>
              </c:pt>
              <c:pt idx="13">
                <c:v>1013.25</c:v>
              </c:pt>
              <c:pt idx="14">
                <c:v>1013.25</c:v>
              </c:pt>
              <c:pt idx="15">
                <c:v>1013.25</c:v>
              </c:pt>
              <c:pt idx="16">
                <c:v>1013.25</c:v>
              </c:pt>
              <c:pt idx="17">
                <c:v>1013.25</c:v>
              </c:pt>
              <c:pt idx="18">
                <c:v>1013.25</c:v>
              </c:pt>
              <c:pt idx="19">
                <c:v>1013.25</c:v>
              </c:pt>
              <c:pt idx="20">
                <c:v>1013.25</c:v>
              </c:pt>
              <c:pt idx="21">
                <c:v>1013.25</c:v>
              </c:pt>
              <c:pt idx="22">
                <c:v>1013.25</c:v>
              </c:pt>
              <c:pt idx="23">
                <c:v>1013.25</c:v>
              </c:pt>
              <c:pt idx="24">
                <c:v>1013.25</c:v>
              </c:pt>
              <c:pt idx="25">
                <c:v>1013.25</c:v>
              </c:pt>
              <c:pt idx="26">
                <c:v>1013.25</c:v>
              </c:pt>
              <c:pt idx="27">
                <c:v>1013.25</c:v>
              </c:pt>
              <c:pt idx="28">
                <c:v>1013.25</c:v>
              </c:pt>
              <c:pt idx="29">
                <c:v>1013.25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913344"/>
        <c:axId val="105919232"/>
      </c:lineChart>
      <c:lineChart>
        <c:grouping val="standard"/>
        <c:varyColors val="0"/>
        <c:ser>
          <c:idx val="3"/>
          <c:order val="2"/>
          <c:tx>
            <c:v>Range</c:v>
          </c:tx>
          <c:spPr>
            <a:ln w="25400">
              <a:solidFill>
                <a:srgbClr val="00FF00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4</c:v>
              </c:pt>
              <c:pt idx="1">
                <c:v>7</c:v>
              </c:pt>
              <c:pt idx="2">
                <c:v>4</c:v>
              </c:pt>
              <c:pt idx="3">
                <c:v>5</c:v>
              </c:pt>
              <c:pt idx="4">
                <c:v>4</c:v>
              </c:pt>
              <c:pt idx="5">
                <c:v>3</c:v>
              </c:pt>
              <c:pt idx="6">
                <c:v>4</c:v>
              </c:pt>
              <c:pt idx="7">
                <c:v>3</c:v>
              </c:pt>
              <c:pt idx="8">
                <c:v>4</c:v>
              </c:pt>
              <c:pt idx="9">
                <c:v>1</c:v>
              </c:pt>
              <c:pt idx="10">
                <c:v>4</c:v>
              </c:pt>
              <c:pt idx="11">
                <c:v>4</c:v>
              </c:pt>
              <c:pt idx="12">
                <c:v>9</c:v>
              </c:pt>
              <c:pt idx="13">
                <c:v>2</c:v>
              </c:pt>
              <c:pt idx="14">
                <c:v>3</c:v>
              </c:pt>
              <c:pt idx="15">
                <c:v>3</c:v>
              </c:pt>
              <c:pt idx="16">
                <c:v>2</c:v>
              </c:pt>
              <c:pt idx="17">
                <c:v>11</c:v>
              </c:pt>
              <c:pt idx="18">
                <c:v>4</c:v>
              </c:pt>
              <c:pt idx="19">
                <c:v>2</c:v>
              </c:pt>
              <c:pt idx="20">
                <c:v>5</c:v>
              </c:pt>
              <c:pt idx="21">
                <c:v>3</c:v>
              </c:pt>
              <c:pt idx="22">
                <c:v>5</c:v>
              </c:pt>
              <c:pt idx="23">
                <c:v>8</c:v>
              </c:pt>
              <c:pt idx="24">
                <c:v>3</c:v>
              </c:pt>
              <c:pt idx="25">
                <c:v>2</c:v>
              </c:pt>
              <c:pt idx="26">
                <c:v>3</c:v>
              </c:pt>
              <c:pt idx="27">
                <c:v>8</c:v>
              </c:pt>
              <c:pt idx="28">
                <c:v>6</c:v>
              </c:pt>
              <c:pt idx="29">
                <c:v>3</c:v>
              </c:pt>
            </c:numLit>
          </c:val>
          <c:smooth val="0"/>
        </c:ser>
        <c:ser>
          <c:idx val="6"/>
          <c:order val="5"/>
          <c:tx>
            <c:v>Rainfall/3</c:v>
          </c:tx>
          <c:spPr>
            <a:ln w="12700">
              <a:solidFill>
                <a:srgbClr val="33CCCC"/>
              </a:solidFill>
              <a:prstDash val="solid"/>
            </a:ln>
          </c:spPr>
          <c:marker>
            <c:symbol val="none"/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0.46666666666666662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9.9999999999999992E-2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3.3333333333333333E-2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920768"/>
        <c:axId val="105926656"/>
      </c:lineChart>
      <c:catAx>
        <c:axId val="105913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59192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5919232"/>
        <c:scaling>
          <c:orientation val="minMax"/>
          <c:max val="1040"/>
          <c:min val="980"/>
        </c:scaling>
        <c:delete val="0"/>
        <c:axPos val="l"/>
        <c:majorGridlines>
          <c:spPr>
            <a:ln w="3175">
              <a:solidFill>
                <a:srgbClr val="333333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5913344"/>
        <c:crosses val="autoZero"/>
        <c:crossBetween val="between"/>
        <c:majorUnit val="10"/>
      </c:valAx>
      <c:catAx>
        <c:axId val="1059207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5926656"/>
        <c:crosses val="autoZero"/>
        <c:auto val="1"/>
        <c:lblAlgn val="ctr"/>
        <c:lblOffset val="100"/>
        <c:noMultiLvlLbl val="0"/>
      </c:catAx>
      <c:valAx>
        <c:axId val="105926656"/>
        <c:scaling>
          <c:orientation val="minMax"/>
          <c:max val="120"/>
          <c:min val="0"/>
        </c:scaling>
        <c:delete val="0"/>
        <c:axPos val="r"/>
        <c:numFmt formatCode="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5920768"/>
        <c:crosses val="max"/>
        <c:crossBetween val="between"/>
        <c:majorUnit val="20"/>
      </c:valAx>
      <c:spPr>
        <a:solidFill>
          <a:srgbClr val="969696"/>
        </a:solidFill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 sz="14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Wind Speed / mh</a:t>
            </a:r>
            <a:r>
              <a:rPr lang="en-GB" sz="1400" b="1" i="0" u="none" strike="noStrike" baseline="30000">
                <a:solidFill>
                  <a:srgbClr val="000000"/>
                </a:solidFill>
                <a:latin typeface="Arial"/>
                <a:cs typeface="Arial"/>
              </a:rPr>
              <a:t>-1</a:t>
            </a:r>
          </a:p>
        </c:rich>
      </c:tx>
      <c:layout>
        <c:manualLayout>
          <c:xMode val="edge"/>
          <c:yMode val="edge"/>
          <c:x val="0.44800000000000001"/>
          <c:y val="2.011834319526627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4E-2"/>
          <c:y val="8.9940828402366862E-2"/>
          <c:w val="0.95753846153846156"/>
          <c:h val="0.85917159763313611"/>
        </c:manualLayout>
      </c:layout>
      <c:lineChart>
        <c:grouping val="standard"/>
        <c:varyColors val="0"/>
        <c:ser>
          <c:idx val="1"/>
          <c:order val="0"/>
          <c:tx>
            <c:v>Mean</c:v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800000"/>
              </a:solidFill>
              <a:ln>
                <a:solidFill>
                  <a:srgbClr val="800000"/>
                </a:solidFill>
                <a:prstDash val="solid"/>
              </a:ln>
            </c:spPr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8.1</c:v>
              </c:pt>
              <c:pt idx="1">
                <c:v>6.3</c:v>
              </c:pt>
              <c:pt idx="2">
                <c:v>5</c:v>
              </c:pt>
              <c:pt idx="3">
                <c:v>7.3</c:v>
              </c:pt>
              <c:pt idx="4">
                <c:v>8.5</c:v>
              </c:pt>
              <c:pt idx="5">
                <c:v>6.6</c:v>
              </c:pt>
              <c:pt idx="6">
                <c:v>4</c:v>
              </c:pt>
              <c:pt idx="7">
                <c:v>2.4</c:v>
              </c:pt>
              <c:pt idx="8">
                <c:v>5.3</c:v>
              </c:pt>
              <c:pt idx="9">
                <c:v>4</c:v>
              </c:pt>
              <c:pt idx="10">
                <c:v>4</c:v>
              </c:pt>
              <c:pt idx="11">
                <c:v>5.7</c:v>
              </c:pt>
              <c:pt idx="12">
                <c:v>4.5999999999999996</c:v>
              </c:pt>
              <c:pt idx="13">
                <c:v>3.9</c:v>
              </c:pt>
              <c:pt idx="14">
                <c:v>2.4</c:v>
              </c:pt>
              <c:pt idx="15">
                <c:v>1.8</c:v>
              </c:pt>
              <c:pt idx="16">
                <c:v>2.2999999999999998</c:v>
              </c:pt>
              <c:pt idx="17">
                <c:v>4.5999999999999996</c:v>
              </c:pt>
              <c:pt idx="18">
                <c:v>2.5</c:v>
              </c:pt>
              <c:pt idx="19">
                <c:v>2.2999999999999998</c:v>
              </c:pt>
              <c:pt idx="20">
                <c:v>3.5</c:v>
              </c:pt>
              <c:pt idx="21">
                <c:v>2.7</c:v>
              </c:pt>
              <c:pt idx="22">
                <c:v>1.7</c:v>
              </c:pt>
              <c:pt idx="23">
                <c:v>2.8</c:v>
              </c:pt>
              <c:pt idx="24">
                <c:v>4.5999999999999996</c:v>
              </c:pt>
              <c:pt idx="25">
                <c:v>4.5</c:v>
              </c:pt>
              <c:pt idx="26">
                <c:v>5.3</c:v>
              </c:pt>
              <c:pt idx="27">
                <c:v>6.1</c:v>
              </c:pt>
              <c:pt idx="28">
                <c:v>4.3</c:v>
              </c:pt>
              <c:pt idx="29">
                <c:v>7.5</c:v>
              </c:pt>
            </c:numLit>
          </c:val>
          <c:smooth val="0"/>
        </c:ser>
        <c:ser>
          <c:idx val="0"/>
          <c:order val="1"/>
          <c:tx>
            <c:v>E (Mean)</c:v>
          </c:tx>
          <c:spPr>
            <a:ln w="25400">
              <a:solidFill>
                <a:srgbClr val="FF99CC"/>
              </a:solidFill>
              <a:prstDash val="lgDash"/>
            </a:ln>
          </c:spPr>
          <c:marker>
            <c:symbol val="none"/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4.8809999999999993</c:v>
              </c:pt>
              <c:pt idx="1">
                <c:v>4.8809999999999993</c:v>
              </c:pt>
              <c:pt idx="2">
                <c:v>4.8809999999999993</c:v>
              </c:pt>
              <c:pt idx="3">
                <c:v>4.8809999999999993</c:v>
              </c:pt>
              <c:pt idx="4">
                <c:v>4.8809999999999993</c:v>
              </c:pt>
              <c:pt idx="5">
                <c:v>4.8809999999999993</c:v>
              </c:pt>
              <c:pt idx="6">
                <c:v>4.8809999999999993</c:v>
              </c:pt>
              <c:pt idx="7">
                <c:v>4.8809999999999993</c:v>
              </c:pt>
              <c:pt idx="8">
                <c:v>4.8809999999999993</c:v>
              </c:pt>
              <c:pt idx="9">
                <c:v>4.8809999999999993</c:v>
              </c:pt>
              <c:pt idx="10">
                <c:v>4.8809999999999993</c:v>
              </c:pt>
              <c:pt idx="11">
                <c:v>4.8809999999999993</c:v>
              </c:pt>
              <c:pt idx="12">
                <c:v>4.8809999999999993</c:v>
              </c:pt>
              <c:pt idx="13">
                <c:v>4.8809999999999993</c:v>
              </c:pt>
              <c:pt idx="14">
                <c:v>4.8809999999999993</c:v>
              </c:pt>
              <c:pt idx="15">
                <c:v>4.8809999999999993</c:v>
              </c:pt>
              <c:pt idx="16">
                <c:v>4.8809999999999993</c:v>
              </c:pt>
              <c:pt idx="17">
                <c:v>4.8809999999999993</c:v>
              </c:pt>
              <c:pt idx="18">
                <c:v>4.8809999999999993</c:v>
              </c:pt>
              <c:pt idx="19">
                <c:v>4.8809999999999993</c:v>
              </c:pt>
              <c:pt idx="20">
                <c:v>4.8809999999999993</c:v>
              </c:pt>
              <c:pt idx="21">
                <c:v>4.8809999999999993</c:v>
              </c:pt>
              <c:pt idx="22">
                <c:v>4.8809999999999993</c:v>
              </c:pt>
              <c:pt idx="23">
                <c:v>4.8809999999999993</c:v>
              </c:pt>
              <c:pt idx="24">
                <c:v>4.8809999999999993</c:v>
              </c:pt>
              <c:pt idx="25">
                <c:v>4.8809999999999993</c:v>
              </c:pt>
              <c:pt idx="26">
                <c:v>4.8809999999999993</c:v>
              </c:pt>
              <c:pt idx="27">
                <c:v>4.8809999999999993</c:v>
              </c:pt>
              <c:pt idx="28">
                <c:v>4.8809999999999993</c:v>
              </c:pt>
              <c:pt idx="29">
                <c:v>4.8809999999999993</c:v>
              </c:pt>
            </c:numLit>
          </c:val>
          <c:smooth val="0"/>
        </c:ser>
        <c:ser>
          <c:idx val="2"/>
          <c:order val="4"/>
          <c:tx>
            <c:v>Cumulative Mean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8.1</c:v>
              </c:pt>
              <c:pt idx="1">
                <c:v>7.1999999999999993</c:v>
              </c:pt>
              <c:pt idx="2">
                <c:v>6.4666666666666659</c:v>
              </c:pt>
              <c:pt idx="3">
                <c:v>6.6749999999999998</c:v>
              </c:pt>
              <c:pt idx="4">
                <c:v>7.0400000000000009</c:v>
              </c:pt>
              <c:pt idx="5">
                <c:v>6.9666666666666677</c:v>
              </c:pt>
              <c:pt idx="6">
                <c:v>6.5428571428571436</c:v>
              </c:pt>
              <c:pt idx="7">
                <c:v>6.0250000000000004</c:v>
              </c:pt>
              <c:pt idx="8">
                <c:v>5.9444444444444446</c:v>
              </c:pt>
              <c:pt idx="9">
                <c:v>5.75</c:v>
              </c:pt>
              <c:pt idx="10">
                <c:v>5.5909090909090908</c:v>
              </c:pt>
              <c:pt idx="11">
                <c:v>5.6000000000000005</c:v>
              </c:pt>
              <c:pt idx="12">
                <c:v>5.523076923076923</c:v>
              </c:pt>
              <c:pt idx="13">
                <c:v>5.4071428571428575</c:v>
              </c:pt>
              <c:pt idx="14">
                <c:v>5.206666666666667</c:v>
              </c:pt>
              <c:pt idx="15">
                <c:v>4.9937500000000004</c:v>
              </c:pt>
              <c:pt idx="16">
                <c:v>4.8352941176470594</c:v>
              </c:pt>
              <c:pt idx="17">
                <c:v>4.822222222222222</c:v>
              </c:pt>
              <c:pt idx="18">
                <c:v>4.7</c:v>
              </c:pt>
              <c:pt idx="19">
                <c:v>4.58</c:v>
              </c:pt>
              <c:pt idx="20">
                <c:v>4.5285714285714285</c:v>
              </c:pt>
              <c:pt idx="21">
                <c:v>4.4454545454545453</c:v>
              </c:pt>
              <c:pt idx="22">
                <c:v>4.3260869565217392</c:v>
              </c:pt>
              <c:pt idx="23">
                <c:v>4.2625000000000002</c:v>
              </c:pt>
              <c:pt idx="24">
                <c:v>4.2759999999999998</c:v>
              </c:pt>
              <c:pt idx="25">
                <c:v>4.2846153846153845</c:v>
              </c:pt>
              <c:pt idx="26">
                <c:v>4.322222222222222</c:v>
              </c:pt>
              <c:pt idx="27">
                <c:v>4.3857142857142852</c:v>
              </c:pt>
              <c:pt idx="28">
                <c:v>4.3827586206896543</c:v>
              </c:pt>
              <c:pt idx="29">
                <c:v>4.4866666666666655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962880"/>
        <c:axId val="105969152"/>
      </c:lineChart>
      <c:lineChart>
        <c:grouping val="standard"/>
        <c:varyColors val="0"/>
        <c:ser>
          <c:idx val="3"/>
          <c:order val="2"/>
          <c:tx>
            <c:v>Max Gust</c:v>
          </c:tx>
          <c:spPr>
            <a:ln w="28575">
              <a:noFill/>
            </a:ln>
          </c:spPr>
          <c:marker>
            <c:symbol val="circle"/>
            <c:size val="9"/>
            <c:spPr>
              <a:solidFill>
                <a:srgbClr val="FFCC00"/>
              </a:solidFill>
              <a:ln>
                <a:solidFill>
                  <a:srgbClr val="FFCC00"/>
                </a:solidFill>
                <a:prstDash val="solid"/>
              </a:ln>
            </c:spPr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25.1</c:v>
              </c:pt>
              <c:pt idx="1">
                <c:v>19.899999999999999</c:v>
              </c:pt>
              <c:pt idx="2">
                <c:v>17.600000000000001</c:v>
              </c:pt>
              <c:pt idx="3">
                <c:v>28.4</c:v>
              </c:pt>
              <c:pt idx="4">
                <c:v>25.5</c:v>
              </c:pt>
              <c:pt idx="5">
                <c:v>21.9</c:v>
              </c:pt>
              <c:pt idx="6">
                <c:v>15.2</c:v>
              </c:pt>
              <c:pt idx="7">
                <c:v>12.5</c:v>
              </c:pt>
              <c:pt idx="8">
                <c:v>17</c:v>
              </c:pt>
              <c:pt idx="9">
                <c:v>13.2</c:v>
              </c:pt>
              <c:pt idx="10">
                <c:v>20.399999999999999</c:v>
              </c:pt>
              <c:pt idx="11">
                <c:v>22.1</c:v>
              </c:pt>
              <c:pt idx="12">
                <c:v>16.600000000000001</c:v>
              </c:pt>
              <c:pt idx="13">
                <c:v>13.2</c:v>
              </c:pt>
              <c:pt idx="14">
                <c:v>10.7</c:v>
              </c:pt>
              <c:pt idx="15">
                <c:v>10.199999999999999</c:v>
              </c:pt>
              <c:pt idx="16">
                <c:v>15.6</c:v>
              </c:pt>
              <c:pt idx="17">
                <c:v>19.899999999999999</c:v>
              </c:pt>
              <c:pt idx="18">
                <c:v>12.1</c:v>
              </c:pt>
              <c:pt idx="19">
                <c:v>13.4</c:v>
              </c:pt>
              <c:pt idx="20">
                <c:v>17.2</c:v>
              </c:pt>
              <c:pt idx="21">
                <c:v>13.2</c:v>
              </c:pt>
              <c:pt idx="22">
                <c:v>15.4</c:v>
              </c:pt>
              <c:pt idx="23">
                <c:v>14.8</c:v>
              </c:pt>
              <c:pt idx="24">
                <c:v>21.9</c:v>
              </c:pt>
              <c:pt idx="25">
                <c:v>18.100000000000001</c:v>
              </c:pt>
              <c:pt idx="26">
                <c:v>22.5</c:v>
              </c:pt>
              <c:pt idx="27">
                <c:v>19.2</c:v>
              </c:pt>
              <c:pt idx="28">
                <c:v>20.8</c:v>
              </c:pt>
              <c:pt idx="29">
                <c:v>25.1</c:v>
              </c:pt>
            </c:numLit>
          </c:val>
          <c:smooth val="0"/>
        </c:ser>
        <c:ser>
          <c:idx val="4"/>
          <c:order val="3"/>
          <c:tx>
            <c:v>Max Average</c:v>
          </c:tx>
          <c:spPr>
            <a:ln w="28575">
              <a:noFill/>
            </a:ln>
          </c:spPr>
          <c:marker>
            <c:symbol val="circle"/>
            <c:size val="6"/>
            <c:spPr>
              <a:solidFill>
                <a:srgbClr val="800000"/>
              </a:solidFill>
              <a:ln>
                <a:solidFill>
                  <a:srgbClr val="800000"/>
                </a:solidFill>
                <a:prstDash val="solid"/>
              </a:ln>
            </c:spPr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17.8</c:v>
              </c:pt>
              <c:pt idx="1">
                <c:v>15.2</c:v>
              </c:pt>
              <c:pt idx="2">
                <c:v>13.5</c:v>
              </c:pt>
              <c:pt idx="3">
                <c:v>16.3</c:v>
              </c:pt>
              <c:pt idx="4">
                <c:v>16.3</c:v>
              </c:pt>
              <c:pt idx="5">
                <c:v>13.7</c:v>
              </c:pt>
              <c:pt idx="6">
                <c:v>11.2</c:v>
              </c:pt>
              <c:pt idx="7">
                <c:v>9.8000000000000007</c:v>
              </c:pt>
              <c:pt idx="8">
                <c:v>12.8</c:v>
              </c:pt>
              <c:pt idx="9">
                <c:v>10</c:v>
              </c:pt>
              <c:pt idx="10">
                <c:v>14.5</c:v>
              </c:pt>
              <c:pt idx="11">
                <c:v>14.7</c:v>
              </c:pt>
              <c:pt idx="12">
                <c:v>12.8</c:v>
              </c:pt>
              <c:pt idx="13">
                <c:v>9.4</c:v>
              </c:pt>
              <c:pt idx="14">
                <c:v>8.1</c:v>
              </c:pt>
              <c:pt idx="15">
                <c:v>7.8</c:v>
              </c:pt>
              <c:pt idx="16">
                <c:v>11.5</c:v>
              </c:pt>
              <c:pt idx="17">
                <c:v>13.5</c:v>
              </c:pt>
              <c:pt idx="18">
                <c:v>9.1999999999999993</c:v>
              </c:pt>
              <c:pt idx="19">
                <c:v>10.7</c:v>
              </c:pt>
              <c:pt idx="20">
                <c:v>10.9</c:v>
              </c:pt>
              <c:pt idx="21">
                <c:v>10.199999999999999</c:v>
              </c:pt>
              <c:pt idx="22">
                <c:v>10.199999999999999</c:v>
              </c:pt>
              <c:pt idx="23">
                <c:v>9.4</c:v>
              </c:pt>
              <c:pt idx="24">
                <c:v>12.1</c:v>
              </c:pt>
              <c:pt idx="25">
                <c:v>11.2</c:v>
              </c:pt>
              <c:pt idx="26">
                <c:v>13.5</c:v>
              </c:pt>
              <c:pt idx="27">
                <c:v>13.2</c:v>
              </c:pt>
              <c:pt idx="28">
                <c:v>15.2</c:v>
              </c:pt>
              <c:pt idx="29">
                <c:v>18.100000000000001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970688"/>
        <c:axId val="105972480"/>
      </c:lineChart>
      <c:catAx>
        <c:axId val="1059628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59691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5969152"/>
        <c:scaling>
          <c:orientation val="minMax"/>
          <c:max val="10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5962880"/>
        <c:crosses val="autoZero"/>
        <c:crossBetween val="between"/>
        <c:majorUnit val="2"/>
      </c:valAx>
      <c:catAx>
        <c:axId val="1059706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5972480"/>
        <c:crosses val="autoZero"/>
        <c:auto val="1"/>
        <c:lblAlgn val="ctr"/>
        <c:lblOffset val="100"/>
        <c:noMultiLvlLbl val="0"/>
      </c:catAx>
      <c:valAx>
        <c:axId val="105972480"/>
        <c:scaling>
          <c:orientation val="minMax"/>
          <c:max val="50"/>
          <c:min val="0"/>
        </c:scaling>
        <c:delete val="0"/>
        <c:axPos val="r"/>
        <c:numFmt formatCode="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5970688"/>
        <c:crosses val="max"/>
        <c:crossBetween val="between"/>
        <c:majorUnit val="10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Sun Hours / h</a:t>
            </a:r>
          </a:p>
        </c:rich>
      </c:tx>
      <c:layout>
        <c:manualLayout>
          <c:xMode val="edge"/>
          <c:yMode val="edge"/>
          <c:x val="0.46040541433241655"/>
          <c:y val="2.830188679245283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941082492304096E-2"/>
          <c:y val="9.3160377358490559E-2"/>
          <c:w val="0.97360402135369983"/>
          <c:h val="0.85613207547169812"/>
        </c:manualLayout>
      </c:layout>
      <c:barChart>
        <c:barDir val="col"/>
        <c:grouping val="clustered"/>
        <c:varyColors val="0"/>
        <c:ser>
          <c:idx val="1"/>
          <c:order val="0"/>
          <c:tx>
            <c:v>Sun</c:v>
          </c:tx>
          <c:spPr>
            <a:solidFill>
              <a:srgbClr val="FFFF00"/>
            </a:solidFill>
            <a:ln w="12700">
              <a:solidFill>
                <a:srgbClr val="C0C0C0"/>
              </a:solidFill>
              <a:prstDash val="solid"/>
            </a:ln>
          </c:spPr>
          <c:invertIfNegative val="0"/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2</c:v>
              </c:pt>
              <c:pt idx="1">
                <c:v>1.5</c:v>
              </c:pt>
              <c:pt idx="2">
                <c:v>4.5</c:v>
              </c:pt>
              <c:pt idx="3">
                <c:v>4</c:v>
              </c:pt>
              <c:pt idx="4">
                <c:v>0</c:v>
              </c:pt>
              <c:pt idx="5">
                <c:v>11.5</c:v>
              </c:pt>
              <c:pt idx="6">
                <c:v>11</c:v>
              </c:pt>
              <c:pt idx="7">
                <c:v>12.1</c:v>
              </c:pt>
              <c:pt idx="8">
                <c:v>12</c:v>
              </c:pt>
              <c:pt idx="9">
                <c:v>11</c:v>
              </c:pt>
              <c:pt idx="10">
                <c:v>5</c:v>
              </c:pt>
              <c:pt idx="11">
                <c:v>11</c:v>
              </c:pt>
              <c:pt idx="12">
                <c:v>1</c:v>
              </c:pt>
              <c:pt idx="13">
                <c:v>0</c:v>
              </c:pt>
              <c:pt idx="14">
                <c:v>0.1</c:v>
              </c:pt>
              <c:pt idx="15">
                <c:v>2</c:v>
              </c:pt>
              <c:pt idx="16">
                <c:v>7</c:v>
              </c:pt>
              <c:pt idx="17">
                <c:v>7</c:v>
              </c:pt>
              <c:pt idx="18">
                <c:v>12</c:v>
              </c:pt>
              <c:pt idx="19">
                <c:v>9</c:v>
              </c:pt>
              <c:pt idx="20">
                <c:v>8</c:v>
              </c:pt>
              <c:pt idx="21">
                <c:v>12.9</c:v>
              </c:pt>
              <c:pt idx="22">
                <c:v>9</c:v>
              </c:pt>
              <c:pt idx="23">
                <c:v>12.5</c:v>
              </c:pt>
              <c:pt idx="24">
                <c:v>13</c:v>
              </c:pt>
              <c:pt idx="25">
                <c:v>4</c:v>
              </c:pt>
              <c:pt idx="26">
                <c:v>11</c:v>
              </c:pt>
              <c:pt idx="27">
                <c:v>5</c:v>
              </c:pt>
              <c:pt idx="28">
                <c:v>3.5</c:v>
              </c:pt>
              <c:pt idx="29">
                <c:v>13.4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overlap val="100"/>
        <c:axId val="105992576"/>
        <c:axId val="105994112"/>
      </c:barChart>
      <c:catAx>
        <c:axId val="1059925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59941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5994112"/>
        <c:scaling>
          <c:orientation val="minMax"/>
          <c:max val="13.4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5992576"/>
        <c:crosses val="autoZero"/>
        <c:crossBetween val="between"/>
        <c:majorUnit val="2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Cumulative Rain / mm</a:t>
            </a:r>
          </a:p>
        </c:rich>
      </c:tx>
      <c:layout>
        <c:manualLayout>
          <c:xMode val="edge"/>
          <c:yMode val="edge"/>
          <c:x val="0.43726963096402616"/>
          <c:y val="2.007083825265643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985254257748993E-2"/>
          <c:y val="9.2089781541574545E-2"/>
          <c:w val="0.94649503340194097"/>
          <c:h val="0.85714335127157848"/>
        </c:manualLayout>
      </c:layout>
      <c:lineChart>
        <c:grouping val="standard"/>
        <c:varyColors val="0"/>
        <c:ser>
          <c:idx val="1"/>
          <c:order val="0"/>
          <c:tx>
            <c:v>Cumulative Rain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1.4</c:v>
              </c:pt>
              <c:pt idx="5">
                <c:v>1.4</c:v>
              </c:pt>
              <c:pt idx="6">
                <c:v>1.4</c:v>
              </c:pt>
              <c:pt idx="7">
                <c:v>1.4</c:v>
              </c:pt>
              <c:pt idx="8">
                <c:v>1.4</c:v>
              </c:pt>
              <c:pt idx="9">
                <c:v>1.4</c:v>
              </c:pt>
              <c:pt idx="10">
                <c:v>1.7</c:v>
              </c:pt>
              <c:pt idx="11">
                <c:v>1.7</c:v>
              </c:pt>
              <c:pt idx="12">
                <c:v>1.7</c:v>
              </c:pt>
              <c:pt idx="13">
                <c:v>1.7</c:v>
              </c:pt>
              <c:pt idx="14">
                <c:v>1.7</c:v>
              </c:pt>
              <c:pt idx="15">
                <c:v>1.7</c:v>
              </c:pt>
              <c:pt idx="16">
                <c:v>1.7</c:v>
              </c:pt>
              <c:pt idx="17">
                <c:v>1.7</c:v>
              </c:pt>
              <c:pt idx="18">
                <c:v>1.7</c:v>
              </c:pt>
              <c:pt idx="19">
                <c:v>1.7</c:v>
              </c:pt>
              <c:pt idx="20">
                <c:v>1.7</c:v>
              </c:pt>
              <c:pt idx="21">
                <c:v>1.7</c:v>
              </c:pt>
              <c:pt idx="22">
                <c:v>1.8</c:v>
              </c:pt>
              <c:pt idx="23">
                <c:v>1.8</c:v>
              </c:pt>
              <c:pt idx="24">
                <c:v>1.8</c:v>
              </c:pt>
              <c:pt idx="25">
                <c:v>1.8</c:v>
              </c:pt>
              <c:pt idx="26">
                <c:v>1.8</c:v>
              </c:pt>
              <c:pt idx="27">
                <c:v>1.8</c:v>
              </c:pt>
              <c:pt idx="28">
                <c:v>1.8</c:v>
              </c:pt>
              <c:pt idx="29">
                <c:v>1.8</c:v>
              </c:pt>
            </c:numLit>
          </c:val>
          <c:smooth val="0"/>
        </c:ser>
        <c:ser>
          <c:idx val="2"/>
          <c:order val="1"/>
          <c:tx>
            <c:v>E (Cumulative Rain)</c:v>
          </c:tx>
          <c:spPr>
            <a:ln w="25400">
              <a:solidFill>
                <a:srgbClr val="00CCFF"/>
              </a:solidFill>
              <a:prstDash val="lgDash"/>
            </a:ln>
          </c:spPr>
          <c:marker>
            <c:symbol val="none"/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1.8666666666666667</c:v>
              </c:pt>
              <c:pt idx="1">
                <c:v>3.7333333333333334</c:v>
              </c:pt>
              <c:pt idx="2">
                <c:v>5.6</c:v>
              </c:pt>
              <c:pt idx="3">
                <c:v>7.4666666666666668</c:v>
              </c:pt>
              <c:pt idx="4">
                <c:v>9.3333333333333339</c:v>
              </c:pt>
              <c:pt idx="5">
                <c:v>11.2</c:v>
              </c:pt>
              <c:pt idx="6">
                <c:v>13.066666666666666</c:v>
              </c:pt>
              <c:pt idx="7">
                <c:v>14.933333333333334</c:v>
              </c:pt>
              <c:pt idx="8">
                <c:v>16.8</c:v>
              </c:pt>
              <c:pt idx="9">
                <c:v>18.666666666666668</c:v>
              </c:pt>
              <c:pt idx="10">
                <c:v>20.533333333333335</c:v>
              </c:pt>
              <c:pt idx="11">
                <c:v>22.4</c:v>
              </c:pt>
              <c:pt idx="12">
                <c:v>24.266666666666666</c:v>
              </c:pt>
              <c:pt idx="13">
                <c:v>26.133333333333333</c:v>
              </c:pt>
              <c:pt idx="14">
                <c:v>28</c:v>
              </c:pt>
              <c:pt idx="15">
                <c:v>29.866666666666667</c:v>
              </c:pt>
              <c:pt idx="16">
                <c:v>31.733333333333334</c:v>
              </c:pt>
              <c:pt idx="17">
                <c:v>33.6</c:v>
              </c:pt>
              <c:pt idx="18">
                <c:v>35.466666666666669</c:v>
              </c:pt>
              <c:pt idx="19">
                <c:v>37.333333333333336</c:v>
              </c:pt>
              <c:pt idx="20">
                <c:v>39.200000000000003</c:v>
              </c:pt>
              <c:pt idx="21">
                <c:v>41.06666666666667</c:v>
              </c:pt>
              <c:pt idx="22">
                <c:v>42.933333333333337</c:v>
              </c:pt>
              <c:pt idx="23">
                <c:v>44.8</c:v>
              </c:pt>
              <c:pt idx="24">
                <c:v>46.666666666666664</c:v>
              </c:pt>
              <c:pt idx="25">
                <c:v>48.533333333333331</c:v>
              </c:pt>
              <c:pt idx="26">
                <c:v>50.4</c:v>
              </c:pt>
              <c:pt idx="27">
                <c:v>52.266666666666666</c:v>
              </c:pt>
              <c:pt idx="28">
                <c:v>54.133333333333333</c:v>
              </c:pt>
              <c:pt idx="29">
                <c:v>56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6026496"/>
        <c:axId val="106028032"/>
      </c:lineChart>
      <c:lineChart>
        <c:grouping val="standard"/>
        <c:varyColors val="0"/>
        <c:ser>
          <c:idx val="0"/>
          <c:order val="2"/>
          <c:tx>
            <c:v>Cumulative Anomaly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circle"/>
            <c:size val="2"/>
            <c:spPr>
              <a:solidFill>
                <a:srgbClr val="333399"/>
              </a:solidFill>
              <a:ln>
                <a:solidFill>
                  <a:srgbClr val="333399"/>
                </a:solidFill>
                <a:prstDash val="solid"/>
              </a:ln>
            </c:spPr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0.15</c:v>
              </c:pt>
              <c:pt idx="5">
                <c:v>0.125</c:v>
              </c:pt>
              <c:pt idx="6">
                <c:v>0.10714285714285714</c:v>
              </c:pt>
              <c:pt idx="7">
                <c:v>9.3749999999999986E-2</c:v>
              </c:pt>
              <c:pt idx="8">
                <c:v>8.3333333333333329E-2</c:v>
              </c:pt>
              <c:pt idx="9">
                <c:v>7.4999999999999997E-2</c:v>
              </c:pt>
              <c:pt idx="10">
                <c:v>8.2792207792207778E-2</c:v>
              </c:pt>
              <c:pt idx="11">
                <c:v>7.5892857142857151E-2</c:v>
              </c:pt>
              <c:pt idx="12">
                <c:v>7.0054945054945056E-2</c:v>
              </c:pt>
              <c:pt idx="13">
                <c:v>6.5051020408163268E-2</c:v>
              </c:pt>
              <c:pt idx="14">
                <c:v>6.0714285714285714E-2</c:v>
              </c:pt>
              <c:pt idx="15">
                <c:v>5.6919642857142856E-2</c:v>
              </c:pt>
              <c:pt idx="16">
                <c:v>5.3571428571428568E-2</c:v>
              </c:pt>
              <c:pt idx="17">
                <c:v>5.0595238095238089E-2</c:v>
              </c:pt>
              <c:pt idx="18">
                <c:v>4.7932330827067667E-2</c:v>
              </c:pt>
              <c:pt idx="19">
                <c:v>4.5535714285714284E-2</c:v>
              </c:pt>
              <c:pt idx="20">
                <c:v>4.3367346938775503E-2</c:v>
              </c:pt>
              <c:pt idx="21">
                <c:v>4.1396103896103889E-2</c:v>
              </c:pt>
              <c:pt idx="22">
                <c:v>4.1925465838509313E-2</c:v>
              </c:pt>
              <c:pt idx="23">
                <c:v>4.0178571428571432E-2</c:v>
              </c:pt>
              <c:pt idx="24">
                <c:v>3.8571428571428576E-2</c:v>
              </c:pt>
              <c:pt idx="25">
                <c:v>3.7087912087912088E-2</c:v>
              </c:pt>
              <c:pt idx="26">
                <c:v>3.5714285714285719E-2</c:v>
              </c:pt>
              <c:pt idx="27">
                <c:v>3.4438775510204085E-2</c:v>
              </c:pt>
              <c:pt idx="28">
                <c:v>3.3251231527093597E-2</c:v>
              </c:pt>
              <c:pt idx="29">
                <c:v>3.2142857142857147E-2</c:v>
              </c:pt>
            </c:numLit>
          </c:val>
          <c:smooth val="0"/>
        </c:ser>
        <c:ser>
          <c:idx val="3"/>
          <c:order val="3"/>
          <c:tx>
            <c:v>E (Cumulative Anomaly)</c:v>
          </c:tx>
          <c:spPr>
            <a:ln w="3175">
              <a:solidFill>
                <a:srgbClr val="0000FF"/>
              </a:solidFill>
              <a:prstDash val="lgDash"/>
            </a:ln>
          </c:spPr>
          <c:marker>
            <c:symbol val="none"/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1</c:v>
              </c:pt>
              <c:pt idx="1">
                <c:v>1</c:v>
              </c:pt>
              <c:pt idx="2">
                <c:v>1</c:v>
              </c:pt>
              <c:pt idx="3">
                <c:v>1</c:v>
              </c:pt>
              <c:pt idx="4">
                <c:v>1</c:v>
              </c:pt>
              <c:pt idx="5">
                <c:v>1</c:v>
              </c:pt>
              <c:pt idx="6">
                <c:v>1</c:v>
              </c:pt>
              <c:pt idx="7">
                <c:v>1</c:v>
              </c:pt>
              <c:pt idx="8">
                <c:v>1</c:v>
              </c:pt>
              <c:pt idx="9">
                <c:v>1</c:v>
              </c:pt>
              <c:pt idx="10">
                <c:v>1</c:v>
              </c:pt>
              <c:pt idx="11">
                <c:v>1</c:v>
              </c:pt>
              <c:pt idx="12">
                <c:v>1</c:v>
              </c:pt>
              <c:pt idx="13">
                <c:v>1</c:v>
              </c:pt>
              <c:pt idx="14">
                <c:v>1</c:v>
              </c:pt>
              <c:pt idx="15">
                <c:v>1</c:v>
              </c:pt>
              <c:pt idx="16">
                <c:v>1</c:v>
              </c:pt>
              <c:pt idx="17">
                <c:v>1</c:v>
              </c:pt>
              <c:pt idx="18">
                <c:v>1</c:v>
              </c:pt>
              <c:pt idx="19">
                <c:v>1</c:v>
              </c:pt>
              <c:pt idx="20">
                <c:v>1</c:v>
              </c:pt>
              <c:pt idx="21">
                <c:v>1</c:v>
              </c:pt>
              <c:pt idx="22">
                <c:v>1</c:v>
              </c:pt>
              <c:pt idx="23">
                <c:v>1</c:v>
              </c:pt>
              <c:pt idx="24">
                <c:v>1</c:v>
              </c:pt>
              <c:pt idx="25">
                <c:v>1</c:v>
              </c:pt>
              <c:pt idx="26">
                <c:v>1</c:v>
              </c:pt>
              <c:pt idx="27">
                <c:v>1</c:v>
              </c:pt>
              <c:pt idx="28">
                <c:v>1</c:v>
              </c:pt>
              <c:pt idx="29">
                <c:v>1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6033920"/>
        <c:axId val="106035456"/>
      </c:lineChart>
      <c:catAx>
        <c:axId val="106026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60280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6028032"/>
        <c:scaling>
          <c:orientation val="minMax"/>
          <c:max val="6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6026496"/>
        <c:crosses val="autoZero"/>
        <c:crossBetween val="between"/>
        <c:majorUnit val="10"/>
      </c:valAx>
      <c:catAx>
        <c:axId val="1060339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6035456"/>
        <c:crosses val="autoZero"/>
        <c:auto val="1"/>
        <c:lblAlgn val="ctr"/>
        <c:lblOffset val="100"/>
        <c:noMultiLvlLbl val="0"/>
      </c:catAx>
      <c:valAx>
        <c:axId val="106035456"/>
        <c:scaling>
          <c:orientation val="minMax"/>
          <c:max val="1.5"/>
          <c:min val="0"/>
        </c:scaling>
        <c:delete val="0"/>
        <c:axPos val="r"/>
        <c:numFmt formatCode="0%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6033920"/>
        <c:crosses val="max"/>
        <c:crossBetween val="between"/>
        <c:majorUnit val="0.25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 sz="14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Dew Point / </a:t>
            </a:r>
            <a:r>
              <a:rPr lang="en-GB" sz="1400" b="1" i="0" u="none" strike="noStrike" baseline="30000">
                <a:solidFill>
                  <a:srgbClr val="000000"/>
                </a:solidFill>
                <a:latin typeface="Arial"/>
                <a:cs typeface="Arial"/>
              </a:rPr>
              <a:t>o</a:t>
            </a:r>
            <a:r>
              <a:rPr lang="en-GB" sz="14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C</a:t>
            </a:r>
          </a:p>
        </c:rich>
      </c:tx>
      <c:layout>
        <c:manualLayout>
          <c:xMode val="edge"/>
          <c:yMode val="edge"/>
          <c:x val="0.45817984006611717"/>
          <c:y val="2.002355712603062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985254257748993E-2"/>
          <c:y val="8.7161466570812363E-2"/>
          <c:w val="0.97355532025683733"/>
          <c:h val="0.86219180445722499"/>
        </c:manualLayout>
      </c:layout>
      <c:lineChart>
        <c:grouping val="standard"/>
        <c:varyColors val="0"/>
        <c:ser>
          <c:idx val="2"/>
          <c:order val="0"/>
          <c:tx>
            <c:v>Min Dew Point</c:v>
          </c:tx>
          <c:spPr>
            <a:ln w="38100">
              <a:solidFill>
                <a:srgbClr val="99CC00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808000"/>
              </a:solidFill>
              <a:ln>
                <a:solidFill>
                  <a:srgbClr val="808000"/>
                </a:solidFill>
                <a:prstDash val="solid"/>
              </a:ln>
            </c:spPr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9.4</c:v>
              </c:pt>
              <c:pt idx="1">
                <c:v>3.7</c:v>
              </c:pt>
              <c:pt idx="2">
                <c:v>2.4</c:v>
              </c:pt>
              <c:pt idx="3">
                <c:v>1.7</c:v>
              </c:pt>
              <c:pt idx="4">
                <c:v>5.2</c:v>
              </c:pt>
              <c:pt idx="5">
                <c:v>3</c:v>
              </c:pt>
              <c:pt idx="6">
                <c:v>3.5</c:v>
              </c:pt>
              <c:pt idx="7">
                <c:v>3.1</c:v>
              </c:pt>
              <c:pt idx="8">
                <c:v>0.4</c:v>
              </c:pt>
              <c:pt idx="9">
                <c:v>0.7</c:v>
              </c:pt>
              <c:pt idx="10">
                <c:v>0.4</c:v>
              </c:pt>
              <c:pt idx="11">
                <c:v>-2.6</c:v>
              </c:pt>
              <c:pt idx="12">
                <c:v>-3.9</c:v>
              </c:pt>
              <c:pt idx="13">
                <c:v>2.1</c:v>
              </c:pt>
              <c:pt idx="14">
                <c:v>3.3</c:v>
              </c:pt>
              <c:pt idx="15">
                <c:v>3.9</c:v>
              </c:pt>
              <c:pt idx="16">
                <c:v>4.0999999999999996</c:v>
              </c:pt>
              <c:pt idx="17">
                <c:v>1</c:v>
              </c:pt>
              <c:pt idx="18">
                <c:v>1.8</c:v>
              </c:pt>
              <c:pt idx="19">
                <c:v>4.3</c:v>
              </c:pt>
              <c:pt idx="20">
                <c:v>3.2</c:v>
              </c:pt>
              <c:pt idx="21">
                <c:v>3.9</c:v>
              </c:pt>
              <c:pt idx="22">
                <c:v>5.4</c:v>
              </c:pt>
              <c:pt idx="23">
                <c:v>7.5</c:v>
              </c:pt>
              <c:pt idx="24">
                <c:v>1.7</c:v>
              </c:pt>
              <c:pt idx="25">
                <c:v>5</c:v>
              </c:pt>
              <c:pt idx="26">
                <c:v>0.3</c:v>
              </c:pt>
              <c:pt idx="27">
                <c:v>2.2999999999999998</c:v>
              </c:pt>
              <c:pt idx="28">
                <c:v>6.1</c:v>
              </c:pt>
              <c:pt idx="29">
                <c:v>5.2</c:v>
              </c:pt>
            </c:numLit>
          </c:val>
          <c:smooth val="0"/>
        </c:ser>
        <c:ser>
          <c:idx val="3"/>
          <c:order val="1"/>
          <c:tx>
            <c:v>Frost Point</c:v>
          </c:tx>
          <c:spPr>
            <a:ln w="38100">
              <a:solidFill>
                <a:srgbClr val="000080"/>
              </a:solidFill>
              <a:prstDash val="sysDash"/>
            </a:ln>
          </c:spPr>
          <c:marker>
            <c:symbol val="none"/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</c:numLit>
          </c:val>
          <c:smooth val="0"/>
        </c:ser>
        <c:ser>
          <c:idx val="0"/>
          <c:order val="2"/>
          <c:tx>
            <c:v>Mean' Dew Point</c:v>
          </c:tx>
          <c:spPr>
            <a:ln w="38100">
              <a:solidFill>
                <a:srgbClr val="008080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666699"/>
              </a:solidFill>
              <a:ln>
                <a:solidFill>
                  <a:srgbClr val="666699"/>
                </a:solidFill>
                <a:prstDash val="solid"/>
              </a:ln>
            </c:spPr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10</c:v>
              </c:pt>
              <c:pt idx="1">
                <c:v>9</c:v>
              </c:pt>
              <c:pt idx="2">
                <c:v>4.7</c:v>
              </c:pt>
              <c:pt idx="3">
                <c:v>3.9</c:v>
              </c:pt>
              <c:pt idx="4">
                <c:v>8.3000000000000007</c:v>
              </c:pt>
              <c:pt idx="5">
                <c:v>7.8</c:v>
              </c:pt>
              <c:pt idx="6">
                <c:v>7.3</c:v>
              </c:pt>
              <c:pt idx="7">
                <c:v>5.6</c:v>
              </c:pt>
              <c:pt idx="8">
                <c:v>3.8</c:v>
              </c:pt>
              <c:pt idx="9">
                <c:v>3.7</c:v>
              </c:pt>
              <c:pt idx="10">
                <c:v>5</c:v>
              </c:pt>
              <c:pt idx="11">
                <c:v>0.3</c:v>
              </c:pt>
              <c:pt idx="12">
                <c:v>0.6</c:v>
              </c:pt>
              <c:pt idx="13">
                <c:v>4.5999999999999996</c:v>
              </c:pt>
              <c:pt idx="14">
                <c:v>4.8</c:v>
              </c:pt>
              <c:pt idx="15">
                <c:v>5.7</c:v>
              </c:pt>
              <c:pt idx="16">
                <c:v>6.1</c:v>
              </c:pt>
              <c:pt idx="17">
                <c:v>3.9</c:v>
              </c:pt>
              <c:pt idx="18">
                <c:v>6</c:v>
              </c:pt>
              <c:pt idx="19">
                <c:v>6.7</c:v>
              </c:pt>
              <c:pt idx="20">
                <c:v>5.8</c:v>
              </c:pt>
              <c:pt idx="21">
                <c:v>6.7</c:v>
              </c:pt>
              <c:pt idx="22">
                <c:v>7.8</c:v>
              </c:pt>
              <c:pt idx="23">
                <c:v>10</c:v>
              </c:pt>
              <c:pt idx="24">
                <c:v>5.5</c:v>
              </c:pt>
              <c:pt idx="25">
                <c:v>6.6</c:v>
              </c:pt>
              <c:pt idx="26">
                <c:v>3.3</c:v>
              </c:pt>
              <c:pt idx="27">
                <c:v>5.8</c:v>
              </c:pt>
              <c:pt idx="28">
                <c:v>8.8000000000000007</c:v>
              </c:pt>
              <c:pt idx="29">
                <c:v>7.3</c:v>
              </c:pt>
            </c:numLit>
          </c:val>
          <c:smooth val="0"/>
        </c:ser>
        <c:ser>
          <c:idx val="4"/>
          <c:order val="3"/>
          <c:tx>
            <c:v>Max Dew Point</c:v>
          </c:tx>
          <c:spPr>
            <a:ln w="38100">
              <a:solidFill>
                <a:srgbClr val="003300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003366"/>
              </a:solidFill>
              <a:ln>
                <a:solidFill>
                  <a:srgbClr val="003366"/>
                </a:solidFill>
                <a:prstDash val="solid"/>
              </a:ln>
            </c:spPr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10.7</c:v>
              </c:pt>
              <c:pt idx="1">
                <c:v>11.4</c:v>
              </c:pt>
              <c:pt idx="2">
                <c:v>7.7</c:v>
              </c:pt>
              <c:pt idx="3">
                <c:v>6.3</c:v>
              </c:pt>
              <c:pt idx="4">
                <c:v>10.5</c:v>
              </c:pt>
              <c:pt idx="5">
                <c:v>12</c:v>
              </c:pt>
              <c:pt idx="6">
                <c:v>10.9</c:v>
              </c:pt>
              <c:pt idx="7">
                <c:v>8.5</c:v>
              </c:pt>
              <c:pt idx="8">
                <c:v>8.3000000000000007</c:v>
              </c:pt>
              <c:pt idx="9">
                <c:v>8.3000000000000007</c:v>
              </c:pt>
              <c:pt idx="10">
                <c:v>10</c:v>
              </c:pt>
              <c:pt idx="11">
                <c:v>2.9</c:v>
              </c:pt>
              <c:pt idx="12">
                <c:v>2.9</c:v>
              </c:pt>
              <c:pt idx="13">
                <c:v>6.2</c:v>
              </c:pt>
              <c:pt idx="14">
                <c:v>6.2</c:v>
              </c:pt>
              <c:pt idx="15">
                <c:v>7.5</c:v>
              </c:pt>
              <c:pt idx="16">
                <c:v>10</c:v>
              </c:pt>
              <c:pt idx="17">
                <c:v>9.1</c:v>
              </c:pt>
              <c:pt idx="18">
                <c:v>9.5</c:v>
              </c:pt>
              <c:pt idx="19">
                <c:v>9.9</c:v>
              </c:pt>
              <c:pt idx="20">
                <c:v>9.5</c:v>
              </c:pt>
              <c:pt idx="21">
                <c:v>9.6999999999999993</c:v>
              </c:pt>
              <c:pt idx="22">
                <c:v>10.9</c:v>
              </c:pt>
              <c:pt idx="23">
                <c:v>12.5</c:v>
              </c:pt>
              <c:pt idx="24">
                <c:v>8.1</c:v>
              </c:pt>
              <c:pt idx="25">
                <c:v>9</c:v>
              </c:pt>
              <c:pt idx="26">
                <c:v>5.8</c:v>
              </c:pt>
              <c:pt idx="27">
                <c:v>8.1999999999999993</c:v>
              </c:pt>
              <c:pt idx="28">
                <c:v>12.4</c:v>
              </c:pt>
              <c:pt idx="29">
                <c:v>8.9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6209280"/>
        <c:axId val="106211200"/>
      </c:lineChart>
      <c:catAx>
        <c:axId val="106209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6211200"/>
        <c:crossesAt val="-10"/>
        <c:auto val="1"/>
        <c:lblAlgn val="ctr"/>
        <c:lblOffset val="100"/>
        <c:tickLblSkip val="1"/>
        <c:tickMarkSkip val="1"/>
        <c:noMultiLvlLbl val="0"/>
      </c:catAx>
      <c:valAx>
        <c:axId val="106211200"/>
        <c:scaling>
          <c:orientation val="minMax"/>
          <c:max val="13"/>
          <c:min val="-4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6209280"/>
        <c:crosses val="autoZero"/>
        <c:crossBetween val="between"/>
        <c:majorUnit val="2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Mean Wind Direction Frequency</a:t>
            </a:r>
          </a:p>
        </c:rich>
      </c:tx>
      <c:layout>
        <c:manualLayout>
          <c:xMode val="edge"/>
          <c:yMode val="edge"/>
          <c:x val="0.40434296945276205"/>
          <c:y val="2.597402597402597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086856229171383"/>
          <c:y val="0.16056679858530948"/>
          <c:w val="0.36913166694844102"/>
          <c:h val="0.74262144345705627"/>
        </c:manualLayout>
      </c:layout>
      <c:radarChart>
        <c:radarStyle val="filled"/>
        <c:varyColors val="1"/>
        <c:ser>
          <c:idx val="0"/>
          <c:order val="0"/>
          <c:tx>
            <c:v>Mean Wind Direction</c:v>
          </c:tx>
          <c:spPr>
            <a:solidFill>
              <a:srgbClr val="FF99CC"/>
            </a:solidFill>
            <a:ln w="38100">
              <a:solidFill>
                <a:srgbClr val="FF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</c:dPt>
          <c:dPt>
            <c:idx val="2"/>
            <c:bubble3D val="0"/>
          </c:dPt>
          <c:dPt>
            <c:idx val="3"/>
            <c:bubble3D val="0"/>
          </c:dPt>
          <c:dPt>
            <c:idx val="4"/>
            <c:bubble3D val="0"/>
          </c:dPt>
          <c:dPt>
            <c:idx val="5"/>
            <c:bubble3D val="0"/>
          </c:dPt>
          <c:dPt>
            <c:idx val="6"/>
            <c:bubble3D val="0"/>
          </c:dPt>
          <c:dPt>
            <c:idx val="7"/>
            <c:bubble3D val="0"/>
          </c:dPt>
          <c:dLbls>
            <c:dLbl>
              <c:idx val="0"/>
              <c:layout>
                <c:manualLayout>
                  <c:x val="-2.3668032930596028E-4"/>
                  <c:y val="-0.25124772286253139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 val="7.3007210116664098E-2"/>
                  <c:y val="-0.1213272436005152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layout>
                <c:manualLayout>
                  <c:x val="0.15844894124252629"/>
                  <c:y val="5.1242155933680093E-5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layout>
                <c:manualLayout>
                  <c:x val="0.13065895526886853"/>
                  <c:y val="0.22324621796984601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4"/>
              <c:layout>
                <c:manualLayout>
                  <c:x val="9.3702926353489446E-4"/>
                  <c:y val="0.31776109326096685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5"/>
              <c:layout>
                <c:manualLayout>
                  <c:x val="-2.3344917257938146E-2"/>
                  <c:y val="2.292790112216983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6"/>
              <c:layout>
                <c:manualLayout>
                  <c:x val="-0.10631075307264519"/>
                  <c:y val="5.1242155933680093E-5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7"/>
              <c:layout>
                <c:manualLayout>
                  <c:x val="-0.11822151040623129"/>
                  <c:y val="-0.2160599043086268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375" b="1" i="0" u="none" strike="noStrike" baseline="0">
                    <a:solidFill>
                      <a:srgbClr val="FF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Lit>
              <c:ptCount val="8"/>
              <c:pt idx="0">
                <c:v>N</c:v>
              </c:pt>
              <c:pt idx="1">
                <c:v>NE</c:v>
              </c:pt>
              <c:pt idx="2">
                <c:v>E</c:v>
              </c:pt>
              <c:pt idx="3">
                <c:v>SE</c:v>
              </c:pt>
              <c:pt idx="4">
                <c:v>S</c:v>
              </c:pt>
              <c:pt idx="5">
                <c:v>SW</c:v>
              </c:pt>
              <c:pt idx="6">
                <c:v>W</c:v>
              </c:pt>
              <c:pt idx="7">
                <c:v>NW</c:v>
              </c:pt>
            </c:strLit>
          </c:cat>
          <c:val>
            <c:numLit>
              <c:formatCode>General</c:formatCode>
              <c:ptCount val="8"/>
              <c:pt idx="0">
                <c:v>5</c:v>
              </c:pt>
              <c:pt idx="1">
                <c:v>3</c:v>
              </c:pt>
              <c:pt idx="2">
                <c:v>6</c:v>
              </c:pt>
              <c:pt idx="3">
                <c:v>2</c:v>
              </c:pt>
              <c:pt idx="4">
                <c:v>0</c:v>
              </c:pt>
              <c:pt idx="5">
                <c:v>9</c:v>
              </c:pt>
              <c:pt idx="6">
                <c:v>3</c:v>
              </c:pt>
              <c:pt idx="7">
                <c:v>2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258816"/>
        <c:axId val="106260352"/>
      </c:radarChart>
      <c:catAx>
        <c:axId val="106258816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6260352"/>
        <c:crosses val="autoZero"/>
        <c:auto val="0"/>
        <c:lblAlgn val="ctr"/>
        <c:lblOffset val="100"/>
        <c:noMultiLvlLbl val="0"/>
      </c:catAx>
      <c:valAx>
        <c:axId val="106260352"/>
        <c:scaling>
          <c:orientation val="minMax"/>
          <c:max val="10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6258816"/>
        <c:crosses val="autoZero"/>
        <c:crossBetween val="between"/>
        <c:majorUnit val="2"/>
      </c:valAx>
      <c:spPr>
        <a:solidFill>
          <a:srgbClr val="C0C0C0"/>
        </a:solidFill>
        <a:ln w="25400">
          <a:noFill/>
        </a:ln>
      </c:spPr>
    </c:plotArea>
    <c:plotVisOnly val="1"/>
    <c:dispBlanksAs val="gap"/>
    <c:showDLblsOverMax val="0"/>
  </c:chart>
  <c:spPr>
    <a:solidFill>
      <a:srgbClr val="C0C0C0"/>
    </a:solidFill>
    <a:ln w="3175">
      <a:solidFill>
        <a:srgbClr val="000000"/>
      </a:solidFill>
      <a:prstDash val="solid"/>
    </a:ln>
  </c:spPr>
  <c:txPr>
    <a:bodyPr/>
    <a:lstStyle/>
    <a:p>
      <a:pPr>
        <a:defRPr sz="23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Cumulative Sun Hours / h</a:t>
            </a:r>
          </a:p>
        </c:rich>
      </c:tx>
      <c:layout>
        <c:manualLayout>
          <c:xMode val="edge"/>
          <c:yMode val="edge"/>
          <c:x val="0.42778132143439052"/>
          <c:y val="2.725118483412322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502160052459488E-2"/>
          <c:y val="9.004744546028344E-2"/>
          <c:w val="0.9403813516721462"/>
          <c:h val="0.85900523629875658"/>
        </c:manualLayout>
      </c:layout>
      <c:lineChart>
        <c:grouping val="standard"/>
        <c:varyColors val="0"/>
        <c:ser>
          <c:idx val="1"/>
          <c:order val="0"/>
          <c:tx>
            <c:v>Cumulative Sun Hours</c:v>
          </c:tx>
          <c:spPr>
            <a:ln w="38100">
              <a:solidFill>
                <a:srgbClr val="FFFF00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99CC00"/>
              </a:solidFill>
              <a:ln>
                <a:solidFill>
                  <a:srgbClr val="99CC00"/>
                </a:solidFill>
                <a:prstDash val="solid"/>
              </a:ln>
            </c:spPr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2</c:v>
              </c:pt>
              <c:pt idx="1">
                <c:v>3.5</c:v>
              </c:pt>
              <c:pt idx="2">
                <c:v>8</c:v>
              </c:pt>
              <c:pt idx="3">
                <c:v>12</c:v>
              </c:pt>
              <c:pt idx="4">
                <c:v>12</c:v>
              </c:pt>
              <c:pt idx="5">
                <c:v>23.5</c:v>
              </c:pt>
              <c:pt idx="6">
                <c:v>34.5</c:v>
              </c:pt>
              <c:pt idx="7">
                <c:v>46.6</c:v>
              </c:pt>
              <c:pt idx="8">
                <c:v>58.6</c:v>
              </c:pt>
              <c:pt idx="9">
                <c:v>69.599999999999994</c:v>
              </c:pt>
              <c:pt idx="10">
                <c:v>74.599999999999994</c:v>
              </c:pt>
              <c:pt idx="11">
                <c:v>85.6</c:v>
              </c:pt>
              <c:pt idx="12">
                <c:v>86.6</c:v>
              </c:pt>
              <c:pt idx="13">
                <c:v>86.6</c:v>
              </c:pt>
              <c:pt idx="14">
                <c:v>86.699999999999989</c:v>
              </c:pt>
              <c:pt idx="15">
                <c:v>88.699999999999989</c:v>
              </c:pt>
              <c:pt idx="16">
                <c:v>95.699999999999989</c:v>
              </c:pt>
              <c:pt idx="17">
                <c:v>102.69999999999999</c:v>
              </c:pt>
              <c:pt idx="18">
                <c:v>114.69999999999999</c:v>
              </c:pt>
              <c:pt idx="19">
                <c:v>123.69999999999999</c:v>
              </c:pt>
              <c:pt idx="20">
                <c:v>131.69999999999999</c:v>
              </c:pt>
              <c:pt idx="21">
                <c:v>144.6</c:v>
              </c:pt>
              <c:pt idx="22">
                <c:v>153.6</c:v>
              </c:pt>
              <c:pt idx="23">
                <c:v>166.1</c:v>
              </c:pt>
              <c:pt idx="24">
                <c:v>179.1</c:v>
              </c:pt>
              <c:pt idx="25">
                <c:v>183.1</c:v>
              </c:pt>
              <c:pt idx="26">
                <c:v>194.1</c:v>
              </c:pt>
              <c:pt idx="27">
                <c:v>199.1</c:v>
              </c:pt>
              <c:pt idx="28">
                <c:v>202.6</c:v>
              </c:pt>
              <c:pt idx="29">
                <c:v>216</c:v>
              </c:pt>
            </c:numLit>
          </c:val>
          <c:smooth val="0"/>
        </c:ser>
        <c:ser>
          <c:idx val="2"/>
          <c:order val="1"/>
          <c:tx>
            <c:v>E (Cumulative Sun Hours)</c:v>
          </c:tx>
          <c:spPr>
            <a:ln w="25400">
              <a:solidFill>
                <a:srgbClr val="FFFF99"/>
              </a:solidFill>
              <a:prstDash val="lgDash"/>
            </a:ln>
          </c:spPr>
          <c:marker>
            <c:symbol val="diamond"/>
            <c:size val="2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4.2461162729460398</c:v>
              </c:pt>
              <c:pt idx="1">
                <c:v>8.5148428445969202</c:v>
              </c:pt>
              <c:pt idx="2">
                <c:v>12.806149769632723</c:v>
              </c:pt>
              <c:pt idx="3">
                <c:v>17.12000403828339</c:v>
              </c:pt>
              <c:pt idx="4">
                <c:v>21.456369506124645</c:v>
              </c:pt>
              <c:pt idx="5">
                <c:v>25.815206817964707</c:v>
              </c:pt>
              <c:pt idx="6">
                <c:v>30.196473325852793</c:v>
              </c:pt>
              <c:pt idx="7">
                <c:v>34.600123001245485</c:v>
              </c:pt>
              <c:pt idx="8">
                <c:v>39.026106341373094</c:v>
              </c:pt>
              <c:pt idx="9">
                <c:v>43.474370269854425</c:v>
              </c:pt>
              <c:pt idx="10">
                <c:v>47.944858031616008</c:v>
              </c:pt>
              <c:pt idx="11">
                <c:v>52.437509082179595</c:v>
              </c:pt>
              <c:pt idx="12">
                <c:v>56.952258971391046</c:v>
              </c:pt>
              <c:pt idx="13">
                <c:v>61.489039221673394</c:v>
              </c:pt>
              <c:pt idx="14">
                <c:v>66.047777200897841</c:v>
              </c:pt>
              <c:pt idx="15">
                <c:v>70.628395989978344</c:v>
              </c:pt>
              <c:pt idx="16">
                <c:v>75.230814245308451</c:v>
              </c:pt>
              <c:pt idx="17">
                <c:v>79.854946056173034</c:v>
              </c:pt>
              <c:pt idx="18">
                <c:v>84.50070079728313</c:v>
              </c:pt>
              <c:pt idx="19">
                <c:v>89.16798297659841</c:v>
              </c:pt>
              <c:pt idx="20">
                <c:v>93.85669207861973</c:v>
              </c:pt>
              <c:pt idx="21">
                <c:v>98.56672240335341</c:v>
              </c:pt>
              <c:pt idx="22">
                <c:v>103.29796290116941</c:v>
              </c:pt>
              <c:pt idx="23">
                <c:v>108.05029700379747</c:v>
              </c:pt>
              <c:pt idx="24">
                <c:v>112.8236024517286</c:v>
              </c:pt>
              <c:pt idx="25">
                <c:v>117.61775111831436</c:v>
              </c:pt>
              <c:pt idx="26">
                <c:v>122.43260883088224</c:v>
              </c:pt>
              <c:pt idx="27">
                <c:v>127.26803518921361</c:v>
              </c:pt>
              <c:pt idx="28">
                <c:v>132.12388338175944</c:v>
              </c:pt>
              <c:pt idx="29">
                <c:v>137.00000000000006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6292352"/>
        <c:axId val="106293888"/>
      </c:lineChart>
      <c:lineChart>
        <c:grouping val="standard"/>
        <c:varyColors val="0"/>
        <c:ser>
          <c:idx val="0"/>
          <c:order val="2"/>
          <c:tx>
            <c:v>Cumulative Anomaly</c:v>
          </c:tx>
          <c:spPr>
            <a:ln w="12700">
              <a:solidFill>
                <a:srgbClr val="99CC00"/>
              </a:solidFill>
              <a:prstDash val="solid"/>
            </a:ln>
          </c:spPr>
          <c:marker>
            <c:symbol val="circle"/>
            <c:size val="2"/>
            <c:spPr>
              <a:solidFill>
                <a:srgbClr val="808000"/>
              </a:solidFill>
              <a:ln>
                <a:solidFill>
                  <a:srgbClr val="808000"/>
                </a:solidFill>
                <a:prstDash val="solid"/>
              </a:ln>
            </c:spPr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0.47101866068598264</c:v>
              </c:pt>
              <c:pt idx="1">
                <c:v>0.41104692874289739</c:v>
              </c:pt>
              <c:pt idx="2">
                <c:v>0.62469986248094911</c:v>
              </c:pt>
              <c:pt idx="3">
                <c:v>0.70093441410211432</c:v>
              </c:pt>
              <c:pt idx="4">
                <c:v>0.55927448474331332</c:v>
              </c:pt>
              <c:pt idx="5">
                <c:v>0.91031616231896451</c:v>
              </c:pt>
              <c:pt idx="6">
                <c:v>1.1425175260603275</c:v>
              </c:pt>
              <c:pt idx="7">
                <c:v>1.346816021385894</c:v>
              </c:pt>
              <c:pt idx="8">
                <c:v>1.5015589689478159</c:v>
              </c:pt>
              <c:pt idx="9">
                <c:v>1.6009432584757035</c:v>
              </c:pt>
              <c:pt idx="10">
                <c:v>1.5559541327832682</c:v>
              </c:pt>
              <c:pt idx="11">
                <c:v>1.6324192643446973</c:v>
              </c:pt>
              <c:pt idx="12">
                <c:v>1.5205718186437867</c:v>
              </c:pt>
              <c:pt idx="13">
                <c:v>1.4083810886652397</c:v>
              </c:pt>
              <c:pt idx="14">
                <c:v>1.3126861141183326</c:v>
              </c:pt>
              <c:pt idx="15">
                <c:v>1.2558688153216147</c:v>
              </c:pt>
              <c:pt idx="16">
                <c:v>1.2720851284148906</c:v>
              </c:pt>
              <c:pt idx="17">
                <c:v>1.2860818906290021</c:v>
              </c:pt>
              <c:pt idx="18">
                <c:v>1.3573851922857405</c:v>
              </c:pt>
              <c:pt idx="19">
                <c:v>1.3872692402660303</c:v>
              </c:pt>
              <c:pt idx="20">
                <c:v>1.4032030863572365</c:v>
              </c:pt>
              <c:pt idx="21">
                <c:v>1.4670265630652688</c:v>
              </c:pt>
              <c:pt idx="22">
                <c:v>1.4869605913425146</c:v>
              </c:pt>
              <c:pt idx="23">
                <c:v>1.5372470470318313</c:v>
              </c:pt>
              <c:pt idx="24">
                <c:v>1.5874338002691204</c:v>
              </c:pt>
              <c:pt idx="25">
                <c:v>1.5567378075084564</c:v>
              </c:pt>
              <c:pt idx="26">
                <c:v>1.5853619542495647</c:v>
              </c:pt>
              <c:pt idx="27">
                <c:v>1.5644148171533523</c:v>
              </c:pt>
              <c:pt idx="28">
                <c:v>1.5334093641087319</c:v>
              </c:pt>
              <c:pt idx="29">
                <c:v>1.5766423357664228</c:v>
              </c:pt>
            </c:numLit>
          </c:val>
          <c:smooth val="0"/>
        </c:ser>
        <c:ser>
          <c:idx val="3"/>
          <c:order val="3"/>
          <c:tx>
            <c:v>E (Cumulative Anomaly)</c:v>
          </c:tx>
          <c:spPr>
            <a:ln w="12700">
              <a:solidFill>
                <a:srgbClr val="808000"/>
              </a:solidFill>
              <a:prstDash val="lgDash"/>
            </a:ln>
          </c:spPr>
          <c:marker>
            <c:symbol val="none"/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1</c:v>
              </c:pt>
              <c:pt idx="1">
                <c:v>1</c:v>
              </c:pt>
              <c:pt idx="2">
                <c:v>1</c:v>
              </c:pt>
              <c:pt idx="3">
                <c:v>1</c:v>
              </c:pt>
              <c:pt idx="4">
                <c:v>1</c:v>
              </c:pt>
              <c:pt idx="5">
                <c:v>1</c:v>
              </c:pt>
              <c:pt idx="6">
                <c:v>1</c:v>
              </c:pt>
              <c:pt idx="7">
                <c:v>1</c:v>
              </c:pt>
              <c:pt idx="8">
                <c:v>1</c:v>
              </c:pt>
              <c:pt idx="9">
                <c:v>1</c:v>
              </c:pt>
              <c:pt idx="10">
                <c:v>1</c:v>
              </c:pt>
              <c:pt idx="11">
                <c:v>1</c:v>
              </c:pt>
              <c:pt idx="12">
                <c:v>1</c:v>
              </c:pt>
              <c:pt idx="13">
                <c:v>1</c:v>
              </c:pt>
              <c:pt idx="14">
                <c:v>1</c:v>
              </c:pt>
              <c:pt idx="15">
                <c:v>1</c:v>
              </c:pt>
              <c:pt idx="16">
                <c:v>1</c:v>
              </c:pt>
              <c:pt idx="17">
                <c:v>1</c:v>
              </c:pt>
              <c:pt idx="18">
                <c:v>1</c:v>
              </c:pt>
              <c:pt idx="19">
                <c:v>1</c:v>
              </c:pt>
              <c:pt idx="20">
                <c:v>1</c:v>
              </c:pt>
              <c:pt idx="21">
                <c:v>1</c:v>
              </c:pt>
              <c:pt idx="22">
                <c:v>1</c:v>
              </c:pt>
              <c:pt idx="23">
                <c:v>1</c:v>
              </c:pt>
              <c:pt idx="24">
                <c:v>1</c:v>
              </c:pt>
              <c:pt idx="25">
                <c:v>1</c:v>
              </c:pt>
              <c:pt idx="26">
                <c:v>1</c:v>
              </c:pt>
              <c:pt idx="27">
                <c:v>1</c:v>
              </c:pt>
              <c:pt idx="28">
                <c:v>1</c:v>
              </c:pt>
              <c:pt idx="29">
                <c:v>1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6443136"/>
        <c:axId val="106444672"/>
      </c:lineChart>
      <c:catAx>
        <c:axId val="1062923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62938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6293888"/>
        <c:scaling>
          <c:orientation val="minMax"/>
          <c:max val="225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6292352"/>
        <c:crosses val="autoZero"/>
        <c:crossBetween val="between"/>
        <c:majorUnit val="25"/>
      </c:valAx>
      <c:catAx>
        <c:axId val="1064431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6444672"/>
        <c:crosses val="autoZero"/>
        <c:auto val="1"/>
        <c:lblAlgn val="ctr"/>
        <c:lblOffset val="100"/>
        <c:noMultiLvlLbl val="0"/>
      </c:catAx>
      <c:valAx>
        <c:axId val="106444672"/>
        <c:scaling>
          <c:orientation val="minMax"/>
          <c:max val="2.25"/>
          <c:min val="0"/>
        </c:scaling>
        <c:delete val="0"/>
        <c:axPos val="r"/>
        <c:numFmt formatCode="0%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6443136"/>
        <c:crosses val="max"/>
        <c:crossBetween val="between"/>
        <c:majorUnit val="0.25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 horizontalDpi="-3"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 sz="14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Mean' &amp; Mean Temperature / </a:t>
            </a:r>
            <a:r>
              <a:rPr lang="en-GB" sz="1400" b="1" i="0" u="none" strike="noStrike" baseline="30000">
                <a:solidFill>
                  <a:srgbClr val="000000"/>
                </a:solidFill>
                <a:latin typeface="Arial"/>
                <a:cs typeface="Arial"/>
              </a:rPr>
              <a:t>o</a:t>
            </a:r>
            <a:r>
              <a:rPr lang="en-GB" sz="14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C</a:t>
            </a:r>
          </a:p>
        </c:rich>
      </c:tx>
      <c:layout>
        <c:manualLayout>
          <c:xMode val="edge"/>
          <c:yMode val="edge"/>
          <c:x val="0.40872784878534313"/>
          <c:y val="2.002355712603062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970505042623335E-2"/>
          <c:y val="8.7161466570812363E-2"/>
          <c:w val="0.9686542550557532"/>
          <c:h val="0.86219180445722499"/>
        </c:manualLayout>
      </c:layout>
      <c:lineChart>
        <c:grouping val="standard"/>
        <c:varyColors val="0"/>
        <c:ser>
          <c:idx val="2"/>
          <c:order val="0"/>
          <c:tx>
            <c:v>Mean Temperature</c:v>
          </c:tx>
          <c:spPr>
            <a:ln w="25400">
              <a:solidFill>
                <a:srgbClr val="666699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333399"/>
              </a:solidFill>
              <a:ln>
                <a:solidFill>
                  <a:srgbClr val="333399"/>
                </a:solidFill>
                <a:prstDash val="solid"/>
              </a:ln>
            </c:spPr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13.75</c:v>
              </c:pt>
              <c:pt idx="1">
                <c:v>14.75</c:v>
              </c:pt>
              <c:pt idx="2">
                <c:v>11.15</c:v>
              </c:pt>
              <c:pt idx="3">
                <c:v>9.85</c:v>
              </c:pt>
              <c:pt idx="4">
                <c:v>10.85</c:v>
              </c:pt>
              <c:pt idx="5">
                <c:v>17.149999999999999</c:v>
              </c:pt>
              <c:pt idx="6">
                <c:v>15.35</c:v>
              </c:pt>
              <c:pt idx="7">
                <c:v>13.95</c:v>
              </c:pt>
              <c:pt idx="8">
                <c:v>12.799999999999999</c:v>
              </c:pt>
              <c:pt idx="9">
                <c:v>12.55</c:v>
              </c:pt>
              <c:pt idx="10">
                <c:v>13.05</c:v>
              </c:pt>
              <c:pt idx="11">
                <c:v>9.65</c:v>
              </c:pt>
              <c:pt idx="12">
                <c:v>8.5500000000000007</c:v>
              </c:pt>
              <c:pt idx="13">
                <c:v>11.05</c:v>
              </c:pt>
              <c:pt idx="14">
                <c:v>13.350000000000001</c:v>
              </c:pt>
              <c:pt idx="15">
                <c:v>13.85</c:v>
              </c:pt>
              <c:pt idx="16">
                <c:v>13.15</c:v>
              </c:pt>
              <c:pt idx="17">
                <c:v>12.4</c:v>
              </c:pt>
              <c:pt idx="18">
                <c:v>16.850000000000001</c:v>
              </c:pt>
              <c:pt idx="19">
                <c:v>16.75</c:v>
              </c:pt>
              <c:pt idx="20">
                <c:v>18</c:v>
              </c:pt>
              <c:pt idx="21">
                <c:v>17.600000000000001</c:v>
              </c:pt>
              <c:pt idx="22">
                <c:v>18.3</c:v>
              </c:pt>
              <c:pt idx="23">
                <c:v>17.55</c:v>
              </c:pt>
              <c:pt idx="24">
                <c:v>15</c:v>
              </c:pt>
              <c:pt idx="25">
                <c:v>12.05</c:v>
              </c:pt>
              <c:pt idx="26">
                <c:v>11.65</c:v>
              </c:pt>
              <c:pt idx="27">
                <c:v>10.55</c:v>
              </c:pt>
              <c:pt idx="28">
                <c:v>14.3</c:v>
              </c:pt>
              <c:pt idx="29">
                <c:v>15.3</c:v>
              </c:pt>
            </c:numLit>
          </c:val>
          <c:smooth val="0"/>
        </c:ser>
        <c:ser>
          <c:idx val="0"/>
          <c:order val="1"/>
          <c:tx>
            <c:v>Mean' Temperature</c:v>
          </c:tx>
          <c:spPr>
            <a:ln w="38100">
              <a:solidFill>
                <a:srgbClr val="800080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666699"/>
              </a:solidFill>
              <a:ln>
                <a:solidFill>
                  <a:srgbClr val="666699"/>
                </a:solidFill>
                <a:prstDash val="solid"/>
              </a:ln>
            </c:spPr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13.5</c:v>
              </c:pt>
              <c:pt idx="1">
                <c:v>15.1</c:v>
              </c:pt>
              <c:pt idx="2">
                <c:v>11.5</c:v>
              </c:pt>
              <c:pt idx="3">
                <c:v>10.1</c:v>
              </c:pt>
              <c:pt idx="4">
                <c:v>10.9</c:v>
              </c:pt>
              <c:pt idx="5">
                <c:v>16.8</c:v>
              </c:pt>
              <c:pt idx="6">
                <c:v>15.2</c:v>
              </c:pt>
              <c:pt idx="7">
                <c:v>14.5</c:v>
              </c:pt>
              <c:pt idx="8">
                <c:v>12.7</c:v>
              </c:pt>
              <c:pt idx="9">
                <c:v>12.3</c:v>
              </c:pt>
              <c:pt idx="10">
                <c:v>12.5</c:v>
              </c:pt>
              <c:pt idx="11">
                <c:v>9.8000000000000007</c:v>
              </c:pt>
              <c:pt idx="12">
                <c:v>8.6999999999999993</c:v>
              </c:pt>
              <c:pt idx="13">
                <c:v>11</c:v>
              </c:pt>
              <c:pt idx="14">
                <c:v>13.1</c:v>
              </c:pt>
              <c:pt idx="15">
                <c:v>13.6</c:v>
              </c:pt>
              <c:pt idx="16">
                <c:v>13.3</c:v>
              </c:pt>
              <c:pt idx="17">
                <c:v>12.6</c:v>
              </c:pt>
              <c:pt idx="18">
                <c:v>16.600000000000001</c:v>
              </c:pt>
              <c:pt idx="19">
                <c:v>16.8</c:v>
              </c:pt>
              <c:pt idx="20">
                <c:v>17.5</c:v>
              </c:pt>
              <c:pt idx="21">
                <c:v>18</c:v>
              </c:pt>
              <c:pt idx="22">
                <c:v>18.600000000000001</c:v>
              </c:pt>
              <c:pt idx="23">
                <c:v>16.7</c:v>
              </c:pt>
              <c:pt idx="24">
                <c:v>14.5</c:v>
              </c:pt>
              <c:pt idx="25">
                <c:v>11.4</c:v>
              </c:pt>
              <c:pt idx="26">
                <c:v>11.5</c:v>
              </c:pt>
              <c:pt idx="27">
                <c:v>10.4</c:v>
              </c:pt>
              <c:pt idx="28">
                <c:v>13.7</c:v>
              </c:pt>
              <c:pt idx="29">
                <c:v>15.1</c:v>
              </c:pt>
            </c:numLit>
          </c:val>
          <c:smooth val="0"/>
        </c:ser>
        <c:ser>
          <c:idx val="1"/>
          <c:order val="2"/>
          <c:tx>
            <c:v>E (Mean)</c:v>
          </c:tx>
          <c:spPr>
            <a:ln w="25400">
              <a:solidFill>
                <a:srgbClr val="CC99FF"/>
              </a:solidFill>
              <a:prstDash val="lgDash"/>
            </a:ln>
          </c:spPr>
          <c:marker>
            <c:symbol val="none"/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8.1000000000000014</c:v>
              </c:pt>
              <c:pt idx="1">
                <c:v>8.1250000000000018</c:v>
              </c:pt>
              <c:pt idx="2">
                <c:v>8.1500000000000021</c:v>
              </c:pt>
              <c:pt idx="3">
                <c:v>8.1750000000000025</c:v>
              </c:pt>
              <c:pt idx="4">
                <c:v>8.2000000000000028</c:v>
              </c:pt>
              <c:pt idx="5">
                <c:v>8.2250000000000014</c:v>
              </c:pt>
              <c:pt idx="6">
                <c:v>8.2839285714285733</c:v>
              </c:pt>
              <c:pt idx="7">
                <c:v>8.3428571428571452</c:v>
              </c:pt>
              <c:pt idx="8">
                <c:v>8.4017857142857171</c:v>
              </c:pt>
              <c:pt idx="9">
                <c:v>8.460714285714289</c:v>
              </c:pt>
              <c:pt idx="10">
                <c:v>8.5196428571428608</c:v>
              </c:pt>
              <c:pt idx="11">
                <c:v>8.5785714285714327</c:v>
              </c:pt>
              <c:pt idx="12">
                <c:v>8.6375000000000046</c:v>
              </c:pt>
              <c:pt idx="13">
                <c:v>8.6964285714285765</c:v>
              </c:pt>
              <c:pt idx="14">
                <c:v>8.7553571428571484</c:v>
              </c:pt>
              <c:pt idx="15">
                <c:v>8.8142857142857203</c:v>
              </c:pt>
              <c:pt idx="16">
                <c:v>8.8732142857142922</c:v>
              </c:pt>
              <c:pt idx="17">
                <c:v>8.932142857142864</c:v>
              </c:pt>
              <c:pt idx="18">
                <c:v>8.9910714285714359</c:v>
              </c:pt>
              <c:pt idx="19">
                <c:v>9.0500000000000007</c:v>
              </c:pt>
              <c:pt idx="20">
                <c:v>9.1850000000000005</c:v>
              </c:pt>
              <c:pt idx="21">
                <c:v>9.32</c:v>
              </c:pt>
              <c:pt idx="22">
                <c:v>9.4550000000000018</c:v>
              </c:pt>
              <c:pt idx="23">
                <c:v>9.5900000000000016</c:v>
              </c:pt>
              <c:pt idx="24">
                <c:v>9.7250000000000014</c:v>
              </c:pt>
              <c:pt idx="25">
                <c:v>9.860000000000003</c:v>
              </c:pt>
              <c:pt idx="26">
                <c:v>9.9950000000000028</c:v>
              </c:pt>
              <c:pt idx="27">
                <c:v>10.130000000000003</c:v>
              </c:pt>
              <c:pt idx="28">
                <c:v>10.265000000000002</c:v>
              </c:pt>
              <c:pt idx="29">
                <c:v>10.4</c:v>
              </c:pt>
            </c:numLit>
          </c:val>
          <c:smooth val="0"/>
        </c:ser>
        <c:ser>
          <c:idx val="3"/>
          <c:order val="3"/>
          <c:tx>
            <c:v>E (Max)</c:v>
          </c:tx>
          <c:spPr>
            <a:ln w="12700">
              <a:solidFill>
                <a:srgbClr val="FFCC99"/>
              </a:solidFill>
              <a:prstDash val="lgDash"/>
            </a:ln>
          </c:spPr>
          <c:marker>
            <c:symbol val="none"/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11.675000000000002</c:v>
              </c:pt>
              <c:pt idx="1">
                <c:v>11.700000000000003</c:v>
              </c:pt>
              <c:pt idx="2">
                <c:v>11.725000000000003</c:v>
              </c:pt>
              <c:pt idx="3">
                <c:v>11.750000000000004</c:v>
              </c:pt>
              <c:pt idx="4">
                <c:v>11.775000000000004</c:v>
              </c:pt>
              <c:pt idx="5">
                <c:v>11.8</c:v>
              </c:pt>
              <c:pt idx="6">
                <c:v>11.892857142857144</c:v>
              </c:pt>
              <c:pt idx="7">
                <c:v>11.985714285714288</c:v>
              </c:pt>
              <c:pt idx="8">
                <c:v>12.078571428571431</c:v>
              </c:pt>
              <c:pt idx="9">
                <c:v>12.171428571428574</c:v>
              </c:pt>
              <c:pt idx="10">
                <c:v>12.264285714285718</c:v>
              </c:pt>
              <c:pt idx="11">
                <c:v>12.357142857142861</c:v>
              </c:pt>
              <c:pt idx="12">
                <c:v>12.450000000000005</c:v>
              </c:pt>
              <c:pt idx="13">
                <c:v>12.542857142857148</c:v>
              </c:pt>
              <c:pt idx="14">
                <c:v>12.635714285714291</c:v>
              </c:pt>
              <c:pt idx="15">
                <c:v>12.728571428571435</c:v>
              </c:pt>
              <c:pt idx="16">
                <c:v>12.821428571428578</c:v>
              </c:pt>
              <c:pt idx="17">
                <c:v>12.914285714285722</c:v>
              </c:pt>
              <c:pt idx="18">
                <c:v>13.007142857142865</c:v>
              </c:pt>
              <c:pt idx="19">
                <c:v>13.100000000000001</c:v>
              </c:pt>
              <c:pt idx="20">
                <c:v>13.260000000000002</c:v>
              </c:pt>
              <c:pt idx="21">
                <c:v>13.420000000000002</c:v>
              </c:pt>
              <c:pt idx="22">
                <c:v>13.580000000000002</c:v>
              </c:pt>
              <c:pt idx="23">
                <c:v>13.740000000000002</c:v>
              </c:pt>
              <c:pt idx="24">
                <c:v>13.900000000000002</c:v>
              </c:pt>
              <c:pt idx="25">
                <c:v>14.060000000000002</c:v>
              </c:pt>
              <c:pt idx="26">
                <c:v>14.220000000000002</c:v>
              </c:pt>
              <c:pt idx="27">
                <c:v>14.380000000000003</c:v>
              </c:pt>
              <c:pt idx="28">
                <c:v>14.540000000000003</c:v>
              </c:pt>
              <c:pt idx="29">
                <c:v>14.7</c:v>
              </c:pt>
            </c:numLit>
          </c:val>
          <c:smooth val="0"/>
        </c:ser>
        <c:ser>
          <c:idx val="4"/>
          <c:order val="4"/>
          <c:tx>
            <c:v>E (Min)</c:v>
          </c:tx>
          <c:spPr>
            <a:ln w="12700">
              <a:solidFill>
                <a:srgbClr val="00CCFF"/>
              </a:solidFill>
              <a:prstDash val="lgDash"/>
            </a:ln>
          </c:spPr>
          <c:marker>
            <c:symbol val="none"/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4.5250000000000004</c:v>
              </c:pt>
              <c:pt idx="1">
                <c:v>4.5500000000000007</c:v>
              </c:pt>
              <c:pt idx="2">
                <c:v>4.5750000000000011</c:v>
              </c:pt>
              <c:pt idx="3">
                <c:v>4.6000000000000014</c:v>
              </c:pt>
              <c:pt idx="4">
                <c:v>4.6250000000000018</c:v>
              </c:pt>
              <c:pt idx="5">
                <c:v>4.6500000000000021</c:v>
              </c:pt>
              <c:pt idx="6">
                <c:v>4.6750000000000025</c:v>
              </c:pt>
              <c:pt idx="7">
                <c:v>4.7000000000000028</c:v>
              </c:pt>
              <c:pt idx="8">
                <c:v>4.7250000000000032</c:v>
              </c:pt>
              <c:pt idx="9">
                <c:v>4.7500000000000036</c:v>
              </c:pt>
              <c:pt idx="10">
                <c:v>4.7750000000000039</c:v>
              </c:pt>
              <c:pt idx="11">
                <c:v>4.8000000000000043</c:v>
              </c:pt>
              <c:pt idx="12">
                <c:v>4.8250000000000046</c:v>
              </c:pt>
              <c:pt idx="13">
                <c:v>4.850000000000005</c:v>
              </c:pt>
              <c:pt idx="14">
                <c:v>4.8750000000000053</c:v>
              </c:pt>
              <c:pt idx="15">
                <c:v>4.9000000000000057</c:v>
              </c:pt>
              <c:pt idx="16">
                <c:v>4.925000000000006</c:v>
              </c:pt>
              <c:pt idx="17">
                <c:v>4.9500000000000064</c:v>
              </c:pt>
              <c:pt idx="18">
                <c:v>4.9750000000000068</c:v>
              </c:pt>
              <c:pt idx="19">
                <c:v>5</c:v>
              </c:pt>
              <c:pt idx="20">
                <c:v>5.1100000000000003</c:v>
              </c:pt>
              <c:pt idx="21">
                <c:v>5.2200000000000006</c:v>
              </c:pt>
              <c:pt idx="22">
                <c:v>5.330000000000001</c:v>
              </c:pt>
              <c:pt idx="23">
                <c:v>5.4400000000000013</c:v>
              </c:pt>
              <c:pt idx="24">
                <c:v>5.5500000000000016</c:v>
              </c:pt>
              <c:pt idx="25">
                <c:v>5.6600000000000019</c:v>
              </c:pt>
              <c:pt idx="26">
                <c:v>5.7700000000000022</c:v>
              </c:pt>
              <c:pt idx="27">
                <c:v>5.8800000000000026</c:v>
              </c:pt>
              <c:pt idx="28">
                <c:v>5.9900000000000029</c:v>
              </c:pt>
              <c:pt idx="29">
                <c:v>6.1000000000000005</c:v>
              </c:pt>
            </c:numLit>
          </c:val>
          <c:smooth val="0"/>
        </c:ser>
        <c:ser>
          <c:idx val="5"/>
          <c:order val="5"/>
          <c:tx>
            <c:v>Cold Threshold</c:v>
          </c:tx>
          <c:spPr>
            <a:ln w="25400">
              <a:solidFill>
                <a:srgbClr val="0000FF"/>
              </a:solidFill>
              <a:prstDash val="sysDash"/>
            </a:ln>
          </c:spPr>
          <c:marker>
            <c:symbol val="none"/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5.7166666666666668</c:v>
              </c:pt>
              <c:pt idx="1">
                <c:v>5.7416666666666671</c:v>
              </c:pt>
              <c:pt idx="2">
                <c:v>5.7666666666666675</c:v>
              </c:pt>
              <c:pt idx="3">
                <c:v>5.7916666666666679</c:v>
              </c:pt>
              <c:pt idx="4">
                <c:v>5.8166666666666682</c:v>
              </c:pt>
              <c:pt idx="5">
                <c:v>5.8416666666666686</c:v>
              </c:pt>
              <c:pt idx="6">
                <c:v>5.8779761904761934</c:v>
              </c:pt>
              <c:pt idx="7">
                <c:v>5.9142857142857164</c:v>
              </c:pt>
              <c:pt idx="8">
                <c:v>5.9505952380952412</c:v>
              </c:pt>
              <c:pt idx="9">
                <c:v>5.9869047619047659</c:v>
              </c:pt>
              <c:pt idx="10">
                <c:v>6.023214285714289</c:v>
              </c:pt>
              <c:pt idx="11">
                <c:v>6.0595238095238138</c:v>
              </c:pt>
              <c:pt idx="12">
                <c:v>6.0958333333333385</c:v>
              </c:pt>
              <c:pt idx="13">
                <c:v>6.1321428571428616</c:v>
              </c:pt>
              <c:pt idx="14">
                <c:v>6.1684523809523863</c:v>
              </c:pt>
              <c:pt idx="15">
                <c:v>6.2047619047619111</c:v>
              </c:pt>
              <c:pt idx="16">
                <c:v>6.2410714285714342</c:v>
              </c:pt>
              <c:pt idx="17">
                <c:v>6.2773809523809589</c:v>
              </c:pt>
              <c:pt idx="18">
                <c:v>6.3136904761904837</c:v>
              </c:pt>
              <c:pt idx="19">
                <c:v>6.35</c:v>
              </c:pt>
              <c:pt idx="20">
                <c:v>6.4683333333333337</c:v>
              </c:pt>
              <c:pt idx="21">
                <c:v>6.586666666666666</c:v>
              </c:pt>
              <c:pt idx="22">
                <c:v>6.7050000000000018</c:v>
              </c:pt>
              <c:pt idx="23">
                <c:v>6.8233333333333341</c:v>
              </c:pt>
              <c:pt idx="24">
                <c:v>6.9416666666666682</c:v>
              </c:pt>
              <c:pt idx="25">
                <c:v>7.0600000000000023</c:v>
              </c:pt>
              <c:pt idx="26">
                <c:v>7.1783333333333363</c:v>
              </c:pt>
              <c:pt idx="27">
                <c:v>7.2966666666666686</c:v>
              </c:pt>
              <c:pt idx="28">
                <c:v>7.4150000000000027</c:v>
              </c:pt>
              <c:pt idx="29">
                <c:v>7.533333333333335</c:v>
              </c:pt>
            </c:numLit>
          </c:val>
          <c:smooth val="0"/>
        </c:ser>
        <c:ser>
          <c:idx val="6"/>
          <c:order val="6"/>
          <c:tx>
            <c:v>Mild Threshold</c:v>
          </c:tx>
          <c:spPr>
            <a:ln w="25400">
              <a:solidFill>
                <a:srgbClr val="FF6600"/>
              </a:solidFill>
              <a:prstDash val="sysDash"/>
            </a:ln>
          </c:spPr>
          <c:marker>
            <c:symbol val="none"/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10.483333333333336</c:v>
              </c:pt>
              <c:pt idx="1">
                <c:v>10.508333333333336</c:v>
              </c:pt>
              <c:pt idx="2">
                <c:v>10.533333333333337</c:v>
              </c:pt>
              <c:pt idx="3">
                <c:v>10.558333333333337</c:v>
              </c:pt>
              <c:pt idx="4">
                <c:v>10.583333333333337</c:v>
              </c:pt>
              <c:pt idx="5">
                <c:v>10.608333333333334</c:v>
              </c:pt>
              <c:pt idx="6">
                <c:v>10.689880952380953</c:v>
              </c:pt>
              <c:pt idx="7">
                <c:v>10.771428571428574</c:v>
              </c:pt>
              <c:pt idx="8">
                <c:v>10.852976190476193</c:v>
              </c:pt>
              <c:pt idx="9">
                <c:v>10.934523809523812</c:v>
              </c:pt>
              <c:pt idx="10">
                <c:v>11.016071428571433</c:v>
              </c:pt>
              <c:pt idx="11">
                <c:v>11.097619047619052</c:v>
              </c:pt>
              <c:pt idx="12">
                <c:v>11.179166666666671</c:v>
              </c:pt>
              <c:pt idx="13">
                <c:v>11.260714285714291</c:v>
              </c:pt>
              <c:pt idx="14">
                <c:v>11.34226190476191</c:v>
              </c:pt>
              <c:pt idx="15">
                <c:v>11.423809523809529</c:v>
              </c:pt>
              <c:pt idx="16">
                <c:v>11.50535714285715</c:v>
              </c:pt>
              <c:pt idx="17">
                <c:v>11.586904761904769</c:v>
              </c:pt>
              <c:pt idx="18">
                <c:v>11.668452380952388</c:v>
              </c:pt>
              <c:pt idx="19">
                <c:v>11.750000000000002</c:v>
              </c:pt>
              <c:pt idx="20">
                <c:v>11.901666666666667</c:v>
              </c:pt>
              <c:pt idx="21">
                <c:v>12.053333333333335</c:v>
              </c:pt>
              <c:pt idx="22">
                <c:v>12.205000000000002</c:v>
              </c:pt>
              <c:pt idx="23">
                <c:v>12.356666666666669</c:v>
              </c:pt>
              <c:pt idx="24">
                <c:v>12.508333333333335</c:v>
              </c:pt>
              <c:pt idx="25">
                <c:v>12.660000000000004</c:v>
              </c:pt>
              <c:pt idx="26">
                <c:v>12.811666666666669</c:v>
              </c:pt>
              <c:pt idx="27">
                <c:v>12.963333333333336</c:v>
              </c:pt>
              <c:pt idx="28">
                <c:v>13.115000000000002</c:v>
              </c:pt>
              <c:pt idx="29">
                <c:v>13.266666666666666</c:v>
              </c:pt>
            </c:numLit>
          </c:val>
          <c:smooth val="0"/>
        </c:ser>
        <c:ser>
          <c:idx val="7"/>
          <c:order val="7"/>
          <c:tx>
            <c:v>Freezing Point</c:v>
          </c:tx>
          <c:spPr>
            <a:ln w="38100">
              <a:solidFill>
                <a:srgbClr val="0000FF"/>
              </a:solidFill>
              <a:prstDash val="sysDash"/>
            </a:ln>
          </c:spPr>
          <c:marker>
            <c:symbol val="none"/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</c:numLit>
          </c:val>
          <c:smooth val="0"/>
        </c:ser>
        <c:ser>
          <c:idx val="8"/>
          <c:order val="8"/>
          <c:tx>
            <c:v>Cum. Mean</c:v>
          </c:tx>
          <c:spPr>
            <a:ln w="12700">
              <a:solidFill>
                <a:srgbClr val="993366"/>
              </a:solidFill>
              <a:prstDash val="solid"/>
            </a:ln>
          </c:spPr>
          <c:marker>
            <c:symbol val="circle"/>
            <c:size val="2"/>
            <c:spPr>
              <a:solidFill>
                <a:srgbClr val="800080"/>
              </a:solidFill>
              <a:ln>
                <a:solidFill>
                  <a:srgbClr val="800080"/>
                </a:solidFill>
                <a:prstDash val="solid"/>
              </a:ln>
            </c:spPr>
          </c:marker>
          <c:val>
            <c:numLit>
              <c:formatCode>General</c:formatCode>
              <c:ptCount val="30"/>
              <c:pt idx="0">
                <c:v>13.5</c:v>
              </c:pt>
              <c:pt idx="1">
                <c:v>14.3</c:v>
              </c:pt>
              <c:pt idx="2">
                <c:v>13.366666666666667</c:v>
              </c:pt>
              <c:pt idx="3">
                <c:v>12.55</c:v>
              </c:pt>
              <c:pt idx="4">
                <c:v>12.22</c:v>
              </c:pt>
              <c:pt idx="5">
                <c:v>12.983333333333334</c:v>
              </c:pt>
              <c:pt idx="6">
                <c:v>13.3</c:v>
              </c:pt>
              <c:pt idx="7">
                <c:v>13.450000000000001</c:v>
              </c:pt>
              <c:pt idx="8">
                <c:v>13.366666666666667</c:v>
              </c:pt>
              <c:pt idx="9">
                <c:v>13.260000000000002</c:v>
              </c:pt>
              <c:pt idx="10">
                <c:v>13.190909090909093</c:v>
              </c:pt>
              <c:pt idx="11">
                <c:v>12.908333333333337</c:v>
              </c:pt>
              <c:pt idx="12">
                <c:v>12.584615384615386</c:v>
              </c:pt>
              <c:pt idx="13">
                <c:v>12.471428571428573</c:v>
              </c:pt>
              <c:pt idx="14">
                <c:v>12.513333333333334</c:v>
              </c:pt>
              <c:pt idx="15">
                <c:v>12.581250000000001</c:v>
              </c:pt>
              <c:pt idx="16">
                <c:v>12.623529411764707</c:v>
              </c:pt>
              <c:pt idx="17">
                <c:v>12.622222222222224</c:v>
              </c:pt>
              <c:pt idx="18">
                <c:v>12.831578947368422</c:v>
              </c:pt>
              <c:pt idx="19">
                <c:v>13.030000000000001</c:v>
              </c:pt>
              <c:pt idx="20">
                <c:v>13.242857142857144</c:v>
              </c:pt>
              <c:pt idx="21">
                <c:v>13.459090909090911</c:v>
              </c:pt>
              <c:pt idx="22">
                <c:v>13.682608695652176</c:v>
              </c:pt>
              <c:pt idx="23">
                <c:v>13.808333333333335</c:v>
              </c:pt>
              <c:pt idx="24">
                <c:v>13.836000000000002</c:v>
              </c:pt>
              <c:pt idx="25">
                <c:v>13.742307692307692</c:v>
              </c:pt>
              <c:pt idx="26">
                <c:v>13.65925925925926</c:v>
              </c:pt>
              <c:pt idx="27">
                <c:v>13.542857142857143</c:v>
              </c:pt>
              <c:pt idx="28">
                <c:v>13.548275862068964</c:v>
              </c:pt>
              <c:pt idx="29">
                <c:v>13.6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6487168"/>
        <c:axId val="106497536"/>
      </c:lineChart>
      <c:catAx>
        <c:axId val="106487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6497536"/>
        <c:crossesAt val="-5"/>
        <c:auto val="1"/>
        <c:lblAlgn val="ctr"/>
        <c:lblOffset val="100"/>
        <c:tickLblSkip val="1"/>
        <c:tickMarkSkip val="1"/>
        <c:noMultiLvlLbl val="0"/>
      </c:catAx>
      <c:valAx>
        <c:axId val="106497536"/>
        <c:scaling>
          <c:orientation val="minMax"/>
          <c:max val="19"/>
          <c:min val="4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6487168"/>
        <c:crosses val="autoZero"/>
        <c:crossBetween val="between"/>
        <c:majorUnit val="2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0.25445611861516698"/>
          <c:y val="0.16372227323174707"/>
          <c:w val="0.56607265517747596"/>
          <c:h val="0.253239475807573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01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Pressure / Temperature</a:t>
            </a:r>
          </a:p>
        </c:rich>
      </c:tx>
      <c:layout>
        <c:manualLayout>
          <c:xMode val="edge"/>
          <c:yMode val="edge"/>
          <c:x val="0.41566820276497696"/>
          <c:y val="5.251141552511415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0829493087557605E-2"/>
          <c:y val="0.1278541663415167"/>
          <c:w val="0.9244239631336405"/>
          <c:h val="0.76027566770937616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993366"/>
              </a:solidFill>
              <a:ln>
                <a:solidFill>
                  <a:srgbClr val="993366"/>
                </a:solidFill>
                <a:prstDash val="solid"/>
              </a:ln>
            </c:spPr>
          </c:marker>
          <c:trendline>
            <c:spPr>
              <a:ln w="12700">
                <a:solidFill>
                  <a:srgbClr val="000080"/>
                </a:solidFill>
                <a:prstDash val="solid"/>
              </a:ln>
            </c:spPr>
            <c:trendlineType val="linear"/>
            <c:forward val="0.5"/>
            <c:backward val="3"/>
            <c:dispRSqr val="1"/>
            <c:dispEq val="1"/>
            <c:trendlineLbl>
              <c:layout>
                <c:manualLayout>
                  <c:xMode val="edge"/>
                  <c:yMode val="edge"/>
                  <c:x val="4.608294930875576E-3"/>
                  <c:y val="1.1415550566206849E-2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175" b="0" i="0" u="none" strike="noStrike" baseline="0">
                      <a:solidFill>
                        <a:srgbClr val="00000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en-US"/>
                </a:p>
              </c:txPr>
            </c:trendlineLbl>
          </c:trendline>
          <c:xVal>
            <c:numLit>
              <c:formatCode>General</c:formatCode>
              <c:ptCount val="30"/>
              <c:pt idx="0">
                <c:v>13.5</c:v>
              </c:pt>
              <c:pt idx="1">
                <c:v>15.1</c:v>
              </c:pt>
              <c:pt idx="2">
                <c:v>11.5</c:v>
              </c:pt>
              <c:pt idx="3">
                <c:v>10.1</c:v>
              </c:pt>
              <c:pt idx="4">
                <c:v>10.9</c:v>
              </c:pt>
              <c:pt idx="5">
                <c:v>16.8</c:v>
              </c:pt>
              <c:pt idx="6">
                <c:v>15.2</c:v>
              </c:pt>
              <c:pt idx="7">
                <c:v>14.5</c:v>
              </c:pt>
              <c:pt idx="8">
                <c:v>12.7</c:v>
              </c:pt>
              <c:pt idx="9">
                <c:v>12.3</c:v>
              </c:pt>
              <c:pt idx="10">
                <c:v>12.5</c:v>
              </c:pt>
              <c:pt idx="11">
                <c:v>9.8000000000000007</c:v>
              </c:pt>
              <c:pt idx="12">
                <c:v>8.6999999999999993</c:v>
              </c:pt>
              <c:pt idx="13">
                <c:v>11</c:v>
              </c:pt>
              <c:pt idx="14">
                <c:v>13.1</c:v>
              </c:pt>
              <c:pt idx="15">
                <c:v>13.6</c:v>
              </c:pt>
              <c:pt idx="16">
                <c:v>13.3</c:v>
              </c:pt>
              <c:pt idx="17">
                <c:v>12.6</c:v>
              </c:pt>
              <c:pt idx="18">
                <c:v>16.600000000000001</c:v>
              </c:pt>
              <c:pt idx="19">
                <c:v>16.8</c:v>
              </c:pt>
              <c:pt idx="20">
                <c:v>17.5</c:v>
              </c:pt>
              <c:pt idx="21">
                <c:v>18</c:v>
              </c:pt>
              <c:pt idx="22">
                <c:v>18.600000000000001</c:v>
              </c:pt>
              <c:pt idx="23">
                <c:v>16.7</c:v>
              </c:pt>
              <c:pt idx="24">
                <c:v>14.5</c:v>
              </c:pt>
              <c:pt idx="25">
                <c:v>11.4</c:v>
              </c:pt>
              <c:pt idx="26">
                <c:v>11.5</c:v>
              </c:pt>
              <c:pt idx="27">
                <c:v>10.4</c:v>
              </c:pt>
              <c:pt idx="28">
                <c:v>13.7</c:v>
              </c:pt>
              <c:pt idx="29">
                <c:v>15.1</c:v>
              </c:pt>
            </c:numLit>
          </c:xVal>
          <c:yVal>
            <c:numLit>
              <c:formatCode>General</c:formatCode>
              <c:ptCount val="30"/>
              <c:pt idx="0">
                <c:v>1017</c:v>
              </c:pt>
              <c:pt idx="1">
                <c:v>1011.5</c:v>
              </c:pt>
              <c:pt idx="2">
                <c:v>1015</c:v>
              </c:pt>
              <c:pt idx="3">
                <c:v>1020.5</c:v>
              </c:pt>
              <c:pt idx="4">
                <c:v>1022</c:v>
              </c:pt>
              <c:pt idx="5">
                <c:v>1025.5</c:v>
              </c:pt>
              <c:pt idx="6">
                <c:v>1027</c:v>
              </c:pt>
              <c:pt idx="7">
                <c:v>1027.5</c:v>
              </c:pt>
              <c:pt idx="8">
                <c:v>1026</c:v>
              </c:pt>
              <c:pt idx="9">
                <c:v>1024.5</c:v>
              </c:pt>
              <c:pt idx="10">
                <c:v>1023</c:v>
              </c:pt>
              <c:pt idx="11">
                <c:v>1028</c:v>
              </c:pt>
              <c:pt idx="12">
                <c:v>1024.5</c:v>
              </c:pt>
              <c:pt idx="13">
                <c:v>1019</c:v>
              </c:pt>
              <c:pt idx="14">
                <c:v>1020.5</c:v>
              </c:pt>
              <c:pt idx="15">
                <c:v>1022.5</c:v>
              </c:pt>
              <c:pt idx="16">
                <c:v>1025</c:v>
              </c:pt>
              <c:pt idx="17">
                <c:v>1018.5</c:v>
              </c:pt>
              <c:pt idx="18">
                <c:v>1014</c:v>
              </c:pt>
              <c:pt idx="19">
                <c:v>1015</c:v>
              </c:pt>
              <c:pt idx="20">
                <c:v>1013.5</c:v>
              </c:pt>
              <c:pt idx="21">
                <c:v>1009.5</c:v>
              </c:pt>
              <c:pt idx="22">
                <c:v>1012.5</c:v>
              </c:pt>
              <c:pt idx="23">
                <c:v>1019</c:v>
              </c:pt>
              <c:pt idx="24">
                <c:v>1023.5</c:v>
              </c:pt>
              <c:pt idx="25">
                <c:v>1025</c:v>
              </c:pt>
              <c:pt idx="26">
                <c:v>1024.5</c:v>
              </c:pt>
              <c:pt idx="27">
                <c:v>1020</c:v>
              </c:pt>
              <c:pt idx="28">
                <c:v>1013</c:v>
              </c:pt>
              <c:pt idx="29">
                <c:v>1008.5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522880"/>
        <c:axId val="106524672"/>
      </c:scatterChart>
      <c:valAx>
        <c:axId val="106522880"/>
        <c:scaling>
          <c:orientation val="minMax"/>
          <c:max val="19"/>
          <c:min val="7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6524672"/>
        <c:crosses val="autoZero"/>
        <c:crossBetween val="midCat"/>
        <c:majorUnit val="1"/>
      </c:valAx>
      <c:valAx>
        <c:axId val="106524672"/>
        <c:scaling>
          <c:orientation val="minMax"/>
          <c:max val="1030"/>
          <c:min val="100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6522880"/>
        <c:crossesAt val="-3"/>
        <c:crossBetween val="midCat"/>
        <c:majorUnit val="5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Relative Humidity Range / Temperature Range </a:t>
            </a:r>
          </a:p>
        </c:rich>
      </c:tx>
      <c:layout>
        <c:manualLayout>
          <c:xMode val="edge"/>
          <c:yMode val="edge"/>
          <c:x val="0.34658040665434381"/>
          <c:y val="3.009259259259259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4.4362292051756007E-2"/>
          <c:y val="0.12037064247559154"/>
          <c:w val="0.94085027726432535"/>
          <c:h val="0.766205435758092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993366"/>
              </a:solidFill>
              <a:ln>
                <a:solidFill>
                  <a:srgbClr val="993366"/>
                </a:solidFill>
                <a:prstDash val="solid"/>
              </a:ln>
            </c:spPr>
          </c:marker>
          <c:trendline>
            <c:spPr>
              <a:ln w="12700">
                <a:solidFill>
                  <a:srgbClr val="0000FF"/>
                </a:solidFill>
                <a:prstDash val="solid"/>
              </a:ln>
            </c:spPr>
            <c:trendlineType val="linear"/>
            <c:forward val="0.5"/>
            <c:backward val="2.5"/>
            <c:dispRSqr val="1"/>
            <c:dispEq val="1"/>
            <c:trendlineLbl>
              <c:layout>
                <c:manualLayout>
                  <c:xMode val="edge"/>
                  <c:yMode val="edge"/>
                  <c:x val="4.6210720887245845E-3"/>
                  <c:y val="7.4074241523440942E-2"/>
                </c:manualLayout>
              </c:layout>
              <c:numFmt formatCode="0.00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200" b="0" i="0" u="none" strike="noStrike" baseline="0">
                      <a:solidFill>
                        <a:srgbClr val="00000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en-US"/>
                </a:p>
              </c:txPr>
            </c:trendlineLbl>
          </c:trendline>
          <c:xVal>
            <c:numLit>
              <c:formatCode>General</c:formatCode>
              <c:ptCount val="30"/>
              <c:pt idx="0">
                <c:v>3.8999999999999986</c:v>
              </c:pt>
              <c:pt idx="1">
                <c:v>7.2999999999999989</c:v>
              </c:pt>
              <c:pt idx="2">
                <c:v>8.5</c:v>
              </c:pt>
              <c:pt idx="3">
                <c:v>7.5</c:v>
              </c:pt>
              <c:pt idx="4">
                <c:v>3.5</c:v>
              </c:pt>
              <c:pt idx="5">
                <c:v>10.499999999999998</c:v>
              </c:pt>
              <c:pt idx="6">
                <c:v>11.099999999999998</c:v>
              </c:pt>
              <c:pt idx="7">
                <c:v>13.899999999999999</c:v>
              </c:pt>
              <c:pt idx="8">
                <c:v>10.199999999999999</c:v>
              </c:pt>
              <c:pt idx="9">
                <c:v>12.9</c:v>
              </c:pt>
              <c:pt idx="10">
                <c:v>13.9</c:v>
              </c:pt>
              <c:pt idx="11">
                <c:v>8.6999999999999993</c:v>
              </c:pt>
              <c:pt idx="12">
                <c:v>8.9</c:v>
              </c:pt>
              <c:pt idx="13">
                <c:v>6.1</c:v>
              </c:pt>
              <c:pt idx="14">
                <c:v>6.9</c:v>
              </c:pt>
              <c:pt idx="15">
                <c:v>8.0999999999999979</c:v>
              </c:pt>
              <c:pt idx="16">
                <c:v>11.7</c:v>
              </c:pt>
              <c:pt idx="17">
                <c:v>11.400000000000002</c:v>
              </c:pt>
              <c:pt idx="18">
                <c:v>15.099999999999998</c:v>
              </c:pt>
              <c:pt idx="19">
                <c:v>15.299999999999999</c:v>
              </c:pt>
              <c:pt idx="20">
                <c:v>12.799999999999999</c:v>
              </c:pt>
              <c:pt idx="21">
                <c:v>16</c:v>
              </c:pt>
              <c:pt idx="22">
                <c:v>16.399999999999999</c:v>
              </c:pt>
              <c:pt idx="23">
                <c:v>10.299999999999999</c:v>
              </c:pt>
              <c:pt idx="24">
                <c:v>10.600000000000001</c:v>
              </c:pt>
              <c:pt idx="25">
                <c:v>7.1</c:v>
              </c:pt>
              <c:pt idx="26">
                <c:v>9.3000000000000007</c:v>
              </c:pt>
              <c:pt idx="27">
                <c:v>9.1</c:v>
              </c:pt>
              <c:pt idx="28">
                <c:v>10.4</c:v>
              </c:pt>
              <c:pt idx="29">
                <c:v>8.7999999999999989</c:v>
              </c:pt>
            </c:numLit>
          </c:xVal>
          <c:yVal>
            <c:numLit>
              <c:formatCode>General</c:formatCode>
              <c:ptCount val="30"/>
              <c:pt idx="0">
                <c:v>22</c:v>
              </c:pt>
              <c:pt idx="1">
                <c:v>37</c:v>
              </c:pt>
              <c:pt idx="2">
                <c:v>27</c:v>
              </c:pt>
              <c:pt idx="3">
                <c:v>40</c:v>
              </c:pt>
              <c:pt idx="4">
                <c:v>17</c:v>
              </c:pt>
              <c:pt idx="5">
                <c:v>60</c:v>
              </c:pt>
              <c:pt idx="6">
                <c:v>28</c:v>
              </c:pt>
              <c:pt idx="7">
                <c:v>44</c:v>
              </c:pt>
              <c:pt idx="8">
                <c:v>29</c:v>
              </c:pt>
              <c:pt idx="9">
                <c:v>48</c:v>
              </c:pt>
              <c:pt idx="10">
                <c:v>30</c:v>
              </c:pt>
              <c:pt idx="11">
                <c:v>40</c:v>
              </c:pt>
              <c:pt idx="12">
                <c:v>27</c:v>
              </c:pt>
              <c:pt idx="13">
                <c:v>19</c:v>
              </c:pt>
              <c:pt idx="14">
                <c:v>26</c:v>
              </c:pt>
              <c:pt idx="15">
                <c:v>26</c:v>
              </c:pt>
              <c:pt idx="16">
                <c:v>43</c:v>
              </c:pt>
              <c:pt idx="17">
                <c:v>53</c:v>
              </c:pt>
              <c:pt idx="18">
                <c:v>47</c:v>
              </c:pt>
              <c:pt idx="19">
                <c:v>46</c:v>
              </c:pt>
              <c:pt idx="20">
                <c:v>35</c:v>
              </c:pt>
              <c:pt idx="21">
                <c:v>44</c:v>
              </c:pt>
              <c:pt idx="22">
                <c:v>49</c:v>
              </c:pt>
              <c:pt idx="23">
                <c:v>35</c:v>
              </c:pt>
              <c:pt idx="24">
                <c:v>51</c:v>
              </c:pt>
              <c:pt idx="25">
                <c:v>19</c:v>
              </c:pt>
              <c:pt idx="26">
                <c:v>42</c:v>
              </c:pt>
              <c:pt idx="27">
                <c:v>28</c:v>
              </c:pt>
              <c:pt idx="28">
                <c:v>37</c:v>
              </c:pt>
              <c:pt idx="29">
                <c:v>39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557824"/>
        <c:axId val="106559360"/>
      </c:scatterChart>
      <c:valAx>
        <c:axId val="106557824"/>
        <c:scaling>
          <c:orientation val="minMax"/>
          <c:max val="17"/>
          <c:min val="0"/>
        </c:scaling>
        <c:delete val="0"/>
        <c:axPos val="b"/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6559360"/>
        <c:crossesAt val="0"/>
        <c:crossBetween val="midCat"/>
        <c:majorUnit val="1"/>
      </c:valAx>
      <c:valAx>
        <c:axId val="106559360"/>
        <c:scaling>
          <c:orientation val="minMax"/>
          <c:max val="60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6557824"/>
        <c:crosses val="autoZero"/>
        <c:crossBetween val="midCat"/>
        <c:majorUnit val="10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 horizontalDpi="-3" verticalDpi="0"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Time of Temperature Extremes</a:t>
            </a:r>
          </a:p>
        </c:rich>
      </c:tx>
      <c:layout>
        <c:manualLayout>
          <c:xMode val="edge"/>
          <c:yMode val="edge"/>
          <c:x val="0.41718183558328387"/>
          <c:y val="2.115158636897767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893697095932809E-2"/>
          <c:y val="8.4606345475910699E-2"/>
          <c:w val="0.95859114218917252"/>
          <c:h val="0.86486486486486491"/>
        </c:manualLayout>
      </c:layout>
      <c:lineChart>
        <c:grouping val="standard"/>
        <c:varyColors val="0"/>
        <c:ser>
          <c:idx val="1"/>
          <c:order val="0"/>
          <c:tx>
            <c:v>T Min</c:v>
          </c:tx>
          <c:spPr>
            <a:ln w="28575">
              <a:noFill/>
            </a:ln>
          </c:spPr>
          <c:marker>
            <c:symbol val="circle"/>
            <c:size val="10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0.3125</c:v>
              </c:pt>
              <c:pt idx="1">
                <c:v>0.19791666666666666</c:v>
              </c:pt>
              <c:pt idx="2">
                <c:v>0.27083333333333331</c:v>
              </c:pt>
              <c:pt idx="3">
                <c:v>0.28819444444444448</c:v>
              </c:pt>
              <c:pt idx="4">
                <c:v>0.20138888888888887</c:v>
              </c:pt>
              <c:pt idx="5">
                <c:v>6.9444444444444441E-3</c:v>
              </c:pt>
              <c:pt idx="6">
                <c:v>0.27083333333333331</c:v>
              </c:pt>
              <c:pt idx="7">
                <c:v>0.27083333333333331</c:v>
              </c:pt>
              <c:pt idx="8">
                <c:v>0.28125</c:v>
              </c:pt>
              <c:pt idx="9">
                <c:v>0.27430555555555552</c:v>
              </c:pt>
              <c:pt idx="10">
                <c:v>0.22569444444444445</c:v>
              </c:pt>
              <c:pt idx="11">
                <c:v>0.2673611111111111</c:v>
              </c:pt>
              <c:pt idx="12">
                <c:v>0.16666666666666666</c:v>
              </c:pt>
              <c:pt idx="13">
                <c:v>0.125</c:v>
              </c:pt>
              <c:pt idx="14">
                <c:v>0.28472222222222221</c:v>
              </c:pt>
              <c:pt idx="15">
                <c:v>0.30555555555555552</c:v>
              </c:pt>
              <c:pt idx="16">
                <c:v>0.20486111111111113</c:v>
              </c:pt>
              <c:pt idx="17">
                <c:v>0.25694444444444448</c:v>
              </c:pt>
              <c:pt idx="18">
                <c:v>0.27430555555555552</c:v>
              </c:pt>
              <c:pt idx="19">
                <c:v>0.25694444444444448</c:v>
              </c:pt>
              <c:pt idx="20">
                <c:v>0.1423611111111111</c:v>
              </c:pt>
              <c:pt idx="21">
                <c:v>0.2673611111111111</c:v>
              </c:pt>
              <c:pt idx="22">
                <c:v>0.2673611111111111</c:v>
              </c:pt>
              <c:pt idx="23">
                <c:v>0.27430555555555552</c:v>
              </c:pt>
              <c:pt idx="24">
                <c:v>0.2673611111111111</c:v>
              </c:pt>
              <c:pt idx="25">
                <c:v>0.23611111111111113</c:v>
              </c:pt>
              <c:pt idx="26">
                <c:v>0.23611111111111113</c:v>
              </c:pt>
              <c:pt idx="27">
                <c:v>0.1423611111111111</c:v>
              </c:pt>
              <c:pt idx="28">
                <c:v>0.25</c:v>
              </c:pt>
              <c:pt idx="29">
                <c:v>0.25</c:v>
              </c:pt>
            </c:numLit>
          </c:val>
          <c:smooth val="0"/>
        </c:ser>
        <c:ser>
          <c:idx val="2"/>
          <c:order val="1"/>
          <c:tx>
            <c:v>T Max</c:v>
          </c:tx>
          <c:spPr>
            <a:ln w="28575">
              <a:noFill/>
            </a:ln>
          </c:spPr>
          <c:marker>
            <c:symbol val="circle"/>
            <c:size val="10"/>
            <c:spPr>
              <a:solidFill>
                <a:srgbClr val="FF6600"/>
              </a:solidFill>
              <a:ln>
                <a:solidFill>
                  <a:srgbClr val="FF6600"/>
                </a:solidFill>
                <a:prstDash val="solid"/>
              </a:ln>
            </c:spPr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0.71875</c:v>
              </c:pt>
              <c:pt idx="1">
                <c:v>0.56597222222222221</c:v>
              </c:pt>
              <c:pt idx="2">
                <c:v>0.69791666666666663</c:v>
              </c:pt>
              <c:pt idx="3">
                <c:v>0.68402777777777779</c:v>
              </c:pt>
              <c:pt idx="4">
                <c:v>0.76041666666666663</c:v>
              </c:pt>
              <c:pt idx="5">
                <c:v>0.625</c:v>
              </c:pt>
              <c:pt idx="6">
                <c:v>0.57638888888888895</c:v>
              </c:pt>
              <c:pt idx="7">
                <c:v>0.72569444444444453</c:v>
              </c:pt>
              <c:pt idx="8">
                <c:v>0.57986111111111105</c:v>
              </c:pt>
              <c:pt idx="9">
                <c:v>0.68055555555555547</c:v>
              </c:pt>
              <c:pt idx="10">
                <c:v>0.62847222222222221</c:v>
              </c:pt>
              <c:pt idx="11">
                <c:v>0.75347222222222221</c:v>
              </c:pt>
              <c:pt idx="12">
                <c:v>0.625</c:v>
              </c:pt>
              <c:pt idx="13">
                <c:v>0.625</c:v>
              </c:pt>
              <c:pt idx="14">
                <c:v>0.625</c:v>
              </c:pt>
              <c:pt idx="15">
                <c:v>0.59027777777777779</c:v>
              </c:pt>
              <c:pt idx="16">
                <c:v>0.55555555555555558</c:v>
              </c:pt>
              <c:pt idx="17">
                <c:v>0.57986111111111105</c:v>
              </c:pt>
              <c:pt idx="18">
                <c:v>0.69097222222222221</c:v>
              </c:pt>
              <c:pt idx="19">
                <c:v>0.59375</c:v>
              </c:pt>
              <c:pt idx="20">
                <c:v>0.625</c:v>
              </c:pt>
              <c:pt idx="21">
                <c:v>0.63194444444444442</c:v>
              </c:pt>
              <c:pt idx="22">
                <c:v>0.61111111111111105</c:v>
              </c:pt>
              <c:pt idx="23">
                <c:v>0.66666666666666663</c:v>
              </c:pt>
              <c:pt idx="24">
                <c:v>0.65972222222222221</c:v>
              </c:pt>
              <c:pt idx="25">
                <c:v>0.73611111111111116</c:v>
              </c:pt>
              <c:pt idx="26">
                <c:v>0.66666666666666663</c:v>
              </c:pt>
              <c:pt idx="27">
                <c:v>0.61111111111111105</c:v>
              </c:pt>
              <c:pt idx="28">
                <c:v>0.72916666666666663</c:v>
              </c:pt>
              <c:pt idx="29">
                <c:v>0.63194444444444442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6596224"/>
        <c:axId val="106606592"/>
      </c:lineChart>
      <c:catAx>
        <c:axId val="106596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66065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6606592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hh:mm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6596224"/>
        <c:crosses val="autoZero"/>
        <c:crossBetween val="between"/>
        <c:majorUnit val="8.3333333300000006E-2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0.6347344344626884"/>
          <c:y val="0.17038777908343125"/>
          <c:w val="0.79728085287237727"/>
          <c:h val="0.2220916568742655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Time of Humidity Extremes</a:t>
            </a:r>
          </a:p>
        </c:rich>
      </c:tx>
      <c:layout>
        <c:manualLayout>
          <c:xMode val="edge"/>
          <c:yMode val="edge"/>
          <c:x val="0.42433600988264358"/>
          <c:y val="2.03349282296650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891290920321186E-2"/>
          <c:y val="8.7320574162679424E-2"/>
          <c:w val="0.95861642989499696"/>
          <c:h val="0.86124401913875603"/>
        </c:manualLayout>
      </c:layout>
      <c:lineChart>
        <c:grouping val="standard"/>
        <c:varyColors val="0"/>
        <c:ser>
          <c:idx val="0"/>
          <c:order val="0"/>
          <c:tx>
            <c:v>H Min</c:v>
          </c:tx>
          <c:spPr>
            <a:ln w="28575">
              <a:noFill/>
            </a:ln>
          </c:spPr>
          <c:marker>
            <c:symbol val="circle"/>
            <c:size val="10"/>
            <c:spPr>
              <a:solidFill>
                <a:srgbClr val="FF9900"/>
              </a:solidFill>
              <a:ln>
                <a:solidFill>
                  <a:srgbClr val="FF9900"/>
                </a:solidFill>
                <a:prstDash val="solid"/>
              </a:ln>
            </c:spPr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0.72569444444444453</c:v>
              </c:pt>
              <c:pt idx="1">
                <c:v>0.83333333333333337</c:v>
              </c:pt>
              <c:pt idx="2">
                <c:v>0.6875</c:v>
              </c:pt>
              <c:pt idx="3">
                <c:v>0.70486111111111116</c:v>
              </c:pt>
              <c:pt idx="4">
                <c:v>#N/A</c:v>
              </c:pt>
              <c:pt idx="5">
                <c:v>0.77777777777777779</c:v>
              </c:pt>
              <c:pt idx="6">
                <c:v>0.55208333333333337</c:v>
              </c:pt>
              <c:pt idx="7">
                <c:v>0.69444444444444453</c:v>
              </c:pt>
              <c:pt idx="8">
                <c:v>0.76041666666666663</c:v>
              </c:pt>
              <c:pt idx="9">
                <c:v>0.75694444444444453</c:v>
              </c:pt>
              <c:pt idx="10">
                <c:v>0.56597222222222221</c:v>
              </c:pt>
              <c:pt idx="11">
                <c:v>0.77083333333333337</c:v>
              </c:pt>
              <c:pt idx="12">
                <c:v>0.625</c:v>
              </c:pt>
              <c:pt idx="13">
                <c:v>0.68402777777777779</c:v>
              </c:pt>
              <c:pt idx="14">
                <c:v>0.64930555555555558</c:v>
              </c:pt>
              <c:pt idx="15">
                <c:v>0.59375</c:v>
              </c:pt>
              <c:pt idx="16">
                <c:v>0.62152777777777779</c:v>
              </c:pt>
              <c:pt idx="17">
                <c:v>0.65277777777777779</c:v>
              </c:pt>
              <c:pt idx="18">
                <c:v>0.73611111111111116</c:v>
              </c:pt>
              <c:pt idx="19">
                <c:v>0.6875</c:v>
              </c:pt>
              <c:pt idx="20">
                <c:v>0.75</c:v>
              </c:pt>
              <c:pt idx="21">
                <c:v>0.66666666666666663</c:v>
              </c:pt>
              <c:pt idx="22">
                <c:v>0.65277777777777779</c:v>
              </c:pt>
              <c:pt idx="23">
                <c:v>0.65277777777777779</c:v>
              </c:pt>
              <c:pt idx="24">
                <c:v>0.59027777777777779</c:v>
              </c:pt>
              <c:pt idx="25">
                <c:v>0.74652777777777779</c:v>
              </c:pt>
              <c:pt idx="26">
                <c:v>0.70833333333333337</c:v>
              </c:pt>
              <c:pt idx="27">
                <c:v>0.57986111111111105</c:v>
              </c:pt>
              <c:pt idx="28">
                <c:v>0.76736111111111116</c:v>
              </c:pt>
              <c:pt idx="29">
                <c:v>0.64930555555555558</c:v>
              </c:pt>
            </c:numLit>
          </c:val>
          <c:smooth val="0"/>
        </c:ser>
        <c:ser>
          <c:idx val="3"/>
          <c:order val="1"/>
          <c:tx>
            <c:v>H Max</c:v>
          </c:tx>
          <c:spPr>
            <a:ln w="28575">
              <a:noFill/>
            </a:ln>
          </c:spPr>
          <c:marker>
            <c:symbol val="circle"/>
            <c:size val="10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0.26041666666666669</c:v>
              </c:pt>
              <c:pt idx="1">
                <c:v>0.22916666666666666</c:v>
              </c:pt>
              <c:pt idx="2">
                <c:v>0.32291666666666669</c:v>
              </c:pt>
              <c:pt idx="3">
                <c:v>0.30555555555555552</c:v>
              </c:pt>
              <c:pt idx="4">
                <c:v>#N/A</c:v>
              </c:pt>
              <c:pt idx="5">
                <c:v>6.9444444444444441E-3</c:v>
              </c:pt>
              <c:pt idx="6">
                <c:v>#N/A</c:v>
              </c:pt>
              <c:pt idx="7">
                <c:v>0.30208333333333331</c:v>
              </c:pt>
              <c:pt idx="8">
                <c:v>#N/A</c:v>
              </c:pt>
              <c:pt idx="9">
                <c:v>0.30902777777777779</c:v>
              </c:pt>
              <c:pt idx="10">
                <c:v>0.30555555555555552</c:v>
              </c:pt>
              <c:pt idx="11">
                <c:v>0.28125</c:v>
              </c:pt>
              <c:pt idx="12">
                <c:v>0.2986111111111111</c:v>
              </c:pt>
              <c:pt idx="13">
                <c:v>0.27083333333333331</c:v>
              </c:pt>
              <c:pt idx="14">
                <c:v>0.2673611111111111</c:v>
              </c:pt>
              <c:pt idx="15">
                <c:v>0.35069444444444442</c:v>
              </c:pt>
              <c:pt idx="16">
                <c:v>0.29166666666666669</c:v>
              </c:pt>
              <c:pt idx="17">
                <c:v>0.3125</c:v>
              </c:pt>
              <c:pt idx="18">
                <c:v>0.30555555555555552</c:v>
              </c:pt>
              <c:pt idx="19">
                <c:v>0.30208333333333331</c:v>
              </c:pt>
              <c:pt idx="20">
                <c:v>0.19444444444444445</c:v>
              </c:pt>
              <c:pt idx="21">
                <c:v>0.2986111111111111</c:v>
              </c:pt>
              <c:pt idx="22">
                <c:v>0.30208333333333331</c:v>
              </c:pt>
              <c:pt idx="23">
                <c:v>0.27430555555555552</c:v>
              </c:pt>
              <c:pt idx="24">
                <c:v>0.20833333333333334</c:v>
              </c:pt>
              <c:pt idx="25">
                <c:v>0.23611111111111113</c:v>
              </c:pt>
              <c:pt idx="26">
                <c:v>0.24652777777777779</c:v>
              </c:pt>
              <c:pt idx="27">
                <c:v>0.17013888888888887</c:v>
              </c:pt>
              <c:pt idx="28">
                <c:v>0.30902777777777779</c:v>
              </c:pt>
              <c:pt idx="29">
                <c:v>0.27083333333333331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6623744"/>
        <c:axId val="106625664"/>
      </c:lineChart>
      <c:catAx>
        <c:axId val="106623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66256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6625664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hh:mm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6623744"/>
        <c:crosses val="autoZero"/>
        <c:crossBetween val="between"/>
        <c:majorUnit val="8.3333333300000006E-2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0.46263125386040765"/>
          <c:y val="0.10406698564593302"/>
          <c:w val="0.66213712168004946"/>
          <c:h val="0.147129186602870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Time of Max Gust</a:t>
            </a:r>
          </a:p>
        </c:rich>
      </c:tx>
      <c:layout>
        <c:manualLayout>
          <c:xMode val="edge"/>
          <c:yMode val="edge"/>
          <c:x val="0.44814840737500405"/>
          <c:y val="2.004716981132075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8888912331761387E-2"/>
          <c:y val="8.6084905660377353E-2"/>
          <c:w val="0.95864255319405456"/>
          <c:h val="0.8632075471698113"/>
        </c:manualLayout>
      </c:layout>
      <c:lineChart>
        <c:grouping val="standard"/>
        <c:varyColors val="0"/>
        <c:ser>
          <c:idx val="4"/>
          <c:order val="0"/>
          <c:tx>
            <c:v>Gust</c:v>
          </c:tx>
          <c:spPr>
            <a:ln w="28575">
              <a:noFill/>
            </a:ln>
          </c:spPr>
          <c:marker>
            <c:symbol val="circle"/>
            <c:size val="1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0.43055555555555558</c:v>
              </c:pt>
              <c:pt idx="1">
                <c:v>0.44722222222222219</c:v>
              </c:pt>
              <c:pt idx="2">
                <c:v>0.74305555555555547</c:v>
              </c:pt>
              <c:pt idx="3">
                <c:v>0.64861111111111114</c:v>
              </c:pt>
              <c:pt idx="4">
                <c:v>0.43611111111111112</c:v>
              </c:pt>
              <c:pt idx="5">
                <c:v>0.67986111111111114</c:v>
              </c:pt>
              <c:pt idx="6">
                <c:v>0.66527777777777775</c:v>
              </c:pt>
              <c:pt idx="7">
                <c:v>0.98541666666666661</c:v>
              </c:pt>
              <c:pt idx="8">
                <c:v>0.57638888888888895</c:v>
              </c:pt>
              <c:pt idx="9">
                <c:v>0.50694444444444442</c:v>
              </c:pt>
              <c:pt idx="10">
                <c:v>0.66388888888888886</c:v>
              </c:pt>
              <c:pt idx="11">
                <c:v>0.56180555555555556</c:v>
              </c:pt>
              <c:pt idx="12">
                <c:v>0.53194444444444444</c:v>
              </c:pt>
              <c:pt idx="13">
                <c:v>5.2083333333333336E-2</c:v>
              </c:pt>
              <c:pt idx="14">
                <c:v>0.56180555555555556</c:v>
              </c:pt>
              <c:pt idx="15">
                <c:v>0.56805555555555554</c:v>
              </c:pt>
              <c:pt idx="16">
                <c:v>0.71805555555555556</c:v>
              </c:pt>
              <c:pt idx="17">
                <c:v>0.51249999999999996</c:v>
              </c:pt>
              <c:pt idx="18">
                <c:v>0.62222222222222223</c:v>
              </c:pt>
              <c:pt idx="19">
                <c:v>0.65416666666666667</c:v>
              </c:pt>
              <c:pt idx="20">
                <c:v>0.71527777777777779</c:v>
              </c:pt>
              <c:pt idx="21">
                <c:v>0.75416666666666676</c:v>
              </c:pt>
              <c:pt idx="22">
                <c:v>0.72986111111111107</c:v>
              </c:pt>
              <c:pt idx="23">
                <c:v>0.92222222222222217</c:v>
              </c:pt>
              <c:pt idx="24">
                <c:v>0.62986111111111109</c:v>
              </c:pt>
              <c:pt idx="25">
                <c:v>0.86805555555555547</c:v>
              </c:pt>
              <c:pt idx="26">
                <c:v>0.5756944444444444</c:v>
              </c:pt>
              <c:pt idx="27">
                <c:v>0.55902777777777779</c:v>
              </c:pt>
              <c:pt idx="28">
                <c:v>0.8125</c:v>
              </c:pt>
              <c:pt idx="29">
                <c:v>0.74791666666666667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6641664"/>
        <c:axId val="106664320"/>
      </c:lineChart>
      <c:catAx>
        <c:axId val="1066416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66643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6664320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hh:mm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6641664"/>
        <c:crosses val="autoZero"/>
        <c:crossBetween val="between"/>
        <c:majorUnit val="8.3333333300000006E-2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 sz="14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Rain Rate / mmh</a:t>
            </a:r>
            <a:r>
              <a:rPr lang="en-GB" sz="1400" b="1" i="0" u="none" strike="noStrike" baseline="30000">
                <a:solidFill>
                  <a:srgbClr val="000000"/>
                </a:solidFill>
                <a:latin typeface="Arial"/>
                <a:cs typeface="Arial"/>
              </a:rPr>
              <a:t>-1</a:t>
            </a:r>
          </a:p>
        </c:rich>
      </c:tx>
      <c:layout>
        <c:manualLayout>
          <c:xMode val="edge"/>
          <c:yMode val="edge"/>
          <c:x val="0.44963144963144963"/>
          <c:y val="2.016607354685646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6412776412776413E-2"/>
          <c:y val="9.2526797577936845E-2"/>
          <c:w val="0.95515970515970516"/>
          <c:h val="0.85646599809321022"/>
        </c:manualLayout>
      </c:layout>
      <c:barChart>
        <c:barDir val="col"/>
        <c:grouping val="clustered"/>
        <c:varyColors val="0"/>
        <c:ser>
          <c:idx val="1"/>
          <c:order val="0"/>
          <c:tx>
            <c:v>Mean</c:v>
          </c:tx>
          <c:spPr>
            <a:solidFill>
              <a:srgbClr val="CCFFFF"/>
            </a:solidFill>
            <a:ln w="3175">
              <a:solidFill>
                <a:srgbClr val="333399"/>
              </a:solidFill>
              <a:prstDash val="solid"/>
            </a:ln>
          </c:spPr>
          <c:invertIfNegative val="0"/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0.46666666666666662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0.6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-80"/>
        <c:axId val="106690432"/>
        <c:axId val="106691968"/>
      </c:barChart>
      <c:barChart>
        <c:barDir val="col"/>
        <c:grouping val="clustered"/>
        <c:varyColors val="0"/>
        <c:ser>
          <c:idx val="0"/>
          <c:order val="1"/>
          <c:tx>
            <c:v>Max</c:v>
          </c:tx>
          <c:spPr>
            <a:solidFill>
              <a:srgbClr val="9999FF"/>
            </a:solidFill>
            <a:ln w="12700">
              <a:solidFill>
                <a:srgbClr val="000080"/>
              </a:solidFill>
              <a:prstDash val="solid"/>
            </a:ln>
          </c:spPr>
          <c:invertIfNegative val="0"/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4">
                <c:v>0</c:v>
              </c:pt>
              <c:pt idx="10">
                <c:v>0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0"/>
        <c:overlap val="-100"/>
        <c:axId val="106697856"/>
        <c:axId val="106699392"/>
      </c:barChart>
      <c:catAx>
        <c:axId val="106690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66919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6691968"/>
        <c:scaling>
          <c:orientation val="minMax"/>
          <c:max val="2.5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6690432"/>
        <c:crosses val="autoZero"/>
        <c:crossBetween val="between"/>
        <c:majorUnit val="0.5"/>
      </c:valAx>
      <c:catAx>
        <c:axId val="1066978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6699392"/>
        <c:crosses val="autoZero"/>
        <c:auto val="1"/>
        <c:lblAlgn val="ctr"/>
        <c:lblOffset val="100"/>
        <c:noMultiLvlLbl val="0"/>
      </c:catAx>
      <c:valAx>
        <c:axId val="106699392"/>
        <c:scaling>
          <c:orientation val="minMax"/>
          <c:max val="50"/>
          <c:min val="0"/>
        </c:scaling>
        <c:delete val="0"/>
        <c:axPos val="r"/>
        <c:numFmt formatCode="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6697856"/>
        <c:crosses val="max"/>
        <c:crossBetween val="between"/>
        <c:majorUnit val="10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0.23587223587223588"/>
          <c:y val="0.17793619213968359"/>
          <c:w val="0.38267813267813267"/>
          <c:h val="0.225385776955816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01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Rainfall / mm</a:t>
            </a:r>
          </a:p>
        </c:rich>
      </c:tx>
      <c:layout>
        <c:manualLayout>
          <c:xMode val="edge"/>
          <c:yMode val="edge"/>
          <c:x val="0.47051597051597049"/>
          <c:y val="1.534828807556080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955773955773956E-2"/>
          <c:y val="8.736722864200662E-2"/>
          <c:w val="0.97297297297297303"/>
          <c:h val="0.85124016014711856"/>
        </c:manualLayout>
      </c:layout>
      <c:barChart>
        <c:barDir val="col"/>
        <c:grouping val="clustered"/>
        <c:varyColors val="0"/>
        <c:ser>
          <c:idx val="0"/>
          <c:order val="0"/>
          <c:tx>
            <c:v>Rainfall</c:v>
          </c:tx>
          <c:spPr>
            <a:solidFill>
              <a:srgbClr val="3366FF"/>
            </a:solidFill>
            <a:ln w="12700">
              <a:solidFill>
                <a:srgbClr val="000080"/>
              </a:solidFill>
              <a:prstDash val="solid"/>
            </a:ln>
          </c:spPr>
          <c:invertIfNegative val="0"/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1.4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0.3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0.1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</c:numLit>
          </c:val>
        </c:ser>
        <c:ser>
          <c:idx val="1"/>
          <c:order val="1"/>
          <c:tx>
            <c:v>Max In Hour</c:v>
          </c:tx>
          <c:spPr>
            <a:solidFill>
              <a:srgbClr val="00CCFF"/>
            </a:solidFill>
            <a:ln w="12700">
              <a:solidFill>
                <a:srgbClr val="0000FF"/>
              </a:solidFill>
              <a:prstDash val="solid"/>
            </a:ln>
          </c:spPr>
          <c:invertIfNegative val="0"/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4">
                <c:v>0.5</c:v>
              </c:pt>
              <c:pt idx="10">
                <c:v>0</c:v>
              </c:pt>
            </c:numLit>
          </c:val>
        </c:ser>
        <c:ser>
          <c:idx val="2"/>
          <c:order val="2"/>
          <c:tx>
            <c:v>Max in 10 Minutes</c:v>
          </c:tx>
          <c:spPr>
            <a:solidFill>
              <a:srgbClr val="99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4">
                <c:v>0</c:v>
              </c:pt>
              <c:pt idx="10">
                <c:v>0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overlap val="100"/>
        <c:axId val="106729856"/>
        <c:axId val="106731392"/>
      </c:barChart>
      <c:catAx>
        <c:axId val="106729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67313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6731392"/>
        <c:scaling>
          <c:orientation val="minMax"/>
          <c:max val="10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6729856"/>
        <c:crosses val="autoZero"/>
        <c:crossBetween val="between"/>
        <c:majorUnit val="2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3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 horizontalDpi="-3" verticalDpi="0"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Wet Hours / h</a:t>
            </a:r>
          </a:p>
        </c:rich>
      </c:tx>
      <c:layout>
        <c:manualLayout>
          <c:xMode val="edge"/>
          <c:yMode val="edge"/>
          <c:x val="0.47116577299003271"/>
          <c:y val="2.245862884160756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926387535464059E-2"/>
          <c:y val="8.5106481219619459E-2"/>
          <c:w val="0.97361992355849891"/>
          <c:h val="0.86406719127141429"/>
        </c:manualLayout>
      </c:layout>
      <c:barChart>
        <c:barDir val="col"/>
        <c:grouping val="clustered"/>
        <c:varyColors val="0"/>
        <c:ser>
          <c:idx val="2"/>
          <c:order val="0"/>
          <c:tx>
            <c:v>Wet</c:v>
          </c:tx>
          <c:spPr>
            <a:solidFill>
              <a:srgbClr val="00FFFF"/>
            </a:solidFill>
            <a:ln w="12700">
              <a:solidFill>
                <a:srgbClr val="3366FF"/>
              </a:solidFill>
              <a:prstDash val="solid"/>
            </a:ln>
          </c:spPr>
          <c:invertIfNegative val="0"/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3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0.5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0.4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overlap val="-10"/>
        <c:axId val="106956288"/>
        <c:axId val="106957824"/>
      </c:barChart>
      <c:catAx>
        <c:axId val="106956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69578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6957824"/>
        <c:scaling>
          <c:orientation val="minMax"/>
          <c:max val="1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6956288"/>
        <c:crosses val="autoZero"/>
        <c:crossBetween val="between"/>
        <c:majorUnit val="2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Wind Direction Frequency</a:t>
            </a:r>
          </a:p>
        </c:rich>
      </c:tx>
      <c:layout>
        <c:manualLayout>
          <c:xMode val="edge"/>
          <c:yMode val="edge"/>
          <c:x val="0.4148367952522255"/>
          <c:y val="2.2538552787663108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9732937685459943"/>
          <c:y val="0.161328775264095"/>
          <c:w val="0.3792284866468843"/>
          <c:h val="0.75800799554232878"/>
        </c:manualLayout>
      </c:layout>
      <c:radarChart>
        <c:radarStyle val="filled"/>
        <c:varyColors val="1"/>
        <c:ser>
          <c:idx val="0"/>
          <c:order val="0"/>
          <c:tx>
            <c:v>Mean Wind Direction</c:v>
          </c:tx>
          <c:spPr>
            <a:solidFill>
              <a:srgbClr val="FF99CC"/>
            </a:solidFill>
            <a:ln w="38100">
              <a:solidFill>
                <a:srgbClr val="FF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</c:dPt>
          <c:dPt>
            <c:idx val="2"/>
            <c:bubble3D val="0"/>
          </c:dPt>
          <c:dPt>
            <c:idx val="3"/>
            <c:bubble3D val="0"/>
          </c:dPt>
          <c:dPt>
            <c:idx val="4"/>
            <c:bubble3D val="0"/>
          </c:dPt>
          <c:dPt>
            <c:idx val="5"/>
            <c:bubble3D val="0"/>
          </c:dPt>
          <c:dPt>
            <c:idx val="6"/>
            <c:bubble3D val="0"/>
          </c:dPt>
          <c:dPt>
            <c:idx val="7"/>
            <c:bubble3D val="0"/>
          </c:dPt>
          <c:dPt>
            <c:idx val="8"/>
            <c:bubble3D val="0"/>
          </c:dPt>
          <c:dPt>
            <c:idx val="9"/>
            <c:bubble3D val="0"/>
          </c:dPt>
          <c:dPt>
            <c:idx val="10"/>
            <c:bubble3D val="0"/>
          </c:dPt>
          <c:dPt>
            <c:idx val="11"/>
            <c:bubble3D val="0"/>
          </c:dPt>
          <c:dPt>
            <c:idx val="12"/>
            <c:bubble3D val="0"/>
          </c:dPt>
          <c:dPt>
            <c:idx val="13"/>
            <c:bubble3D val="0"/>
          </c:dPt>
          <c:dPt>
            <c:idx val="14"/>
            <c:bubble3D val="0"/>
          </c:dPt>
          <c:dPt>
            <c:idx val="15"/>
            <c:bubble3D val="0"/>
          </c:dPt>
          <c:dLbls>
            <c:dLbl>
              <c:idx val="0"/>
              <c:layout>
                <c:manualLayout>
                  <c:x val="3.2048100812324294E-3"/>
                  <c:y val="-0.1362012731623297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 val="3.9423974080391236E-2"/>
                  <c:y val="-7.96534126731646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layout>
                <c:manualLayout>
                  <c:x val="6.4273464333278754E-2"/>
                  <c:y val="-0.10741930649921241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layout>
                <c:manualLayout>
                  <c:x val="7.8918915550986318E-2"/>
                  <c:y val="-4.7832640959836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4"/>
              <c:layout>
                <c:manualLayout>
                  <c:x val="0.14256052711511952"/>
                  <c:y val="-2.503012041871963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5"/>
              <c:layout>
                <c:manualLayout>
                  <c:x val="0.15971008668426837"/>
                  <c:y val="0.12009086114014218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6"/>
              <c:layout>
                <c:manualLayout>
                  <c:x val="0.13298447783047887"/>
                  <c:y val="0.21657056462876179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7"/>
              <c:layout>
                <c:manualLayout>
                  <c:x val="9.5082034626977299E-2"/>
                  <c:y val="0.29035615026240258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8"/>
              <c:layout>
                <c:manualLayout>
                  <c:x val="1.42439465096535E-3"/>
                  <c:y val="0.24994634680445915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9"/>
              <c:layout>
                <c:manualLayout>
                  <c:x val="-3.6515931057579214E-2"/>
                  <c:y val="7.227490660024288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0"/>
              <c:layout>
                <c:manualLayout>
                  <c:x val="-3.714379619461515E-2"/>
                  <c:y val="6.801229357238938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1"/>
              <c:layout>
                <c:manualLayout>
                  <c:x val="-0.11452479419301073"/>
                  <c:y val="6.441641605313365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2"/>
              <c:layout>
                <c:manualLayout>
                  <c:x val="-0.13496396333247665"/>
                  <c:y val="-2.503012041871963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3"/>
              <c:layout>
                <c:manualLayout>
                  <c:x val="-0.14019411668496928"/>
                  <c:y val="-9.575707875268152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4"/>
              <c:layout>
                <c:manualLayout>
                  <c:x val="-0.10911993270870815"/>
                  <c:y val="-0.19973612156745671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5"/>
              <c:layout>
                <c:manualLayout>
                  <c:x val="-5.4448748802542107E-2"/>
                  <c:y val="-0.20470835020099148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25" b="1" i="0" u="none" strike="noStrike" baseline="0">
                    <a:solidFill>
                      <a:srgbClr val="FF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Lit>
              <c:ptCount val="16"/>
              <c:pt idx="0">
                <c:v>N</c:v>
              </c:pt>
              <c:pt idx="1">
                <c:v>NNE</c:v>
              </c:pt>
              <c:pt idx="2">
                <c:v>NE</c:v>
              </c:pt>
              <c:pt idx="3">
                <c:v>ENE</c:v>
              </c:pt>
              <c:pt idx="4">
                <c:v>E</c:v>
              </c:pt>
              <c:pt idx="5">
                <c:v>ESE</c:v>
              </c:pt>
              <c:pt idx="6">
                <c:v>SE</c:v>
              </c:pt>
              <c:pt idx="7">
                <c:v>SSE</c:v>
              </c:pt>
              <c:pt idx="8">
                <c:v>S</c:v>
              </c:pt>
              <c:pt idx="9">
                <c:v>SSW</c:v>
              </c:pt>
              <c:pt idx="10">
                <c:v>SW</c:v>
              </c:pt>
              <c:pt idx="11">
                <c:v>WSW</c:v>
              </c:pt>
              <c:pt idx="12">
                <c:v>W</c:v>
              </c:pt>
              <c:pt idx="13">
                <c:v>WNW</c:v>
              </c:pt>
              <c:pt idx="14">
                <c:v>NW</c:v>
              </c:pt>
              <c:pt idx="15">
                <c:v>NNW</c:v>
              </c:pt>
            </c:strLit>
          </c:cat>
          <c:val>
            <c:numLit>
              <c:formatCode>General</c:formatCode>
              <c:ptCount val="16"/>
              <c:pt idx="0">
                <c:v>0.09</c:v>
              </c:pt>
              <c:pt idx="1">
                <c:v>0.11</c:v>
              </c:pt>
              <c:pt idx="2">
                <c:v>0.1</c:v>
              </c:pt>
              <c:pt idx="3">
                <c:v>0.1</c:v>
              </c:pt>
              <c:pt idx="4">
                <c:v>0.04</c:v>
              </c:pt>
              <c:pt idx="5">
                <c:v>0.03</c:v>
              </c:pt>
              <c:pt idx="6">
                <c:v>0.01</c:v>
              </c:pt>
              <c:pt idx="7">
                <c:v>0.01</c:v>
              </c:pt>
              <c:pt idx="8">
                <c:v>0.04</c:v>
              </c:pt>
              <c:pt idx="9">
                <c:v>0.11</c:v>
              </c:pt>
              <c:pt idx="10">
                <c:v>0.1</c:v>
              </c:pt>
              <c:pt idx="11">
                <c:v>7.0000000000000007E-2</c:v>
              </c:pt>
              <c:pt idx="12">
                <c:v>0.04</c:v>
              </c:pt>
              <c:pt idx="13">
                <c:v>0.04</c:v>
              </c:pt>
              <c:pt idx="14">
                <c:v>0.04</c:v>
              </c:pt>
              <c:pt idx="15">
                <c:v>0.06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371904"/>
        <c:axId val="107381888"/>
      </c:radarChart>
      <c:catAx>
        <c:axId val="107371904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7381888"/>
        <c:crosses val="autoZero"/>
        <c:auto val="0"/>
        <c:lblAlgn val="ctr"/>
        <c:lblOffset val="100"/>
        <c:noMultiLvlLbl val="0"/>
      </c:catAx>
      <c:valAx>
        <c:axId val="107381888"/>
        <c:scaling>
          <c:orientation val="minMax"/>
          <c:max val="0.1400000000000000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0%" sourceLinked="0"/>
        <c:majorTickMark val="cross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7371904"/>
        <c:crosses val="autoZero"/>
        <c:crossBetween val="between"/>
        <c:majorUnit val="0.02"/>
      </c:valAx>
      <c:spPr>
        <a:solidFill>
          <a:srgbClr val="C0C0C0"/>
        </a:solidFill>
        <a:ln w="25400">
          <a:noFill/>
        </a:ln>
      </c:spPr>
    </c:plotArea>
    <c:plotVisOnly val="1"/>
    <c:dispBlanksAs val="gap"/>
    <c:showDLblsOverMax val="0"/>
  </c:chart>
  <c:spPr>
    <a:solidFill>
      <a:srgbClr val="C0C0C0"/>
    </a:solidFill>
    <a:ln w="3175">
      <a:solidFill>
        <a:srgbClr val="000000"/>
      </a:solidFill>
      <a:prstDash val="solid"/>
    </a:ln>
  </c:spPr>
  <c:txPr>
    <a:bodyPr/>
    <a:lstStyle/>
    <a:p>
      <a:pPr>
        <a:defRPr sz="23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 horizontalDpi="-3" verticalDpi="0"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7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 sz="14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Temperature / °C   </a:t>
            </a:r>
          </a:p>
        </c:rich>
      </c:tx>
      <c:layout>
        <c:manualLayout>
          <c:xMode val="edge"/>
          <c:yMode val="edge"/>
          <c:x val="0.450704353933713"/>
          <c:y val="2.1052631578947368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882432125746363E-2"/>
          <c:y val="8.0701846561867879E-2"/>
          <c:w val="0.95774676524787983"/>
          <c:h val="0.86900684051402655"/>
        </c:manualLayout>
      </c:layout>
      <c:lineChart>
        <c:grouping val="standard"/>
        <c:varyColors val="0"/>
        <c:ser>
          <c:idx val="0"/>
          <c:order val="0"/>
          <c:tx>
            <c:v>Min</c:v>
          </c:tx>
          <c:spPr>
            <a:ln w="38100">
              <a:solidFill>
                <a:srgbClr val="0000FF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10.5</c:v>
              </c:pt>
              <c:pt idx="1">
                <c:v>6.8</c:v>
              </c:pt>
              <c:pt idx="2">
                <c:v>5.2</c:v>
              </c:pt>
              <c:pt idx="3">
                <c:v>3.2</c:v>
              </c:pt>
              <c:pt idx="4">
                <c:v>8.6</c:v>
              </c:pt>
              <c:pt idx="5">
                <c:v>9.1</c:v>
              </c:pt>
              <c:pt idx="6">
                <c:v>14.4</c:v>
              </c:pt>
              <c:pt idx="7">
                <c:v>14.6</c:v>
              </c:pt>
              <c:pt idx="8">
                <c:v>11.6</c:v>
              </c:pt>
              <c:pt idx="9">
                <c:v>8.6999999999999993</c:v>
              </c:pt>
              <c:pt idx="10">
                <c:v>10.199999999999999</c:v>
              </c:pt>
              <c:pt idx="11">
                <c:v>8.8000000000000007</c:v>
              </c:pt>
              <c:pt idx="12">
                <c:v>8.3000000000000007</c:v>
              </c:pt>
              <c:pt idx="13">
                <c:v>7.5</c:v>
              </c:pt>
              <c:pt idx="14">
                <c:v>8.3000000000000007</c:v>
              </c:pt>
              <c:pt idx="15">
                <c:v>11.6</c:v>
              </c:pt>
              <c:pt idx="16">
                <c:v>11.5</c:v>
              </c:pt>
              <c:pt idx="17">
                <c:v>11.4</c:v>
              </c:pt>
              <c:pt idx="18">
                <c:v>6.5</c:v>
              </c:pt>
              <c:pt idx="19">
                <c:v>10.9</c:v>
              </c:pt>
              <c:pt idx="20">
                <c:v>7.8</c:v>
              </c:pt>
              <c:pt idx="21">
                <c:v>11.4</c:v>
              </c:pt>
              <c:pt idx="22">
                <c:v>10.3</c:v>
              </c:pt>
              <c:pt idx="23">
                <c:v>8.1999999999999993</c:v>
              </c:pt>
              <c:pt idx="24">
                <c:v>6.1</c:v>
              </c:pt>
              <c:pt idx="25">
                <c:v>10.9</c:v>
              </c:pt>
              <c:pt idx="26">
                <c:v>10.1</c:v>
              </c:pt>
              <c:pt idx="27">
                <c:v>9.1999999999999993</c:v>
              </c:pt>
              <c:pt idx="28">
                <c:v>13.3</c:v>
              </c:pt>
              <c:pt idx="29">
                <c:v>11.2</c:v>
              </c:pt>
              <c:pt idx="30">
                <c:v>7.8</c:v>
              </c:pt>
            </c:numLit>
          </c:val>
          <c:smooth val="0"/>
        </c:ser>
        <c:ser>
          <c:idx val="1"/>
          <c:order val="1"/>
          <c:tx>
            <c:v>Max</c:v>
          </c:tx>
          <c:spPr>
            <a:ln w="38100">
              <a:solidFill>
                <a:srgbClr val="FF6600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993300"/>
              </a:solidFill>
              <a:ln>
                <a:solidFill>
                  <a:srgbClr val="993300"/>
                </a:solidFill>
                <a:prstDash val="solid"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17.7</c:v>
              </c:pt>
              <c:pt idx="1">
                <c:v>15.6</c:v>
              </c:pt>
              <c:pt idx="2">
                <c:v>14.1</c:v>
              </c:pt>
              <c:pt idx="3">
                <c:v>16</c:v>
              </c:pt>
              <c:pt idx="4">
                <c:v>19.600000000000001</c:v>
              </c:pt>
              <c:pt idx="5">
                <c:v>24.5</c:v>
              </c:pt>
              <c:pt idx="6">
                <c:v>23.2</c:v>
              </c:pt>
              <c:pt idx="7">
                <c:v>19.600000000000001</c:v>
              </c:pt>
              <c:pt idx="8">
                <c:v>20.2</c:v>
              </c:pt>
              <c:pt idx="9">
                <c:v>21.4</c:v>
              </c:pt>
              <c:pt idx="10">
                <c:v>17.2</c:v>
              </c:pt>
              <c:pt idx="11">
                <c:v>17.8</c:v>
              </c:pt>
              <c:pt idx="12">
                <c:v>18.7</c:v>
              </c:pt>
              <c:pt idx="13">
                <c:v>16.600000000000001</c:v>
              </c:pt>
              <c:pt idx="14">
                <c:v>15.2</c:v>
              </c:pt>
              <c:pt idx="15">
                <c:v>19.8</c:v>
              </c:pt>
              <c:pt idx="16">
                <c:v>18.100000000000001</c:v>
              </c:pt>
              <c:pt idx="17">
                <c:v>19</c:v>
              </c:pt>
              <c:pt idx="18">
                <c:v>19.600000000000001</c:v>
              </c:pt>
              <c:pt idx="19">
                <c:v>18.3</c:v>
              </c:pt>
              <c:pt idx="20">
                <c:v>21</c:v>
              </c:pt>
              <c:pt idx="21">
                <c:v>18.3</c:v>
              </c:pt>
              <c:pt idx="22">
                <c:v>18.899999999999999</c:v>
              </c:pt>
              <c:pt idx="23">
                <c:v>19</c:v>
              </c:pt>
              <c:pt idx="24">
                <c:v>20.6</c:v>
              </c:pt>
              <c:pt idx="25">
                <c:v>15.1</c:v>
              </c:pt>
              <c:pt idx="26">
                <c:v>15.7</c:v>
              </c:pt>
              <c:pt idx="27">
                <c:v>15.6</c:v>
              </c:pt>
              <c:pt idx="28">
                <c:v>19.100000000000001</c:v>
              </c:pt>
              <c:pt idx="29">
                <c:v>20.5</c:v>
              </c:pt>
              <c:pt idx="30">
                <c:v>17.7</c:v>
              </c:pt>
            </c:numLit>
          </c:val>
          <c:smooth val="0"/>
        </c:ser>
        <c:ser>
          <c:idx val="7"/>
          <c:order val="2"/>
          <c:tx>
            <c:v>Cumulative Min</c:v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x"/>
            <c:size val="2"/>
            <c:spPr>
              <a:noFill/>
              <a:ln>
                <a:solidFill>
                  <a:srgbClr val="0000FF"/>
                </a:solidFill>
                <a:prstDash val="solid"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10.5</c:v>
              </c:pt>
              <c:pt idx="1">
                <c:v>8.65</c:v>
              </c:pt>
              <c:pt idx="2">
                <c:v>7.5</c:v>
              </c:pt>
              <c:pt idx="3">
                <c:v>6.4249999999999998</c:v>
              </c:pt>
              <c:pt idx="4">
                <c:v>6.8599999999999994</c:v>
              </c:pt>
              <c:pt idx="5">
                <c:v>7.2333333333333334</c:v>
              </c:pt>
              <c:pt idx="6">
                <c:v>8.2571428571428562</c:v>
              </c:pt>
              <c:pt idx="7">
                <c:v>9.0499999999999989</c:v>
              </c:pt>
              <c:pt idx="8">
                <c:v>9.3333333333333321</c:v>
              </c:pt>
              <c:pt idx="9">
                <c:v>9.27</c:v>
              </c:pt>
              <c:pt idx="10">
                <c:v>9.3545454545454536</c:v>
              </c:pt>
              <c:pt idx="11">
                <c:v>9.3083333333333318</c:v>
              </c:pt>
              <c:pt idx="12">
                <c:v>9.2307692307692299</c:v>
              </c:pt>
              <c:pt idx="13">
                <c:v>9.1071428571428559</c:v>
              </c:pt>
              <c:pt idx="14">
                <c:v>9.0533333333333328</c:v>
              </c:pt>
              <c:pt idx="15">
                <c:v>9.2124999999999986</c:v>
              </c:pt>
              <c:pt idx="16">
                <c:v>9.3470588235294105</c:v>
              </c:pt>
              <c:pt idx="17">
                <c:v>9.4611111111111104</c:v>
              </c:pt>
              <c:pt idx="18">
                <c:v>9.3052631578947356</c:v>
              </c:pt>
              <c:pt idx="19">
                <c:v>9.3849999999999998</c:v>
              </c:pt>
              <c:pt idx="20">
                <c:v>9.3095238095238102</c:v>
              </c:pt>
              <c:pt idx="21">
                <c:v>9.4045454545454543</c:v>
              </c:pt>
              <c:pt idx="22">
                <c:v>9.4434782608695667</c:v>
              </c:pt>
              <c:pt idx="23">
                <c:v>9.3916666666666675</c:v>
              </c:pt>
              <c:pt idx="24">
                <c:v>9.26</c:v>
              </c:pt>
              <c:pt idx="25">
                <c:v>9.3230769230769237</c:v>
              </c:pt>
              <c:pt idx="26">
                <c:v>9.3518518518518512</c:v>
              </c:pt>
              <c:pt idx="27">
                <c:v>9.3464285714285715</c:v>
              </c:pt>
              <c:pt idx="28">
                <c:v>9.4827586206896548</c:v>
              </c:pt>
              <c:pt idx="29">
                <c:v>9.5399999999999991</c:v>
              </c:pt>
              <c:pt idx="30">
                <c:v>9.4838709677419359</c:v>
              </c:pt>
            </c:numLit>
          </c:val>
          <c:smooth val="0"/>
        </c:ser>
        <c:ser>
          <c:idx val="6"/>
          <c:order val="3"/>
          <c:tx>
            <c:v>Cumulative Max</c:v>
          </c:tx>
          <c:spPr>
            <a:ln w="12700">
              <a:solidFill>
                <a:srgbClr val="FF9900"/>
              </a:solidFill>
              <a:prstDash val="solid"/>
            </a:ln>
          </c:spPr>
          <c:marker>
            <c:symbol val="plus"/>
            <c:size val="2"/>
            <c:spPr>
              <a:noFill/>
              <a:ln>
                <a:solidFill>
                  <a:srgbClr val="FF6600"/>
                </a:solidFill>
                <a:prstDash val="solid"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17.7</c:v>
              </c:pt>
              <c:pt idx="1">
                <c:v>16.649999999999999</c:v>
              </c:pt>
              <c:pt idx="2">
                <c:v>15.799999999999999</c:v>
              </c:pt>
              <c:pt idx="3">
                <c:v>15.85</c:v>
              </c:pt>
              <c:pt idx="4">
                <c:v>16.600000000000001</c:v>
              </c:pt>
              <c:pt idx="5">
                <c:v>17.916666666666668</c:v>
              </c:pt>
              <c:pt idx="6">
                <c:v>18.671428571428571</c:v>
              </c:pt>
              <c:pt idx="7">
                <c:v>18.787499999999998</c:v>
              </c:pt>
              <c:pt idx="8">
                <c:v>18.944444444444443</c:v>
              </c:pt>
              <c:pt idx="9">
                <c:v>19.189999999999998</c:v>
              </c:pt>
              <c:pt idx="10">
                <c:v>19.009090909090904</c:v>
              </c:pt>
              <c:pt idx="11">
                <c:v>18.908333333333331</c:v>
              </c:pt>
              <c:pt idx="12">
                <c:v>18.892307692307689</c:v>
              </c:pt>
              <c:pt idx="13">
                <c:v>18.728571428571428</c:v>
              </c:pt>
              <c:pt idx="14">
                <c:v>18.493333333333332</c:v>
              </c:pt>
              <c:pt idx="15">
                <c:v>18.574999999999999</c:v>
              </c:pt>
              <c:pt idx="16">
                <c:v>18.547058823529412</c:v>
              </c:pt>
              <c:pt idx="17">
                <c:v>18.572222222222223</c:v>
              </c:pt>
              <c:pt idx="18">
                <c:v>18.626315789473686</c:v>
              </c:pt>
              <c:pt idx="19">
                <c:v>18.610000000000003</c:v>
              </c:pt>
              <c:pt idx="20">
                <c:v>18.723809523809525</c:v>
              </c:pt>
              <c:pt idx="21">
                <c:v>18.704545454545457</c:v>
              </c:pt>
              <c:pt idx="22">
                <c:v>18.713043478260872</c:v>
              </c:pt>
              <c:pt idx="23">
                <c:v>18.725000000000001</c:v>
              </c:pt>
              <c:pt idx="24">
                <c:v>18.8</c:v>
              </c:pt>
              <c:pt idx="25">
                <c:v>18.657692307692312</c:v>
              </c:pt>
              <c:pt idx="26">
                <c:v>18.548148148148151</c:v>
              </c:pt>
              <c:pt idx="27">
                <c:v>18.442857142857147</c:v>
              </c:pt>
              <c:pt idx="28">
                <c:v>18.465517241379313</c:v>
              </c:pt>
              <c:pt idx="29">
                <c:v>18.533333333333339</c:v>
              </c:pt>
              <c:pt idx="30">
                <c:v>18.506451612903231</c:v>
              </c:pt>
            </c:numLit>
          </c:val>
          <c:smooth val="0"/>
        </c:ser>
        <c:ser>
          <c:idx val="9"/>
          <c:order val="6"/>
          <c:tx>
            <c:v>E (Min)</c:v>
          </c:tx>
          <c:spPr>
            <a:ln w="25400">
              <a:solidFill>
                <a:srgbClr val="00CCFF"/>
              </a:solidFill>
              <a:prstDash val="lgDash"/>
            </a:ln>
          </c:spPr>
          <c:marker>
            <c:symbol val="star"/>
            <c:size val="2"/>
            <c:spPr>
              <a:noFill/>
              <a:ln>
                <a:solidFill>
                  <a:srgbClr val="000080"/>
                </a:solidFill>
                <a:prstDash val="solid"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6.2346666666666675</c:v>
              </c:pt>
              <c:pt idx="1">
                <c:v>6.3693333333333344</c:v>
              </c:pt>
              <c:pt idx="2">
                <c:v>6.5040000000000013</c:v>
              </c:pt>
              <c:pt idx="3">
                <c:v>6.6386666666666683</c:v>
              </c:pt>
              <c:pt idx="4">
                <c:v>6.7733333333333352</c:v>
              </c:pt>
              <c:pt idx="5">
                <c:v>6.9080000000000021</c:v>
              </c:pt>
              <c:pt idx="6">
                <c:v>7.0426666666666691</c:v>
              </c:pt>
              <c:pt idx="7">
                <c:v>7.177333333333336</c:v>
              </c:pt>
              <c:pt idx="8">
                <c:v>7.3120000000000029</c:v>
              </c:pt>
              <c:pt idx="9">
                <c:v>7.4466666666666699</c:v>
              </c:pt>
              <c:pt idx="10">
                <c:v>7.5813333333333368</c:v>
              </c:pt>
              <c:pt idx="11">
                <c:v>7.7160000000000037</c:v>
              </c:pt>
              <c:pt idx="12">
                <c:v>7.8506666666666707</c:v>
              </c:pt>
              <c:pt idx="13">
                <c:v>7.9853333333333376</c:v>
              </c:pt>
              <c:pt idx="14">
                <c:v>8.1200000000000045</c:v>
              </c:pt>
              <c:pt idx="15">
                <c:v>8.2546666666666706</c:v>
              </c:pt>
              <c:pt idx="16">
                <c:v>8.3893333333333366</c:v>
              </c:pt>
              <c:pt idx="17">
                <c:v>8.5240000000000027</c:v>
              </c:pt>
              <c:pt idx="18">
                <c:v>8.6586666666666687</c:v>
              </c:pt>
              <c:pt idx="19">
                <c:v>8.7933333333333348</c:v>
              </c:pt>
              <c:pt idx="20">
                <c:v>8.9280000000000008</c:v>
              </c:pt>
              <c:pt idx="21">
                <c:v>9.0626666666666669</c:v>
              </c:pt>
              <c:pt idx="22">
                <c:v>9.1973333333333329</c:v>
              </c:pt>
              <c:pt idx="23">
                <c:v>9.331999999999999</c:v>
              </c:pt>
              <c:pt idx="24">
                <c:v>9.466666666666665</c:v>
              </c:pt>
              <c:pt idx="25">
                <c:v>9.6013333333333311</c:v>
              </c:pt>
              <c:pt idx="26">
                <c:v>9.7359999999999971</c:v>
              </c:pt>
              <c:pt idx="27">
                <c:v>9.8706666666666631</c:v>
              </c:pt>
              <c:pt idx="28">
                <c:v>10.005333333333329</c:v>
              </c:pt>
              <c:pt idx="29">
                <c:v>10.139999999999995</c:v>
              </c:pt>
              <c:pt idx="30">
                <c:v>10.139999999999999</c:v>
              </c:pt>
            </c:numLit>
          </c:val>
          <c:smooth val="0"/>
        </c:ser>
        <c:ser>
          <c:idx val="8"/>
          <c:order val="7"/>
          <c:tx>
            <c:v>E (Max)</c:v>
          </c:tx>
          <c:spPr>
            <a:ln w="25400">
              <a:solidFill>
                <a:srgbClr val="FFCC00"/>
              </a:solidFill>
              <a:prstDash val="lgDash"/>
            </a:ln>
          </c:spPr>
          <c:marker>
            <c:symbol val="diamond"/>
            <c:size val="2"/>
            <c:spPr>
              <a:noFill/>
              <a:ln>
                <a:solidFill>
                  <a:srgbClr val="FFCC00"/>
                </a:solidFill>
                <a:prstDash val="solid"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14.823333333333332</c:v>
              </c:pt>
              <c:pt idx="1">
                <c:v>14.946666666666665</c:v>
              </c:pt>
              <c:pt idx="2">
                <c:v>15.069999999999999</c:v>
              </c:pt>
              <c:pt idx="3">
                <c:v>15.193333333333332</c:v>
              </c:pt>
              <c:pt idx="4">
                <c:v>15.316666666666665</c:v>
              </c:pt>
              <c:pt idx="5">
                <c:v>15.439999999999998</c:v>
              </c:pt>
              <c:pt idx="6">
                <c:v>15.563333333333331</c:v>
              </c:pt>
              <c:pt idx="7">
                <c:v>15.686666666666664</c:v>
              </c:pt>
              <c:pt idx="8">
                <c:v>15.809999999999997</c:v>
              </c:pt>
              <c:pt idx="9">
                <c:v>15.93333333333333</c:v>
              </c:pt>
              <c:pt idx="10">
                <c:v>16.056666666666665</c:v>
              </c:pt>
              <c:pt idx="11">
                <c:v>16.18</c:v>
              </c:pt>
              <c:pt idx="12">
                <c:v>16.303333333333335</c:v>
              </c:pt>
              <c:pt idx="13">
                <c:v>16.426666666666669</c:v>
              </c:pt>
              <c:pt idx="14">
                <c:v>16.550000000000004</c:v>
              </c:pt>
              <c:pt idx="15">
                <c:v>16.673333333333339</c:v>
              </c:pt>
              <c:pt idx="16">
                <c:v>16.796666666666674</c:v>
              </c:pt>
              <c:pt idx="17">
                <c:v>16.920000000000009</c:v>
              </c:pt>
              <c:pt idx="18">
                <c:v>17.043333333333344</c:v>
              </c:pt>
              <c:pt idx="19">
                <c:v>17.166666666666679</c:v>
              </c:pt>
              <c:pt idx="20">
                <c:v>17.290000000000013</c:v>
              </c:pt>
              <c:pt idx="21">
                <c:v>17.413333333333348</c:v>
              </c:pt>
              <c:pt idx="22">
                <c:v>17.536666666666683</c:v>
              </c:pt>
              <c:pt idx="23">
                <c:v>17.660000000000018</c:v>
              </c:pt>
              <c:pt idx="24">
                <c:v>17.783333333333353</c:v>
              </c:pt>
              <c:pt idx="25">
                <c:v>17.906666666666688</c:v>
              </c:pt>
              <c:pt idx="26">
                <c:v>18.030000000000022</c:v>
              </c:pt>
              <c:pt idx="27">
                <c:v>18.153333333333357</c:v>
              </c:pt>
              <c:pt idx="28">
                <c:v>18.276666666666692</c:v>
              </c:pt>
              <c:pt idx="29">
                <c:v>18.400000000000027</c:v>
              </c:pt>
              <c:pt idx="30">
                <c:v>18.399999999999999</c:v>
              </c:pt>
            </c:numLit>
          </c:val>
          <c:smooth val="0"/>
        </c:ser>
        <c:ser>
          <c:idx val="4"/>
          <c:order val="8"/>
          <c:tx>
            <c:v>E (Mean)</c:v>
          </c:tx>
          <c:spPr>
            <a:ln w="25400">
              <a:solidFill>
                <a:srgbClr val="CC99FF"/>
              </a:solidFill>
              <a:prstDash val="lgDash"/>
            </a:ln>
          </c:spPr>
          <c:marker>
            <c:symbol val="square"/>
            <c:size val="2"/>
            <c:spPr>
              <a:noFill/>
              <a:ln w="9525">
                <a:noFill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10.529</c:v>
              </c:pt>
              <c:pt idx="1">
                <c:v>10.657999999999999</c:v>
              </c:pt>
              <c:pt idx="2">
                <c:v>10.786999999999999</c:v>
              </c:pt>
              <c:pt idx="3">
                <c:v>10.916</c:v>
              </c:pt>
              <c:pt idx="4">
                <c:v>11.045</c:v>
              </c:pt>
              <c:pt idx="5">
                <c:v>11.173999999999999</c:v>
              </c:pt>
              <c:pt idx="6">
                <c:v>11.303000000000001</c:v>
              </c:pt>
              <c:pt idx="7">
                <c:v>11.432</c:v>
              </c:pt>
              <c:pt idx="8">
                <c:v>11.561</c:v>
              </c:pt>
              <c:pt idx="9">
                <c:v>11.69</c:v>
              </c:pt>
              <c:pt idx="10">
                <c:v>11.819000000000001</c:v>
              </c:pt>
              <c:pt idx="11">
                <c:v>11.948000000000002</c:v>
              </c:pt>
              <c:pt idx="12">
                <c:v>12.077000000000002</c:v>
              </c:pt>
              <c:pt idx="13">
                <c:v>12.206000000000003</c:v>
              </c:pt>
              <c:pt idx="14">
                <c:v>12.335000000000004</c:v>
              </c:pt>
              <c:pt idx="15">
                <c:v>12.464000000000006</c:v>
              </c:pt>
              <c:pt idx="16">
                <c:v>12.593000000000005</c:v>
              </c:pt>
              <c:pt idx="17">
                <c:v>12.722000000000005</c:v>
              </c:pt>
              <c:pt idx="18">
                <c:v>12.851000000000006</c:v>
              </c:pt>
              <c:pt idx="19">
                <c:v>12.980000000000008</c:v>
              </c:pt>
              <c:pt idx="20">
                <c:v>13.109000000000007</c:v>
              </c:pt>
              <c:pt idx="21">
                <c:v>13.238000000000007</c:v>
              </c:pt>
              <c:pt idx="22">
                <c:v>13.367000000000008</c:v>
              </c:pt>
              <c:pt idx="23">
                <c:v>13.496000000000009</c:v>
              </c:pt>
              <c:pt idx="24">
                <c:v>13.625000000000009</c:v>
              </c:pt>
              <c:pt idx="25">
                <c:v>13.754000000000008</c:v>
              </c:pt>
              <c:pt idx="26">
                <c:v>13.88300000000001</c:v>
              </c:pt>
              <c:pt idx="27">
                <c:v>14.012000000000011</c:v>
              </c:pt>
              <c:pt idx="28">
                <c:v>14.141000000000011</c:v>
              </c:pt>
              <c:pt idx="29">
                <c:v>14.27000000000001</c:v>
              </c:pt>
              <c:pt idx="30">
                <c:v>14.27</c:v>
              </c:pt>
            </c:numLit>
          </c:val>
          <c:smooth val="1"/>
        </c:ser>
        <c:ser>
          <c:idx val="14"/>
          <c:order val="10"/>
          <c:tx>
            <c:v>Freezing Level</c:v>
          </c:tx>
          <c:spPr>
            <a:ln w="38100">
              <a:solidFill>
                <a:srgbClr val="000080"/>
              </a:solidFill>
              <a:prstDash val="sysDash"/>
            </a:ln>
          </c:spPr>
          <c:marker>
            <c:symbol val="none"/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790208"/>
        <c:axId val="33796096"/>
      </c:lineChart>
      <c:lineChart>
        <c:grouping val="standard"/>
        <c:varyColors val="0"/>
        <c:ser>
          <c:idx val="3"/>
          <c:order val="4"/>
          <c:tx>
            <c:v>Range</c:v>
          </c:tx>
          <c:spPr>
            <a:ln w="38100">
              <a:solidFill>
                <a:srgbClr val="339966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7.1999999999999993</c:v>
              </c:pt>
              <c:pt idx="1">
                <c:v>8.8000000000000007</c:v>
              </c:pt>
              <c:pt idx="2">
                <c:v>8.8999999999999986</c:v>
              </c:pt>
              <c:pt idx="3">
                <c:v>12.8</c:v>
              </c:pt>
              <c:pt idx="4">
                <c:v>11.000000000000002</c:v>
              </c:pt>
              <c:pt idx="5">
                <c:v>15.4</c:v>
              </c:pt>
              <c:pt idx="6">
                <c:v>8.7999999999999989</c:v>
              </c:pt>
              <c:pt idx="7">
                <c:v>5.0000000000000018</c:v>
              </c:pt>
              <c:pt idx="8">
                <c:v>8.6</c:v>
              </c:pt>
              <c:pt idx="9">
                <c:v>12.7</c:v>
              </c:pt>
              <c:pt idx="10">
                <c:v>7</c:v>
              </c:pt>
              <c:pt idx="11">
                <c:v>9</c:v>
              </c:pt>
              <c:pt idx="12">
                <c:v>10.399999999999999</c:v>
              </c:pt>
              <c:pt idx="13">
                <c:v>9.1000000000000014</c:v>
              </c:pt>
              <c:pt idx="14">
                <c:v>6.8999999999999986</c:v>
              </c:pt>
              <c:pt idx="15">
                <c:v>8.2000000000000011</c:v>
              </c:pt>
              <c:pt idx="16">
                <c:v>6.6000000000000014</c:v>
              </c:pt>
              <c:pt idx="17">
                <c:v>7.6</c:v>
              </c:pt>
              <c:pt idx="18">
                <c:v>13.100000000000001</c:v>
              </c:pt>
              <c:pt idx="19">
                <c:v>7.4</c:v>
              </c:pt>
              <c:pt idx="20">
                <c:v>13.2</c:v>
              </c:pt>
              <c:pt idx="21">
                <c:v>6.9</c:v>
              </c:pt>
              <c:pt idx="22">
                <c:v>8.5999999999999979</c:v>
              </c:pt>
              <c:pt idx="23">
                <c:v>10.8</c:v>
              </c:pt>
              <c:pt idx="24">
                <c:v>14.500000000000002</c:v>
              </c:pt>
              <c:pt idx="25">
                <c:v>4.1999999999999993</c:v>
              </c:pt>
              <c:pt idx="26">
                <c:v>5.6</c:v>
              </c:pt>
              <c:pt idx="27">
                <c:v>6.4</c:v>
              </c:pt>
              <c:pt idx="28">
                <c:v>5.8000000000000007</c:v>
              </c:pt>
              <c:pt idx="29">
                <c:v>9.3000000000000007</c:v>
              </c:pt>
              <c:pt idx="30">
                <c:v>9.8999999999999986</c:v>
              </c:pt>
            </c:numLit>
          </c:val>
          <c:smooth val="0"/>
        </c:ser>
        <c:ser>
          <c:idx val="12"/>
          <c:order val="5"/>
          <c:tx>
            <c:v>Cumulative Range</c:v>
          </c:tx>
          <c:spPr>
            <a:ln w="12700">
              <a:solidFill>
                <a:srgbClr val="008000"/>
              </a:solidFill>
              <a:prstDash val="solid"/>
            </a:ln>
          </c:spPr>
          <c:marker>
            <c:symbol val="none"/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7.1999999999999993</c:v>
              </c:pt>
              <c:pt idx="1">
                <c:v>8</c:v>
              </c:pt>
              <c:pt idx="2">
                <c:v>8.2999999999999989</c:v>
              </c:pt>
              <c:pt idx="3">
                <c:v>9.4250000000000007</c:v>
              </c:pt>
              <c:pt idx="4">
                <c:v>9.74</c:v>
              </c:pt>
              <c:pt idx="5">
                <c:v>10.683333333333335</c:v>
              </c:pt>
              <c:pt idx="6">
                <c:v>10.414285714285715</c:v>
              </c:pt>
              <c:pt idx="7">
                <c:v>9.7375000000000007</c:v>
              </c:pt>
              <c:pt idx="8">
                <c:v>9.6111111111111107</c:v>
              </c:pt>
              <c:pt idx="9">
                <c:v>9.92</c:v>
              </c:pt>
              <c:pt idx="10">
                <c:v>9.6545454545454543</c:v>
              </c:pt>
              <c:pt idx="11">
                <c:v>9.6</c:v>
              </c:pt>
              <c:pt idx="12">
                <c:v>9.661538461538461</c:v>
              </c:pt>
              <c:pt idx="13">
                <c:v>9.6214285714285701</c:v>
              </c:pt>
              <c:pt idx="14">
                <c:v>9.44</c:v>
              </c:pt>
              <c:pt idx="15">
                <c:v>9.3624999999999989</c:v>
              </c:pt>
              <c:pt idx="16">
                <c:v>9.1999999999999993</c:v>
              </c:pt>
              <c:pt idx="17">
                <c:v>9.1111111111111089</c:v>
              </c:pt>
              <c:pt idx="18">
                <c:v>9.3210526315789455</c:v>
              </c:pt>
              <c:pt idx="19">
                <c:v>9.2249999999999979</c:v>
              </c:pt>
              <c:pt idx="20">
                <c:v>9.4142857142857128</c:v>
              </c:pt>
              <c:pt idx="21">
                <c:v>9.2999999999999989</c:v>
              </c:pt>
              <c:pt idx="22">
                <c:v>9.2695652173913032</c:v>
              </c:pt>
              <c:pt idx="23">
                <c:v>9.3333333333333321</c:v>
              </c:pt>
              <c:pt idx="24">
                <c:v>9.5399999999999991</c:v>
              </c:pt>
              <c:pt idx="25">
                <c:v>9.3346153846153825</c:v>
              </c:pt>
              <c:pt idx="26">
                <c:v>9.1962962962962944</c:v>
              </c:pt>
              <c:pt idx="27">
                <c:v>9.0964285714285698</c:v>
              </c:pt>
              <c:pt idx="28">
                <c:v>8.982758620689653</c:v>
              </c:pt>
              <c:pt idx="29">
                <c:v>8.9933333333333323</c:v>
              </c:pt>
              <c:pt idx="30">
                <c:v>9.0225806451612875</c:v>
              </c:pt>
            </c:numLit>
          </c:val>
          <c:smooth val="0"/>
        </c:ser>
        <c:ser>
          <c:idx val="11"/>
          <c:order val="9"/>
          <c:tx>
            <c:v>E (Range)</c:v>
          </c:tx>
          <c:spPr>
            <a:ln w="25400">
              <a:solidFill>
                <a:srgbClr val="00FF00"/>
              </a:solidFill>
              <a:prstDash val="lgDash"/>
            </a:ln>
          </c:spPr>
          <c:marker>
            <c:symbol val="none"/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8.5886666666666649</c:v>
              </c:pt>
              <c:pt idx="1">
                <c:v>8.5773333333333319</c:v>
              </c:pt>
              <c:pt idx="2">
                <c:v>8.5659999999999972</c:v>
              </c:pt>
              <c:pt idx="3">
                <c:v>8.5546666666666624</c:v>
              </c:pt>
              <c:pt idx="4">
                <c:v>8.5433333333333294</c:v>
              </c:pt>
              <c:pt idx="5">
                <c:v>8.5319999999999965</c:v>
              </c:pt>
              <c:pt idx="6">
                <c:v>8.5206666666666617</c:v>
              </c:pt>
              <c:pt idx="7">
                <c:v>8.509333333333327</c:v>
              </c:pt>
              <c:pt idx="8">
                <c:v>8.497999999999994</c:v>
              </c:pt>
              <c:pt idx="9">
                <c:v>8.486666666666661</c:v>
              </c:pt>
              <c:pt idx="10">
                <c:v>8.4753333333333281</c:v>
              </c:pt>
              <c:pt idx="11">
                <c:v>8.4639999999999951</c:v>
              </c:pt>
              <c:pt idx="12">
                <c:v>8.4526666666666639</c:v>
              </c:pt>
              <c:pt idx="13">
                <c:v>8.4413333333333327</c:v>
              </c:pt>
              <c:pt idx="14">
                <c:v>8.43</c:v>
              </c:pt>
              <c:pt idx="15">
                <c:v>8.4186666666666685</c:v>
              </c:pt>
              <c:pt idx="16">
                <c:v>8.4073333333333373</c:v>
              </c:pt>
              <c:pt idx="17">
                <c:v>8.3960000000000061</c:v>
              </c:pt>
              <c:pt idx="18">
                <c:v>8.3846666666666749</c:v>
              </c:pt>
              <c:pt idx="19">
                <c:v>8.3733333333333437</c:v>
              </c:pt>
              <c:pt idx="20">
                <c:v>8.3620000000000125</c:v>
              </c:pt>
              <c:pt idx="21">
                <c:v>8.3506666666666813</c:v>
              </c:pt>
              <c:pt idx="22">
                <c:v>8.3393333333333501</c:v>
              </c:pt>
              <c:pt idx="23">
                <c:v>8.3280000000000189</c:v>
              </c:pt>
              <c:pt idx="24">
                <c:v>8.3166666666666877</c:v>
              </c:pt>
              <c:pt idx="25">
                <c:v>8.3053333333333565</c:v>
              </c:pt>
              <c:pt idx="26">
                <c:v>8.2940000000000254</c:v>
              </c:pt>
              <c:pt idx="27">
                <c:v>8.2826666666666942</c:v>
              </c:pt>
              <c:pt idx="28">
                <c:v>8.271333333333363</c:v>
              </c:pt>
              <c:pt idx="29">
                <c:v>8.2600000000000318</c:v>
              </c:pt>
              <c:pt idx="30">
                <c:v>8.26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797632"/>
        <c:axId val="33799168"/>
      </c:lineChart>
      <c:catAx>
        <c:axId val="337902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3796096"/>
        <c:crossesAt val="-10"/>
        <c:auto val="1"/>
        <c:lblAlgn val="ctr"/>
        <c:lblOffset val="100"/>
        <c:tickLblSkip val="1"/>
        <c:tickMarkSkip val="1"/>
        <c:noMultiLvlLbl val="0"/>
      </c:catAx>
      <c:valAx>
        <c:axId val="33796096"/>
        <c:scaling>
          <c:orientation val="minMax"/>
          <c:max val="25"/>
          <c:min val="-5"/>
        </c:scaling>
        <c:delete val="0"/>
        <c:axPos val="l"/>
        <c:majorGridlines>
          <c:spPr>
            <a:ln w="12700">
              <a:solidFill>
                <a:srgbClr val="333333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3790208"/>
        <c:crosses val="autoZero"/>
        <c:crossBetween val="between"/>
        <c:majorUnit val="5"/>
      </c:valAx>
      <c:catAx>
        <c:axId val="337976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3799168"/>
        <c:crosses val="autoZero"/>
        <c:auto val="1"/>
        <c:lblAlgn val="ctr"/>
        <c:lblOffset val="100"/>
        <c:noMultiLvlLbl val="0"/>
      </c:catAx>
      <c:valAx>
        <c:axId val="33799168"/>
        <c:scaling>
          <c:orientation val="minMax"/>
          <c:max val="60"/>
          <c:min val="0"/>
        </c:scaling>
        <c:delete val="0"/>
        <c:axPos val="r"/>
        <c:numFmt formatCode="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3797632"/>
        <c:crosses val="max"/>
        <c:crossBetween val="between"/>
        <c:majorUnit val="10"/>
      </c:valAx>
      <c:spPr>
        <a:solidFill>
          <a:srgbClr val="969696"/>
        </a:solidFill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7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 horizontalDpi="-3"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Relative Humidity / %</a:t>
            </a:r>
          </a:p>
        </c:rich>
      </c:tx>
      <c:layout>
        <c:manualLayout>
          <c:xMode val="edge"/>
          <c:yMode val="edge"/>
          <c:x val="0.44022072348252606"/>
          <c:y val="2.603550295857988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429797670141016E-2"/>
          <c:y val="9.5857988165680474E-2"/>
          <c:w val="0.94788473329245859"/>
          <c:h val="0.85325443786982247"/>
        </c:manualLayout>
      </c:layout>
      <c:lineChart>
        <c:grouping val="standard"/>
        <c:varyColors val="0"/>
        <c:ser>
          <c:idx val="2"/>
          <c:order val="0"/>
          <c:tx>
            <c:v>Max</c:v>
          </c:tx>
          <c:spPr>
            <a:ln w="38100">
              <a:solidFill>
                <a:srgbClr val="008000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003300"/>
              </a:solidFill>
              <a:ln>
                <a:solidFill>
                  <a:srgbClr val="003300"/>
                </a:solidFill>
                <a:prstDash val="solid"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66</c:v>
              </c:pt>
              <c:pt idx="1">
                <c:v>70</c:v>
              </c:pt>
              <c:pt idx="2">
                <c:v>78</c:v>
              </c:pt>
              <c:pt idx="3">
                <c:v>75</c:v>
              </c:pt>
              <c:pt idx="4">
                <c:v>74</c:v>
              </c:pt>
              <c:pt idx="5">
                <c:v>70</c:v>
              </c:pt>
              <c:pt idx="6">
                <c:v>84</c:v>
              </c:pt>
              <c:pt idx="7">
                <c:v>88</c:v>
              </c:pt>
              <c:pt idx="8">
                <c:v>78</c:v>
              </c:pt>
              <c:pt idx="9">
                <c:v>85</c:v>
              </c:pt>
              <c:pt idx="10">
                <c:v>85</c:v>
              </c:pt>
              <c:pt idx="11">
                <c:v>79</c:v>
              </c:pt>
              <c:pt idx="12">
                <c:v>77</c:v>
              </c:pt>
              <c:pt idx="13">
                <c:v>75</c:v>
              </c:pt>
              <c:pt idx="14">
                <c:v>76</c:v>
              </c:pt>
              <c:pt idx="15">
                <c:v>81</c:v>
              </c:pt>
              <c:pt idx="16">
                <c:v>86</c:v>
              </c:pt>
              <c:pt idx="17">
                <c:v>91</c:v>
              </c:pt>
              <c:pt idx="18">
                <c:v>91</c:v>
              </c:pt>
              <c:pt idx="19">
                <c:v>67</c:v>
              </c:pt>
              <c:pt idx="20">
                <c:v>83</c:v>
              </c:pt>
              <c:pt idx="21">
                <c:v>84</c:v>
              </c:pt>
              <c:pt idx="22">
                <c:v>74</c:v>
              </c:pt>
              <c:pt idx="23">
                <c:v>76</c:v>
              </c:pt>
              <c:pt idx="24">
                <c:v>72</c:v>
              </c:pt>
              <c:pt idx="25">
                <c:v>87</c:v>
              </c:pt>
              <c:pt idx="26">
                <c:v>80</c:v>
              </c:pt>
              <c:pt idx="27">
                <c:v>77</c:v>
              </c:pt>
              <c:pt idx="28">
                <c:v>80</c:v>
              </c:pt>
              <c:pt idx="29">
                <c:v>89</c:v>
              </c:pt>
              <c:pt idx="30">
                <c:v>87</c:v>
              </c:pt>
            </c:numLit>
          </c:val>
          <c:smooth val="0"/>
        </c:ser>
        <c:ser>
          <c:idx val="1"/>
          <c:order val="1"/>
          <c:tx>
            <c:v>Min</c:v>
          </c:tx>
          <c:spPr>
            <a:ln w="38100">
              <a:solidFill>
                <a:srgbClr val="FF9900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FF6600"/>
              </a:solidFill>
              <a:ln>
                <a:solidFill>
                  <a:srgbClr val="FF6600"/>
                </a:solidFill>
                <a:prstDash val="solid"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38</c:v>
              </c:pt>
              <c:pt idx="1">
                <c:v>36</c:v>
              </c:pt>
              <c:pt idx="2">
                <c:v>29</c:v>
              </c:pt>
              <c:pt idx="3">
                <c:v>38</c:v>
              </c:pt>
              <c:pt idx="4">
                <c:v>39</c:v>
              </c:pt>
              <c:pt idx="5">
                <c:v>32</c:v>
              </c:pt>
              <c:pt idx="6">
                <c:v>46</c:v>
              </c:pt>
              <c:pt idx="7">
                <c:v>42</c:v>
              </c:pt>
              <c:pt idx="8">
                <c:v>39</c:v>
              </c:pt>
              <c:pt idx="9">
                <c:v>33</c:v>
              </c:pt>
              <c:pt idx="10">
                <c:v>46</c:v>
              </c:pt>
              <c:pt idx="11">
                <c:v>39</c:v>
              </c:pt>
              <c:pt idx="12">
                <c:v>40</c:v>
              </c:pt>
              <c:pt idx="13">
                <c:v>37</c:v>
              </c:pt>
              <c:pt idx="14">
                <c:v>43</c:v>
              </c:pt>
              <c:pt idx="15">
                <c:v>45</c:v>
              </c:pt>
              <c:pt idx="16">
                <c:v>53</c:v>
              </c:pt>
              <c:pt idx="17">
                <c:v>65</c:v>
              </c:pt>
              <c:pt idx="18">
                <c:v>38</c:v>
              </c:pt>
              <c:pt idx="19">
                <c:v>41</c:v>
              </c:pt>
              <c:pt idx="20">
                <c:v>39</c:v>
              </c:pt>
              <c:pt idx="21">
                <c:v>35</c:v>
              </c:pt>
              <c:pt idx="22">
                <c:v>44</c:v>
              </c:pt>
              <c:pt idx="23">
                <c:v>34</c:v>
              </c:pt>
              <c:pt idx="24">
                <c:v>27</c:v>
              </c:pt>
              <c:pt idx="25">
                <c:v>46</c:v>
              </c:pt>
              <c:pt idx="26">
                <c:v>46</c:v>
              </c:pt>
              <c:pt idx="27">
                <c:v>57</c:v>
              </c:pt>
              <c:pt idx="28">
                <c:v>60</c:v>
              </c:pt>
              <c:pt idx="29">
                <c:v>57</c:v>
              </c:pt>
              <c:pt idx="30">
                <c:v>35</c:v>
              </c:pt>
            </c:numLit>
          </c:val>
          <c:smooth val="0"/>
        </c:ser>
        <c:ser>
          <c:idx val="3"/>
          <c:order val="2"/>
          <c:tx>
            <c:v>Mean</c:v>
          </c:tx>
          <c:spPr>
            <a:ln w="38100">
              <a:solidFill>
                <a:srgbClr val="993366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800080"/>
              </a:solidFill>
              <a:ln>
                <a:solidFill>
                  <a:srgbClr val="800080"/>
                </a:solidFill>
                <a:prstDash val="solid"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52</c:v>
              </c:pt>
              <c:pt idx="1">
                <c:v>52</c:v>
              </c:pt>
              <c:pt idx="2">
                <c:v>53</c:v>
              </c:pt>
              <c:pt idx="3">
                <c:v>55</c:v>
              </c:pt>
              <c:pt idx="4">
                <c:v>59</c:v>
              </c:pt>
              <c:pt idx="5">
                <c:v>48</c:v>
              </c:pt>
              <c:pt idx="6">
                <c:v>63</c:v>
              </c:pt>
              <c:pt idx="7">
                <c:v>65</c:v>
              </c:pt>
              <c:pt idx="8">
                <c:v>56</c:v>
              </c:pt>
              <c:pt idx="9">
                <c:v>55</c:v>
              </c:pt>
              <c:pt idx="10">
                <c:v>64</c:v>
              </c:pt>
              <c:pt idx="11">
                <c:v>57</c:v>
              </c:pt>
              <c:pt idx="12">
                <c:v>55</c:v>
              </c:pt>
              <c:pt idx="13">
                <c:v>55</c:v>
              </c:pt>
              <c:pt idx="14">
                <c:v>60</c:v>
              </c:pt>
              <c:pt idx="15">
                <c:v>64</c:v>
              </c:pt>
              <c:pt idx="16">
                <c:v>69</c:v>
              </c:pt>
              <c:pt idx="17">
                <c:v>81</c:v>
              </c:pt>
              <c:pt idx="18">
                <c:v>63</c:v>
              </c:pt>
              <c:pt idx="19">
                <c:v>53</c:v>
              </c:pt>
              <c:pt idx="20">
                <c:v>55</c:v>
              </c:pt>
              <c:pt idx="21">
                <c:v>55</c:v>
              </c:pt>
              <c:pt idx="22">
                <c:v>62</c:v>
              </c:pt>
              <c:pt idx="23">
                <c:v>51</c:v>
              </c:pt>
              <c:pt idx="24">
                <c:v>46</c:v>
              </c:pt>
              <c:pt idx="25">
                <c:v>68</c:v>
              </c:pt>
              <c:pt idx="26">
                <c:v>63</c:v>
              </c:pt>
              <c:pt idx="27">
                <c:v>69</c:v>
              </c:pt>
              <c:pt idx="28">
                <c:v>71</c:v>
              </c:pt>
              <c:pt idx="29">
                <c:v>80</c:v>
              </c:pt>
              <c:pt idx="30">
                <c:v>63</c:v>
              </c:pt>
            </c:numLit>
          </c:val>
          <c:smooth val="0"/>
        </c:ser>
        <c:ser>
          <c:idx val="5"/>
          <c:order val="5"/>
          <c:tx>
            <c:v>Cumulative Mean</c:v>
          </c:tx>
          <c:spPr>
            <a:ln w="12700">
              <a:solidFill>
                <a:srgbClr val="CC99FF"/>
              </a:solidFill>
              <a:prstDash val="solid"/>
            </a:ln>
          </c:spPr>
          <c:marker>
            <c:symbol val="none"/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52</c:v>
              </c:pt>
              <c:pt idx="1">
                <c:v>52</c:v>
              </c:pt>
              <c:pt idx="2">
                <c:v>52.333333333333336</c:v>
              </c:pt>
              <c:pt idx="3">
                <c:v>53</c:v>
              </c:pt>
              <c:pt idx="4">
                <c:v>54.2</c:v>
              </c:pt>
              <c:pt idx="5">
                <c:v>53.166666666666664</c:v>
              </c:pt>
              <c:pt idx="6">
                <c:v>54.571428571428569</c:v>
              </c:pt>
              <c:pt idx="7">
                <c:v>55.875</c:v>
              </c:pt>
              <c:pt idx="8">
                <c:v>55.888888888888886</c:v>
              </c:pt>
              <c:pt idx="9">
                <c:v>55.8</c:v>
              </c:pt>
              <c:pt idx="10">
                <c:v>56.545454545454547</c:v>
              </c:pt>
              <c:pt idx="11">
                <c:v>56.583333333333336</c:v>
              </c:pt>
              <c:pt idx="12">
                <c:v>56.46153846153846</c:v>
              </c:pt>
              <c:pt idx="13">
                <c:v>56.357142857142854</c:v>
              </c:pt>
              <c:pt idx="14">
                <c:v>56.6</c:v>
              </c:pt>
              <c:pt idx="15">
                <c:v>57.0625</c:v>
              </c:pt>
              <c:pt idx="16">
                <c:v>57.764705882352942</c:v>
              </c:pt>
              <c:pt idx="17">
                <c:v>59.055555555555557</c:v>
              </c:pt>
              <c:pt idx="18">
                <c:v>59.263157894736842</c:v>
              </c:pt>
              <c:pt idx="19">
                <c:v>58.95</c:v>
              </c:pt>
              <c:pt idx="20">
                <c:v>58.761904761904759</c:v>
              </c:pt>
              <c:pt idx="21">
                <c:v>58.590909090909093</c:v>
              </c:pt>
              <c:pt idx="22">
                <c:v>58.739130434782609</c:v>
              </c:pt>
              <c:pt idx="23">
                <c:v>58.416666666666664</c:v>
              </c:pt>
              <c:pt idx="24">
                <c:v>57.92</c:v>
              </c:pt>
              <c:pt idx="25">
                <c:v>58.307692307692307</c:v>
              </c:pt>
              <c:pt idx="26">
                <c:v>58.481481481481481</c:v>
              </c:pt>
              <c:pt idx="27">
                <c:v>58.857142857142854</c:v>
              </c:pt>
              <c:pt idx="28">
                <c:v>59.275862068965516</c:v>
              </c:pt>
              <c:pt idx="29">
                <c:v>59.966666666666669</c:v>
              </c:pt>
              <c:pt idx="30">
                <c:v>60.064516129032256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277824"/>
        <c:axId val="115279360"/>
      </c:lineChart>
      <c:lineChart>
        <c:grouping val="standard"/>
        <c:varyColors val="0"/>
        <c:ser>
          <c:idx val="0"/>
          <c:order val="3"/>
          <c:tx>
            <c:v>Range</c:v>
          </c:tx>
          <c:spPr>
            <a:ln w="25400">
              <a:solidFill>
                <a:srgbClr val="00FF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339966"/>
              </a:solidFill>
              <a:ln>
                <a:solidFill>
                  <a:srgbClr val="339966"/>
                </a:solidFill>
                <a:prstDash val="solid"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28</c:v>
              </c:pt>
              <c:pt idx="1">
                <c:v>34</c:v>
              </c:pt>
              <c:pt idx="2">
                <c:v>49</c:v>
              </c:pt>
              <c:pt idx="3">
                <c:v>37</c:v>
              </c:pt>
              <c:pt idx="4">
                <c:v>35</c:v>
              </c:pt>
              <c:pt idx="5">
                <c:v>38</c:v>
              </c:pt>
              <c:pt idx="6">
                <c:v>38</c:v>
              </c:pt>
              <c:pt idx="7">
                <c:v>46</c:v>
              </c:pt>
              <c:pt idx="8">
                <c:v>39</c:v>
              </c:pt>
              <c:pt idx="9">
                <c:v>52</c:v>
              </c:pt>
              <c:pt idx="10">
                <c:v>39</c:v>
              </c:pt>
              <c:pt idx="11">
                <c:v>40</c:v>
              </c:pt>
              <c:pt idx="12">
                <c:v>37</c:v>
              </c:pt>
              <c:pt idx="13">
                <c:v>38</c:v>
              </c:pt>
              <c:pt idx="14">
                <c:v>33</c:v>
              </c:pt>
              <c:pt idx="15">
                <c:v>36</c:v>
              </c:pt>
              <c:pt idx="16">
                <c:v>33</c:v>
              </c:pt>
              <c:pt idx="17">
                <c:v>26</c:v>
              </c:pt>
              <c:pt idx="18">
                <c:v>53</c:v>
              </c:pt>
              <c:pt idx="19">
                <c:v>26</c:v>
              </c:pt>
              <c:pt idx="20">
                <c:v>44</c:v>
              </c:pt>
              <c:pt idx="21">
                <c:v>49</c:v>
              </c:pt>
              <c:pt idx="22">
                <c:v>30</c:v>
              </c:pt>
              <c:pt idx="23">
                <c:v>42</c:v>
              </c:pt>
              <c:pt idx="24">
                <c:v>45</c:v>
              </c:pt>
              <c:pt idx="25">
                <c:v>41</c:v>
              </c:pt>
              <c:pt idx="26">
                <c:v>34</c:v>
              </c:pt>
              <c:pt idx="27">
                <c:v>20</c:v>
              </c:pt>
              <c:pt idx="28">
                <c:v>20</c:v>
              </c:pt>
              <c:pt idx="29">
                <c:v>32</c:v>
              </c:pt>
              <c:pt idx="30">
                <c:v>52</c:v>
              </c:pt>
            </c:numLit>
          </c:val>
          <c:smooth val="0"/>
        </c:ser>
        <c:ser>
          <c:idx val="4"/>
          <c:order val="4"/>
          <c:tx>
            <c:v>Rainfall</c:v>
          </c:tx>
          <c:spPr>
            <a:ln w="25400">
              <a:solidFill>
                <a:srgbClr val="33CCCC"/>
              </a:solidFill>
              <a:prstDash val="solid"/>
            </a:ln>
          </c:spPr>
          <c:marker>
            <c:symbol val="none"/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1.1000000000000001</c:v>
              </c:pt>
              <c:pt idx="7">
                <c:v>3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3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1.1000000000000001</c:v>
              </c:pt>
              <c:pt idx="22">
                <c:v>0.1</c:v>
              </c:pt>
              <c:pt idx="23">
                <c:v>0</c:v>
              </c:pt>
              <c:pt idx="24">
                <c:v>0</c:v>
              </c:pt>
              <c:pt idx="25">
                <c:v>14.5</c:v>
              </c:pt>
              <c:pt idx="26">
                <c:v>0</c:v>
              </c:pt>
              <c:pt idx="27">
                <c:v>0.1</c:v>
              </c:pt>
              <c:pt idx="28">
                <c:v>0</c:v>
              </c:pt>
              <c:pt idx="29">
                <c:v>1.1000000000000001</c:v>
              </c:pt>
              <c:pt idx="30">
                <c:v>0.1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280896"/>
        <c:axId val="115282688"/>
      </c:lineChart>
      <c:catAx>
        <c:axId val="115277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52793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5279360"/>
        <c:scaling>
          <c:orientation val="minMax"/>
          <c:max val="100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5277824"/>
        <c:crosses val="autoZero"/>
        <c:crossBetween val="between"/>
        <c:majorUnit val="10"/>
      </c:valAx>
      <c:catAx>
        <c:axId val="1152808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5282688"/>
        <c:crosses val="autoZero"/>
        <c:auto val="1"/>
        <c:lblAlgn val="ctr"/>
        <c:lblOffset val="100"/>
        <c:noMultiLvlLbl val="0"/>
      </c:catAx>
      <c:valAx>
        <c:axId val="115282688"/>
        <c:scaling>
          <c:orientation val="minMax"/>
          <c:max val="200"/>
          <c:min val="0"/>
        </c:scaling>
        <c:delete val="0"/>
        <c:axPos val="r"/>
        <c:numFmt formatCode="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5280896"/>
        <c:crosses val="max"/>
        <c:crossBetween val="between"/>
        <c:majorUnit val="20"/>
      </c:valAx>
      <c:spPr>
        <a:solidFill>
          <a:srgbClr val="969696"/>
        </a:solidFill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6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Pressure / hPa</a:t>
            </a:r>
          </a:p>
        </c:rich>
      </c:tx>
      <c:layout>
        <c:manualLayout>
          <c:xMode val="edge"/>
          <c:yMode val="edge"/>
          <c:x val="0.45677498467198036"/>
          <c:y val="1.88902007083825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94788473329246E-2"/>
          <c:y val="8.5005952192222664E-2"/>
          <c:w val="0.94665849172286942"/>
          <c:h val="0.8642271806209304"/>
        </c:manualLayout>
      </c:layout>
      <c:lineChart>
        <c:grouping val="standard"/>
        <c:varyColors val="0"/>
        <c:ser>
          <c:idx val="5"/>
          <c:order val="0"/>
          <c:tx>
            <c:v>Cum. Mean</c:v>
          </c:tx>
          <c:spPr>
            <a:ln w="12700">
              <a:solidFill>
                <a:srgbClr val="993366"/>
              </a:solidFill>
              <a:prstDash val="solid"/>
            </a:ln>
          </c:spPr>
          <c:marker>
            <c:symbol val="square"/>
            <c:size val="2"/>
            <c:spPr>
              <a:noFill/>
              <a:ln>
                <a:solidFill>
                  <a:srgbClr val="808080"/>
                </a:solidFill>
                <a:prstDash val="solid"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1010.5</c:v>
              </c:pt>
              <c:pt idx="1">
                <c:v>1011.5</c:v>
              </c:pt>
              <c:pt idx="2">
                <c:v>1013.5</c:v>
              </c:pt>
              <c:pt idx="3">
                <c:v>1015.5</c:v>
              </c:pt>
              <c:pt idx="4">
                <c:v>1016.4</c:v>
              </c:pt>
              <c:pt idx="5">
                <c:v>1016.1666666666666</c:v>
              </c:pt>
              <c:pt idx="6">
                <c:v>1015.4285714285714</c:v>
              </c:pt>
              <c:pt idx="7">
                <c:v>1015.25</c:v>
              </c:pt>
              <c:pt idx="8">
                <c:v>1015.8888888888889</c:v>
              </c:pt>
              <c:pt idx="9">
                <c:v>1016.7</c:v>
              </c:pt>
              <c:pt idx="10">
                <c:v>1017.2272727272727</c:v>
              </c:pt>
              <c:pt idx="11">
                <c:v>1017.5</c:v>
              </c:pt>
              <c:pt idx="12">
                <c:v>1017.6538461538462</c:v>
              </c:pt>
              <c:pt idx="13">
                <c:v>1017.8214285714286</c:v>
              </c:pt>
              <c:pt idx="14">
                <c:v>1018.2333333333333</c:v>
              </c:pt>
              <c:pt idx="15">
                <c:v>1018.5</c:v>
              </c:pt>
              <c:pt idx="16">
                <c:v>1018.5294117647059</c:v>
              </c:pt>
              <c:pt idx="17">
                <c:v>1018.3055555555555</c:v>
              </c:pt>
              <c:pt idx="18">
                <c:v>1018.2368421052631</c:v>
              </c:pt>
              <c:pt idx="19">
                <c:v>1018.25</c:v>
              </c:pt>
              <c:pt idx="20">
                <c:v>1018.2380952380952</c:v>
              </c:pt>
              <c:pt idx="21">
                <c:v>1018.1818181818181</c:v>
              </c:pt>
              <c:pt idx="22">
                <c:v>1018.2391304347826</c:v>
              </c:pt>
              <c:pt idx="23">
                <c:v>1018.5</c:v>
              </c:pt>
              <c:pt idx="24">
                <c:v>1018.56</c:v>
              </c:pt>
              <c:pt idx="25">
                <c:v>1018.1923076923077</c:v>
              </c:pt>
              <c:pt idx="26">
                <c:v>1018.0925925925926</c:v>
              </c:pt>
              <c:pt idx="27">
                <c:v>1017.9821428571429</c:v>
              </c:pt>
              <c:pt idx="28">
                <c:v>1017.7931034482758</c:v>
              </c:pt>
              <c:pt idx="29">
                <c:v>1017.55</c:v>
              </c:pt>
              <c:pt idx="30">
                <c:v>1017.6129032258065</c:v>
              </c:pt>
            </c:numLit>
          </c:val>
          <c:smooth val="0"/>
        </c:ser>
        <c:ser>
          <c:idx val="1"/>
          <c:order val="1"/>
          <c:tx>
            <c:v>Max</c:v>
          </c:tx>
          <c:spPr>
            <a:ln w="38100">
              <a:solidFill>
                <a:srgbClr val="00CCFF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1012</c:v>
              </c:pt>
              <c:pt idx="1">
                <c:v>1014</c:v>
              </c:pt>
              <c:pt idx="2">
                <c:v>1021</c:v>
              </c:pt>
              <c:pt idx="3">
                <c:v>1022</c:v>
              </c:pt>
              <c:pt idx="4">
                <c:v>1022</c:v>
              </c:pt>
              <c:pt idx="5">
                <c:v>1017</c:v>
              </c:pt>
              <c:pt idx="6">
                <c:v>1013</c:v>
              </c:pt>
              <c:pt idx="7">
                <c:v>1019</c:v>
              </c:pt>
              <c:pt idx="8">
                <c:v>1023</c:v>
              </c:pt>
              <c:pt idx="9">
                <c:v>1025</c:v>
              </c:pt>
              <c:pt idx="10">
                <c:v>1024</c:v>
              </c:pt>
              <c:pt idx="11">
                <c:v>1022</c:v>
              </c:pt>
              <c:pt idx="12">
                <c:v>1022</c:v>
              </c:pt>
              <c:pt idx="13">
                <c:v>1022</c:v>
              </c:pt>
              <c:pt idx="14">
                <c:v>1026</c:v>
              </c:pt>
              <c:pt idx="15">
                <c:v>1024</c:v>
              </c:pt>
              <c:pt idx="16">
                <c:v>1021</c:v>
              </c:pt>
              <c:pt idx="17">
                <c:v>1017</c:v>
              </c:pt>
              <c:pt idx="18">
                <c:v>1019</c:v>
              </c:pt>
              <c:pt idx="19">
                <c:v>1021</c:v>
              </c:pt>
              <c:pt idx="20">
                <c:v>1022</c:v>
              </c:pt>
              <c:pt idx="21">
                <c:v>1023</c:v>
              </c:pt>
              <c:pt idx="22">
                <c:v>1022</c:v>
              </c:pt>
              <c:pt idx="23">
                <c:v>1029</c:v>
              </c:pt>
              <c:pt idx="24">
                <c:v>1028</c:v>
              </c:pt>
              <c:pt idx="25">
                <c:v>1013</c:v>
              </c:pt>
              <c:pt idx="26">
                <c:v>1018</c:v>
              </c:pt>
              <c:pt idx="27">
                <c:v>1018</c:v>
              </c:pt>
              <c:pt idx="28">
                <c:v>1014</c:v>
              </c:pt>
              <c:pt idx="29">
                <c:v>1013</c:v>
              </c:pt>
              <c:pt idx="30">
                <c:v>1027</c:v>
              </c:pt>
            </c:numLit>
          </c:val>
          <c:smooth val="0"/>
        </c:ser>
        <c:ser>
          <c:idx val="0"/>
          <c:order val="3"/>
          <c:tx>
            <c:v>Min</c:v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1009</c:v>
              </c:pt>
              <c:pt idx="1">
                <c:v>1011</c:v>
              </c:pt>
              <c:pt idx="2">
                <c:v>1014</c:v>
              </c:pt>
              <c:pt idx="3">
                <c:v>1021</c:v>
              </c:pt>
              <c:pt idx="4">
                <c:v>1018</c:v>
              </c:pt>
              <c:pt idx="5">
                <c:v>1013</c:v>
              </c:pt>
              <c:pt idx="6">
                <c:v>1009</c:v>
              </c:pt>
              <c:pt idx="7">
                <c:v>1009</c:v>
              </c:pt>
              <c:pt idx="8">
                <c:v>1019</c:v>
              </c:pt>
              <c:pt idx="9">
                <c:v>1023</c:v>
              </c:pt>
              <c:pt idx="10">
                <c:v>1021</c:v>
              </c:pt>
              <c:pt idx="11">
                <c:v>1019</c:v>
              </c:pt>
              <c:pt idx="12">
                <c:v>1017</c:v>
              </c:pt>
              <c:pt idx="13">
                <c:v>1018</c:v>
              </c:pt>
              <c:pt idx="14">
                <c:v>1022</c:v>
              </c:pt>
              <c:pt idx="15">
                <c:v>1021</c:v>
              </c:pt>
              <c:pt idx="16">
                <c:v>1017</c:v>
              </c:pt>
              <c:pt idx="17">
                <c:v>1012</c:v>
              </c:pt>
              <c:pt idx="18">
                <c:v>1015</c:v>
              </c:pt>
              <c:pt idx="19">
                <c:v>1016</c:v>
              </c:pt>
              <c:pt idx="20">
                <c:v>1014</c:v>
              </c:pt>
              <c:pt idx="21">
                <c:v>1011</c:v>
              </c:pt>
              <c:pt idx="22">
                <c:v>1017</c:v>
              </c:pt>
              <c:pt idx="23">
                <c:v>1020</c:v>
              </c:pt>
              <c:pt idx="24">
                <c:v>1012</c:v>
              </c:pt>
              <c:pt idx="25">
                <c:v>1005</c:v>
              </c:pt>
              <c:pt idx="26">
                <c:v>1013</c:v>
              </c:pt>
              <c:pt idx="27">
                <c:v>1012</c:v>
              </c:pt>
              <c:pt idx="28">
                <c:v>1011</c:v>
              </c:pt>
              <c:pt idx="29">
                <c:v>1008</c:v>
              </c:pt>
              <c:pt idx="30">
                <c:v>1012</c:v>
              </c:pt>
            </c:numLit>
          </c:val>
          <c:smooth val="0"/>
        </c:ser>
        <c:ser>
          <c:idx val="4"/>
          <c:order val="4"/>
          <c:tx>
            <c:v>MSLP</c:v>
          </c:tx>
          <c:spPr>
            <a:ln w="25400">
              <a:solidFill>
                <a:srgbClr val="CC99FF"/>
              </a:solidFill>
              <a:prstDash val="lgDash"/>
            </a:ln>
          </c:spPr>
          <c:marker>
            <c:symbol val="none"/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1013.25</c:v>
              </c:pt>
              <c:pt idx="1">
                <c:v>1013.25</c:v>
              </c:pt>
              <c:pt idx="2">
                <c:v>1013.25</c:v>
              </c:pt>
              <c:pt idx="3">
                <c:v>1013.25</c:v>
              </c:pt>
              <c:pt idx="4">
                <c:v>1013.25</c:v>
              </c:pt>
              <c:pt idx="5">
                <c:v>1013.25</c:v>
              </c:pt>
              <c:pt idx="6">
                <c:v>1013.25</c:v>
              </c:pt>
              <c:pt idx="7">
                <c:v>1013.25</c:v>
              </c:pt>
              <c:pt idx="8">
                <c:v>1013.25</c:v>
              </c:pt>
              <c:pt idx="9">
                <c:v>1013.25</c:v>
              </c:pt>
              <c:pt idx="10">
                <c:v>1013.25</c:v>
              </c:pt>
              <c:pt idx="11">
                <c:v>1013.25</c:v>
              </c:pt>
              <c:pt idx="12">
                <c:v>1013.25</c:v>
              </c:pt>
              <c:pt idx="13">
                <c:v>1013.25</c:v>
              </c:pt>
              <c:pt idx="14">
                <c:v>1013.25</c:v>
              </c:pt>
              <c:pt idx="15">
                <c:v>1013.25</c:v>
              </c:pt>
              <c:pt idx="16">
                <c:v>1013.25</c:v>
              </c:pt>
              <c:pt idx="17">
                <c:v>1013.25</c:v>
              </c:pt>
              <c:pt idx="18">
                <c:v>1013.25</c:v>
              </c:pt>
              <c:pt idx="19">
                <c:v>1013.25</c:v>
              </c:pt>
              <c:pt idx="20">
                <c:v>1013.25</c:v>
              </c:pt>
              <c:pt idx="21">
                <c:v>1013.25</c:v>
              </c:pt>
              <c:pt idx="22">
                <c:v>1013.25</c:v>
              </c:pt>
              <c:pt idx="23">
                <c:v>1013.25</c:v>
              </c:pt>
              <c:pt idx="24">
                <c:v>1013.25</c:v>
              </c:pt>
              <c:pt idx="25">
                <c:v>1013.25</c:v>
              </c:pt>
              <c:pt idx="26">
                <c:v>1013.25</c:v>
              </c:pt>
              <c:pt idx="27">
                <c:v>1013.25</c:v>
              </c:pt>
              <c:pt idx="28">
                <c:v>1013.25</c:v>
              </c:pt>
              <c:pt idx="29">
                <c:v>1013.25</c:v>
              </c:pt>
              <c:pt idx="30">
                <c:v>1013.25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260736"/>
        <c:axId val="126262272"/>
      </c:lineChart>
      <c:lineChart>
        <c:grouping val="standard"/>
        <c:varyColors val="0"/>
        <c:ser>
          <c:idx val="3"/>
          <c:order val="2"/>
          <c:tx>
            <c:v>Range</c:v>
          </c:tx>
          <c:spPr>
            <a:ln w="25400">
              <a:solidFill>
                <a:srgbClr val="00FF00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3</c:v>
              </c:pt>
              <c:pt idx="1">
                <c:v>3</c:v>
              </c:pt>
              <c:pt idx="2">
                <c:v>7</c:v>
              </c:pt>
              <c:pt idx="3">
                <c:v>1</c:v>
              </c:pt>
              <c:pt idx="4">
                <c:v>4</c:v>
              </c:pt>
              <c:pt idx="5">
                <c:v>4</c:v>
              </c:pt>
              <c:pt idx="6">
                <c:v>4</c:v>
              </c:pt>
              <c:pt idx="7">
                <c:v>10</c:v>
              </c:pt>
              <c:pt idx="8">
                <c:v>4</c:v>
              </c:pt>
              <c:pt idx="9">
                <c:v>2</c:v>
              </c:pt>
              <c:pt idx="10">
                <c:v>3</c:v>
              </c:pt>
              <c:pt idx="11">
                <c:v>3</c:v>
              </c:pt>
              <c:pt idx="12">
                <c:v>5</c:v>
              </c:pt>
              <c:pt idx="13">
                <c:v>4</c:v>
              </c:pt>
              <c:pt idx="14">
                <c:v>4</c:v>
              </c:pt>
              <c:pt idx="15">
                <c:v>3</c:v>
              </c:pt>
              <c:pt idx="16">
                <c:v>4</c:v>
              </c:pt>
              <c:pt idx="17">
                <c:v>5</c:v>
              </c:pt>
              <c:pt idx="18">
                <c:v>4</c:v>
              </c:pt>
              <c:pt idx="19">
                <c:v>5</c:v>
              </c:pt>
              <c:pt idx="20">
                <c:v>8</c:v>
              </c:pt>
              <c:pt idx="21">
                <c:v>12</c:v>
              </c:pt>
              <c:pt idx="22">
                <c:v>5</c:v>
              </c:pt>
              <c:pt idx="23">
                <c:v>9</c:v>
              </c:pt>
              <c:pt idx="24">
                <c:v>16</c:v>
              </c:pt>
              <c:pt idx="25">
                <c:v>8</c:v>
              </c:pt>
              <c:pt idx="26">
                <c:v>5</c:v>
              </c:pt>
              <c:pt idx="27">
                <c:v>6</c:v>
              </c:pt>
              <c:pt idx="28">
                <c:v>3</c:v>
              </c:pt>
              <c:pt idx="29">
                <c:v>5</c:v>
              </c:pt>
              <c:pt idx="30">
                <c:v>15</c:v>
              </c:pt>
            </c:numLit>
          </c:val>
          <c:smooth val="0"/>
        </c:ser>
        <c:ser>
          <c:idx val="6"/>
          <c:order val="5"/>
          <c:tx>
            <c:v>Rainfall/3</c:v>
          </c:tx>
          <c:spPr>
            <a:ln w="12700">
              <a:solidFill>
                <a:srgbClr val="33CCCC"/>
              </a:solidFill>
              <a:prstDash val="solid"/>
            </a:ln>
          </c:spPr>
          <c:marker>
            <c:symbol val="none"/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0.3666666666666667</c:v>
              </c:pt>
              <c:pt idx="7">
                <c:v>1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1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0.3666666666666667</c:v>
              </c:pt>
              <c:pt idx="22">
                <c:v>3.3333333333333333E-2</c:v>
              </c:pt>
              <c:pt idx="23">
                <c:v>0</c:v>
              </c:pt>
              <c:pt idx="24">
                <c:v>0</c:v>
              </c:pt>
              <c:pt idx="25">
                <c:v>4.833333333333333</c:v>
              </c:pt>
              <c:pt idx="26">
                <c:v>0</c:v>
              </c:pt>
              <c:pt idx="27">
                <c:v>3.3333333333333333E-2</c:v>
              </c:pt>
              <c:pt idx="28">
                <c:v>0</c:v>
              </c:pt>
              <c:pt idx="29">
                <c:v>0.3666666666666667</c:v>
              </c:pt>
              <c:pt idx="30">
                <c:v>3.3333333333333333E-2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272256"/>
        <c:axId val="126273792"/>
      </c:lineChart>
      <c:catAx>
        <c:axId val="1262607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62622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6262272"/>
        <c:scaling>
          <c:orientation val="minMax"/>
          <c:max val="1035"/>
          <c:min val="995"/>
        </c:scaling>
        <c:delete val="0"/>
        <c:axPos val="l"/>
        <c:majorGridlines>
          <c:spPr>
            <a:ln w="3175">
              <a:solidFill>
                <a:srgbClr val="333333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6260736"/>
        <c:crosses val="autoZero"/>
        <c:crossBetween val="between"/>
        <c:majorUnit val="10"/>
      </c:valAx>
      <c:catAx>
        <c:axId val="1262722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6273792"/>
        <c:crosses val="autoZero"/>
        <c:auto val="1"/>
        <c:lblAlgn val="ctr"/>
        <c:lblOffset val="100"/>
        <c:noMultiLvlLbl val="0"/>
      </c:catAx>
      <c:valAx>
        <c:axId val="126273792"/>
        <c:scaling>
          <c:orientation val="minMax"/>
          <c:max val="40"/>
          <c:min val="0"/>
        </c:scaling>
        <c:delete val="0"/>
        <c:axPos val="r"/>
        <c:numFmt formatCode="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6272256"/>
        <c:crosses val="max"/>
        <c:crossBetween val="between"/>
        <c:majorUnit val="10"/>
      </c:valAx>
      <c:spPr>
        <a:solidFill>
          <a:srgbClr val="969696"/>
        </a:solidFill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 sz="14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Wind Speed / mh</a:t>
            </a:r>
            <a:r>
              <a:rPr lang="en-GB" sz="1400" b="1" i="0" u="none" strike="noStrike" baseline="30000">
                <a:solidFill>
                  <a:srgbClr val="000000"/>
                </a:solidFill>
                <a:latin typeface="Arial"/>
                <a:cs typeface="Arial"/>
              </a:rPr>
              <a:t>-1</a:t>
            </a:r>
          </a:p>
        </c:rich>
      </c:tx>
      <c:layout>
        <c:manualLayout>
          <c:xMode val="edge"/>
          <c:yMode val="edge"/>
          <c:x val="0.44800000000000001"/>
          <c:y val="2.007083825265643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4E-2"/>
          <c:y val="8.8547866866898611E-2"/>
          <c:w val="0.95753846153846156"/>
          <c:h val="0.8606852659462545"/>
        </c:manualLayout>
      </c:layout>
      <c:lineChart>
        <c:grouping val="standard"/>
        <c:varyColors val="0"/>
        <c:ser>
          <c:idx val="1"/>
          <c:order val="0"/>
          <c:tx>
            <c:v>Mean</c:v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800000"/>
              </a:solidFill>
              <a:ln>
                <a:solidFill>
                  <a:srgbClr val="800000"/>
                </a:solidFill>
                <a:prstDash val="solid"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9.1999999999999993</c:v>
              </c:pt>
              <c:pt idx="1">
                <c:v>10.4</c:v>
              </c:pt>
              <c:pt idx="2">
                <c:v>6.5</c:v>
              </c:pt>
              <c:pt idx="3">
                <c:v>5.0999999999999996</c:v>
              </c:pt>
              <c:pt idx="4">
                <c:v>4.0999999999999996</c:v>
              </c:pt>
              <c:pt idx="5">
                <c:v>4</c:v>
              </c:pt>
              <c:pt idx="6">
                <c:v>3.8</c:v>
              </c:pt>
              <c:pt idx="7">
                <c:v>6.6</c:v>
              </c:pt>
              <c:pt idx="8">
                <c:v>5.8</c:v>
              </c:pt>
              <c:pt idx="9">
                <c:v>5</c:v>
              </c:pt>
              <c:pt idx="10">
                <c:v>4.7</c:v>
              </c:pt>
              <c:pt idx="11">
                <c:v>6</c:v>
              </c:pt>
              <c:pt idx="12">
                <c:v>5.0999999999999996</c:v>
              </c:pt>
              <c:pt idx="13">
                <c:v>5.7</c:v>
              </c:pt>
              <c:pt idx="14">
                <c:v>6.1</c:v>
              </c:pt>
              <c:pt idx="15">
                <c:v>7.1</c:v>
              </c:pt>
              <c:pt idx="16">
                <c:v>6</c:v>
              </c:pt>
              <c:pt idx="17">
                <c:v>5.7</c:v>
              </c:pt>
              <c:pt idx="18">
                <c:v>2.4</c:v>
              </c:pt>
              <c:pt idx="19">
                <c:v>4.7</c:v>
              </c:pt>
              <c:pt idx="20">
                <c:v>5.4</c:v>
              </c:pt>
              <c:pt idx="21">
                <c:v>9.1</c:v>
              </c:pt>
              <c:pt idx="22">
                <c:v>9.3000000000000007</c:v>
              </c:pt>
              <c:pt idx="23">
                <c:v>6.6</c:v>
              </c:pt>
              <c:pt idx="24">
                <c:v>4.8</c:v>
              </c:pt>
              <c:pt idx="25">
                <c:v>7.7</c:v>
              </c:pt>
              <c:pt idx="26">
                <c:v>5.4</c:v>
              </c:pt>
              <c:pt idx="27">
                <c:v>7.2</c:v>
              </c:pt>
              <c:pt idx="28">
                <c:v>8.6</c:v>
              </c:pt>
              <c:pt idx="29">
                <c:v>5.2</c:v>
              </c:pt>
              <c:pt idx="30">
                <c:v>4.0999999999999996</c:v>
              </c:pt>
            </c:numLit>
          </c:val>
          <c:smooth val="0"/>
        </c:ser>
        <c:ser>
          <c:idx val="0"/>
          <c:order val="1"/>
          <c:tx>
            <c:v>E (Mean)</c:v>
          </c:tx>
          <c:spPr>
            <a:ln w="25400">
              <a:solidFill>
                <a:srgbClr val="FF99CC"/>
              </a:solidFill>
              <a:prstDash val="lgDash"/>
            </a:ln>
          </c:spPr>
          <c:marker>
            <c:symbol val="none"/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4.665</c:v>
              </c:pt>
              <c:pt idx="1">
                <c:v>4.665</c:v>
              </c:pt>
              <c:pt idx="2">
                <c:v>4.665</c:v>
              </c:pt>
              <c:pt idx="3">
                <c:v>4.665</c:v>
              </c:pt>
              <c:pt idx="4">
                <c:v>4.665</c:v>
              </c:pt>
              <c:pt idx="5">
                <c:v>4.665</c:v>
              </c:pt>
              <c:pt idx="6">
                <c:v>4.665</c:v>
              </c:pt>
              <c:pt idx="7">
                <c:v>4.665</c:v>
              </c:pt>
              <c:pt idx="8">
                <c:v>4.665</c:v>
              </c:pt>
              <c:pt idx="9">
                <c:v>4.665</c:v>
              </c:pt>
              <c:pt idx="10">
                <c:v>4.665</c:v>
              </c:pt>
              <c:pt idx="11">
                <c:v>4.665</c:v>
              </c:pt>
              <c:pt idx="12">
                <c:v>4.665</c:v>
              </c:pt>
              <c:pt idx="13">
                <c:v>4.665</c:v>
              </c:pt>
              <c:pt idx="14">
                <c:v>4.665</c:v>
              </c:pt>
              <c:pt idx="15">
                <c:v>4.665</c:v>
              </c:pt>
              <c:pt idx="16">
                <c:v>4.665</c:v>
              </c:pt>
              <c:pt idx="17">
                <c:v>4.665</c:v>
              </c:pt>
              <c:pt idx="18">
                <c:v>4.665</c:v>
              </c:pt>
              <c:pt idx="19">
                <c:v>4.665</c:v>
              </c:pt>
              <c:pt idx="20">
                <c:v>4.665</c:v>
              </c:pt>
              <c:pt idx="21">
                <c:v>4.665</c:v>
              </c:pt>
              <c:pt idx="22">
                <c:v>4.665</c:v>
              </c:pt>
              <c:pt idx="23">
                <c:v>4.665</c:v>
              </c:pt>
              <c:pt idx="24">
                <c:v>4.665</c:v>
              </c:pt>
              <c:pt idx="25">
                <c:v>4.665</c:v>
              </c:pt>
              <c:pt idx="26">
                <c:v>4.665</c:v>
              </c:pt>
              <c:pt idx="27">
                <c:v>4.665</c:v>
              </c:pt>
              <c:pt idx="28">
                <c:v>4.665</c:v>
              </c:pt>
              <c:pt idx="29">
                <c:v>4.665</c:v>
              </c:pt>
              <c:pt idx="30">
                <c:v>4.665</c:v>
              </c:pt>
            </c:numLit>
          </c:val>
          <c:smooth val="0"/>
        </c:ser>
        <c:ser>
          <c:idx val="2"/>
          <c:order val="4"/>
          <c:tx>
            <c:v>Cumulative Mean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9.1999999999999993</c:v>
              </c:pt>
              <c:pt idx="1">
                <c:v>9.8000000000000007</c:v>
              </c:pt>
              <c:pt idx="2">
                <c:v>8.7000000000000011</c:v>
              </c:pt>
              <c:pt idx="3">
                <c:v>7.8000000000000007</c:v>
              </c:pt>
              <c:pt idx="4">
                <c:v>7.0600000000000005</c:v>
              </c:pt>
              <c:pt idx="5">
                <c:v>6.5500000000000007</c:v>
              </c:pt>
              <c:pt idx="6">
                <c:v>6.1571428571428575</c:v>
              </c:pt>
              <c:pt idx="7">
                <c:v>6.2125000000000004</c:v>
              </c:pt>
              <c:pt idx="8">
                <c:v>6.166666666666667</c:v>
              </c:pt>
              <c:pt idx="9">
                <c:v>6.05</c:v>
              </c:pt>
              <c:pt idx="10">
                <c:v>5.9272727272727277</c:v>
              </c:pt>
              <c:pt idx="11">
                <c:v>5.9333333333333336</c:v>
              </c:pt>
              <c:pt idx="12">
                <c:v>5.8692307692307688</c:v>
              </c:pt>
              <c:pt idx="13">
                <c:v>5.8571428571428568</c:v>
              </c:pt>
              <c:pt idx="14">
                <c:v>5.8733333333333331</c:v>
              </c:pt>
              <c:pt idx="15">
                <c:v>5.9499999999999993</c:v>
              </c:pt>
              <c:pt idx="16">
                <c:v>5.9529411764705875</c:v>
              </c:pt>
              <c:pt idx="17">
                <c:v>5.9388888888888882</c:v>
              </c:pt>
              <c:pt idx="18">
                <c:v>5.7526315789473683</c:v>
              </c:pt>
              <c:pt idx="19">
                <c:v>5.7</c:v>
              </c:pt>
              <c:pt idx="20">
                <c:v>5.6857142857142859</c:v>
              </c:pt>
              <c:pt idx="21">
                <c:v>5.8409090909090908</c:v>
              </c:pt>
              <c:pt idx="22">
                <c:v>5.9913043478260875</c:v>
              </c:pt>
              <c:pt idx="23">
                <c:v>6.0166666666666666</c:v>
              </c:pt>
              <c:pt idx="24">
                <c:v>5.9680000000000009</c:v>
              </c:pt>
              <c:pt idx="25">
                <c:v>6.0346153846153845</c:v>
              </c:pt>
              <c:pt idx="26">
                <c:v>6.011111111111112</c:v>
              </c:pt>
              <c:pt idx="27">
                <c:v>6.0535714285714288</c:v>
              </c:pt>
              <c:pt idx="28">
                <c:v>6.1413793103448278</c:v>
              </c:pt>
              <c:pt idx="29">
                <c:v>6.1099999999999994</c:v>
              </c:pt>
              <c:pt idx="30">
                <c:v>6.0451612903225795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326656"/>
        <c:axId val="126332928"/>
      </c:lineChart>
      <c:lineChart>
        <c:grouping val="standard"/>
        <c:varyColors val="0"/>
        <c:ser>
          <c:idx val="3"/>
          <c:order val="2"/>
          <c:tx>
            <c:v>Max Gust</c:v>
          </c:tx>
          <c:spPr>
            <a:ln w="28575">
              <a:noFill/>
            </a:ln>
          </c:spPr>
          <c:marker>
            <c:symbol val="circle"/>
            <c:size val="9"/>
            <c:spPr>
              <a:solidFill>
                <a:srgbClr val="FFCC00"/>
              </a:solidFill>
              <a:ln>
                <a:solidFill>
                  <a:srgbClr val="FFCC00"/>
                </a:solidFill>
                <a:prstDash val="solid"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27.3</c:v>
              </c:pt>
              <c:pt idx="1">
                <c:v>32</c:v>
              </c:pt>
              <c:pt idx="2">
                <c:v>21.5</c:v>
              </c:pt>
              <c:pt idx="3">
                <c:v>17.3</c:v>
              </c:pt>
              <c:pt idx="4">
                <c:v>19.2</c:v>
              </c:pt>
              <c:pt idx="5">
                <c:v>19.899999999999999</c:v>
              </c:pt>
              <c:pt idx="6">
                <c:v>19.7</c:v>
              </c:pt>
              <c:pt idx="7">
                <c:v>22.8</c:v>
              </c:pt>
              <c:pt idx="8">
                <c:v>23.9</c:v>
              </c:pt>
              <c:pt idx="9">
                <c:v>16.8</c:v>
              </c:pt>
              <c:pt idx="10">
                <c:v>17.3</c:v>
              </c:pt>
              <c:pt idx="11">
                <c:v>20.6</c:v>
              </c:pt>
              <c:pt idx="12">
                <c:v>15.9</c:v>
              </c:pt>
              <c:pt idx="13">
                <c:v>20.399999999999999</c:v>
              </c:pt>
              <c:pt idx="14">
                <c:v>19</c:v>
              </c:pt>
              <c:pt idx="15">
                <c:v>19.7</c:v>
              </c:pt>
              <c:pt idx="16">
                <c:v>17.600000000000001</c:v>
              </c:pt>
              <c:pt idx="17">
                <c:v>18.7</c:v>
              </c:pt>
              <c:pt idx="18">
                <c:v>10.9</c:v>
              </c:pt>
              <c:pt idx="19">
                <c:v>17.600000000000001</c:v>
              </c:pt>
              <c:pt idx="20">
                <c:v>22.3</c:v>
              </c:pt>
              <c:pt idx="21">
                <c:v>33.799999999999997</c:v>
              </c:pt>
              <c:pt idx="22">
                <c:v>32</c:v>
              </c:pt>
              <c:pt idx="23">
                <c:v>21.9</c:v>
              </c:pt>
              <c:pt idx="24">
                <c:v>20.8</c:v>
              </c:pt>
              <c:pt idx="25">
                <c:v>26.8</c:v>
              </c:pt>
              <c:pt idx="26">
                <c:v>17.5</c:v>
              </c:pt>
              <c:pt idx="27">
                <c:v>22.5</c:v>
              </c:pt>
              <c:pt idx="28">
                <c:v>27.7</c:v>
              </c:pt>
              <c:pt idx="29">
                <c:v>19.899999999999999</c:v>
              </c:pt>
              <c:pt idx="30">
                <c:v>16.8</c:v>
              </c:pt>
            </c:numLit>
          </c:val>
          <c:smooth val="0"/>
        </c:ser>
        <c:ser>
          <c:idx val="4"/>
          <c:order val="3"/>
          <c:tx>
            <c:v>Max Average</c:v>
          </c:tx>
          <c:spPr>
            <a:ln w="28575">
              <a:noFill/>
            </a:ln>
          </c:spPr>
          <c:marker>
            <c:symbol val="circle"/>
            <c:size val="6"/>
            <c:spPr>
              <a:solidFill>
                <a:srgbClr val="800000"/>
              </a:solidFill>
              <a:ln>
                <a:solidFill>
                  <a:srgbClr val="800000"/>
                </a:solidFill>
                <a:prstDash val="solid"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18.5</c:v>
              </c:pt>
              <c:pt idx="1">
                <c:v>19.7</c:v>
              </c:pt>
              <c:pt idx="2">
                <c:v>13.8</c:v>
              </c:pt>
              <c:pt idx="3">
                <c:v>12.3</c:v>
              </c:pt>
              <c:pt idx="4">
                <c:v>12.3</c:v>
              </c:pt>
              <c:pt idx="5">
                <c:v>12.7</c:v>
              </c:pt>
              <c:pt idx="6">
                <c:v>14.3</c:v>
              </c:pt>
              <c:pt idx="7">
                <c:v>15.9</c:v>
              </c:pt>
              <c:pt idx="8">
                <c:v>16.100000000000001</c:v>
              </c:pt>
              <c:pt idx="9">
                <c:v>12.3</c:v>
              </c:pt>
              <c:pt idx="10">
                <c:v>13</c:v>
              </c:pt>
              <c:pt idx="11">
                <c:v>13.8</c:v>
              </c:pt>
              <c:pt idx="12">
                <c:v>10.9</c:v>
              </c:pt>
              <c:pt idx="13">
                <c:v>14</c:v>
              </c:pt>
              <c:pt idx="14">
                <c:v>14.3</c:v>
              </c:pt>
              <c:pt idx="15">
                <c:v>15.4</c:v>
              </c:pt>
              <c:pt idx="16">
                <c:v>12.5</c:v>
              </c:pt>
              <c:pt idx="17">
                <c:v>13.2</c:v>
              </c:pt>
              <c:pt idx="18">
                <c:v>8.1</c:v>
              </c:pt>
              <c:pt idx="19">
                <c:v>11.8</c:v>
              </c:pt>
              <c:pt idx="20">
                <c:v>14.5</c:v>
              </c:pt>
              <c:pt idx="21">
                <c:v>21</c:v>
              </c:pt>
              <c:pt idx="22">
                <c:v>22.5</c:v>
              </c:pt>
              <c:pt idx="23">
                <c:v>15</c:v>
              </c:pt>
              <c:pt idx="24">
                <c:v>16.100000000000001</c:v>
              </c:pt>
              <c:pt idx="25">
                <c:v>20.100000000000001</c:v>
              </c:pt>
              <c:pt idx="26">
                <c:v>11.8</c:v>
              </c:pt>
              <c:pt idx="27">
                <c:v>16.600000000000001</c:v>
              </c:pt>
              <c:pt idx="28">
                <c:v>17.8</c:v>
              </c:pt>
              <c:pt idx="29">
                <c:v>15.6</c:v>
              </c:pt>
              <c:pt idx="30">
                <c:v>11.8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334464"/>
        <c:axId val="126336000"/>
      </c:lineChart>
      <c:catAx>
        <c:axId val="126326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63329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6332928"/>
        <c:scaling>
          <c:orientation val="minMax"/>
          <c:max val="1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6326656"/>
        <c:crosses val="autoZero"/>
        <c:crossBetween val="between"/>
        <c:majorUnit val="2"/>
      </c:valAx>
      <c:catAx>
        <c:axId val="1263344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6336000"/>
        <c:crosses val="autoZero"/>
        <c:auto val="1"/>
        <c:lblAlgn val="ctr"/>
        <c:lblOffset val="100"/>
        <c:noMultiLvlLbl val="0"/>
      </c:catAx>
      <c:valAx>
        <c:axId val="126336000"/>
        <c:scaling>
          <c:orientation val="minMax"/>
          <c:max val="40"/>
          <c:min val="0"/>
        </c:scaling>
        <c:delete val="0"/>
        <c:axPos val="r"/>
        <c:numFmt formatCode="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6334464"/>
        <c:crosses val="max"/>
        <c:crossBetween val="between"/>
        <c:majorUnit val="10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0.15753846153846154"/>
          <c:y val="0.18417958085817784"/>
          <c:w val="0.52430769230769236"/>
          <c:h val="0.266824208957351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1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Sun Hours / h</a:t>
            </a:r>
          </a:p>
        </c:rich>
      </c:tx>
      <c:layout>
        <c:manualLayout>
          <c:xMode val="edge"/>
          <c:yMode val="edge"/>
          <c:x val="0.46040541433241655"/>
          <c:y val="2.83353010625737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941082492304096E-2"/>
          <c:y val="9.3270419766466536E-2"/>
          <c:w val="0.97360402135369983"/>
          <c:h val="0.85596271304668647"/>
        </c:manualLayout>
      </c:layout>
      <c:barChart>
        <c:barDir val="col"/>
        <c:grouping val="clustered"/>
        <c:varyColors val="0"/>
        <c:ser>
          <c:idx val="1"/>
          <c:order val="0"/>
          <c:tx>
            <c:v>Sun</c:v>
          </c:tx>
          <c:spPr>
            <a:solidFill>
              <a:srgbClr val="FFFF00"/>
            </a:solidFill>
            <a:ln w="12700">
              <a:solidFill>
                <a:srgbClr val="C0C0C0"/>
              </a:solidFill>
              <a:prstDash val="solid"/>
            </a:ln>
          </c:spPr>
          <c:invertIfNegative val="0"/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11</c:v>
              </c:pt>
              <c:pt idx="1">
                <c:v>13</c:v>
              </c:pt>
              <c:pt idx="2">
                <c:v>13</c:v>
              </c:pt>
              <c:pt idx="3">
                <c:v>13.5</c:v>
              </c:pt>
              <c:pt idx="4">
                <c:v>4</c:v>
              </c:pt>
              <c:pt idx="5">
                <c:v>10</c:v>
              </c:pt>
              <c:pt idx="6">
                <c:v>1.5</c:v>
              </c:pt>
              <c:pt idx="7">
                <c:v>4</c:v>
              </c:pt>
              <c:pt idx="8">
                <c:v>12.5</c:v>
              </c:pt>
              <c:pt idx="9">
                <c:v>12.5</c:v>
              </c:pt>
              <c:pt idx="10">
                <c:v>2</c:v>
              </c:pt>
              <c:pt idx="11">
                <c:v>7</c:v>
              </c:pt>
              <c:pt idx="12">
                <c:v>8</c:v>
              </c:pt>
              <c:pt idx="13">
                <c:v>6.5</c:v>
              </c:pt>
              <c:pt idx="14">
                <c:v>4</c:v>
              </c:pt>
              <c:pt idx="15">
                <c:v>1.5</c:v>
              </c:pt>
              <c:pt idx="16">
                <c:v>2</c:v>
              </c:pt>
              <c:pt idx="17">
                <c:v>0.2</c:v>
              </c:pt>
              <c:pt idx="18">
                <c:v>9</c:v>
              </c:pt>
              <c:pt idx="19">
                <c:v>7</c:v>
              </c:pt>
              <c:pt idx="20">
                <c:v>13.5</c:v>
              </c:pt>
              <c:pt idx="21">
                <c:v>8</c:v>
              </c:pt>
              <c:pt idx="22">
                <c:v>4.5</c:v>
              </c:pt>
              <c:pt idx="23">
                <c:v>13</c:v>
              </c:pt>
              <c:pt idx="24">
                <c:v>13</c:v>
              </c:pt>
              <c:pt idx="25">
                <c:v>2</c:v>
              </c:pt>
              <c:pt idx="26">
                <c:v>3</c:v>
              </c:pt>
              <c:pt idx="27">
                <c:v>1.5</c:v>
              </c:pt>
              <c:pt idx="28">
                <c:v>5</c:v>
              </c:pt>
              <c:pt idx="29">
                <c:v>3</c:v>
              </c:pt>
              <c:pt idx="30">
                <c:v>9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overlap val="-10"/>
        <c:axId val="126372864"/>
        <c:axId val="126382848"/>
      </c:barChart>
      <c:catAx>
        <c:axId val="126372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63828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6382848"/>
        <c:scaling>
          <c:orientation val="minMax"/>
          <c:max val="15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6372864"/>
        <c:crosses val="autoZero"/>
        <c:crossBetween val="between"/>
        <c:majorUnit val="2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Cumulative Rain / mm</a:t>
            </a:r>
          </a:p>
        </c:rich>
      </c:tx>
      <c:layout>
        <c:manualLayout>
          <c:xMode val="edge"/>
          <c:yMode val="edge"/>
          <c:x val="0.43726963096402616"/>
          <c:y val="2.0094562647754138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985254257748993E-2"/>
          <c:y val="9.219868798792108E-2"/>
          <c:w val="0.95818015727110073"/>
          <c:h val="0.8569749845031126"/>
        </c:manualLayout>
      </c:layout>
      <c:lineChart>
        <c:grouping val="standard"/>
        <c:varyColors val="0"/>
        <c:ser>
          <c:idx val="1"/>
          <c:order val="0"/>
          <c:tx>
            <c:v>Cumulative Rain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1.1000000000000001</c:v>
              </c:pt>
              <c:pt idx="7">
                <c:v>4.0999999999999996</c:v>
              </c:pt>
              <c:pt idx="8">
                <c:v>4.0999999999999996</c:v>
              </c:pt>
              <c:pt idx="9">
                <c:v>4.0999999999999996</c:v>
              </c:pt>
              <c:pt idx="10">
                <c:v>4.0999999999999996</c:v>
              </c:pt>
              <c:pt idx="11">
                <c:v>4.0999999999999996</c:v>
              </c:pt>
              <c:pt idx="12">
                <c:v>4.0999999999999996</c:v>
              </c:pt>
              <c:pt idx="13">
                <c:v>4.0999999999999996</c:v>
              </c:pt>
              <c:pt idx="14">
                <c:v>4.0999999999999996</c:v>
              </c:pt>
              <c:pt idx="15">
                <c:v>4.0999999999999996</c:v>
              </c:pt>
              <c:pt idx="16">
                <c:v>4.0999999999999996</c:v>
              </c:pt>
              <c:pt idx="17">
                <c:v>7.1</c:v>
              </c:pt>
              <c:pt idx="18">
                <c:v>7.1</c:v>
              </c:pt>
              <c:pt idx="19">
                <c:v>7.1</c:v>
              </c:pt>
              <c:pt idx="20">
                <c:v>7.1</c:v>
              </c:pt>
              <c:pt idx="21">
                <c:v>8.1999999999999993</c:v>
              </c:pt>
              <c:pt idx="22">
                <c:v>8.2999999999999989</c:v>
              </c:pt>
              <c:pt idx="23">
                <c:v>8.2999999999999989</c:v>
              </c:pt>
              <c:pt idx="24">
                <c:v>8.2999999999999989</c:v>
              </c:pt>
              <c:pt idx="25">
                <c:v>22.799999999999997</c:v>
              </c:pt>
              <c:pt idx="26">
                <c:v>22.799999999999997</c:v>
              </c:pt>
              <c:pt idx="27">
                <c:v>22.9</c:v>
              </c:pt>
              <c:pt idx="28">
                <c:v>22.9</c:v>
              </c:pt>
              <c:pt idx="29">
                <c:v>24</c:v>
              </c:pt>
              <c:pt idx="30">
                <c:v>24.1</c:v>
              </c:pt>
            </c:numLit>
          </c:val>
          <c:smooth val="0"/>
        </c:ser>
        <c:ser>
          <c:idx val="2"/>
          <c:order val="1"/>
          <c:tx>
            <c:v>E (Cumulative Rain)</c:v>
          </c:tx>
          <c:spPr>
            <a:ln w="25400">
              <a:solidFill>
                <a:srgbClr val="00CCFF"/>
              </a:solidFill>
              <a:prstDash val="lgDash"/>
            </a:ln>
          </c:spPr>
          <c:marker>
            <c:symbol val="none"/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1.903225806451613</c:v>
              </c:pt>
              <c:pt idx="1">
                <c:v>3.806451612903226</c:v>
              </c:pt>
              <c:pt idx="2">
                <c:v>5.709677419354839</c:v>
              </c:pt>
              <c:pt idx="3">
                <c:v>7.612903225806452</c:v>
              </c:pt>
              <c:pt idx="4">
                <c:v>9.5161290322580641</c:v>
              </c:pt>
              <c:pt idx="5">
                <c:v>11.419354838709678</c:v>
              </c:pt>
              <c:pt idx="6">
                <c:v>13.322580645161292</c:v>
              </c:pt>
              <c:pt idx="7">
                <c:v>15.225806451612904</c:v>
              </c:pt>
              <c:pt idx="8">
                <c:v>17.129032258064516</c:v>
              </c:pt>
              <c:pt idx="9">
                <c:v>19.032258064516128</c:v>
              </c:pt>
              <c:pt idx="10">
                <c:v>20.935483870967744</c:v>
              </c:pt>
              <c:pt idx="11">
                <c:v>22.838709677419356</c:v>
              </c:pt>
              <c:pt idx="12">
                <c:v>24.741935483870968</c:v>
              </c:pt>
              <c:pt idx="13">
                <c:v>26.645161290322584</c:v>
              </c:pt>
              <c:pt idx="14">
                <c:v>28.548387096774196</c:v>
              </c:pt>
              <c:pt idx="15">
                <c:v>30.451612903225808</c:v>
              </c:pt>
              <c:pt idx="16">
                <c:v>32.354838709677423</c:v>
              </c:pt>
              <c:pt idx="17">
                <c:v>34.258064516129032</c:v>
              </c:pt>
              <c:pt idx="18">
                <c:v>36.161290322580648</c:v>
              </c:pt>
              <c:pt idx="19">
                <c:v>38.064516129032256</c:v>
              </c:pt>
              <c:pt idx="20">
                <c:v>39.967741935483872</c:v>
              </c:pt>
              <c:pt idx="21">
                <c:v>41.870967741935488</c:v>
              </c:pt>
              <c:pt idx="22">
                <c:v>43.774193548387096</c:v>
              </c:pt>
              <c:pt idx="23">
                <c:v>45.677419354838712</c:v>
              </c:pt>
              <c:pt idx="24">
                <c:v>47.580645161290327</c:v>
              </c:pt>
              <c:pt idx="25">
                <c:v>49.483870967741936</c:v>
              </c:pt>
              <c:pt idx="26">
                <c:v>51.387096774193552</c:v>
              </c:pt>
              <c:pt idx="27">
                <c:v>53.290322580645167</c:v>
              </c:pt>
              <c:pt idx="28">
                <c:v>55.193548387096776</c:v>
              </c:pt>
              <c:pt idx="29">
                <c:v>57.096774193548391</c:v>
              </c:pt>
              <c:pt idx="30">
                <c:v>59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832640"/>
        <c:axId val="126834176"/>
      </c:lineChart>
      <c:lineChart>
        <c:grouping val="standard"/>
        <c:varyColors val="0"/>
        <c:ser>
          <c:idx val="0"/>
          <c:order val="2"/>
          <c:tx>
            <c:v>Cumulative Anomaly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circle"/>
            <c:size val="2"/>
            <c:spPr>
              <a:solidFill>
                <a:srgbClr val="333399"/>
              </a:solidFill>
              <a:ln>
                <a:solidFill>
                  <a:srgbClr val="333399"/>
                </a:solidFill>
                <a:prstDash val="solid"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8.2566585956416458E-2</c:v>
              </c:pt>
              <c:pt idx="7">
                <c:v>0.26927966101694911</c:v>
              </c:pt>
              <c:pt idx="8">
                <c:v>0.23935969868173257</c:v>
              </c:pt>
              <c:pt idx="9">
                <c:v>0.21542372881355931</c:v>
              </c:pt>
              <c:pt idx="10">
                <c:v>0.19583975346687207</c:v>
              </c:pt>
              <c:pt idx="11">
                <c:v>0.1795197740112994</c:v>
              </c:pt>
              <c:pt idx="12">
                <c:v>0.16571056062581485</c:v>
              </c:pt>
              <c:pt idx="13">
                <c:v>0.15387409200968519</c:v>
              </c:pt>
              <c:pt idx="14">
                <c:v>0.14361581920903951</c:v>
              </c:pt>
              <c:pt idx="15">
                <c:v>0.13463983050847456</c:v>
              </c:pt>
              <c:pt idx="16">
                <c:v>0.12671984047856427</c:v>
              </c:pt>
              <c:pt idx="17">
                <c:v>0.20725047080979284</c:v>
              </c:pt>
              <c:pt idx="18">
                <c:v>0.19634255129348793</c:v>
              </c:pt>
              <c:pt idx="19">
                <c:v>0.18652542372881356</c:v>
              </c:pt>
              <c:pt idx="20">
                <c:v>0.17764326069410813</c:v>
              </c:pt>
              <c:pt idx="21">
                <c:v>0.19583975346687207</c:v>
              </c:pt>
              <c:pt idx="22">
                <c:v>0.18960943257184965</c:v>
              </c:pt>
              <c:pt idx="23">
                <c:v>0.18170903954802256</c:v>
              </c:pt>
              <c:pt idx="24">
                <c:v>0.17444067796610166</c:v>
              </c:pt>
              <c:pt idx="25">
                <c:v>0.46075619295958276</c:v>
              </c:pt>
              <c:pt idx="26">
                <c:v>0.44369114877589444</c:v>
              </c:pt>
              <c:pt idx="27">
                <c:v>0.42972154963680381</c:v>
              </c:pt>
              <c:pt idx="28">
                <c:v>0.41490356516656923</c:v>
              </c:pt>
              <c:pt idx="29">
                <c:v>0.42033898305084744</c:v>
              </c:pt>
              <c:pt idx="30">
                <c:v>0.40847457627118644</c:v>
              </c:pt>
            </c:numLit>
          </c:val>
          <c:smooth val="0"/>
        </c:ser>
        <c:ser>
          <c:idx val="3"/>
          <c:order val="3"/>
          <c:tx>
            <c:v>E (Cumulative Anomaly)</c:v>
          </c:tx>
          <c:spPr>
            <a:ln w="3175">
              <a:solidFill>
                <a:srgbClr val="0000FF"/>
              </a:solidFill>
              <a:prstDash val="lgDash"/>
            </a:ln>
          </c:spPr>
          <c:marker>
            <c:symbol val="none"/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1</c:v>
              </c:pt>
              <c:pt idx="1">
                <c:v>1</c:v>
              </c:pt>
              <c:pt idx="2">
                <c:v>1</c:v>
              </c:pt>
              <c:pt idx="3">
                <c:v>1</c:v>
              </c:pt>
              <c:pt idx="4">
                <c:v>1</c:v>
              </c:pt>
              <c:pt idx="5">
                <c:v>1</c:v>
              </c:pt>
              <c:pt idx="6">
                <c:v>1</c:v>
              </c:pt>
              <c:pt idx="7">
                <c:v>1</c:v>
              </c:pt>
              <c:pt idx="8">
                <c:v>1</c:v>
              </c:pt>
              <c:pt idx="9">
                <c:v>1</c:v>
              </c:pt>
              <c:pt idx="10">
                <c:v>1</c:v>
              </c:pt>
              <c:pt idx="11">
                <c:v>1</c:v>
              </c:pt>
              <c:pt idx="12">
                <c:v>1</c:v>
              </c:pt>
              <c:pt idx="13">
                <c:v>1</c:v>
              </c:pt>
              <c:pt idx="14">
                <c:v>1</c:v>
              </c:pt>
              <c:pt idx="15">
                <c:v>1</c:v>
              </c:pt>
              <c:pt idx="16">
                <c:v>1</c:v>
              </c:pt>
              <c:pt idx="17">
                <c:v>1</c:v>
              </c:pt>
              <c:pt idx="18">
                <c:v>1</c:v>
              </c:pt>
              <c:pt idx="19">
                <c:v>1</c:v>
              </c:pt>
              <c:pt idx="20">
                <c:v>1</c:v>
              </c:pt>
              <c:pt idx="21">
                <c:v>1</c:v>
              </c:pt>
              <c:pt idx="22">
                <c:v>1</c:v>
              </c:pt>
              <c:pt idx="23">
                <c:v>1</c:v>
              </c:pt>
              <c:pt idx="24">
                <c:v>1</c:v>
              </c:pt>
              <c:pt idx="25">
                <c:v>1</c:v>
              </c:pt>
              <c:pt idx="26">
                <c:v>1</c:v>
              </c:pt>
              <c:pt idx="27">
                <c:v>1</c:v>
              </c:pt>
              <c:pt idx="28">
                <c:v>1</c:v>
              </c:pt>
              <c:pt idx="29">
                <c:v>1</c:v>
              </c:pt>
              <c:pt idx="30">
                <c:v>1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835712"/>
        <c:axId val="126837504"/>
      </c:lineChart>
      <c:catAx>
        <c:axId val="1268326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68341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6834176"/>
        <c:scaling>
          <c:orientation val="minMax"/>
          <c:max val="7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6832640"/>
        <c:crosses val="autoZero"/>
        <c:crossBetween val="between"/>
        <c:majorUnit val="10"/>
      </c:valAx>
      <c:catAx>
        <c:axId val="1268357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6837504"/>
        <c:crosses val="autoZero"/>
        <c:auto val="1"/>
        <c:lblAlgn val="ctr"/>
        <c:lblOffset val="100"/>
        <c:noMultiLvlLbl val="0"/>
      </c:catAx>
      <c:valAx>
        <c:axId val="126837504"/>
        <c:scaling>
          <c:orientation val="minMax"/>
          <c:max val="3.5"/>
          <c:min val="0"/>
        </c:scaling>
        <c:delete val="0"/>
        <c:axPos val="r"/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6835712"/>
        <c:crosses val="max"/>
        <c:crossBetween val="between"/>
        <c:majorUnit val="0.5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 sz="14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Dew Point / </a:t>
            </a:r>
            <a:r>
              <a:rPr lang="en-GB" sz="1400" b="1" i="0" u="none" strike="noStrike" baseline="30000">
                <a:solidFill>
                  <a:srgbClr val="000000"/>
                </a:solidFill>
                <a:latin typeface="Arial"/>
                <a:cs typeface="Arial"/>
              </a:rPr>
              <a:t>o</a:t>
            </a:r>
            <a:r>
              <a:rPr lang="en-GB" sz="14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C</a:t>
            </a:r>
          </a:p>
        </c:rich>
      </c:tx>
      <c:layout>
        <c:manualLayout>
          <c:xMode val="edge"/>
          <c:yMode val="edge"/>
          <c:x val="0.45817984006611717"/>
          <c:y val="1.99296600234466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985254257748993E-2"/>
          <c:y val="8.6752687408804985E-2"/>
          <c:w val="0.97355532025683733"/>
          <c:h val="0.86283753963351983"/>
        </c:manualLayout>
      </c:layout>
      <c:lineChart>
        <c:grouping val="standard"/>
        <c:varyColors val="0"/>
        <c:ser>
          <c:idx val="2"/>
          <c:order val="0"/>
          <c:tx>
            <c:v>Min Dew Point</c:v>
          </c:tx>
          <c:spPr>
            <a:ln w="38100">
              <a:solidFill>
                <a:srgbClr val="99CC00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808000"/>
              </a:solidFill>
              <a:ln>
                <a:solidFill>
                  <a:srgbClr val="808000"/>
                </a:solidFill>
                <a:prstDash val="solid"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0.3</c:v>
              </c:pt>
              <c:pt idx="1">
                <c:v>-1.9</c:v>
              </c:pt>
              <c:pt idx="2">
                <c:v>-4.2</c:v>
              </c:pt>
              <c:pt idx="3">
                <c:v>-1.9</c:v>
              </c:pt>
              <c:pt idx="4">
                <c:v>2.4</c:v>
              </c:pt>
              <c:pt idx="5">
                <c:v>2</c:v>
              </c:pt>
              <c:pt idx="6">
                <c:v>5.3</c:v>
              </c:pt>
              <c:pt idx="7">
                <c:v>4.9000000000000004</c:v>
              </c:pt>
              <c:pt idx="8">
                <c:v>4.5</c:v>
              </c:pt>
              <c:pt idx="9">
                <c:v>4.0999999999999996</c:v>
              </c:pt>
              <c:pt idx="10">
                <c:v>2.8</c:v>
              </c:pt>
              <c:pt idx="11">
                <c:v>2.6</c:v>
              </c:pt>
              <c:pt idx="12">
                <c:v>3</c:v>
              </c:pt>
              <c:pt idx="13">
                <c:v>1.6</c:v>
              </c:pt>
              <c:pt idx="14">
                <c:v>2.1</c:v>
              </c:pt>
              <c:pt idx="15">
                <c:v>5.9</c:v>
              </c:pt>
              <c:pt idx="16">
                <c:v>6.1</c:v>
              </c:pt>
              <c:pt idx="17">
                <c:v>8.3000000000000007</c:v>
              </c:pt>
              <c:pt idx="18">
                <c:v>4.5999999999999996</c:v>
              </c:pt>
              <c:pt idx="19">
                <c:v>4.0999999999999996</c:v>
              </c:pt>
              <c:pt idx="20">
                <c:v>4.4000000000000004</c:v>
              </c:pt>
              <c:pt idx="21">
                <c:v>2.2999999999999998</c:v>
              </c:pt>
              <c:pt idx="22">
                <c:v>3.4</c:v>
              </c:pt>
              <c:pt idx="23">
                <c:v>0.7</c:v>
              </c:pt>
              <c:pt idx="24">
                <c:v>-0.4</c:v>
              </c:pt>
              <c:pt idx="25">
                <c:v>3.1</c:v>
              </c:pt>
              <c:pt idx="26">
                <c:v>3.2</c:v>
              </c:pt>
              <c:pt idx="27">
                <c:v>4.0999999999999996</c:v>
              </c:pt>
              <c:pt idx="28">
                <c:v>9.6</c:v>
              </c:pt>
              <c:pt idx="29">
                <c:v>8.8000000000000007</c:v>
              </c:pt>
              <c:pt idx="30">
                <c:v>1.7</c:v>
              </c:pt>
            </c:numLit>
          </c:val>
          <c:smooth val="0"/>
        </c:ser>
        <c:ser>
          <c:idx val="3"/>
          <c:order val="1"/>
          <c:tx>
            <c:v>Frost Point</c:v>
          </c:tx>
          <c:spPr>
            <a:ln w="38100">
              <a:solidFill>
                <a:srgbClr val="000080"/>
              </a:solidFill>
              <a:prstDash val="sysDash"/>
            </a:ln>
          </c:spPr>
          <c:marker>
            <c:symbol val="none"/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</c:numLit>
          </c:val>
          <c:smooth val="0"/>
        </c:ser>
        <c:ser>
          <c:idx val="0"/>
          <c:order val="2"/>
          <c:tx>
            <c:v>Mean' Dew Point</c:v>
          </c:tx>
          <c:spPr>
            <a:ln w="38100">
              <a:solidFill>
                <a:srgbClr val="008080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666699"/>
              </a:solidFill>
              <a:ln>
                <a:solidFill>
                  <a:srgbClr val="666699"/>
                </a:solidFill>
                <a:prstDash val="solid"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3.9</c:v>
              </c:pt>
              <c:pt idx="1">
                <c:v>1.5</c:v>
              </c:pt>
              <c:pt idx="2">
                <c:v>-0.2</c:v>
              </c:pt>
              <c:pt idx="3">
                <c:v>1.4</c:v>
              </c:pt>
              <c:pt idx="4">
                <c:v>5</c:v>
              </c:pt>
              <c:pt idx="5">
                <c:v>5.5</c:v>
              </c:pt>
              <c:pt idx="6">
                <c:v>11</c:v>
              </c:pt>
              <c:pt idx="7">
                <c:v>10.1</c:v>
              </c:pt>
              <c:pt idx="8">
                <c:v>7.2</c:v>
              </c:pt>
              <c:pt idx="9">
                <c:v>6.5</c:v>
              </c:pt>
              <c:pt idx="10">
                <c:v>7.3</c:v>
              </c:pt>
              <c:pt idx="11">
                <c:v>5</c:v>
              </c:pt>
              <c:pt idx="12">
                <c:v>5.0999999999999996</c:v>
              </c:pt>
              <c:pt idx="13">
                <c:v>3.5</c:v>
              </c:pt>
              <c:pt idx="14">
                <c:v>4.5999999999999996</c:v>
              </c:pt>
              <c:pt idx="15">
                <c:v>8</c:v>
              </c:pt>
              <c:pt idx="16">
                <c:v>8.8000000000000007</c:v>
              </c:pt>
              <c:pt idx="17">
                <c:v>11.4</c:v>
              </c:pt>
              <c:pt idx="18">
                <c:v>6.4</c:v>
              </c:pt>
              <c:pt idx="19">
                <c:v>5.3</c:v>
              </c:pt>
              <c:pt idx="20">
                <c:v>6.6</c:v>
              </c:pt>
              <c:pt idx="21">
                <c:v>5.4</c:v>
              </c:pt>
              <c:pt idx="22">
                <c:v>6.5</c:v>
              </c:pt>
              <c:pt idx="23">
                <c:v>3.1</c:v>
              </c:pt>
              <c:pt idx="24">
                <c:v>3</c:v>
              </c:pt>
              <c:pt idx="25">
                <c:v>7.2</c:v>
              </c:pt>
              <c:pt idx="26">
                <c:v>5.7</c:v>
              </c:pt>
              <c:pt idx="27">
                <c:v>7.3</c:v>
              </c:pt>
              <c:pt idx="28">
                <c:v>10.8</c:v>
              </c:pt>
              <c:pt idx="29">
                <c:v>11.1</c:v>
              </c:pt>
              <c:pt idx="30">
                <c:v>5.0999999999999996</c:v>
              </c:pt>
            </c:numLit>
          </c:val>
          <c:smooth val="0"/>
        </c:ser>
        <c:ser>
          <c:idx val="4"/>
          <c:order val="3"/>
          <c:tx>
            <c:v>Max Dew Point</c:v>
          </c:tx>
          <c:spPr>
            <a:ln w="38100">
              <a:solidFill>
                <a:srgbClr val="003300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003366"/>
              </a:solidFill>
              <a:ln>
                <a:solidFill>
                  <a:srgbClr val="003366"/>
                </a:solidFill>
                <a:prstDash val="solid"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6.1</c:v>
              </c:pt>
              <c:pt idx="1">
                <c:v>4.8</c:v>
              </c:pt>
              <c:pt idx="2">
                <c:v>4.5</c:v>
              </c:pt>
              <c:pt idx="3">
                <c:v>4.5</c:v>
              </c:pt>
              <c:pt idx="4">
                <c:v>8.3000000000000007</c:v>
              </c:pt>
              <c:pt idx="5">
                <c:v>8.4</c:v>
              </c:pt>
              <c:pt idx="6">
                <c:v>15.1</c:v>
              </c:pt>
              <c:pt idx="7">
                <c:v>14.2</c:v>
              </c:pt>
              <c:pt idx="8">
                <c:v>10.8</c:v>
              </c:pt>
              <c:pt idx="9">
                <c:v>10.5</c:v>
              </c:pt>
              <c:pt idx="10">
                <c:v>11.1</c:v>
              </c:pt>
              <c:pt idx="11">
                <c:v>7.8</c:v>
              </c:pt>
              <c:pt idx="12">
                <c:v>7.9</c:v>
              </c:pt>
              <c:pt idx="13">
                <c:v>5.5</c:v>
              </c:pt>
              <c:pt idx="14">
                <c:v>7</c:v>
              </c:pt>
              <c:pt idx="15">
                <c:v>9.9</c:v>
              </c:pt>
              <c:pt idx="16">
                <c:v>11.4</c:v>
              </c:pt>
              <c:pt idx="17">
                <c:v>13</c:v>
              </c:pt>
              <c:pt idx="18">
                <c:v>9.3000000000000007</c:v>
              </c:pt>
              <c:pt idx="19">
                <c:v>7.8</c:v>
              </c:pt>
              <c:pt idx="20">
                <c:v>9.4</c:v>
              </c:pt>
              <c:pt idx="21">
                <c:v>10</c:v>
              </c:pt>
              <c:pt idx="22">
                <c:v>9.3000000000000007</c:v>
              </c:pt>
              <c:pt idx="23">
                <c:v>5.0999999999999996</c:v>
              </c:pt>
              <c:pt idx="24">
                <c:v>6.6</c:v>
              </c:pt>
              <c:pt idx="25">
                <c:v>11.5</c:v>
              </c:pt>
              <c:pt idx="26">
                <c:v>8.8000000000000007</c:v>
              </c:pt>
              <c:pt idx="27">
                <c:v>10.6</c:v>
              </c:pt>
              <c:pt idx="28">
                <c:v>12.2</c:v>
              </c:pt>
              <c:pt idx="29">
                <c:v>13.5</c:v>
              </c:pt>
              <c:pt idx="30">
                <c:v>8.8000000000000007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859520"/>
        <c:axId val="126873984"/>
      </c:lineChart>
      <c:catAx>
        <c:axId val="126859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6873984"/>
        <c:crossesAt val="-10"/>
        <c:auto val="1"/>
        <c:lblAlgn val="ctr"/>
        <c:lblOffset val="100"/>
        <c:tickLblSkip val="1"/>
        <c:tickMarkSkip val="1"/>
        <c:noMultiLvlLbl val="0"/>
      </c:catAx>
      <c:valAx>
        <c:axId val="126873984"/>
        <c:scaling>
          <c:orientation val="minMax"/>
          <c:max val="16"/>
          <c:min val="-5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6859520"/>
        <c:crosses val="autoZero"/>
        <c:crossBetween val="between"/>
        <c:majorUnit val="5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Mean Wind Direction Frequency</a:t>
            </a:r>
          </a:p>
        </c:rich>
      </c:tx>
      <c:layout>
        <c:manualLayout>
          <c:xMode val="edge"/>
          <c:yMode val="edge"/>
          <c:x val="0.40434296945276205"/>
          <c:y val="2.619047619047619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104461873063995"/>
          <c:y val="0.16309542770580787"/>
          <c:w val="0.36561053816991851"/>
          <c:h val="0.74166752891035259"/>
        </c:manualLayout>
      </c:layout>
      <c:radarChart>
        <c:radarStyle val="filled"/>
        <c:varyColors val="1"/>
        <c:ser>
          <c:idx val="0"/>
          <c:order val="0"/>
          <c:tx>
            <c:v>Mean Wind Direction</c:v>
          </c:tx>
          <c:spPr>
            <a:solidFill>
              <a:srgbClr val="FF99CC"/>
            </a:solidFill>
            <a:ln w="38100">
              <a:solidFill>
                <a:srgbClr val="FF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</c:dPt>
          <c:dPt>
            <c:idx val="2"/>
            <c:bubble3D val="0"/>
          </c:dPt>
          <c:dPt>
            <c:idx val="3"/>
            <c:bubble3D val="0"/>
          </c:dPt>
          <c:dPt>
            <c:idx val="4"/>
            <c:bubble3D val="0"/>
          </c:dPt>
          <c:dPt>
            <c:idx val="5"/>
            <c:bubble3D val="0"/>
          </c:dPt>
          <c:dPt>
            <c:idx val="6"/>
            <c:bubble3D val="0"/>
          </c:dPt>
          <c:dPt>
            <c:idx val="7"/>
            <c:bubble3D val="0"/>
          </c:dPt>
          <c:dLbls>
            <c:dLbl>
              <c:idx val="0"/>
              <c:layout>
                <c:manualLayout>
                  <c:x val="7.8280636941818965E-5"/>
                  <c:y val="-0.30511773570577838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 val="7.2789217720382188E-2"/>
                  <c:y val="-0.12359070649793959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layout>
                <c:manualLayout>
                  <c:x val="0.15680588818623387"/>
                  <c:y val="-1.0912600848821182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layout>
                <c:manualLayout>
                  <c:x val="0.12914131899004377"/>
                  <c:y val="0.2214367713433211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4"/>
              <c:layout>
                <c:manualLayout>
                  <c:x val="1.2519902297826737E-3"/>
                  <c:y val="0.1966581583887598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5"/>
              <c:layout>
                <c:manualLayout>
                  <c:x val="-2.5786912234725779E-2"/>
                  <c:y val="2.11798200725310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6"/>
              <c:layout>
                <c:manualLayout>
                  <c:x val="-0.10447260160098006"/>
                  <c:y val="-1.0912600848821182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7"/>
              <c:layout>
                <c:manualLayout>
                  <c:x val="-0.11664676617802963"/>
                  <c:y val="-0.2164479573085454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50" b="1" i="0" u="none" strike="noStrike" baseline="0">
                    <a:solidFill>
                      <a:srgbClr val="FF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Lit>
              <c:ptCount val="8"/>
              <c:pt idx="0">
                <c:v>N</c:v>
              </c:pt>
              <c:pt idx="1">
                <c:v>NE</c:v>
              </c:pt>
              <c:pt idx="2">
                <c:v>E</c:v>
              </c:pt>
              <c:pt idx="3">
                <c:v>SE</c:v>
              </c:pt>
              <c:pt idx="4">
                <c:v>S</c:v>
              </c:pt>
              <c:pt idx="5">
                <c:v>SW</c:v>
              </c:pt>
              <c:pt idx="6">
                <c:v>W</c:v>
              </c:pt>
              <c:pt idx="7">
                <c:v>NW</c:v>
              </c:pt>
            </c:strLit>
          </c:cat>
          <c:val>
            <c:numLit>
              <c:formatCode>General</c:formatCode>
              <c:ptCount val="8"/>
              <c:pt idx="0">
                <c:v>1</c:v>
              </c:pt>
              <c:pt idx="1">
                <c:v>2</c:v>
              </c:pt>
              <c:pt idx="2">
                <c:v>2</c:v>
              </c:pt>
              <c:pt idx="3">
                <c:v>1</c:v>
              </c:pt>
              <c:pt idx="4">
                <c:v>5</c:v>
              </c:pt>
              <c:pt idx="5">
                <c:v>10</c:v>
              </c:pt>
              <c:pt idx="6">
                <c:v>8</c:v>
              </c:pt>
              <c:pt idx="7">
                <c:v>2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929920"/>
        <c:axId val="127013632"/>
      </c:radarChart>
      <c:catAx>
        <c:axId val="126929920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7013632"/>
        <c:crosses val="autoZero"/>
        <c:auto val="0"/>
        <c:lblAlgn val="ctr"/>
        <c:lblOffset val="100"/>
        <c:noMultiLvlLbl val="0"/>
      </c:catAx>
      <c:valAx>
        <c:axId val="127013632"/>
        <c:scaling>
          <c:orientation val="minMax"/>
          <c:max val="1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6929920"/>
        <c:crosses val="autoZero"/>
        <c:crossBetween val="between"/>
        <c:majorUnit val="2"/>
      </c:valAx>
      <c:spPr>
        <a:solidFill>
          <a:srgbClr val="C0C0C0"/>
        </a:solidFill>
        <a:ln w="25400">
          <a:noFill/>
        </a:ln>
      </c:spPr>
    </c:plotArea>
    <c:plotVisOnly val="1"/>
    <c:dispBlanksAs val="gap"/>
    <c:showDLblsOverMax val="0"/>
  </c:chart>
  <c:spPr>
    <a:solidFill>
      <a:srgbClr val="C0C0C0"/>
    </a:solidFill>
    <a:ln w="3175">
      <a:solidFill>
        <a:srgbClr val="000000"/>
      </a:solidFill>
      <a:prstDash val="solid"/>
    </a:ln>
  </c:spPr>
  <c:txPr>
    <a:bodyPr/>
    <a:lstStyle/>
    <a:p>
      <a:pPr>
        <a:defRPr sz="2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Cumulative Sun Hours / h</a:t>
            </a:r>
          </a:p>
        </c:rich>
      </c:tx>
      <c:layout>
        <c:manualLayout>
          <c:xMode val="edge"/>
          <c:yMode val="edge"/>
          <c:x val="0.42778132143439052"/>
          <c:y val="2.718676122931442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502160052459488E-2"/>
          <c:y val="8.7470550142386666E-2"/>
          <c:w val="0.9403813516721462"/>
          <c:h val="0.8617031223486471"/>
        </c:manualLayout>
      </c:layout>
      <c:lineChart>
        <c:grouping val="standard"/>
        <c:varyColors val="0"/>
        <c:ser>
          <c:idx val="1"/>
          <c:order val="0"/>
          <c:tx>
            <c:v>Cumulative Sun Hours</c:v>
          </c:tx>
          <c:spPr>
            <a:ln w="38100">
              <a:solidFill>
                <a:srgbClr val="FFFF00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99CC00"/>
              </a:solidFill>
              <a:ln>
                <a:solidFill>
                  <a:srgbClr val="99CC00"/>
                </a:solidFill>
                <a:prstDash val="solid"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11</c:v>
              </c:pt>
              <c:pt idx="1">
                <c:v>24</c:v>
              </c:pt>
              <c:pt idx="2">
                <c:v>37</c:v>
              </c:pt>
              <c:pt idx="3">
                <c:v>50.5</c:v>
              </c:pt>
              <c:pt idx="4">
                <c:v>54.5</c:v>
              </c:pt>
              <c:pt idx="5">
                <c:v>64.5</c:v>
              </c:pt>
              <c:pt idx="6">
                <c:v>66</c:v>
              </c:pt>
              <c:pt idx="7">
                <c:v>70</c:v>
              </c:pt>
              <c:pt idx="8">
                <c:v>82.5</c:v>
              </c:pt>
              <c:pt idx="9">
                <c:v>95</c:v>
              </c:pt>
              <c:pt idx="10">
                <c:v>97</c:v>
              </c:pt>
              <c:pt idx="11">
                <c:v>104</c:v>
              </c:pt>
              <c:pt idx="12">
                <c:v>112</c:v>
              </c:pt>
              <c:pt idx="13">
                <c:v>118.5</c:v>
              </c:pt>
              <c:pt idx="14">
                <c:v>122.5</c:v>
              </c:pt>
              <c:pt idx="15">
                <c:v>124</c:v>
              </c:pt>
              <c:pt idx="16">
                <c:v>126</c:v>
              </c:pt>
              <c:pt idx="17">
                <c:v>126.2</c:v>
              </c:pt>
              <c:pt idx="18">
                <c:v>135.19999999999999</c:v>
              </c:pt>
              <c:pt idx="19">
                <c:v>142.19999999999999</c:v>
              </c:pt>
              <c:pt idx="20">
                <c:v>155.69999999999999</c:v>
              </c:pt>
              <c:pt idx="21">
                <c:v>163.69999999999999</c:v>
              </c:pt>
              <c:pt idx="22">
                <c:v>168.2</c:v>
              </c:pt>
              <c:pt idx="23">
                <c:v>181.2</c:v>
              </c:pt>
              <c:pt idx="24">
                <c:v>194.2</c:v>
              </c:pt>
              <c:pt idx="25">
                <c:v>196.2</c:v>
              </c:pt>
              <c:pt idx="26">
                <c:v>199.2</c:v>
              </c:pt>
              <c:pt idx="27">
                <c:v>200.7</c:v>
              </c:pt>
              <c:pt idx="28">
                <c:v>205.7</c:v>
              </c:pt>
              <c:pt idx="29">
                <c:v>208.7</c:v>
              </c:pt>
              <c:pt idx="30">
                <c:v>217.7</c:v>
              </c:pt>
            </c:numLit>
          </c:val>
          <c:smooth val="0"/>
        </c:ser>
        <c:ser>
          <c:idx val="2"/>
          <c:order val="1"/>
          <c:tx>
            <c:v>E (Cumulative Sun Hours)</c:v>
          </c:tx>
          <c:spPr>
            <a:ln w="25400">
              <a:solidFill>
                <a:srgbClr val="FFFF99"/>
              </a:solidFill>
              <a:prstDash val="lgDash"/>
            </a:ln>
          </c:spPr>
          <c:marker>
            <c:symbol val="diamond"/>
            <c:size val="2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5.8138374957712307</c:v>
              </c:pt>
              <c:pt idx="1">
                <c:v>11.651353261155151</c:v>
              </c:pt>
              <c:pt idx="2">
                <c:v>17.512340300430189</c:v>
              </c:pt>
              <c:pt idx="3">
                <c:v>23.396582891786586</c:v>
              </c:pt>
              <c:pt idx="4">
                <c:v>29.303856364486489</c:v>
              </c:pt>
              <c:pt idx="5">
                <c:v>35.233926877559739</c:v>
              </c:pt>
              <c:pt idx="6">
                <c:v>41.186551200811323</c:v>
              </c:pt>
              <c:pt idx="7">
                <c:v>47.161476498962109</c:v>
              </c:pt>
              <c:pt idx="8">
                <c:v>53.158440119790427</c:v>
              </c:pt>
              <c:pt idx="9">
                <c:v>59.177169387187995</c:v>
              </c:pt>
              <c:pt idx="10">
                <c:v>65.217381400088883</c:v>
              </c:pt>
              <c:pt idx="11">
                <c:v>71.278782838274736</c:v>
              </c:pt>
              <c:pt idx="12">
                <c:v>77.361069776102383</c:v>
              </c:pt>
              <c:pt idx="13">
                <c:v>83.463927505240989</c:v>
              </c:pt>
              <c:pt idx="14">
                <c:v>89.587030367544457</c:v>
              </c:pt>
              <c:pt idx="15">
                <c:v>95.730041599220272</c:v>
              </c:pt>
              <c:pt idx="16">
                <c:v>101.89261318748756</c:v>
              </c:pt>
              <c:pt idx="17">
                <c:v>108.07438574094417</c:v>
              </c:pt>
              <c:pt idx="18">
                <c:v>114.2749883748848</c:v>
              </c:pt>
              <c:pt idx="19">
                <c:v>120.49403861282784</c:v>
              </c:pt>
              <c:pt idx="20">
                <c:v>126.73114230551799</c:v>
              </c:pt>
              <c:pt idx="21">
                <c:v>132.98589356867333</c:v>
              </c:pt>
              <c:pt idx="22">
                <c:v>139.25787474073866</c:v>
              </c:pt>
              <c:pt idx="23">
                <c:v>145.54665636189128</c:v>
              </c:pt>
              <c:pt idx="24">
                <c:v>151.85179717551944</c:v>
              </c:pt>
              <c:pt idx="25">
                <c:v>158.17284415335732</c:v>
              </c:pt>
              <c:pt idx="26">
                <c:v>164.50933254541309</c:v>
              </c:pt>
              <c:pt idx="27">
                <c:v>170.86078595576652</c:v>
              </c:pt>
              <c:pt idx="28">
                <c:v>177.22671644524164</c:v>
              </c:pt>
              <c:pt idx="29">
                <c:v>183.60662466187452</c:v>
              </c:pt>
              <c:pt idx="30">
                <c:v>189.99999999999997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066112"/>
        <c:axId val="127067648"/>
      </c:lineChart>
      <c:lineChart>
        <c:grouping val="standard"/>
        <c:varyColors val="0"/>
        <c:ser>
          <c:idx val="0"/>
          <c:order val="2"/>
          <c:tx>
            <c:v>Cumulative Anomaly</c:v>
          </c:tx>
          <c:spPr>
            <a:ln w="12700">
              <a:solidFill>
                <a:srgbClr val="99CC00"/>
              </a:solidFill>
              <a:prstDash val="solid"/>
            </a:ln>
          </c:spPr>
          <c:marker>
            <c:symbol val="circle"/>
            <c:size val="2"/>
            <c:spPr>
              <a:solidFill>
                <a:srgbClr val="808000"/>
              </a:solidFill>
              <a:ln>
                <a:solidFill>
                  <a:srgbClr val="808000"/>
                </a:solidFill>
                <a:prstDash val="solid"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1.8920377475292336</c:v>
              </c:pt>
              <c:pt idx="1">
                <c:v>2.0598465656358074</c:v>
              </c:pt>
              <c:pt idx="2">
                <c:v>2.1127958551085886</c:v>
              </c:pt>
              <c:pt idx="3">
                <c:v>2.1584348549346544</c:v>
              </c:pt>
              <c:pt idx="4">
                <c:v>1.8598234758633632</c:v>
              </c:pt>
              <c:pt idx="5">
                <c:v>1.830621952078797</c:v>
              </c:pt>
              <c:pt idx="6">
                <c:v>1.6024648356257585</c:v>
              </c:pt>
              <c:pt idx="7">
                <c:v>1.4842622665034777</c:v>
              </c:pt>
              <c:pt idx="8">
                <c:v>1.5519642753641667</c:v>
              </c:pt>
              <c:pt idx="9">
                <c:v>1.6053488361098891</c:v>
              </c:pt>
              <c:pt idx="10">
                <c:v>1.4873335592076962</c:v>
              </c:pt>
              <c:pt idx="11">
                <c:v>1.4590597069532854</c:v>
              </c:pt>
              <c:pt idx="12">
                <c:v>1.4477566083838971</c:v>
              </c:pt>
              <c:pt idx="13">
                <c:v>1.4197750278712797</c:v>
              </c:pt>
              <c:pt idx="14">
                <c:v>1.3673854295362293</c:v>
              </c:pt>
              <c:pt idx="15">
                <c:v>1.2953091623957884</c:v>
              </c:pt>
              <c:pt idx="16">
                <c:v>1.2365960206374689</c:v>
              </c:pt>
              <c:pt idx="17">
                <c:v>1.1677142473194637</c:v>
              </c:pt>
              <c:pt idx="18">
                <c:v>1.1831110370054876</c:v>
              </c:pt>
              <c:pt idx="19">
                <c:v>1.1801413716152205</c:v>
              </c:pt>
              <c:pt idx="20">
                <c:v>1.2285851541103063</c:v>
              </c:pt>
              <c:pt idx="21">
                <c:v>1.230957627212288</c:v>
              </c:pt>
              <c:pt idx="22">
                <c:v>1.2078311572192517</c:v>
              </c:pt>
              <c:pt idx="23">
                <c:v>1.244961612511793</c:v>
              </c:pt>
              <c:pt idx="24">
                <c:v>1.2788785092581549</c:v>
              </c:pt>
              <c:pt idx="25">
                <c:v>1.240415199272596</c:v>
              </c:pt>
              <c:pt idx="26">
                <c:v>1.2108735529943901</c:v>
              </c:pt>
              <c:pt idx="27">
                <c:v>1.1746405055865681</c:v>
              </c:pt>
              <c:pt idx="28">
                <c:v>1.1606602216971946</c:v>
              </c:pt>
              <c:pt idx="29">
                <c:v>1.1366692263110703</c:v>
              </c:pt>
              <c:pt idx="30">
                <c:v>1.1457894736842107</c:v>
              </c:pt>
            </c:numLit>
          </c:val>
          <c:smooth val="0"/>
        </c:ser>
        <c:ser>
          <c:idx val="3"/>
          <c:order val="3"/>
          <c:tx>
            <c:v>E (Cumulative Anomaly)</c:v>
          </c:tx>
          <c:spPr>
            <a:ln w="12700">
              <a:solidFill>
                <a:srgbClr val="808000"/>
              </a:solidFill>
              <a:prstDash val="lgDash"/>
            </a:ln>
          </c:spPr>
          <c:marker>
            <c:symbol val="none"/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1</c:v>
              </c:pt>
              <c:pt idx="1">
                <c:v>1</c:v>
              </c:pt>
              <c:pt idx="2">
                <c:v>1</c:v>
              </c:pt>
              <c:pt idx="3">
                <c:v>1</c:v>
              </c:pt>
              <c:pt idx="4">
                <c:v>1</c:v>
              </c:pt>
              <c:pt idx="5">
                <c:v>1</c:v>
              </c:pt>
              <c:pt idx="6">
                <c:v>1</c:v>
              </c:pt>
              <c:pt idx="7">
                <c:v>1</c:v>
              </c:pt>
              <c:pt idx="8">
                <c:v>1</c:v>
              </c:pt>
              <c:pt idx="9">
                <c:v>1</c:v>
              </c:pt>
              <c:pt idx="10">
                <c:v>1</c:v>
              </c:pt>
              <c:pt idx="11">
                <c:v>1</c:v>
              </c:pt>
              <c:pt idx="12">
                <c:v>1</c:v>
              </c:pt>
              <c:pt idx="13">
                <c:v>1</c:v>
              </c:pt>
              <c:pt idx="14">
                <c:v>1</c:v>
              </c:pt>
              <c:pt idx="15">
                <c:v>1</c:v>
              </c:pt>
              <c:pt idx="16">
                <c:v>1</c:v>
              </c:pt>
              <c:pt idx="17">
                <c:v>1</c:v>
              </c:pt>
              <c:pt idx="18">
                <c:v>1</c:v>
              </c:pt>
              <c:pt idx="19">
                <c:v>1</c:v>
              </c:pt>
              <c:pt idx="20">
                <c:v>1</c:v>
              </c:pt>
              <c:pt idx="21">
                <c:v>1</c:v>
              </c:pt>
              <c:pt idx="22">
                <c:v>1</c:v>
              </c:pt>
              <c:pt idx="23">
                <c:v>1</c:v>
              </c:pt>
              <c:pt idx="24">
                <c:v>1</c:v>
              </c:pt>
              <c:pt idx="25">
                <c:v>1</c:v>
              </c:pt>
              <c:pt idx="26">
                <c:v>1</c:v>
              </c:pt>
              <c:pt idx="27">
                <c:v>1</c:v>
              </c:pt>
              <c:pt idx="28">
                <c:v>1</c:v>
              </c:pt>
              <c:pt idx="29">
                <c:v>1</c:v>
              </c:pt>
              <c:pt idx="30">
                <c:v>1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069184"/>
        <c:axId val="127070976"/>
      </c:lineChart>
      <c:catAx>
        <c:axId val="1270661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70676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7067648"/>
        <c:scaling>
          <c:orientation val="minMax"/>
          <c:max val="200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7066112"/>
        <c:crosses val="autoZero"/>
        <c:crossBetween val="between"/>
        <c:majorUnit val="50"/>
      </c:valAx>
      <c:catAx>
        <c:axId val="1270691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7070976"/>
        <c:crosses val="autoZero"/>
        <c:auto val="1"/>
        <c:lblAlgn val="ctr"/>
        <c:lblOffset val="100"/>
        <c:noMultiLvlLbl val="0"/>
      </c:catAx>
      <c:valAx>
        <c:axId val="127070976"/>
        <c:scaling>
          <c:orientation val="minMax"/>
          <c:max val="2"/>
          <c:min val="0"/>
        </c:scaling>
        <c:delete val="0"/>
        <c:axPos val="r"/>
        <c:numFmt formatCode="0%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7069184"/>
        <c:crosses val="max"/>
        <c:crossBetween val="between"/>
        <c:majorUnit val="0.5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 horizontalDpi="-3" verticalDpi="0"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 sz="14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Mean' &amp; Mean Temperature / </a:t>
            </a:r>
            <a:r>
              <a:rPr lang="en-GB" sz="1400" b="1" i="0" u="none" strike="noStrike" baseline="30000">
                <a:solidFill>
                  <a:srgbClr val="000000"/>
                </a:solidFill>
                <a:latin typeface="Arial"/>
                <a:cs typeface="Arial"/>
              </a:rPr>
              <a:t>o</a:t>
            </a:r>
            <a:r>
              <a:rPr lang="en-GB" sz="14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C</a:t>
            </a:r>
          </a:p>
        </c:rich>
      </c:tx>
      <c:layout>
        <c:manualLayout>
          <c:xMode val="edge"/>
          <c:yMode val="edge"/>
          <c:x val="0.40872784878534313"/>
          <c:y val="2.004716981132075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970505042623335E-2"/>
          <c:y val="8.8443396226415089E-2"/>
          <c:w val="0.97172739672788444"/>
          <c:h val="0.86084905660377353"/>
        </c:manualLayout>
      </c:layout>
      <c:lineChart>
        <c:grouping val="standard"/>
        <c:varyColors val="0"/>
        <c:ser>
          <c:idx val="2"/>
          <c:order val="0"/>
          <c:tx>
            <c:v>Mean Temperature</c:v>
          </c:tx>
          <c:spPr>
            <a:ln w="25400">
              <a:solidFill>
                <a:srgbClr val="666699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333399"/>
              </a:solidFill>
              <a:ln>
                <a:solidFill>
                  <a:srgbClr val="333399"/>
                </a:solidFill>
                <a:prstDash val="solid"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14.1</c:v>
              </c:pt>
              <c:pt idx="1">
                <c:v>11.2</c:v>
              </c:pt>
              <c:pt idx="2">
                <c:v>9.65</c:v>
              </c:pt>
              <c:pt idx="3">
                <c:v>9.6</c:v>
              </c:pt>
              <c:pt idx="4">
                <c:v>14.100000000000001</c:v>
              </c:pt>
              <c:pt idx="5">
                <c:v>16.8</c:v>
              </c:pt>
              <c:pt idx="6">
                <c:v>18.8</c:v>
              </c:pt>
              <c:pt idx="7">
                <c:v>17.100000000000001</c:v>
              </c:pt>
              <c:pt idx="8">
                <c:v>15.899999999999999</c:v>
              </c:pt>
              <c:pt idx="9">
                <c:v>15.049999999999999</c:v>
              </c:pt>
              <c:pt idx="10">
                <c:v>13.7</c:v>
              </c:pt>
              <c:pt idx="11">
                <c:v>13.3</c:v>
              </c:pt>
              <c:pt idx="12">
                <c:v>13.5</c:v>
              </c:pt>
              <c:pt idx="13">
                <c:v>12.05</c:v>
              </c:pt>
              <c:pt idx="14">
                <c:v>11.75</c:v>
              </c:pt>
              <c:pt idx="15">
                <c:v>15.7</c:v>
              </c:pt>
              <c:pt idx="16">
                <c:v>14.8</c:v>
              </c:pt>
              <c:pt idx="17">
                <c:v>15.2</c:v>
              </c:pt>
              <c:pt idx="18">
                <c:v>13.05</c:v>
              </c:pt>
              <c:pt idx="19">
                <c:v>14.600000000000001</c:v>
              </c:pt>
              <c:pt idx="20">
                <c:v>14.4</c:v>
              </c:pt>
              <c:pt idx="21">
                <c:v>14.850000000000001</c:v>
              </c:pt>
              <c:pt idx="22">
                <c:v>14.6</c:v>
              </c:pt>
              <c:pt idx="23">
                <c:v>13.6</c:v>
              </c:pt>
              <c:pt idx="24">
                <c:v>13.350000000000001</c:v>
              </c:pt>
              <c:pt idx="25">
                <c:v>13</c:v>
              </c:pt>
              <c:pt idx="26">
                <c:v>12.899999999999999</c:v>
              </c:pt>
              <c:pt idx="27">
                <c:v>12.399999999999999</c:v>
              </c:pt>
              <c:pt idx="28">
                <c:v>16.200000000000003</c:v>
              </c:pt>
              <c:pt idx="29">
                <c:v>15.85</c:v>
              </c:pt>
              <c:pt idx="30">
                <c:v>12.75</c:v>
              </c:pt>
            </c:numLit>
          </c:val>
          <c:smooth val="0"/>
        </c:ser>
        <c:ser>
          <c:idx val="0"/>
          <c:order val="1"/>
          <c:tx>
            <c:v>Mean' Temperature</c:v>
          </c:tx>
          <c:spPr>
            <a:ln w="38100">
              <a:solidFill>
                <a:srgbClr val="800080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666699"/>
              </a:solidFill>
              <a:ln>
                <a:solidFill>
                  <a:srgbClr val="666699"/>
                </a:solidFill>
                <a:prstDash val="solid"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13.9</c:v>
              </c:pt>
              <c:pt idx="1">
                <c:v>11.6</c:v>
              </c:pt>
              <c:pt idx="2">
                <c:v>9.6999999999999993</c:v>
              </c:pt>
              <c:pt idx="3">
                <c:v>10.4</c:v>
              </c:pt>
              <c:pt idx="4">
                <c:v>13.2</c:v>
              </c:pt>
              <c:pt idx="5">
                <c:v>17.3</c:v>
              </c:pt>
              <c:pt idx="6">
                <c:v>18.399999999999999</c:v>
              </c:pt>
              <c:pt idx="7">
                <c:v>17.100000000000001</c:v>
              </c:pt>
              <c:pt idx="8">
                <c:v>16.3</c:v>
              </c:pt>
              <c:pt idx="9">
                <c:v>16.2</c:v>
              </c:pt>
              <c:pt idx="10">
                <c:v>14.3</c:v>
              </c:pt>
              <c:pt idx="11">
                <c:v>13.8</c:v>
              </c:pt>
              <c:pt idx="12">
                <c:v>14.3</c:v>
              </c:pt>
              <c:pt idx="13">
                <c:v>12.5</c:v>
              </c:pt>
              <c:pt idx="14">
                <c:v>12.4</c:v>
              </c:pt>
              <c:pt idx="15">
                <c:v>15</c:v>
              </c:pt>
              <c:pt idx="16">
                <c:v>14.6</c:v>
              </c:pt>
              <c:pt idx="17">
                <c:v>14.8</c:v>
              </c:pt>
              <c:pt idx="18">
                <c:v>14</c:v>
              </c:pt>
              <c:pt idx="19">
                <c:v>15.1</c:v>
              </c:pt>
              <c:pt idx="20">
                <c:v>16.100000000000001</c:v>
              </c:pt>
              <c:pt idx="21">
                <c:v>14.9</c:v>
              </c:pt>
              <c:pt idx="22">
                <c:v>13.9</c:v>
              </c:pt>
              <c:pt idx="23">
                <c:v>13.8</c:v>
              </c:pt>
              <c:pt idx="24">
                <c:v>15.3</c:v>
              </c:pt>
              <c:pt idx="25">
                <c:v>13.2</c:v>
              </c:pt>
              <c:pt idx="26">
                <c:v>12.8</c:v>
              </c:pt>
              <c:pt idx="27">
                <c:v>12.9</c:v>
              </c:pt>
              <c:pt idx="28">
                <c:v>16.100000000000001</c:v>
              </c:pt>
              <c:pt idx="29">
                <c:v>14.8</c:v>
              </c:pt>
              <c:pt idx="30">
                <c:v>12.7</c:v>
              </c:pt>
            </c:numLit>
          </c:val>
          <c:smooth val="0"/>
        </c:ser>
        <c:ser>
          <c:idx val="1"/>
          <c:order val="2"/>
          <c:tx>
            <c:v>E (Mean)</c:v>
          </c:tx>
          <c:spPr>
            <a:ln w="25400">
              <a:solidFill>
                <a:srgbClr val="CC99FF"/>
              </a:solidFill>
              <a:prstDash val="lgDash"/>
            </a:ln>
          </c:spPr>
          <c:marker>
            <c:symbol val="none"/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10.529</c:v>
              </c:pt>
              <c:pt idx="1">
                <c:v>10.657999999999999</c:v>
              </c:pt>
              <c:pt idx="2">
                <c:v>10.786999999999999</c:v>
              </c:pt>
              <c:pt idx="3">
                <c:v>10.916</c:v>
              </c:pt>
              <c:pt idx="4">
                <c:v>11.045</c:v>
              </c:pt>
              <c:pt idx="5">
                <c:v>11.173999999999999</c:v>
              </c:pt>
              <c:pt idx="6">
                <c:v>11.303000000000001</c:v>
              </c:pt>
              <c:pt idx="7">
                <c:v>11.432</c:v>
              </c:pt>
              <c:pt idx="8">
                <c:v>11.561</c:v>
              </c:pt>
              <c:pt idx="9">
                <c:v>11.69</c:v>
              </c:pt>
              <c:pt idx="10">
                <c:v>11.819000000000001</c:v>
              </c:pt>
              <c:pt idx="11">
                <c:v>11.948000000000002</c:v>
              </c:pt>
              <c:pt idx="12">
                <c:v>12.077000000000002</c:v>
              </c:pt>
              <c:pt idx="13">
                <c:v>12.206000000000003</c:v>
              </c:pt>
              <c:pt idx="14">
                <c:v>12.335000000000004</c:v>
              </c:pt>
              <c:pt idx="15">
                <c:v>12.464000000000006</c:v>
              </c:pt>
              <c:pt idx="16">
                <c:v>12.593000000000005</c:v>
              </c:pt>
              <c:pt idx="17">
                <c:v>12.722000000000005</c:v>
              </c:pt>
              <c:pt idx="18">
                <c:v>12.851000000000006</c:v>
              </c:pt>
              <c:pt idx="19">
                <c:v>12.980000000000008</c:v>
              </c:pt>
              <c:pt idx="20">
                <c:v>13.109000000000007</c:v>
              </c:pt>
              <c:pt idx="21">
                <c:v>13.238000000000007</c:v>
              </c:pt>
              <c:pt idx="22">
                <c:v>13.367000000000008</c:v>
              </c:pt>
              <c:pt idx="23">
                <c:v>13.496000000000009</c:v>
              </c:pt>
              <c:pt idx="24">
                <c:v>13.625000000000009</c:v>
              </c:pt>
              <c:pt idx="25">
                <c:v>13.754000000000008</c:v>
              </c:pt>
              <c:pt idx="26">
                <c:v>13.88300000000001</c:v>
              </c:pt>
              <c:pt idx="27">
                <c:v>14.012000000000011</c:v>
              </c:pt>
              <c:pt idx="28">
                <c:v>14.141000000000011</c:v>
              </c:pt>
              <c:pt idx="29">
                <c:v>14.27000000000001</c:v>
              </c:pt>
              <c:pt idx="30">
                <c:v>14.27</c:v>
              </c:pt>
            </c:numLit>
          </c:val>
          <c:smooth val="0"/>
        </c:ser>
        <c:ser>
          <c:idx val="3"/>
          <c:order val="3"/>
          <c:tx>
            <c:v>E (Max)</c:v>
          </c:tx>
          <c:spPr>
            <a:ln w="12700">
              <a:solidFill>
                <a:srgbClr val="FFCC99"/>
              </a:solidFill>
              <a:prstDash val="lgDash"/>
            </a:ln>
          </c:spPr>
          <c:marker>
            <c:symbol val="none"/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14.823333333333332</c:v>
              </c:pt>
              <c:pt idx="1">
                <c:v>14.946666666666665</c:v>
              </c:pt>
              <c:pt idx="2">
                <c:v>15.069999999999999</c:v>
              </c:pt>
              <c:pt idx="3">
                <c:v>15.193333333333332</c:v>
              </c:pt>
              <c:pt idx="4">
                <c:v>15.316666666666665</c:v>
              </c:pt>
              <c:pt idx="5">
                <c:v>15.439999999999998</c:v>
              </c:pt>
              <c:pt idx="6">
                <c:v>15.563333333333331</c:v>
              </c:pt>
              <c:pt idx="7">
                <c:v>15.686666666666664</c:v>
              </c:pt>
              <c:pt idx="8">
                <c:v>15.809999999999997</c:v>
              </c:pt>
              <c:pt idx="9">
                <c:v>15.93333333333333</c:v>
              </c:pt>
              <c:pt idx="10">
                <c:v>16.056666666666665</c:v>
              </c:pt>
              <c:pt idx="11">
                <c:v>16.18</c:v>
              </c:pt>
              <c:pt idx="12">
                <c:v>16.303333333333335</c:v>
              </c:pt>
              <c:pt idx="13">
                <c:v>16.426666666666669</c:v>
              </c:pt>
              <c:pt idx="14">
                <c:v>16.550000000000004</c:v>
              </c:pt>
              <c:pt idx="15">
                <c:v>16.673333333333339</c:v>
              </c:pt>
              <c:pt idx="16">
                <c:v>16.796666666666674</c:v>
              </c:pt>
              <c:pt idx="17">
                <c:v>16.920000000000009</c:v>
              </c:pt>
              <c:pt idx="18">
                <c:v>17.043333333333344</c:v>
              </c:pt>
              <c:pt idx="19">
                <c:v>17.166666666666679</c:v>
              </c:pt>
              <c:pt idx="20">
                <c:v>17.290000000000013</c:v>
              </c:pt>
              <c:pt idx="21">
                <c:v>17.413333333333348</c:v>
              </c:pt>
              <c:pt idx="22">
                <c:v>17.536666666666683</c:v>
              </c:pt>
              <c:pt idx="23">
                <c:v>17.660000000000018</c:v>
              </c:pt>
              <c:pt idx="24">
                <c:v>17.783333333333353</c:v>
              </c:pt>
              <c:pt idx="25">
                <c:v>17.906666666666688</c:v>
              </c:pt>
              <c:pt idx="26">
                <c:v>18.030000000000022</c:v>
              </c:pt>
              <c:pt idx="27">
                <c:v>18.153333333333357</c:v>
              </c:pt>
              <c:pt idx="28">
                <c:v>18.276666666666692</c:v>
              </c:pt>
              <c:pt idx="29">
                <c:v>18.400000000000027</c:v>
              </c:pt>
              <c:pt idx="30">
                <c:v>18.399999999999999</c:v>
              </c:pt>
            </c:numLit>
          </c:val>
          <c:smooth val="0"/>
        </c:ser>
        <c:ser>
          <c:idx val="4"/>
          <c:order val="4"/>
          <c:tx>
            <c:v>E (Min)</c:v>
          </c:tx>
          <c:spPr>
            <a:ln w="12700">
              <a:solidFill>
                <a:srgbClr val="00CCFF"/>
              </a:solidFill>
              <a:prstDash val="lgDash"/>
            </a:ln>
          </c:spPr>
          <c:marker>
            <c:symbol val="none"/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6.2346666666666675</c:v>
              </c:pt>
              <c:pt idx="1">
                <c:v>6.3693333333333344</c:v>
              </c:pt>
              <c:pt idx="2">
                <c:v>6.5040000000000013</c:v>
              </c:pt>
              <c:pt idx="3">
                <c:v>6.6386666666666683</c:v>
              </c:pt>
              <c:pt idx="4">
                <c:v>6.7733333333333352</c:v>
              </c:pt>
              <c:pt idx="5">
                <c:v>6.9080000000000021</c:v>
              </c:pt>
              <c:pt idx="6">
                <c:v>7.0426666666666691</c:v>
              </c:pt>
              <c:pt idx="7">
                <c:v>7.177333333333336</c:v>
              </c:pt>
              <c:pt idx="8">
                <c:v>7.3120000000000029</c:v>
              </c:pt>
              <c:pt idx="9">
                <c:v>7.4466666666666699</c:v>
              </c:pt>
              <c:pt idx="10">
                <c:v>7.5813333333333368</c:v>
              </c:pt>
              <c:pt idx="11">
                <c:v>7.7160000000000037</c:v>
              </c:pt>
              <c:pt idx="12">
                <c:v>7.8506666666666707</c:v>
              </c:pt>
              <c:pt idx="13">
                <c:v>7.9853333333333376</c:v>
              </c:pt>
              <c:pt idx="14">
                <c:v>8.1200000000000045</c:v>
              </c:pt>
              <c:pt idx="15">
                <c:v>8.2546666666666706</c:v>
              </c:pt>
              <c:pt idx="16">
                <c:v>8.3893333333333366</c:v>
              </c:pt>
              <c:pt idx="17">
                <c:v>8.5240000000000027</c:v>
              </c:pt>
              <c:pt idx="18">
                <c:v>8.6586666666666687</c:v>
              </c:pt>
              <c:pt idx="19">
                <c:v>8.7933333333333348</c:v>
              </c:pt>
              <c:pt idx="20">
                <c:v>8.9280000000000008</c:v>
              </c:pt>
              <c:pt idx="21">
                <c:v>9.0626666666666669</c:v>
              </c:pt>
              <c:pt idx="22">
                <c:v>9.1973333333333329</c:v>
              </c:pt>
              <c:pt idx="23">
                <c:v>9.331999999999999</c:v>
              </c:pt>
              <c:pt idx="24">
                <c:v>9.466666666666665</c:v>
              </c:pt>
              <c:pt idx="25">
                <c:v>9.6013333333333311</c:v>
              </c:pt>
              <c:pt idx="26">
                <c:v>9.7359999999999971</c:v>
              </c:pt>
              <c:pt idx="27">
                <c:v>9.8706666666666631</c:v>
              </c:pt>
              <c:pt idx="28">
                <c:v>10.005333333333329</c:v>
              </c:pt>
              <c:pt idx="29">
                <c:v>10.139999999999995</c:v>
              </c:pt>
              <c:pt idx="30">
                <c:v>10.139999999999999</c:v>
              </c:pt>
            </c:numLit>
          </c:val>
          <c:smooth val="0"/>
        </c:ser>
        <c:ser>
          <c:idx val="5"/>
          <c:order val="5"/>
          <c:tx>
            <c:v>Cold Threshold</c:v>
          </c:tx>
          <c:spPr>
            <a:ln w="25400">
              <a:solidFill>
                <a:srgbClr val="0000FF"/>
              </a:solidFill>
              <a:prstDash val="sysDash"/>
            </a:ln>
          </c:spPr>
          <c:marker>
            <c:symbol val="none"/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7.6661111111111122</c:v>
              </c:pt>
              <c:pt idx="1">
                <c:v>7.7988888888888894</c:v>
              </c:pt>
              <c:pt idx="2">
                <c:v>7.9316666666666666</c:v>
              </c:pt>
              <c:pt idx="3">
                <c:v>8.0644444444444456</c:v>
              </c:pt>
              <c:pt idx="4">
                <c:v>8.1972222222222229</c:v>
              </c:pt>
              <c:pt idx="5">
                <c:v>8.33</c:v>
              </c:pt>
              <c:pt idx="6">
                <c:v>8.4627777777777808</c:v>
              </c:pt>
              <c:pt idx="7">
                <c:v>8.5955555555555581</c:v>
              </c:pt>
              <c:pt idx="8">
                <c:v>8.7283333333333353</c:v>
              </c:pt>
              <c:pt idx="9">
                <c:v>8.8611111111111125</c:v>
              </c:pt>
              <c:pt idx="10">
                <c:v>8.9938888888888915</c:v>
              </c:pt>
              <c:pt idx="11">
                <c:v>9.1266666666666705</c:v>
              </c:pt>
              <c:pt idx="12">
                <c:v>9.2594444444444477</c:v>
              </c:pt>
              <c:pt idx="13">
                <c:v>9.3922222222222249</c:v>
              </c:pt>
              <c:pt idx="14">
                <c:v>9.5250000000000039</c:v>
              </c:pt>
              <c:pt idx="15">
                <c:v>9.6577777777777829</c:v>
              </c:pt>
              <c:pt idx="16">
                <c:v>9.7905555555555601</c:v>
              </c:pt>
              <c:pt idx="17">
                <c:v>9.9233333333333356</c:v>
              </c:pt>
              <c:pt idx="18">
                <c:v>10.056111111111115</c:v>
              </c:pt>
              <c:pt idx="19">
                <c:v>10.188888888888894</c:v>
              </c:pt>
              <c:pt idx="20">
                <c:v>10.321666666666669</c:v>
              </c:pt>
              <c:pt idx="21">
                <c:v>10.454444444444446</c:v>
              </c:pt>
              <c:pt idx="22">
                <c:v>10.587222222222225</c:v>
              </c:pt>
              <c:pt idx="23">
                <c:v>10.720000000000002</c:v>
              </c:pt>
              <c:pt idx="24">
                <c:v>10.85277777777778</c:v>
              </c:pt>
              <c:pt idx="25">
                <c:v>10.985555555555557</c:v>
              </c:pt>
              <c:pt idx="26">
                <c:v>11.118333333333334</c:v>
              </c:pt>
              <c:pt idx="27">
                <c:v>11.251111111111113</c:v>
              </c:pt>
              <c:pt idx="28">
                <c:v>11.38388888888889</c:v>
              </c:pt>
              <c:pt idx="29">
                <c:v>11.516666666666666</c:v>
              </c:pt>
              <c:pt idx="30">
                <c:v>11.516666666666666</c:v>
              </c:pt>
            </c:numLit>
          </c:val>
          <c:smooth val="0"/>
        </c:ser>
        <c:ser>
          <c:idx val="6"/>
          <c:order val="6"/>
          <c:tx>
            <c:v>Mild Threshold</c:v>
          </c:tx>
          <c:spPr>
            <a:ln w="25400">
              <a:solidFill>
                <a:srgbClr val="FF6600"/>
              </a:solidFill>
              <a:prstDash val="sysDash"/>
            </a:ln>
          </c:spPr>
          <c:marker>
            <c:symbol val="none"/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13.391888888888888</c:v>
              </c:pt>
              <c:pt idx="1">
                <c:v>13.51711111111111</c:v>
              </c:pt>
              <c:pt idx="2">
                <c:v>13.642333333333331</c:v>
              </c:pt>
              <c:pt idx="3">
                <c:v>13.767555555555555</c:v>
              </c:pt>
              <c:pt idx="4">
                <c:v>13.892777777777777</c:v>
              </c:pt>
              <c:pt idx="5">
                <c:v>14.017999999999999</c:v>
              </c:pt>
              <c:pt idx="6">
                <c:v>14.143222222222221</c:v>
              </c:pt>
              <c:pt idx="7">
                <c:v>14.268444444444443</c:v>
              </c:pt>
              <c:pt idx="8">
                <c:v>14.393666666666665</c:v>
              </c:pt>
              <c:pt idx="9">
                <c:v>14.518888888888887</c:v>
              </c:pt>
              <c:pt idx="10">
                <c:v>14.64411111111111</c:v>
              </c:pt>
              <c:pt idx="11">
                <c:v>14.769333333333334</c:v>
              </c:pt>
              <c:pt idx="12">
                <c:v>14.894555555555556</c:v>
              </c:pt>
              <c:pt idx="13">
                <c:v>15.019777777777781</c:v>
              </c:pt>
              <c:pt idx="14">
                <c:v>15.145000000000005</c:v>
              </c:pt>
              <c:pt idx="15">
                <c:v>15.270222222222229</c:v>
              </c:pt>
              <c:pt idx="16">
                <c:v>15.39544444444445</c:v>
              </c:pt>
              <c:pt idx="17">
                <c:v>15.520666666666674</c:v>
              </c:pt>
              <c:pt idx="18">
                <c:v>15.645888888888898</c:v>
              </c:pt>
              <c:pt idx="19">
                <c:v>15.771111111111122</c:v>
              </c:pt>
              <c:pt idx="20">
                <c:v>15.896333333333345</c:v>
              </c:pt>
              <c:pt idx="21">
                <c:v>16.021555555555565</c:v>
              </c:pt>
              <c:pt idx="22">
                <c:v>16.146777777777793</c:v>
              </c:pt>
              <c:pt idx="23">
                <c:v>16.272000000000016</c:v>
              </c:pt>
              <c:pt idx="24">
                <c:v>16.39722222222224</c:v>
              </c:pt>
              <c:pt idx="25">
                <c:v>16.52244444444446</c:v>
              </c:pt>
              <c:pt idx="26">
                <c:v>16.647666666666684</c:v>
              </c:pt>
              <c:pt idx="27">
                <c:v>16.772888888888907</c:v>
              </c:pt>
              <c:pt idx="28">
                <c:v>16.898111111111131</c:v>
              </c:pt>
              <c:pt idx="29">
                <c:v>17.023333333333355</c:v>
              </c:pt>
              <c:pt idx="30">
                <c:v>17.023333333333333</c:v>
              </c:pt>
            </c:numLit>
          </c:val>
          <c:smooth val="0"/>
        </c:ser>
        <c:ser>
          <c:idx val="7"/>
          <c:order val="7"/>
          <c:tx>
            <c:v>Freezing Point</c:v>
          </c:tx>
          <c:spPr>
            <a:ln w="38100">
              <a:solidFill>
                <a:srgbClr val="0000FF"/>
              </a:solidFill>
              <a:prstDash val="sysDash"/>
            </a:ln>
          </c:spPr>
          <c:marker>
            <c:symbol val="none"/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</c:numLit>
          </c:val>
          <c:smooth val="0"/>
        </c:ser>
        <c:ser>
          <c:idx val="8"/>
          <c:order val="8"/>
          <c:tx>
            <c:v>Cum. Mean</c:v>
          </c:tx>
          <c:spPr>
            <a:ln w="12700">
              <a:solidFill>
                <a:srgbClr val="993366"/>
              </a:solidFill>
              <a:prstDash val="solid"/>
            </a:ln>
          </c:spPr>
          <c:marker>
            <c:symbol val="circle"/>
            <c:size val="2"/>
            <c:spPr>
              <a:solidFill>
                <a:srgbClr val="800080"/>
              </a:solidFill>
              <a:ln>
                <a:solidFill>
                  <a:srgbClr val="800080"/>
                </a:solidFill>
                <a:prstDash val="solid"/>
              </a:ln>
            </c:spPr>
          </c:marker>
          <c:val>
            <c:numLit>
              <c:formatCode>General</c:formatCode>
              <c:ptCount val="31"/>
              <c:pt idx="0">
                <c:v>13.9</c:v>
              </c:pt>
              <c:pt idx="1">
                <c:v>12.75</c:v>
              </c:pt>
              <c:pt idx="2">
                <c:v>11.733333333333334</c:v>
              </c:pt>
              <c:pt idx="3">
                <c:v>11.4</c:v>
              </c:pt>
              <c:pt idx="4">
                <c:v>11.76</c:v>
              </c:pt>
              <c:pt idx="5">
                <c:v>12.683333333333332</c:v>
              </c:pt>
              <c:pt idx="6">
                <c:v>13.5</c:v>
              </c:pt>
              <c:pt idx="7">
                <c:v>13.95</c:v>
              </c:pt>
              <c:pt idx="8">
                <c:v>14.21111111111111</c:v>
              </c:pt>
              <c:pt idx="9">
                <c:v>14.41</c:v>
              </c:pt>
              <c:pt idx="10">
                <c:v>14.4</c:v>
              </c:pt>
              <c:pt idx="11">
                <c:v>14.350000000000001</c:v>
              </c:pt>
              <c:pt idx="12">
                <c:v>14.346153846153848</c:v>
              </c:pt>
              <c:pt idx="13">
                <c:v>14.214285714285717</c:v>
              </c:pt>
              <c:pt idx="14">
                <c:v>14.093333333333335</c:v>
              </c:pt>
              <c:pt idx="15">
                <c:v>14.150000000000002</c:v>
              </c:pt>
              <c:pt idx="16">
                <c:v>14.176470588235295</c:v>
              </c:pt>
              <c:pt idx="17">
                <c:v>14.211111111111114</c:v>
              </c:pt>
              <c:pt idx="18">
                <c:v>14.200000000000003</c:v>
              </c:pt>
              <c:pt idx="19">
                <c:v>14.245000000000005</c:v>
              </c:pt>
              <c:pt idx="20">
                <c:v>14.333333333333339</c:v>
              </c:pt>
              <c:pt idx="21">
                <c:v>14.359090909090913</c:v>
              </c:pt>
              <c:pt idx="22">
                <c:v>14.339130434782613</c:v>
              </c:pt>
              <c:pt idx="23">
                <c:v>14.31666666666667</c:v>
              </c:pt>
              <c:pt idx="24">
                <c:v>14.356000000000003</c:v>
              </c:pt>
              <c:pt idx="25">
                <c:v>14.311538461538465</c:v>
              </c:pt>
              <c:pt idx="26">
                <c:v>14.255555555555558</c:v>
              </c:pt>
              <c:pt idx="27">
                <c:v>14.207142857142859</c:v>
              </c:pt>
              <c:pt idx="28">
                <c:v>14.272413793103452</c:v>
              </c:pt>
              <c:pt idx="29">
                <c:v>14.290000000000003</c:v>
              </c:pt>
              <c:pt idx="30">
                <c:v>14.238709677419358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187200"/>
        <c:axId val="127193472"/>
      </c:lineChart>
      <c:catAx>
        <c:axId val="1271872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7193472"/>
        <c:crossesAt val="-5"/>
        <c:auto val="1"/>
        <c:lblAlgn val="ctr"/>
        <c:lblOffset val="100"/>
        <c:tickLblSkip val="1"/>
        <c:tickMarkSkip val="1"/>
        <c:noMultiLvlLbl val="0"/>
      </c:catAx>
      <c:valAx>
        <c:axId val="127193472"/>
        <c:scaling>
          <c:orientation val="minMax"/>
          <c:max val="20"/>
          <c:min val="6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7187200"/>
        <c:crosses val="autoZero"/>
        <c:crossBetween val="between"/>
        <c:majorUnit val="2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Pressure / Temperature</a:t>
            </a:r>
          </a:p>
        </c:rich>
      </c:tx>
      <c:layout>
        <c:manualLayout>
          <c:xMode val="edge"/>
          <c:yMode val="edge"/>
          <c:x val="0.41566820276497696"/>
          <c:y val="5.251141552511415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0829493087557605E-2"/>
          <c:y val="0.1278541663415167"/>
          <c:w val="0.9244239631336405"/>
          <c:h val="0.76027566770937616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993366"/>
              </a:solidFill>
              <a:ln>
                <a:solidFill>
                  <a:srgbClr val="993366"/>
                </a:solidFill>
                <a:prstDash val="solid"/>
              </a:ln>
            </c:spPr>
          </c:marker>
          <c:trendline>
            <c:spPr>
              <a:ln w="12700">
                <a:solidFill>
                  <a:srgbClr val="000080"/>
                </a:solidFill>
                <a:prstDash val="solid"/>
              </a:ln>
            </c:spPr>
            <c:trendlineType val="linear"/>
            <c:forward val="0.5"/>
            <c:backward val="3"/>
            <c:dispRSqr val="1"/>
            <c:dispEq val="1"/>
            <c:trendlineLbl>
              <c:layout>
                <c:manualLayout>
                  <c:xMode val="edge"/>
                  <c:yMode val="edge"/>
                  <c:x val="4.608294930875576E-3"/>
                  <c:y val="1.1415550566206849E-2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175" b="0" i="0" u="none" strike="noStrike" baseline="0">
                      <a:solidFill>
                        <a:srgbClr val="00000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en-US"/>
                </a:p>
              </c:txPr>
            </c:trendlineLbl>
          </c:trendline>
          <c:xVal>
            <c:numLit>
              <c:formatCode>General</c:formatCode>
              <c:ptCount val="31"/>
              <c:pt idx="0">
                <c:v>13.9</c:v>
              </c:pt>
              <c:pt idx="1">
                <c:v>11.6</c:v>
              </c:pt>
              <c:pt idx="2">
                <c:v>9.6999999999999993</c:v>
              </c:pt>
              <c:pt idx="3">
                <c:v>10.4</c:v>
              </c:pt>
              <c:pt idx="4">
                <c:v>13.2</c:v>
              </c:pt>
              <c:pt idx="5">
                <c:v>17.3</c:v>
              </c:pt>
              <c:pt idx="6">
                <c:v>18.399999999999999</c:v>
              </c:pt>
              <c:pt idx="7">
                <c:v>17.100000000000001</c:v>
              </c:pt>
              <c:pt idx="8">
                <c:v>16.3</c:v>
              </c:pt>
              <c:pt idx="9">
                <c:v>16.2</c:v>
              </c:pt>
              <c:pt idx="10">
                <c:v>14.3</c:v>
              </c:pt>
              <c:pt idx="11">
                <c:v>13.8</c:v>
              </c:pt>
              <c:pt idx="12">
                <c:v>14.3</c:v>
              </c:pt>
              <c:pt idx="13">
                <c:v>12.5</c:v>
              </c:pt>
              <c:pt idx="14">
                <c:v>12.4</c:v>
              </c:pt>
              <c:pt idx="15">
                <c:v>15</c:v>
              </c:pt>
              <c:pt idx="16">
                <c:v>14.6</c:v>
              </c:pt>
              <c:pt idx="17">
                <c:v>14.8</c:v>
              </c:pt>
              <c:pt idx="18">
                <c:v>14</c:v>
              </c:pt>
              <c:pt idx="19">
                <c:v>15.1</c:v>
              </c:pt>
              <c:pt idx="20">
                <c:v>16.100000000000001</c:v>
              </c:pt>
              <c:pt idx="21">
                <c:v>14.9</c:v>
              </c:pt>
              <c:pt idx="22">
                <c:v>13.9</c:v>
              </c:pt>
              <c:pt idx="23">
                <c:v>13.8</c:v>
              </c:pt>
              <c:pt idx="24">
                <c:v>15.3</c:v>
              </c:pt>
              <c:pt idx="25">
                <c:v>13.2</c:v>
              </c:pt>
              <c:pt idx="26">
                <c:v>12.8</c:v>
              </c:pt>
              <c:pt idx="27">
                <c:v>12.9</c:v>
              </c:pt>
              <c:pt idx="28">
                <c:v>16.100000000000001</c:v>
              </c:pt>
              <c:pt idx="29">
                <c:v>14.8</c:v>
              </c:pt>
              <c:pt idx="30">
                <c:v>12.7</c:v>
              </c:pt>
            </c:numLit>
          </c:xVal>
          <c:yVal>
            <c:numLit>
              <c:formatCode>General</c:formatCode>
              <c:ptCount val="31"/>
              <c:pt idx="0">
                <c:v>1010.5</c:v>
              </c:pt>
              <c:pt idx="1">
                <c:v>1012.5</c:v>
              </c:pt>
              <c:pt idx="2">
                <c:v>1017.5</c:v>
              </c:pt>
              <c:pt idx="3">
                <c:v>1021.5</c:v>
              </c:pt>
              <c:pt idx="4">
                <c:v>1020</c:v>
              </c:pt>
              <c:pt idx="5">
                <c:v>1015</c:v>
              </c:pt>
              <c:pt idx="6">
                <c:v>1011</c:v>
              </c:pt>
              <c:pt idx="7">
                <c:v>1014</c:v>
              </c:pt>
              <c:pt idx="8">
                <c:v>1021</c:v>
              </c:pt>
              <c:pt idx="9">
                <c:v>1024</c:v>
              </c:pt>
              <c:pt idx="10">
                <c:v>1022.5</c:v>
              </c:pt>
              <c:pt idx="11">
                <c:v>1020.5</c:v>
              </c:pt>
              <c:pt idx="12">
                <c:v>1019.5</c:v>
              </c:pt>
              <c:pt idx="13">
                <c:v>1020</c:v>
              </c:pt>
              <c:pt idx="14">
                <c:v>1024</c:v>
              </c:pt>
              <c:pt idx="15">
                <c:v>1022.5</c:v>
              </c:pt>
              <c:pt idx="16">
                <c:v>1019</c:v>
              </c:pt>
              <c:pt idx="17">
                <c:v>1014.5</c:v>
              </c:pt>
              <c:pt idx="18">
                <c:v>1017</c:v>
              </c:pt>
              <c:pt idx="19">
                <c:v>1018.5</c:v>
              </c:pt>
              <c:pt idx="20">
                <c:v>1018</c:v>
              </c:pt>
              <c:pt idx="21">
                <c:v>1017</c:v>
              </c:pt>
              <c:pt idx="22">
                <c:v>1019.5</c:v>
              </c:pt>
              <c:pt idx="23">
                <c:v>1024.5</c:v>
              </c:pt>
              <c:pt idx="24">
                <c:v>1020</c:v>
              </c:pt>
              <c:pt idx="25">
                <c:v>1009</c:v>
              </c:pt>
              <c:pt idx="26">
                <c:v>1015.5</c:v>
              </c:pt>
              <c:pt idx="27">
                <c:v>1015</c:v>
              </c:pt>
              <c:pt idx="28">
                <c:v>1012.5</c:v>
              </c:pt>
              <c:pt idx="29">
                <c:v>1010.5</c:v>
              </c:pt>
              <c:pt idx="30">
                <c:v>1019.5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218432"/>
        <c:axId val="127219968"/>
      </c:scatterChart>
      <c:valAx>
        <c:axId val="127218432"/>
        <c:scaling>
          <c:orientation val="minMax"/>
          <c:max val="16"/>
          <c:min val="4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7219968"/>
        <c:crosses val="autoZero"/>
        <c:crossBetween val="midCat"/>
        <c:majorUnit val="1"/>
      </c:valAx>
      <c:valAx>
        <c:axId val="127219968"/>
        <c:scaling>
          <c:orientation val="minMax"/>
          <c:max val="1040"/>
          <c:min val="99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7218432"/>
        <c:crossesAt val="-3"/>
        <c:crossBetween val="midCat"/>
        <c:majorUnit val="10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Relative Humidity Range / Temperature Range </a:t>
            </a:r>
          </a:p>
        </c:rich>
      </c:tx>
      <c:layout>
        <c:manualLayout>
          <c:xMode val="edge"/>
          <c:yMode val="edge"/>
          <c:x val="0.34658040665434381"/>
          <c:y val="3.009259259259259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4.4362292051756007E-2"/>
          <c:y val="0.12268546252319906"/>
          <c:w val="0.94085027726432535"/>
          <c:h val="0.76389061571048478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993366"/>
              </a:solidFill>
              <a:ln>
                <a:solidFill>
                  <a:srgbClr val="993366"/>
                </a:solidFill>
                <a:prstDash val="solid"/>
              </a:ln>
            </c:spPr>
          </c:marker>
          <c:trendline>
            <c:spPr>
              <a:ln w="12700">
                <a:solidFill>
                  <a:srgbClr val="0000FF"/>
                </a:solidFill>
                <a:prstDash val="solid"/>
              </a:ln>
            </c:spPr>
            <c:trendlineType val="linear"/>
            <c:forward val="0.5"/>
            <c:backward val="2.5"/>
            <c:dispRSqr val="1"/>
            <c:dispEq val="1"/>
            <c:trendlineLbl>
              <c:layout>
                <c:manualLayout>
                  <c:xMode val="edge"/>
                  <c:yMode val="edge"/>
                  <c:x val="4.6210720887245845E-3"/>
                  <c:y val="0.13194474271362919"/>
                </c:manualLayout>
              </c:layout>
              <c:numFmt formatCode="0.00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200" b="0" i="0" u="none" strike="noStrike" baseline="0">
                      <a:solidFill>
                        <a:srgbClr val="00000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en-US"/>
                </a:p>
              </c:txPr>
            </c:trendlineLbl>
          </c:trendline>
          <c:xVal>
            <c:numLit>
              <c:formatCode>General</c:formatCode>
              <c:ptCount val="31"/>
              <c:pt idx="0">
                <c:v>7.1999999999999993</c:v>
              </c:pt>
              <c:pt idx="1">
                <c:v>8.8000000000000007</c:v>
              </c:pt>
              <c:pt idx="2">
                <c:v>8.8999999999999986</c:v>
              </c:pt>
              <c:pt idx="3">
                <c:v>12.8</c:v>
              </c:pt>
              <c:pt idx="4">
                <c:v>11.000000000000002</c:v>
              </c:pt>
              <c:pt idx="5">
                <c:v>15.4</c:v>
              </c:pt>
              <c:pt idx="6">
                <c:v>8.7999999999999989</c:v>
              </c:pt>
              <c:pt idx="7">
                <c:v>5.0000000000000018</c:v>
              </c:pt>
              <c:pt idx="8">
                <c:v>8.6</c:v>
              </c:pt>
              <c:pt idx="9">
                <c:v>12.7</c:v>
              </c:pt>
              <c:pt idx="10">
                <c:v>7</c:v>
              </c:pt>
              <c:pt idx="11">
                <c:v>9</c:v>
              </c:pt>
              <c:pt idx="12">
                <c:v>10.399999999999999</c:v>
              </c:pt>
              <c:pt idx="13">
                <c:v>9.1000000000000014</c:v>
              </c:pt>
              <c:pt idx="14">
                <c:v>6.8999999999999986</c:v>
              </c:pt>
              <c:pt idx="15">
                <c:v>8.2000000000000011</c:v>
              </c:pt>
              <c:pt idx="16">
                <c:v>6.6000000000000014</c:v>
              </c:pt>
              <c:pt idx="17">
                <c:v>7.6</c:v>
              </c:pt>
              <c:pt idx="18">
                <c:v>13.100000000000001</c:v>
              </c:pt>
              <c:pt idx="19">
                <c:v>7.4</c:v>
              </c:pt>
              <c:pt idx="20">
                <c:v>13.2</c:v>
              </c:pt>
              <c:pt idx="21">
                <c:v>6.9</c:v>
              </c:pt>
              <c:pt idx="22">
                <c:v>8.5999999999999979</c:v>
              </c:pt>
              <c:pt idx="23">
                <c:v>10.8</c:v>
              </c:pt>
              <c:pt idx="24">
                <c:v>14.500000000000002</c:v>
              </c:pt>
              <c:pt idx="25">
                <c:v>4.1999999999999993</c:v>
              </c:pt>
              <c:pt idx="26">
                <c:v>5.6</c:v>
              </c:pt>
              <c:pt idx="27">
                <c:v>6.4</c:v>
              </c:pt>
              <c:pt idx="28">
                <c:v>5.8000000000000007</c:v>
              </c:pt>
              <c:pt idx="29">
                <c:v>9.3000000000000007</c:v>
              </c:pt>
              <c:pt idx="30">
                <c:v>9.8999999999999986</c:v>
              </c:pt>
            </c:numLit>
          </c:xVal>
          <c:yVal>
            <c:numLit>
              <c:formatCode>General</c:formatCode>
              <c:ptCount val="31"/>
              <c:pt idx="0">
                <c:v>28</c:v>
              </c:pt>
              <c:pt idx="1">
                <c:v>34</c:v>
              </c:pt>
              <c:pt idx="2">
                <c:v>49</c:v>
              </c:pt>
              <c:pt idx="3">
                <c:v>37</c:v>
              </c:pt>
              <c:pt idx="4">
                <c:v>35</c:v>
              </c:pt>
              <c:pt idx="5">
                <c:v>38</c:v>
              </c:pt>
              <c:pt idx="6">
                <c:v>38</c:v>
              </c:pt>
              <c:pt idx="7">
                <c:v>46</c:v>
              </c:pt>
              <c:pt idx="8">
                <c:v>39</c:v>
              </c:pt>
              <c:pt idx="9">
                <c:v>52</c:v>
              </c:pt>
              <c:pt idx="10">
                <c:v>39</c:v>
              </c:pt>
              <c:pt idx="11">
                <c:v>40</c:v>
              </c:pt>
              <c:pt idx="12">
                <c:v>37</c:v>
              </c:pt>
              <c:pt idx="13">
                <c:v>38</c:v>
              </c:pt>
              <c:pt idx="14">
                <c:v>33</c:v>
              </c:pt>
              <c:pt idx="15">
                <c:v>36</c:v>
              </c:pt>
              <c:pt idx="16">
                <c:v>33</c:v>
              </c:pt>
              <c:pt idx="17">
                <c:v>26</c:v>
              </c:pt>
              <c:pt idx="18">
                <c:v>53</c:v>
              </c:pt>
              <c:pt idx="19">
                <c:v>26</c:v>
              </c:pt>
              <c:pt idx="20">
                <c:v>44</c:v>
              </c:pt>
              <c:pt idx="21">
                <c:v>49</c:v>
              </c:pt>
              <c:pt idx="22">
                <c:v>30</c:v>
              </c:pt>
              <c:pt idx="23">
                <c:v>42</c:v>
              </c:pt>
              <c:pt idx="24">
                <c:v>45</c:v>
              </c:pt>
              <c:pt idx="25">
                <c:v>41</c:v>
              </c:pt>
              <c:pt idx="26">
                <c:v>34</c:v>
              </c:pt>
              <c:pt idx="27">
                <c:v>20</c:v>
              </c:pt>
              <c:pt idx="28">
                <c:v>20</c:v>
              </c:pt>
              <c:pt idx="29">
                <c:v>32</c:v>
              </c:pt>
              <c:pt idx="30">
                <c:v>52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249024"/>
        <c:axId val="127259008"/>
      </c:scatterChart>
      <c:valAx>
        <c:axId val="127249024"/>
        <c:scaling>
          <c:orientation val="minMax"/>
          <c:max val="19"/>
          <c:min val="0"/>
        </c:scaling>
        <c:delete val="0"/>
        <c:axPos val="b"/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7259008"/>
        <c:crossesAt val="0"/>
        <c:crossBetween val="midCat"/>
        <c:majorUnit val="1"/>
      </c:valAx>
      <c:valAx>
        <c:axId val="127259008"/>
        <c:scaling>
          <c:orientation val="minMax"/>
          <c:max val="60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7249024"/>
        <c:crosses val="autoZero"/>
        <c:crossBetween val="midCat"/>
        <c:majorUnit val="10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 horizontalDpi="-3" verticalDpi="0"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Time of Temperature Extremes</a:t>
            </a:r>
          </a:p>
        </c:rich>
      </c:tx>
      <c:layout>
        <c:manualLayout>
          <c:xMode val="edge"/>
          <c:yMode val="edge"/>
          <c:x val="0.41718183558328387"/>
          <c:y val="2.115158636897767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893697095932809E-2"/>
          <c:y val="8.5781433607520566E-2"/>
          <c:w val="0.95859114218917252"/>
          <c:h val="0.86368977673325498"/>
        </c:manualLayout>
      </c:layout>
      <c:lineChart>
        <c:grouping val="standard"/>
        <c:varyColors val="0"/>
        <c:ser>
          <c:idx val="1"/>
          <c:order val="0"/>
          <c:tx>
            <c:v>T Min</c:v>
          </c:tx>
          <c:spPr>
            <a:ln w="28575">
              <a:noFill/>
            </a:ln>
          </c:spPr>
          <c:marker>
            <c:symbol val="circle"/>
            <c:size val="10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0.25347222222222221</c:v>
              </c:pt>
              <c:pt idx="1">
                <c:v>0.2638888888888889</c:v>
              </c:pt>
              <c:pt idx="2">
                <c:v>0.24305555555555555</c:v>
              </c:pt>
              <c:pt idx="3">
                <c:v>0.25</c:v>
              </c:pt>
              <c:pt idx="4">
                <c:v>9.7222222222222224E-2</c:v>
              </c:pt>
              <c:pt idx="5">
                <c:v>0.25347222222222221</c:v>
              </c:pt>
              <c:pt idx="6">
                <c:v>0.26041666666666669</c:v>
              </c:pt>
              <c:pt idx="7">
                <c:v>0.33333333333333331</c:v>
              </c:pt>
              <c:pt idx="8">
                <c:v>0.23263888888888887</c:v>
              </c:pt>
              <c:pt idx="9">
                <c:v>0.24652777777777779</c:v>
              </c:pt>
              <c:pt idx="10">
                <c:v>0.28125</c:v>
              </c:pt>
              <c:pt idx="11">
                <c:v>0.23958333333333334</c:v>
              </c:pt>
              <c:pt idx="12">
                <c:v>0.24305555555555555</c:v>
              </c:pt>
              <c:pt idx="13">
                <c:v>0.23611111111111113</c:v>
              </c:pt>
              <c:pt idx="14">
                <c:v>0.23611111111111113</c:v>
              </c:pt>
              <c:pt idx="15">
                <c:v>0.14930555555555555</c:v>
              </c:pt>
              <c:pt idx="16">
                <c:v>0.23611111111111113</c:v>
              </c:pt>
              <c:pt idx="17">
                <c:v>0.21875</c:v>
              </c:pt>
              <c:pt idx="18">
                <c:v>0.23611111111111113</c:v>
              </c:pt>
              <c:pt idx="19">
                <c:v>0.24305555555555555</c:v>
              </c:pt>
              <c:pt idx="20">
                <c:v>0.23611111111111113</c:v>
              </c:pt>
              <c:pt idx="21">
                <c:v>0.28472222222222221</c:v>
              </c:pt>
              <c:pt idx="22">
                <c:v>0.18055555555555555</c:v>
              </c:pt>
              <c:pt idx="23">
                <c:v>0.22569444444444445</c:v>
              </c:pt>
              <c:pt idx="24">
                <c:v>0.23263888888888887</c:v>
              </c:pt>
              <c:pt idx="25">
                <c:v>0.26041666666666669</c:v>
              </c:pt>
              <c:pt idx="26">
                <c:v>0.23958333333333334</c:v>
              </c:pt>
              <c:pt idx="27">
                <c:v>0.21180555555555555</c:v>
              </c:pt>
              <c:pt idx="28">
                <c:v>0.1423611111111111</c:v>
              </c:pt>
              <c:pt idx="29">
                <c:v>0.15972222222222224</c:v>
              </c:pt>
              <c:pt idx="30">
                <c:v>0.22569444444444445</c:v>
              </c:pt>
            </c:numLit>
          </c:val>
          <c:smooth val="0"/>
        </c:ser>
        <c:ser>
          <c:idx val="2"/>
          <c:order val="1"/>
          <c:tx>
            <c:v>T Max</c:v>
          </c:tx>
          <c:spPr>
            <a:ln w="28575">
              <a:noFill/>
            </a:ln>
          </c:spPr>
          <c:marker>
            <c:symbol val="circle"/>
            <c:size val="10"/>
            <c:spPr>
              <a:solidFill>
                <a:srgbClr val="FF6600"/>
              </a:solidFill>
              <a:ln>
                <a:solidFill>
                  <a:srgbClr val="FF6600"/>
                </a:solidFill>
                <a:prstDash val="solid"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0.61458333333333337</c:v>
              </c:pt>
              <c:pt idx="1">
                <c:v>0.55555555555555558</c:v>
              </c:pt>
              <c:pt idx="2">
                <c:v>0.625</c:v>
              </c:pt>
              <c:pt idx="3">
                <c:v>0.66319444444444442</c:v>
              </c:pt>
              <c:pt idx="4">
                <c:v>0.72222222222222221</c:v>
              </c:pt>
              <c:pt idx="5">
                <c:v>0.69444444444444453</c:v>
              </c:pt>
              <c:pt idx="6">
                <c:v>0.61805555555555558</c:v>
              </c:pt>
              <c:pt idx="7">
                <c:v>0.71527777777777779</c:v>
              </c:pt>
              <c:pt idx="8">
                <c:v>0.61458333333333337</c:v>
              </c:pt>
              <c:pt idx="9">
                <c:v>0.70138888888888884</c:v>
              </c:pt>
              <c:pt idx="10">
                <c:v>0.72916666666666663</c:v>
              </c:pt>
              <c:pt idx="11">
                <c:v>0.65277777777777779</c:v>
              </c:pt>
              <c:pt idx="12">
                <c:v>0.58680555555555558</c:v>
              </c:pt>
              <c:pt idx="13">
                <c:v>0.6875</c:v>
              </c:pt>
              <c:pt idx="14">
                <c:v>0.68402777777777779</c:v>
              </c:pt>
              <c:pt idx="15">
                <c:v>0.65972222222222221</c:v>
              </c:pt>
              <c:pt idx="16">
                <c:v>0.60416666666666663</c:v>
              </c:pt>
              <c:pt idx="17">
                <c:v>0.67361111111111116</c:v>
              </c:pt>
              <c:pt idx="18">
                <c:v>0.6875</c:v>
              </c:pt>
              <c:pt idx="19">
                <c:v>0.54513888888888895</c:v>
              </c:pt>
              <c:pt idx="20">
                <c:v>0.63194444444444442</c:v>
              </c:pt>
              <c:pt idx="21">
                <c:v>0.63194444444444442</c:v>
              </c:pt>
              <c:pt idx="22">
                <c:v>0.57638888888888895</c:v>
              </c:pt>
              <c:pt idx="23">
                <c:v>0.6875</c:v>
              </c:pt>
              <c:pt idx="24">
                <c:v>0.57638888888888895</c:v>
              </c:pt>
              <c:pt idx="25">
                <c:v>0.58333333333333337</c:v>
              </c:pt>
              <c:pt idx="26">
                <c:v>0.8125</c:v>
              </c:pt>
              <c:pt idx="27">
                <c:v>0.70486111111111116</c:v>
              </c:pt>
              <c:pt idx="28">
                <c:v>0.50347222222222221</c:v>
              </c:pt>
              <c:pt idx="29">
                <c:v>0.5625</c:v>
              </c:pt>
              <c:pt idx="30">
                <c:v>0.73263888888888884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304064"/>
        <c:axId val="127305984"/>
      </c:lineChart>
      <c:catAx>
        <c:axId val="1273040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73059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7305984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hh:mm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7304064"/>
        <c:crosses val="autoZero"/>
        <c:crossBetween val="between"/>
        <c:majorUnit val="8.3333333300000006E-2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0.6347344344626884"/>
          <c:y val="0.1762632197414806"/>
          <c:w val="0.79728085287237727"/>
          <c:h val="0.2279670975323149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Time of Humidity Extremes</a:t>
            </a:r>
          </a:p>
        </c:rich>
      </c:tx>
      <c:layout>
        <c:manualLayout>
          <c:xMode val="edge"/>
          <c:yMode val="edge"/>
          <c:x val="0.42433600988264358"/>
          <c:y val="2.026221692491060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891290920321186E-2"/>
          <c:y val="8.8200238379022647E-2"/>
          <c:w val="0.95861642989499696"/>
          <c:h val="0.86054827175208581"/>
        </c:manualLayout>
      </c:layout>
      <c:lineChart>
        <c:grouping val="standard"/>
        <c:varyColors val="0"/>
        <c:ser>
          <c:idx val="0"/>
          <c:order val="0"/>
          <c:tx>
            <c:v>H Min</c:v>
          </c:tx>
          <c:spPr>
            <a:ln w="28575">
              <a:noFill/>
            </a:ln>
          </c:spPr>
          <c:marker>
            <c:symbol val="circle"/>
            <c:size val="10"/>
            <c:spPr>
              <a:solidFill>
                <a:srgbClr val="FF9900"/>
              </a:solidFill>
              <a:ln>
                <a:solidFill>
                  <a:srgbClr val="FF9900"/>
                </a:solidFill>
                <a:prstDash val="solid"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0.80555555555555547</c:v>
              </c:pt>
              <c:pt idx="1">
                <c:v>0.64583333333333337</c:v>
              </c:pt>
              <c:pt idx="2">
                <c:v>0.69791666666666663</c:v>
              </c:pt>
              <c:pt idx="3">
                <c:v>0.72222222222222221</c:v>
              </c:pt>
              <c:pt idx="4">
                <c:v>0.75694444444444453</c:v>
              </c:pt>
              <c:pt idx="5">
                <c:v>0.77777777777777779</c:v>
              </c:pt>
              <c:pt idx="6">
                <c:v>0.64027777777777783</c:v>
              </c:pt>
              <c:pt idx="7">
                <c:v>0.77777777777777779</c:v>
              </c:pt>
              <c:pt idx="8">
                <c:v>0.6875</c:v>
              </c:pt>
              <c:pt idx="9">
                <c:v>0.71527777777777779</c:v>
              </c:pt>
              <c:pt idx="10">
                <c:v>0.77083333333333337</c:v>
              </c:pt>
              <c:pt idx="11">
                <c:v>0.63888888888888895</c:v>
              </c:pt>
              <c:pt idx="12">
                <c:v>0.59375</c:v>
              </c:pt>
              <c:pt idx="13">
                <c:v>0.69791666666666663</c:v>
              </c:pt>
              <c:pt idx="14">
                <c:v>0.56944444444444442</c:v>
              </c:pt>
              <c:pt idx="15">
                <c:v>0.67708333333333337</c:v>
              </c:pt>
              <c:pt idx="16">
                <c:v>0.60069444444444442</c:v>
              </c:pt>
              <c:pt idx="17">
                <c:v>0.70138888888888884</c:v>
              </c:pt>
              <c:pt idx="18">
                <c:v>0.69791666666666663</c:v>
              </c:pt>
              <c:pt idx="19">
                <c:v>0.58333333333333337</c:v>
              </c:pt>
              <c:pt idx="20">
                <c:v>0.79166666666666663</c:v>
              </c:pt>
              <c:pt idx="21">
                <c:v>0.66666666666666663</c:v>
              </c:pt>
              <c:pt idx="22">
                <c:v>0.57638888888888895</c:v>
              </c:pt>
              <c:pt idx="23">
                <c:v>0.77083333333333337</c:v>
              </c:pt>
              <c:pt idx="24">
                <c:v>0.71180555555555547</c:v>
              </c:pt>
              <c:pt idx="25">
                <c:v>#N/A</c:v>
              </c:pt>
              <c:pt idx="26">
                <c:v>0.83333333333333337</c:v>
              </c:pt>
              <c:pt idx="27">
                <c:v>0.81597222222222221</c:v>
              </c:pt>
              <c:pt idx="28">
                <c:v>0.51388888888888895</c:v>
              </c:pt>
              <c:pt idx="29">
                <c:v>0.60069444444444442</c:v>
              </c:pt>
              <c:pt idx="30">
                <c:v>0.77430555555555547</c:v>
              </c:pt>
            </c:numLit>
          </c:val>
          <c:smooth val="0"/>
        </c:ser>
        <c:ser>
          <c:idx val="3"/>
          <c:order val="1"/>
          <c:tx>
            <c:v>H Max</c:v>
          </c:tx>
          <c:spPr>
            <a:ln w="28575">
              <a:noFill/>
            </a:ln>
          </c:spPr>
          <c:marker>
            <c:symbol val="circle"/>
            <c:size val="10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0.28125</c:v>
              </c:pt>
              <c:pt idx="1">
                <c:v>0.28472222222222221</c:v>
              </c:pt>
              <c:pt idx="2">
                <c:v>0.27430555555555552</c:v>
              </c:pt>
              <c:pt idx="3">
                <c:v>0.2951388888888889</c:v>
              </c:pt>
              <c:pt idx="4">
                <c:v>0.12847222222222224</c:v>
              </c:pt>
              <c:pt idx="5">
                <c:v>0.29166666666666669</c:v>
              </c:pt>
              <c:pt idx="6">
                <c:v>0.4513888888888889</c:v>
              </c:pt>
              <c:pt idx="7">
                <c:v>0.36805555555555558</c:v>
              </c:pt>
              <c:pt idx="8">
                <c:v>0.27083333333333331</c:v>
              </c:pt>
              <c:pt idx="9">
                <c:v>0.28472222222222221</c:v>
              </c:pt>
              <c:pt idx="10">
                <c:v>0.32291666666666669</c:v>
              </c:pt>
              <c:pt idx="11">
                <c:v>0.28125</c:v>
              </c:pt>
              <c:pt idx="12">
                <c:v>0.27430555555555552</c:v>
              </c:pt>
              <c:pt idx="13">
                <c:v>0.26041666666666669</c:v>
              </c:pt>
              <c:pt idx="14">
                <c:v>0.19444444444444445</c:v>
              </c:pt>
              <c:pt idx="15">
                <c:v>0.27083333333333331</c:v>
              </c:pt>
              <c:pt idx="16">
                <c:v>#N/A</c:v>
              </c:pt>
              <c:pt idx="17">
                <c:v>0.31597222222222221</c:v>
              </c:pt>
              <c:pt idx="18">
                <c:v>0.28472222222222221</c:v>
              </c:pt>
              <c:pt idx="19">
                <c:v>0.28125</c:v>
              </c:pt>
              <c:pt idx="20">
                <c:v>0.27777777777777779</c:v>
              </c:pt>
              <c:pt idx="21">
                <c:v>0.24305555555555555</c:v>
              </c:pt>
              <c:pt idx="22">
                <c:v>0.29166666666666669</c:v>
              </c:pt>
              <c:pt idx="23">
                <c:v>0.23958333333333334</c:v>
              </c:pt>
              <c:pt idx="24">
                <c:v>0.27777777777777779</c:v>
              </c:pt>
              <c:pt idx="25">
                <c:v>#N/A</c:v>
              </c:pt>
              <c:pt idx="26">
                <c:v>0.33680555555555558</c:v>
              </c:pt>
              <c:pt idx="27">
                <c:v>0.3923611111111111</c:v>
              </c:pt>
              <c:pt idx="28">
                <c:v>0.125</c:v>
              </c:pt>
              <c:pt idx="29">
                <c:v>0.92708333333333337</c:v>
              </c:pt>
              <c:pt idx="30">
                <c:v>0.23611111111111113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335424"/>
        <c:axId val="127476864"/>
      </c:lineChart>
      <c:catAx>
        <c:axId val="127335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74768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7476864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hh:mm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7335424"/>
        <c:crosses val="autoZero"/>
        <c:crossBetween val="between"/>
        <c:majorUnit val="8.3333333300000006E-2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0.46386658431130329"/>
          <c:y val="0.10369487485101311"/>
          <c:w val="0.66337245213094509"/>
          <c:h val="0.146603098927294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Time of Max Gust</a:t>
            </a:r>
          </a:p>
        </c:rich>
      </c:tx>
      <c:layout>
        <c:manualLayout>
          <c:xMode val="edge"/>
          <c:yMode val="edge"/>
          <c:x val="0.44814840737500405"/>
          <c:y val="1.99296600234466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8888912331761387E-2"/>
          <c:y val="8.5580353795172481E-2"/>
          <c:w val="0.95864255319405456"/>
          <c:h val="0.86400987324715228"/>
        </c:manualLayout>
      </c:layout>
      <c:lineChart>
        <c:grouping val="standard"/>
        <c:varyColors val="0"/>
        <c:ser>
          <c:idx val="4"/>
          <c:order val="0"/>
          <c:tx>
            <c:v>Gust</c:v>
          </c:tx>
          <c:spPr>
            <a:ln w="28575">
              <a:noFill/>
            </a:ln>
          </c:spPr>
          <c:marker>
            <c:symbol val="circle"/>
            <c:size val="1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0.78611111111111109</c:v>
              </c:pt>
              <c:pt idx="1">
                <c:v>0.64652777777777781</c:v>
              </c:pt>
              <c:pt idx="2">
                <c:v>0.44861111111111113</c:v>
              </c:pt>
              <c:pt idx="3">
                <c:v>0.7416666666666667</c:v>
              </c:pt>
              <c:pt idx="4">
                <c:v>0.63611111111111118</c:v>
              </c:pt>
              <c:pt idx="5">
                <c:v>0.73124999999999996</c:v>
              </c:pt>
              <c:pt idx="6">
                <c:v>0.63402777777777775</c:v>
              </c:pt>
              <c:pt idx="7">
                <c:v>0.58750000000000002</c:v>
              </c:pt>
              <c:pt idx="8">
                <c:v>0.63958333333333328</c:v>
              </c:pt>
              <c:pt idx="9">
                <c:v>0.48333333333333334</c:v>
              </c:pt>
              <c:pt idx="10">
                <c:v>0.63055555555555554</c:v>
              </c:pt>
              <c:pt idx="11">
                <c:v>0.58819444444444446</c:v>
              </c:pt>
              <c:pt idx="12">
                <c:v>0.67569444444444438</c:v>
              </c:pt>
              <c:pt idx="13">
                <c:v>0.68055555555555547</c:v>
              </c:pt>
              <c:pt idx="14">
                <c:v>0.66874999999999996</c:v>
              </c:pt>
              <c:pt idx="15">
                <c:v>0.43333333333333335</c:v>
              </c:pt>
              <c:pt idx="16">
                <c:v>0.6645833333333333</c:v>
              </c:pt>
              <c:pt idx="17">
                <c:v>0.44930555555555557</c:v>
              </c:pt>
              <c:pt idx="18">
                <c:v>0.81319444444444444</c:v>
              </c:pt>
              <c:pt idx="19">
                <c:v>0.59513888888888888</c:v>
              </c:pt>
              <c:pt idx="20">
                <c:v>0.75902777777777775</c:v>
              </c:pt>
              <c:pt idx="21">
                <c:v>0.62013888888888891</c:v>
              </c:pt>
              <c:pt idx="22">
                <c:v>0.58888888888888891</c:v>
              </c:pt>
              <c:pt idx="23">
                <c:v>0.50902777777777775</c:v>
              </c:pt>
              <c:pt idx="24">
                <c:v>0.49861111111111112</c:v>
              </c:pt>
              <c:pt idx="25">
                <c:v>0.60972222222222217</c:v>
              </c:pt>
              <c:pt idx="26">
                <c:v>0.57222222222222219</c:v>
              </c:pt>
              <c:pt idx="27">
                <c:v>0.79652777777777783</c:v>
              </c:pt>
              <c:pt idx="28">
                <c:v>0.60486111111111118</c:v>
              </c:pt>
              <c:pt idx="29">
                <c:v>0.52708333333333335</c:v>
              </c:pt>
              <c:pt idx="30">
                <c:v>0.51736111111111105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501056"/>
        <c:axId val="127502976"/>
      </c:lineChart>
      <c:catAx>
        <c:axId val="1275010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75029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7502976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hh:mm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7501056"/>
        <c:crosses val="autoZero"/>
        <c:crossBetween val="between"/>
        <c:majorUnit val="8.3333333300000006E-2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 sz="14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Rain Rate / mmh</a:t>
            </a:r>
            <a:r>
              <a:rPr lang="en-GB" sz="1400" b="1" i="0" u="none" strike="noStrike" baseline="30000">
                <a:solidFill>
                  <a:srgbClr val="000000"/>
                </a:solidFill>
                <a:latin typeface="Arial"/>
                <a:cs typeface="Arial"/>
              </a:rPr>
              <a:t>-1</a:t>
            </a:r>
          </a:p>
        </c:rich>
      </c:tx>
      <c:layout>
        <c:manualLayout>
          <c:xMode val="edge"/>
          <c:yMode val="edge"/>
          <c:x val="0.44963144963144963"/>
          <c:y val="2.01421800947867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6412776412776413E-2"/>
          <c:y val="9.3601949886347263E-2"/>
          <c:w val="0.95515970515970516"/>
          <c:h val="0.85545073187269272"/>
        </c:manualLayout>
      </c:layout>
      <c:barChart>
        <c:barDir val="col"/>
        <c:grouping val="clustered"/>
        <c:varyColors val="0"/>
        <c:ser>
          <c:idx val="1"/>
          <c:order val="0"/>
          <c:tx>
            <c:v>Mean</c:v>
          </c:tx>
          <c:spPr>
            <a:solidFill>
              <a:srgbClr val="CCFFFF"/>
            </a:solidFill>
            <a:ln w="3175">
              <a:solidFill>
                <a:srgbClr val="333399"/>
              </a:solidFill>
              <a:prstDash val="solid"/>
            </a:ln>
          </c:spPr>
          <c:invertIfNegative val="0"/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0.55000000000000004</c:v>
              </c:pt>
              <c:pt idx="7">
                <c:v>1.5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3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1.1000000000000001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4.833333333333333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0.3666666666666667</c:v>
              </c:pt>
              <c:pt idx="30">
                <c:v>0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-80"/>
        <c:axId val="127566208"/>
        <c:axId val="127567744"/>
      </c:barChart>
      <c:barChart>
        <c:barDir val="col"/>
        <c:grouping val="clustered"/>
        <c:varyColors val="0"/>
        <c:ser>
          <c:idx val="0"/>
          <c:order val="1"/>
          <c:tx>
            <c:v>Max</c:v>
          </c:tx>
          <c:spPr>
            <a:solidFill>
              <a:srgbClr val="9999FF"/>
            </a:solidFill>
            <a:ln w="12700">
              <a:solidFill>
                <a:srgbClr val="000080"/>
              </a:solidFill>
              <a:prstDash val="solid"/>
            </a:ln>
          </c:spPr>
          <c:invertIfNegative val="0"/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6">
                <c:v>3</c:v>
              </c:pt>
              <c:pt idx="7">
                <c:v>8</c:v>
              </c:pt>
              <c:pt idx="17">
                <c:v>20</c:v>
              </c:pt>
              <c:pt idx="21">
                <c:v>5</c:v>
              </c:pt>
              <c:pt idx="25">
                <c:v>80</c:v>
              </c:pt>
              <c:pt idx="29">
                <c:v>1.5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0"/>
        <c:overlap val="-100"/>
        <c:axId val="127569280"/>
        <c:axId val="127575168"/>
      </c:barChart>
      <c:catAx>
        <c:axId val="1275662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75677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7567744"/>
        <c:scaling>
          <c:orientation val="minMax"/>
          <c:max val="6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7566208"/>
        <c:crosses val="autoZero"/>
        <c:crossBetween val="between"/>
        <c:majorUnit val="1"/>
      </c:valAx>
      <c:catAx>
        <c:axId val="1275692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7575168"/>
        <c:crosses val="autoZero"/>
        <c:auto val="1"/>
        <c:lblAlgn val="ctr"/>
        <c:lblOffset val="100"/>
        <c:noMultiLvlLbl val="0"/>
      </c:catAx>
      <c:valAx>
        <c:axId val="127575168"/>
        <c:scaling>
          <c:orientation val="minMax"/>
          <c:max val="60"/>
          <c:min val="0"/>
        </c:scaling>
        <c:delete val="0"/>
        <c:axPos val="r"/>
        <c:numFmt formatCode="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7569280"/>
        <c:crosses val="max"/>
        <c:crossBetween val="between"/>
        <c:majorUnit val="10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0.23710073710073709"/>
          <c:y val="0.17772524287544625"/>
          <c:w val="0.38390663390663388"/>
          <c:h val="0.225118607804356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01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Rainfall / mm</a:t>
            </a:r>
          </a:p>
        </c:rich>
      </c:tx>
      <c:layout>
        <c:manualLayout>
          <c:xMode val="edge"/>
          <c:yMode val="edge"/>
          <c:x val="0.47051597051597049"/>
          <c:y val="1.536643026004728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955773955773956E-2"/>
          <c:y val="8.7470550142386666E-2"/>
          <c:w val="0.97297297297297303"/>
          <c:h val="0.85106481219619468"/>
        </c:manualLayout>
      </c:layout>
      <c:barChart>
        <c:barDir val="col"/>
        <c:grouping val="clustered"/>
        <c:varyColors val="0"/>
        <c:ser>
          <c:idx val="0"/>
          <c:order val="0"/>
          <c:tx>
            <c:v>Rainfall</c:v>
          </c:tx>
          <c:spPr>
            <a:solidFill>
              <a:srgbClr val="3366FF"/>
            </a:solidFill>
            <a:ln w="12700">
              <a:solidFill>
                <a:srgbClr val="000080"/>
              </a:solidFill>
              <a:prstDash val="solid"/>
            </a:ln>
          </c:spPr>
          <c:invertIfNegative val="0"/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1.1000000000000001</c:v>
              </c:pt>
              <c:pt idx="7">
                <c:v>3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3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1.1000000000000001</c:v>
              </c:pt>
              <c:pt idx="22">
                <c:v>0.1</c:v>
              </c:pt>
              <c:pt idx="23">
                <c:v>0</c:v>
              </c:pt>
              <c:pt idx="24">
                <c:v>0</c:v>
              </c:pt>
              <c:pt idx="25">
                <c:v>14.5</c:v>
              </c:pt>
              <c:pt idx="26">
                <c:v>0</c:v>
              </c:pt>
              <c:pt idx="27">
                <c:v>0.1</c:v>
              </c:pt>
              <c:pt idx="28">
                <c:v>0</c:v>
              </c:pt>
              <c:pt idx="29">
                <c:v>1.1000000000000001</c:v>
              </c:pt>
              <c:pt idx="30">
                <c:v>0.1</c:v>
              </c:pt>
            </c:numLit>
          </c:val>
        </c:ser>
        <c:ser>
          <c:idx val="1"/>
          <c:order val="1"/>
          <c:tx>
            <c:v>Max In Hour</c:v>
          </c:tx>
          <c:spPr>
            <a:solidFill>
              <a:srgbClr val="00CCFF"/>
            </a:solidFill>
            <a:ln w="12700">
              <a:solidFill>
                <a:srgbClr val="0000FF"/>
              </a:solidFill>
              <a:prstDash val="solid"/>
            </a:ln>
          </c:spPr>
          <c:invertIfNegative val="0"/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6">
                <c:v>0</c:v>
              </c:pt>
              <c:pt idx="7">
                <c:v>1.6</c:v>
              </c:pt>
              <c:pt idx="17">
                <c:v>2.5</c:v>
              </c:pt>
              <c:pt idx="21">
                <c:v>1.1000000000000001</c:v>
              </c:pt>
              <c:pt idx="25">
                <c:v>5.2</c:v>
              </c:pt>
              <c:pt idx="29">
                <c:v>0.5</c:v>
              </c:pt>
            </c:numLit>
          </c:val>
        </c:ser>
        <c:ser>
          <c:idx val="2"/>
          <c:order val="2"/>
          <c:tx>
            <c:v>Max in 10 Minutes</c:v>
          </c:tx>
          <c:spPr>
            <a:solidFill>
              <a:srgbClr val="99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6">
                <c:v>0.5</c:v>
              </c:pt>
              <c:pt idx="7">
                <c:v>0.8</c:v>
              </c:pt>
              <c:pt idx="17">
                <c:v>1.4</c:v>
              </c:pt>
              <c:pt idx="21">
                <c:v>0.5</c:v>
              </c:pt>
              <c:pt idx="25">
                <c:v>3.8</c:v>
              </c:pt>
              <c:pt idx="29">
                <c:v>0.3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overlap val="100"/>
        <c:axId val="127597184"/>
        <c:axId val="127811968"/>
      </c:barChart>
      <c:catAx>
        <c:axId val="127597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78119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7811968"/>
        <c:scaling>
          <c:orientation val="minMax"/>
          <c:max val="10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7597184"/>
        <c:crosses val="autoZero"/>
        <c:crossBetween val="between"/>
        <c:majorUnit val="2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3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 horizontalDpi="-3" verticalDpi="0"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Wet Hours / h</a:t>
            </a:r>
          </a:p>
        </c:rich>
      </c:tx>
      <c:layout>
        <c:manualLayout>
          <c:xMode val="edge"/>
          <c:yMode val="edge"/>
          <c:x val="0.47116577299003271"/>
          <c:y val="2.248520710059171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926387535464059E-2"/>
          <c:y val="8.2840236686390539E-2"/>
          <c:w val="0.97361992355849891"/>
          <c:h val="0.86627218934911243"/>
        </c:manualLayout>
      </c:layout>
      <c:barChart>
        <c:barDir val="col"/>
        <c:grouping val="clustered"/>
        <c:varyColors val="0"/>
        <c:ser>
          <c:idx val="2"/>
          <c:order val="0"/>
          <c:tx>
            <c:v>Wet</c:v>
          </c:tx>
          <c:spPr>
            <a:solidFill>
              <a:srgbClr val="00FFFF"/>
            </a:solidFill>
            <a:ln w="12700">
              <a:solidFill>
                <a:srgbClr val="3366FF"/>
              </a:solidFill>
              <a:prstDash val="solid"/>
            </a:ln>
          </c:spPr>
          <c:invertIfNegative val="0"/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2</c:v>
              </c:pt>
              <c:pt idx="7">
                <c:v>2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1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1</c:v>
              </c:pt>
              <c:pt idx="22">
                <c:v>0.3</c:v>
              </c:pt>
              <c:pt idx="23">
                <c:v>0</c:v>
              </c:pt>
              <c:pt idx="24">
                <c:v>0</c:v>
              </c:pt>
              <c:pt idx="25">
                <c:v>3</c:v>
              </c:pt>
              <c:pt idx="26">
                <c:v>0</c:v>
              </c:pt>
              <c:pt idx="27">
                <c:v>0.4</c:v>
              </c:pt>
              <c:pt idx="28">
                <c:v>0</c:v>
              </c:pt>
              <c:pt idx="29">
                <c:v>3</c:v>
              </c:pt>
              <c:pt idx="30">
                <c:v>0.3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overlap val="-10"/>
        <c:axId val="127827968"/>
        <c:axId val="127829504"/>
      </c:barChart>
      <c:catAx>
        <c:axId val="127827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7829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7829504"/>
        <c:scaling>
          <c:orientation val="minMax"/>
          <c:max val="12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7827968"/>
        <c:crosses val="autoZero"/>
        <c:crossBetween val="between"/>
        <c:majorUnit val="2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Wind Direction Frequency</a:t>
            </a:r>
          </a:p>
        </c:rich>
      </c:tx>
      <c:layout>
        <c:manualLayout>
          <c:xMode val="edge"/>
          <c:yMode val="edge"/>
          <c:x val="0.41263028816676883"/>
          <c:y val="2.243211334120424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9613733905579398"/>
          <c:y val="0.17237318083422928"/>
          <c:w val="0.38197424892703863"/>
          <c:h val="0.73553761410770446"/>
        </c:manualLayout>
      </c:layout>
      <c:radarChart>
        <c:radarStyle val="filled"/>
        <c:varyColors val="1"/>
        <c:ser>
          <c:idx val="0"/>
          <c:order val="0"/>
          <c:tx>
            <c:v>Mean Wind Direction</c:v>
          </c:tx>
          <c:spPr>
            <a:solidFill>
              <a:srgbClr val="FF99CC"/>
            </a:solidFill>
            <a:ln w="38100">
              <a:solidFill>
                <a:srgbClr val="FF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</c:dPt>
          <c:dPt>
            <c:idx val="2"/>
            <c:bubble3D val="0"/>
          </c:dPt>
          <c:dPt>
            <c:idx val="3"/>
            <c:bubble3D val="0"/>
          </c:dPt>
          <c:dPt>
            <c:idx val="4"/>
            <c:bubble3D val="0"/>
          </c:dPt>
          <c:dPt>
            <c:idx val="5"/>
            <c:bubble3D val="0"/>
          </c:dPt>
          <c:dPt>
            <c:idx val="6"/>
            <c:bubble3D val="0"/>
          </c:dPt>
          <c:dPt>
            <c:idx val="7"/>
            <c:bubble3D val="0"/>
          </c:dPt>
          <c:dPt>
            <c:idx val="8"/>
            <c:bubble3D val="0"/>
          </c:dPt>
          <c:dPt>
            <c:idx val="9"/>
            <c:bubble3D val="0"/>
          </c:dPt>
          <c:dPt>
            <c:idx val="10"/>
            <c:bubble3D val="0"/>
          </c:dPt>
          <c:dPt>
            <c:idx val="11"/>
            <c:bubble3D val="0"/>
          </c:dPt>
          <c:dPt>
            <c:idx val="12"/>
            <c:bubble3D val="0"/>
          </c:dPt>
          <c:dPt>
            <c:idx val="13"/>
            <c:bubble3D val="0"/>
          </c:dPt>
          <c:dPt>
            <c:idx val="14"/>
            <c:bubble3D val="0"/>
          </c:dPt>
          <c:dPt>
            <c:idx val="15"/>
            <c:bubble3D val="0"/>
          </c:dPt>
          <c:dLbls>
            <c:dLbl>
              <c:idx val="0"/>
              <c:layout>
                <c:manualLayout>
                  <c:x val="-2.9223814834303187E-4"/>
                  <c:y val="-0.257939764223422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 val="7.1733136362246486E-2"/>
                  <c:y val="-0.2353675734946066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layout>
                <c:manualLayout>
                  <c:x val="6.7415543014204757E-2"/>
                  <c:y val="-0.10410639717509659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layout>
                <c:manualLayout>
                  <c:x val="0.12976641868264321"/>
                  <c:y val="-7.617266341260839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4"/>
              <c:layout>
                <c:manualLayout>
                  <c:x val="0.1198373379293253"/>
                  <c:y val="-3.8921458145748755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5"/>
              <c:layout>
                <c:manualLayout>
                  <c:x val="0.17584143183818762"/>
                  <c:y val="0.121583634093366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6"/>
              <c:layout>
                <c:manualLayout>
                  <c:x val="0.13699828293995442"/>
                  <c:y val="0.208529320194818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7"/>
              <c:layout>
                <c:manualLayout>
                  <c:x val="8.7385965166371385E-2"/>
                  <c:y val="0.2703316893158380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8"/>
              <c:layout>
                <c:manualLayout>
                  <c:x val="9.3400342124619405E-4"/>
                  <c:y val="0.2249563188500291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9"/>
              <c:layout>
                <c:manualLayout>
                  <c:x val="-5.3387725675921371E-2"/>
                  <c:y val="7.099151486375054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0"/>
              <c:layout>
                <c:manualLayout>
                  <c:x val="-3.6216932110953906E-2"/>
                  <c:y val="2.39630196662361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1"/>
              <c:layout>
                <c:manualLayout>
                  <c:x val="-0.11865113427345189"/>
                  <c:y val="5.976002767804029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2"/>
              <c:layout>
                <c:manualLayout>
                  <c:x val="-0.11664151423132196"/>
                  <c:y val="-2.71150758968298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3"/>
              <c:layout>
                <c:manualLayout>
                  <c:x val="-0.14362108169955151"/>
                  <c:y val="-9.31901082339740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4"/>
              <c:layout>
                <c:manualLayout>
                  <c:x val="-0.11288245621657804"/>
                  <c:y val="-0.1947242525466132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5"/>
              <c:layout>
                <c:manualLayout>
                  <c:x val="-7.4938551136043585E-2"/>
                  <c:y val="-0.2778783646575183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1" i="0" u="none" strike="noStrike" baseline="0">
                    <a:solidFill>
                      <a:srgbClr val="FF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Lit>
              <c:ptCount val="16"/>
              <c:pt idx="0">
                <c:v>N</c:v>
              </c:pt>
              <c:pt idx="1">
                <c:v>NNE</c:v>
              </c:pt>
              <c:pt idx="2">
                <c:v>NE</c:v>
              </c:pt>
              <c:pt idx="3">
                <c:v>ENE</c:v>
              </c:pt>
              <c:pt idx="4">
                <c:v>E</c:v>
              </c:pt>
              <c:pt idx="5">
                <c:v>ESE</c:v>
              </c:pt>
              <c:pt idx="6">
                <c:v>SE</c:v>
              </c:pt>
              <c:pt idx="7">
                <c:v>SSE</c:v>
              </c:pt>
              <c:pt idx="8">
                <c:v>S</c:v>
              </c:pt>
              <c:pt idx="9">
                <c:v>SSW</c:v>
              </c:pt>
              <c:pt idx="10">
                <c:v>SW</c:v>
              </c:pt>
              <c:pt idx="11">
                <c:v>WSW</c:v>
              </c:pt>
              <c:pt idx="12">
                <c:v>W</c:v>
              </c:pt>
              <c:pt idx="13">
                <c:v>WNW</c:v>
              </c:pt>
              <c:pt idx="14">
                <c:v>NW</c:v>
              </c:pt>
              <c:pt idx="15">
                <c:v>NNW</c:v>
              </c:pt>
            </c:strLit>
          </c:cat>
          <c:val>
            <c:numLit>
              <c:formatCode>General</c:formatCode>
              <c:ptCount val="16"/>
              <c:pt idx="0">
                <c:v>8.9999999999999993E-3</c:v>
              </c:pt>
              <c:pt idx="1">
                <c:v>1.2999999999999999E-2</c:v>
              </c:pt>
              <c:pt idx="2">
                <c:v>0.04</c:v>
              </c:pt>
              <c:pt idx="3">
                <c:v>6.3E-2</c:v>
              </c:pt>
              <c:pt idx="4">
                <c:v>4.2000000000000003E-2</c:v>
              </c:pt>
              <c:pt idx="5">
                <c:v>2.4E-2</c:v>
              </c:pt>
              <c:pt idx="6">
                <c:v>1.6E-2</c:v>
              </c:pt>
              <c:pt idx="7">
                <c:v>1.9E-2</c:v>
              </c:pt>
              <c:pt idx="8">
                <c:v>5.8999999999999997E-2</c:v>
              </c:pt>
              <c:pt idx="9">
                <c:v>0.13900000000000001</c:v>
              </c:pt>
              <c:pt idx="10">
                <c:v>0.13900000000000001</c:v>
              </c:pt>
              <c:pt idx="11">
                <c:v>0.152</c:v>
              </c:pt>
              <c:pt idx="12">
                <c:v>0.13300000000000001</c:v>
              </c:pt>
              <c:pt idx="13">
                <c:v>9.6000000000000002E-2</c:v>
              </c:pt>
              <c:pt idx="14">
                <c:v>3.7999999999999999E-2</c:v>
              </c:pt>
              <c:pt idx="15">
                <c:v>1.7999999999999999E-2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985920"/>
        <c:axId val="128221184"/>
      </c:radarChart>
      <c:catAx>
        <c:axId val="127985920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8221184"/>
        <c:crosses val="autoZero"/>
        <c:auto val="0"/>
        <c:lblAlgn val="ctr"/>
        <c:lblOffset val="100"/>
        <c:noMultiLvlLbl val="0"/>
      </c:catAx>
      <c:valAx>
        <c:axId val="128221184"/>
        <c:scaling>
          <c:orientation val="minMax"/>
          <c:max val="0.16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General" sourceLinked="1"/>
        <c:majorTickMark val="cross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7985920"/>
        <c:crosses val="autoZero"/>
        <c:crossBetween val="between"/>
        <c:majorUnit val="0.05"/>
      </c:valAx>
      <c:spPr>
        <a:solidFill>
          <a:srgbClr val="C0C0C0"/>
        </a:solidFill>
        <a:ln w="25400">
          <a:noFill/>
        </a:ln>
      </c:spPr>
    </c:plotArea>
    <c:plotVisOnly val="1"/>
    <c:dispBlanksAs val="gap"/>
    <c:showDLblsOverMax val="0"/>
  </c:chart>
  <c:spPr>
    <a:solidFill>
      <a:srgbClr val="C0C0C0"/>
    </a:solidFill>
    <a:ln w="3175">
      <a:solidFill>
        <a:srgbClr val="000000"/>
      </a:solidFill>
      <a:prstDash val="solid"/>
    </a:ln>
  </c:spPr>
  <c:txPr>
    <a:bodyPr/>
    <a:lstStyle/>
    <a:p>
      <a:pPr>
        <a:defRPr sz="23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 horizontalDpi="-3" verticalDpi="0"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7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 sz="14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Temperature / °C   </a:t>
            </a:r>
          </a:p>
        </c:rich>
      </c:tx>
      <c:layout>
        <c:manualLayout>
          <c:xMode val="edge"/>
          <c:yMode val="edge"/>
          <c:x val="0.450704353933713"/>
          <c:y val="2.095459837019790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882432125746363E-2"/>
          <c:y val="8.149015109442706E-2"/>
          <c:w val="0.95774676524787983"/>
          <c:h val="0.86845218166346549"/>
        </c:manualLayout>
      </c:layout>
      <c:lineChart>
        <c:grouping val="standard"/>
        <c:varyColors val="0"/>
        <c:ser>
          <c:idx val="0"/>
          <c:order val="0"/>
          <c:tx>
            <c:v>Min</c:v>
          </c:tx>
          <c:spPr>
            <a:ln w="38100">
              <a:solidFill>
                <a:srgbClr val="0000FF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8</c:v>
              </c:pt>
              <c:pt idx="1">
                <c:v>10.1</c:v>
              </c:pt>
              <c:pt idx="2">
                <c:v>12.5</c:v>
              </c:pt>
              <c:pt idx="3">
                <c:v>12.3</c:v>
              </c:pt>
              <c:pt idx="4">
                <c:v>11</c:v>
              </c:pt>
              <c:pt idx="5">
                <c:v>9.4</c:v>
              </c:pt>
              <c:pt idx="6">
                <c:v>10.7</c:v>
              </c:pt>
              <c:pt idx="7">
                <c:v>9.6999999999999993</c:v>
              </c:pt>
              <c:pt idx="8">
                <c:v>9.6999999999999993</c:v>
              </c:pt>
              <c:pt idx="9">
                <c:v>9.1</c:v>
              </c:pt>
              <c:pt idx="10">
                <c:v>8.3000000000000007</c:v>
              </c:pt>
              <c:pt idx="11">
                <c:v>8.5</c:v>
              </c:pt>
              <c:pt idx="12">
                <c:v>13.8</c:v>
              </c:pt>
              <c:pt idx="13">
                <c:v>10.6</c:v>
              </c:pt>
              <c:pt idx="14">
                <c:v>14.9</c:v>
              </c:pt>
              <c:pt idx="15">
                <c:v>10.6</c:v>
              </c:pt>
              <c:pt idx="16">
                <c:v>9.9</c:v>
              </c:pt>
              <c:pt idx="17">
                <c:v>11.2</c:v>
              </c:pt>
              <c:pt idx="18">
                <c:v>11.1</c:v>
              </c:pt>
              <c:pt idx="19">
                <c:v>9.3000000000000007</c:v>
              </c:pt>
              <c:pt idx="20">
                <c:v>14</c:v>
              </c:pt>
              <c:pt idx="21">
                <c:v>12.3</c:v>
              </c:pt>
              <c:pt idx="22">
                <c:v>11.2</c:v>
              </c:pt>
              <c:pt idx="23">
                <c:v>10.5</c:v>
              </c:pt>
              <c:pt idx="24">
                <c:v>11.7</c:v>
              </c:pt>
              <c:pt idx="25">
                <c:v>15.9</c:v>
              </c:pt>
              <c:pt idx="26">
                <c:v>18.2</c:v>
              </c:pt>
              <c:pt idx="27">
                <c:v>14.5</c:v>
              </c:pt>
              <c:pt idx="28">
                <c:v>10.4</c:v>
              </c:pt>
              <c:pt idx="29">
                <c:v>9.3000000000000007</c:v>
              </c:pt>
            </c:numLit>
          </c:val>
          <c:smooth val="0"/>
        </c:ser>
        <c:ser>
          <c:idx val="1"/>
          <c:order val="1"/>
          <c:tx>
            <c:v>Max</c:v>
          </c:tx>
          <c:spPr>
            <a:ln w="38100">
              <a:solidFill>
                <a:srgbClr val="FF6600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993300"/>
              </a:solidFill>
              <a:ln>
                <a:solidFill>
                  <a:srgbClr val="993300"/>
                </a:solidFill>
                <a:prstDash val="solid"/>
              </a:ln>
            </c:spPr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21</c:v>
              </c:pt>
              <c:pt idx="1">
                <c:v>22.7</c:v>
              </c:pt>
              <c:pt idx="2">
                <c:v>24.1</c:v>
              </c:pt>
              <c:pt idx="3">
                <c:v>25.4</c:v>
              </c:pt>
              <c:pt idx="4">
                <c:v>18.600000000000001</c:v>
              </c:pt>
              <c:pt idx="5">
                <c:v>15.4</c:v>
              </c:pt>
              <c:pt idx="6">
                <c:v>19.100000000000001</c:v>
              </c:pt>
              <c:pt idx="7">
                <c:v>18.3</c:v>
              </c:pt>
              <c:pt idx="8">
                <c:v>17.100000000000001</c:v>
              </c:pt>
              <c:pt idx="9">
                <c:v>15.1</c:v>
              </c:pt>
              <c:pt idx="10">
                <c:v>18.8</c:v>
              </c:pt>
              <c:pt idx="11">
                <c:v>14.4</c:v>
              </c:pt>
              <c:pt idx="12">
                <c:v>21.3</c:v>
              </c:pt>
              <c:pt idx="13">
                <c:v>23.4</c:v>
              </c:pt>
              <c:pt idx="14">
                <c:v>20</c:v>
              </c:pt>
              <c:pt idx="15">
                <c:v>17.3</c:v>
              </c:pt>
              <c:pt idx="16">
                <c:v>14.8</c:v>
              </c:pt>
              <c:pt idx="17">
                <c:v>17.5</c:v>
              </c:pt>
              <c:pt idx="18">
                <c:v>18.399999999999999</c:v>
              </c:pt>
              <c:pt idx="19">
                <c:v>20.3</c:v>
              </c:pt>
              <c:pt idx="20">
                <c:v>21.2</c:v>
              </c:pt>
              <c:pt idx="21">
                <c:v>18.100000000000001</c:v>
              </c:pt>
              <c:pt idx="22">
                <c:v>19.2</c:v>
              </c:pt>
              <c:pt idx="23">
                <c:v>19.899999999999999</c:v>
              </c:pt>
              <c:pt idx="24">
                <c:v>23.4</c:v>
              </c:pt>
              <c:pt idx="25">
                <c:v>29.4</c:v>
              </c:pt>
              <c:pt idx="26">
                <c:v>31.9</c:v>
              </c:pt>
              <c:pt idx="27">
                <c:v>20.6</c:v>
              </c:pt>
              <c:pt idx="28">
                <c:v>20.8</c:v>
              </c:pt>
              <c:pt idx="29">
                <c:v>20.5</c:v>
              </c:pt>
            </c:numLit>
          </c:val>
          <c:smooth val="0"/>
        </c:ser>
        <c:ser>
          <c:idx val="7"/>
          <c:order val="2"/>
          <c:tx>
            <c:v>Cumulative Min</c:v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x"/>
            <c:size val="2"/>
            <c:spPr>
              <a:noFill/>
              <a:ln>
                <a:solidFill>
                  <a:srgbClr val="0000FF"/>
                </a:solidFill>
                <a:prstDash val="solid"/>
              </a:ln>
            </c:spPr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8</c:v>
              </c:pt>
              <c:pt idx="1">
                <c:v>9.0500000000000007</c:v>
              </c:pt>
              <c:pt idx="2">
                <c:v>10.200000000000001</c:v>
              </c:pt>
              <c:pt idx="3">
                <c:v>10.725000000000001</c:v>
              </c:pt>
              <c:pt idx="4">
                <c:v>10.780000000000001</c:v>
              </c:pt>
              <c:pt idx="5">
                <c:v>10.55</c:v>
              </c:pt>
              <c:pt idx="6">
                <c:v>10.571428571428571</c:v>
              </c:pt>
              <c:pt idx="7">
                <c:v>10.4625</c:v>
              </c:pt>
              <c:pt idx="8">
                <c:v>10.377777777777778</c:v>
              </c:pt>
              <c:pt idx="9">
                <c:v>10.25</c:v>
              </c:pt>
              <c:pt idx="10">
                <c:v>10.072727272727272</c:v>
              </c:pt>
              <c:pt idx="11">
                <c:v>9.9416666666666664</c:v>
              </c:pt>
              <c:pt idx="12">
                <c:v>10.238461538461538</c:v>
              </c:pt>
              <c:pt idx="13">
                <c:v>10.264285714285714</c:v>
              </c:pt>
              <c:pt idx="14">
                <c:v>10.573333333333332</c:v>
              </c:pt>
              <c:pt idx="15">
                <c:v>10.574999999999999</c:v>
              </c:pt>
              <c:pt idx="16">
                <c:v>10.535294117647059</c:v>
              </c:pt>
              <c:pt idx="17">
                <c:v>10.572222222222221</c:v>
              </c:pt>
              <c:pt idx="18">
                <c:v>10.6</c:v>
              </c:pt>
              <c:pt idx="19">
                <c:v>10.535</c:v>
              </c:pt>
              <c:pt idx="20">
                <c:v>10.7</c:v>
              </c:pt>
              <c:pt idx="21">
                <c:v>10.772727272727273</c:v>
              </c:pt>
              <c:pt idx="22">
                <c:v>10.791304347826086</c:v>
              </c:pt>
              <c:pt idx="23">
                <c:v>10.779166666666667</c:v>
              </c:pt>
              <c:pt idx="24">
                <c:v>10.815999999999999</c:v>
              </c:pt>
              <c:pt idx="25">
                <c:v>11.011538461538461</c:v>
              </c:pt>
              <c:pt idx="26">
                <c:v>11.277777777777775</c:v>
              </c:pt>
              <c:pt idx="27">
                <c:v>11.392857142857141</c:v>
              </c:pt>
              <c:pt idx="28">
                <c:v>11.35862068965517</c:v>
              </c:pt>
              <c:pt idx="29">
                <c:v>11.289999999999997</c:v>
              </c:pt>
            </c:numLit>
          </c:val>
          <c:smooth val="0"/>
        </c:ser>
        <c:ser>
          <c:idx val="6"/>
          <c:order val="3"/>
          <c:tx>
            <c:v>Cumulative Max</c:v>
          </c:tx>
          <c:spPr>
            <a:ln w="12700">
              <a:solidFill>
                <a:srgbClr val="FF9900"/>
              </a:solidFill>
              <a:prstDash val="solid"/>
            </a:ln>
          </c:spPr>
          <c:marker>
            <c:symbol val="plus"/>
            <c:size val="2"/>
            <c:spPr>
              <a:noFill/>
              <a:ln>
                <a:solidFill>
                  <a:srgbClr val="FF6600"/>
                </a:solidFill>
                <a:prstDash val="solid"/>
              </a:ln>
            </c:spPr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21</c:v>
              </c:pt>
              <c:pt idx="1">
                <c:v>21.85</c:v>
              </c:pt>
              <c:pt idx="2">
                <c:v>22.600000000000005</c:v>
              </c:pt>
              <c:pt idx="3">
                <c:v>23.300000000000004</c:v>
              </c:pt>
              <c:pt idx="4">
                <c:v>22.360000000000003</c:v>
              </c:pt>
              <c:pt idx="5">
                <c:v>21.200000000000003</c:v>
              </c:pt>
              <c:pt idx="6">
                <c:v>20.900000000000002</c:v>
              </c:pt>
              <c:pt idx="7">
                <c:v>20.575000000000003</c:v>
              </c:pt>
              <c:pt idx="8">
                <c:v>20.18888888888889</c:v>
              </c:pt>
              <c:pt idx="9">
                <c:v>19.68</c:v>
              </c:pt>
              <c:pt idx="10">
                <c:v>19.600000000000001</c:v>
              </c:pt>
              <c:pt idx="11">
                <c:v>19.166666666666668</c:v>
              </c:pt>
              <c:pt idx="12">
                <c:v>19.330769230769235</c:v>
              </c:pt>
              <c:pt idx="13">
                <c:v>19.621428571428574</c:v>
              </c:pt>
              <c:pt idx="14">
                <c:v>19.646666666666668</c:v>
              </c:pt>
              <c:pt idx="15">
                <c:v>19.500000000000004</c:v>
              </c:pt>
              <c:pt idx="16">
                <c:v>19.223529411764709</c:v>
              </c:pt>
              <c:pt idx="17">
                <c:v>19.12777777777778</c:v>
              </c:pt>
              <c:pt idx="18">
                <c:v>19.089473684210528</c:v>
              </c:pt>
              <c:pt idx="19">
                <c:v>19.150000000000002</c:v>
              </c:pt>
              <c:pt idx="20">
                <c:v>19.24761904761905</c:v>
              </c:pt>
              <c:pt idx="21">
                <c:v>19.195454545454549</c:v>
              </c:pt>
              <c:pt idx="22">
                <c:v>19.195652173913047</c:v>
              </c:pt>
              <c:pt idx="23">
                <c:v>19.225000000000001</c:v>
              </c:pt>
              <c:pt idx="24">
                <c:v>19.391999999999999</c:v>
              </c:pt>
              <c:pt idx="25">
                <c:v>19.776923076923079</c:v>
              </c:pt>
              <c:pt idx="26">
                <c:v>20.225925925925928</c:v>
              </c:pt>
              <c:pt idx="27">
                <c:v>20.239285714285717</c:v>
              </c:pt>
              <c:pt idx="28">
                <c:v>20.258620689655171</c:v>
              </c:pt>
              <c:pt idx="29">
                <c:v>20.266666666666666</c:v>
              </c:pt>
            </c:numLit>
          </c:val>
          <c:smooth val="0"/>
        </c:ser>
        <c:ser>
          <c:idx val="9"/>
          <c:order val="6"/>
          <c:tx>
            <c:v>E (Min)</c:v>
          </c:tx>
          <c:spPr>
            <a:ln w="25400">
              <a:solidFill>
                <a:srgbClr val="00CCFF"/>
              </a:solidFill>
              <a:prstDash val="lgDash"/>
            </a:ln>
          </c:spPr>
          <c:marker>
            <c:symbol val="star"/>
            <c:size val="2"/>
            <c:spPr>
              <a:noFill/>
              <a:ln>
                <a:solidFill>
                  <a:srgbClr val="000080"/>
                </a:solidFill>
                <a:prstDash val="solid"/>
              </a:ln>
            </c:spPr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11.1</c:v>
              </c:pt>
              <c:pt idx="1">
                <c:v>11.1</c:v>
              </c:pt>
              <c:pt idx="2">
                <c:v>11.1</c:v>
              </c:pt>
              <c:pt idx="3">
                <c:v>11.1</c:v>
              </c:pt>
              <c:pt idx="4">
                <c:v>11.1</c:v>
              </c:pt>
              <c:pt idx="5">
                <c:v>11.1</c:v>
              </c:pt>
              <c:pt idx="6">
                <c:v>11.1</c:v>
              </c:pt>
              <c:pt idx="7">
                <c:v>11.1</c:v>
              </c:pt>
              <c:pt idx="8">
                <c:v>11.1</c:v>
              </c:pt>
              <c:pt idx="9">
                <c:v>11.1</c:v>
              </c:pt>
              <c:pt idx="10">
                <c:v>11.1</c:v>
              </c:pt>
              <c:pt idx="11">
                <c:v>11.1</c:v>
              </c:pt>
              <c:pt idx="12">
                <c:v>11.1</c:v>
              </c:pt>
              <c:pt idx="13">
                <c:v>11.1</c:v>
              </c:pt>
              <c:pt idx="14">
                <c:v>11.1</c:v>
              </c:pt>
              <c:pt idx="15">
                <c:v>11.1</c:v>
              </c:pt>
              <c:pt idx="16">
                <c:v>11.1</c:v>
              </c:pt>
              <c:pt idx="17">
                <c:v>11.1</c:v>
              </c:pt>
              <c:pt idx="18">
                <c:v>11.1</c:v>
              </c:pt>
              <c:pt idx="19">
                <c:v>11.1</c:v>
              </c:pt>
              <c:pt idx="20">
                <c:v>11.1</c:v>
              </c:pt>
              <c:pt idx="21">
                <c:v>11.1</c:v>
              </c:pt>
              <c:pt idx="22">
                <c:v>11.1</c:v>
              </c:pt>
              <c:pt idx="23">
                <c:v>11.1</c:v>
              </c:pt>
              <c:pt idx="24">
                <c:v>11.1</c:v>
              </c:pt>
              <c:pt idx="25">
                <c:v>11.1</c:v>
              </c:pt>
              <c:pt idx="26">
                <c:v>11.1</c:v>
              </c:pt>
              <c:pt idx="27">
                <c:v>11.1</c:v>
              </c:pt>
              <c:pt idx="28">
                <c:v>11.1</c:v>
              </c:pt>
              <c:pt idx="29">
                <c:v>11.1</c:v>
              </c:pt>
            </c:numLit>
          </c:val>
          <c:smooth val="0"/>
        </c:ser>
        <c:ser>
          <c:idx val="8"/>
          <c:order val="7"/>
          <c:tx>
            <c:v>E (Max)</c:v>
          </c:tx>
          <c:spPr>
            <a:ln w="25400">
              <a:solidFill>
                <a:srgbClr val="FFCC00"/>
              </a:solidFill>
              <a:prstDash val="lgDash"/>
            </a:ln>
          </c:spPr>
          <c:marker>
            <c:symbol val="diamond"/>
            <c:size val="2"/>
            <c:spPr>
              <a:noFill/>
              <a:ln>
                <a:solidFill>
                  <a:srgbClr val="FFCC00"/>
                </a:solidFill>
                <a:prstDash val="solid"/>
              </a:ln>
            </c:spPr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20.2</c:v>
              </c:pt>
              <c:pt idx="1">
                <c:v>20.2</c:v>
              </c:pt>
              <c:pt idx="2">
                <c:v>20.2</c:v>
              </c:pt>
              <c:pt idx="3">
                <c:v>20.2</c:v>
              </c:pt>
              <c:pt idx="4">
                <c:v>20.2</c:v>
              </c:pt>
              <c:pt idx="5">
                <c:v>20.2</c:v>
              </c:pt>
              <c:pt idx="6">
                <c:v>20.2</c:v>
              </c:pt>
              <c:pt idx="7">
                <c:v>20.2</c:v>
              </c:pt>
              <c:pt idx="8">
                <c:v>20.2</c:v>
              </c:pt>
              <c:pt idx="9">
                <c:v>20.2</c:v>
              </c:pt>
              <c:pt idx="10">
                <c:v>20.2</c:v>
              </c:pt>
              <c:pt idx="11">
                <c:v>20.2</c:v>
              </c:pt>
              <c:pt idx="12">
                <c:v>20.2</c:v>
              </c:pt>
              <c:pt idx="13">
                <c:v>20.2</c:v>
              </c:pt>
              <c:pt idx="14">
                <c:v>20.2</c:v>
              </c:pt>
              <c:pt idx="15">
                <c:v>20.2</c:v>
              </c:pt>
              <c:pt idx="16">
                <c:v>20.2</c:v>
              </c:pt>
              <c:pt idx="17">
                <c:v>20.2</c:v>
              </c:pt>
              <c:pt idx="18">
                <c:v>20.2</c:v>
              </c:pt>
              <c:pt idx="19">
                <c:v>20.2</c:v>
              </c:pt>
              <c:pt idx="20">
                <c:v>20.2</c:v>
              </c:pt>
              <c:pt idx="21">
                <c:v>20.2</c:v>
              </c:pt>
              <c:pt idx="22">
                <c:v>20.2</c:v>
              </c:pt>
              <c:pt idx="23">
                <c:v>20.2</c:v>
              </c:pt>
              <c:pt idx="24">
                <c:v>20.2</c:v>
              </c:pt>
              <c:pt idx="25">
                <c:v>20.2</c:v>
              </c:pt>
              <c:pt idx="26">
                <c:v>20.2</c:v>
              </c:pt>
              <c:pt idx="27">
                <c:v>20.2</c:v>
              </c:pt>
              <c:pt idx="28">
                <c:v>20.2</c:v>
              </c:pt>
              <c:pt idx="29">
                <c:v>20.2</c:v>
              </c:pt>
            </c:numLit>
          </c:val>
          <c:smooth val="0"/>
        </c:ser>
        <c:ser>
          <c:idx val="4"/>
          <c:order val="8"/>
          <c:tx>
            <c:v>E (Mean)</c:v>
          </c:tx>
          <c:spPr>
            <a:ln w="25400">
              <a:solidFill>
                <a:srgbClr val="CC99FF"/>
              </a:solidFill>
              <a:prstDash val="lgDash"/>
            </a:ln>
          </c:spPr>
          <c:marker>
            <c:symbol val="square"/>
            <c:size val="2"/>
            <c:spPr>
              <a:noFill/>
              <a:ln w="9525">
                <a:noFill/>
              </a:ln>
            </c:spPr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15.649999999999999</c:v>
              </c:pt>
              <c:pt idx="1">
                <c:v>15.649999999999999</c:v>
              </c:pt>
              <c:pt idx="2">
                <c:v>15.649999999999999</c:v>
              </c:pt>
              <c:pt idx="3">
                <c:v>15.649999999999999</c:v>
              </c:pt>
              <c:pt idx="4">
                <c:v>15.649999999999999</c:v>
              </c:pt>
              <c:pt idx="5">
                <c:v>15.649999999999999</c:v>
              </c:pt>
              <c:pt idx="6">
                <c:v>15.649999999999999</c:v>
              </c:pt>
              <c:pt idx="7">
                <c:v>15.649999999999999</c:v>
              </c:pt>
              <c:pt idx="8">
                <c:v>15.649999999999999</c:v>
              </c:pt>
              <c:pt idx="9">
                <c:v>15.649999999999999</c:v>
              </c:pt>
              <c:pt idx="10">
                <c:v>15.649999999999999</c:v>
              </c:pt>
              <c:pt idx="11">
                <c:v>15.649999999999999</c:v>
              </c:pt>
              <c:pt idx="12">
                <c:v>15.649999999999999</c:v>
              </c:pt>
              <c:pt idx="13">
                <c:v>15.649999999999999</c:v>
              </c:pt>
              <c:pt idx="14">
                <c:v>15.649999999999999</c:v>
              </c:pt>
              <c:pt idx="15">
                <c:v>15.649999999999999</c:v>
              </c:pt>
              <c:pt idx="16">
                <c:v>15.649999999999999</c:v>
              </c:pt>
              <c:pt idx="17">
                <c:v>15.649999999999999</c:v>
              </c:pt>
              <c:pt idx="18">
                <c:v>15.649999999999999</c:v>
              </c:pt>
              <c:pt idx="19">
                <c:v>15.649999999999999</c:v>
              </c:pt>
              <c:pt idx="20">
                <c:v>15.649999999999999</c:v>
              </c:pt>
              <c:pt idx="21">
                <c:v>15.649999999999999</c:v>
              </c:pt>
              <c:pt idx="22">
                <c:v>15.649999999999999</c:v>
              </c:pt>
              <c:pt idx="23">
                <c:v>15.649999999999999</c:v>
              </c:pt>
              <c:pt idx="24">
                <c:v>15.649999999999999</c:v>
              </c:pt>
              <c:pt idx="25">
                <c:v>15.649999999999999</c:v>
              </c:pt>
              <c:pt idx="26">
                <c:v>15.649999999999999</c:v>
              </c:pt>
              <c:pt idx="27">
                <c:v>15.649999999999999</c:v>
              </c:pt>
              <c:pt idx="28">
                <c:v>15.649999999999999</c:v>
              </c:pt>
              <c:pt idx="29">
                <c:v>15.649999999999999</c:v>
              </c:pt>
            </c:numLit>
          </c:val>
          <c:smooth val="1"/>
        </c:ser>
        <c:ser>
          <c:idx val="14"/>
          <c:order val="10"/>
          <c:tx>
            <c:v>Freezing Level</c:v>
          </c:tx>
          <c:spPr>
            <a:ln w="38100">
              <a:solidFill>
                <a:srgbClr val="000080"/>
              </a:solidFill>
              <a:prstDash val="sysDash"/>
            </a:ln>
          </c:spPr>
          <c:marker>
            <c:symbol val="none"/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044992"/>
        <c:axId val="41083648"/>
      </c:lineChart>
      <c:lineChart>
        <c:grouping val="standard"/>
        <c:varyColors val="0"/>
        <c:ser>
          <c:idx val="3"/>
          <c:order val="4"/>
          <c:tx>
            <c:v>Range</c:v>
          </c:tx>
          <c:spPr>
            <a:ln w="38100">
              <a:solidFill>
                <a:srgbClr val="339966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13</c:v>
              </c:pt>
              <c:pt idx="1">
                <c:v>12.6</c:v>
              </c:pt>
              <c:pt idx="2">
                <c:v>11.600000000000001</c:v>
              </c:pt>
              <c:pt idx="3">
                <c:v>13.099999999999998</c:v>
              </c:pt>
              <c:pt idx="4">
                <c:v>7.6000000000000014</c:v>
              </c:pt>
              <c:pt idx="5">
                <c:v>6</c:v>
              </c:pt>
              <c:pt idx="6">
                <c:v>8.4000000000000021</c:v>
              </c:pt>
              <c:pt idx="7">
                <c:v>8.6000000000000014</c:v>
              </c:pt>
              <c:pt idx="8">
                <c:v>7.4000000000000021</c:v>
              </c:pt>
              <c:pt idx="9">
                <c:v>6</c:v>
              </c:pt>
              <c:pt idx="10">
                <c:v>10.5</c:v>
              </c:pt>
              <c:pt idx="11">
                <c:v>5.9</c:v>
              </c:pt>
              <c:pt idx="12">
                <c:v>7.5</c:v>
              </c:pt>
              <c:pt idx="13">
                <c:v>12.799999999999999</c:v>
              </c:pt>
              <c:pt idx="14">
                <c:v>5.0999999999999996</c:v>
              </c:pt>
              <c:pt idx="15">
                <c:v>6.7000000000000011</c:v>
              </c:pt>
              <c:pt idx="16">
                <c:v>4.9000000000000004</c:v>
              </c:pt>
              <c:pt idx="17">
                <c:v>6.3000000000000007</c:v>
              </c:pt>
              <c:pt idx="18">
                <c:v>7.2999999999999989</c:v>
              </c:pt>
              <c:pt idx="19">
                <c:v>11</c:v>
              </c:pt>
              <c:pt idx="20">
                <c:v>7.1999999999999993</c:v>
              </c:pt>
              <c:pt idx="21">
                <c:v>5.8000000000000007</c:v>
              </c:pt>
              <c:pt idx="22">
                <c:v>8</c:v>
              </c:pt>
              <c:pt idx="23">
                <c:v>9.3999999999999986</c:v>
              </c:pt>
              <c:pt idx="24">
                <c:v>11.7</c:v>
              </c:pt>
              <c:pt idx="25">
                <c:v>13.499999999999998</c:v>
              </c:pt>
              <c:pt idx="26">
                <c:v>13.7</c:v>
              </c:pt>
              <c:pt idx="27">
                <c:v>6.1000000000000014</c:v>
              </c:pt>
              <c:pt idx="28">
                <c:v>10.4</c:v>
              </c:pt>
              <c:pt idx="29">
                <c:v>11.2</c:v>
              </c:pt>
            </c:numLit>
          </c:val>
          <c:smooth val="0"/>
        </c:ser>
        <c:ser>
          <c:idx val="12"/>
          <c:order val="5"/>
          <c:tx>
            <c:v>Cumulative Range</c:v>
          </c:tx>
          <c:spPr>
            <a:ln w="12700">
              <a:solidFill>
                <a:srgbClr val="008000"/>
              </a:solidFill>
              <a:prstDash val="solid"/>
            </a:ln>
          </c:spPr>
          <c:marker>
            <c:symbol val="none"/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13</c:v>
              </c:pt>
              <c:pt idx="1">
                <c:v>12.8</c:v>
              </c:pt>
              <c:pt idx="2">
                <c:v>12.4</c:v>
              </c:pt>
              <c:pt idx="3">
                <c:v>12.574999999999999</c:v>
              </c:pt>
              <c:pt idx="4">
                <c:v>11.58</c:v>
              </c:pt>
              <c:pt idx="5">
                <c:v>10.65</c:v>
              </c:pt>
              <c:pt idx="6">
                <c:v>10.328571428571427</c:v>
              </c:pt>
              <c:pt idx="7">
                <c:v>10.112500000000001</c:v>
              </c:pt>
              <c:pt idx="8">
                <c:v>9.8111111111111118</c:v>
              </c:pt>
              <c:pt idx="9">
                <c:v>9.4300000000000015</c:v>
              </c:pt>
              <c:pt idx="10">
                <c:v>9.5272727272727291</c:v>
              </c:pt>
              <c:pt idx="11">
                <c:v>9.2250000000000014</c:v>
              </c:pt>
              <c:pt idx="12">
                <c:v>9.0923076923076938</c:v>
              </c:pt>
              <c:pt idx="13">
                <c:v>9.3571428571428594</c:v>
              </c:pt>
              <c:pt idx="14">
                <c:v>9.0733333333333341</c:v>
              </c:pt>
              <c:pt idx="15">
                <c:v>8.9250000000000007</c:v>
              </c:pt>
              <c:pt idx="16">
                <c:v>8.6882352941176482</c:v>
              </c:pt>
              <c:pt idx="17">
                <c:v>8.5555555555555571</c:v>
              </c:pt>
              <c:pt idx="18">
                <c:v>8.4894736842105285</c:v>
              </c:pt>
              <c:pt idx="19">
                <c:v>8.615000000000002</c:v>
              </c:pt>
              <c:pt idx="20">
                <c:v>8.5476190476190492</c:v>
              </c:pt>
              <c:pt idx="21">
                <c:v>8.4227272727272737</c:v>
              </c:pt>
              <c:pt idx="22">
                <c:v>8.4043478260869584</c:v>
              </c:pt>
              <c:pt idx="23">
                <c:v>8.4458333333333346</c:v>
              </c:pt>
              <c:pt idx="24">
                <c:v>8.5760000000000005</c:v>
              </c:pt>
              <c:pt idx="25">
                <c:v>8.7653846153846171</c:v>
              </c:pt>
              <c:pt idx="26">
                <c:v>8.9481481481481495</c:v>
              </c:pt>
              <c:pt idx="27">
                <c:v>8.8464285714285715</c:v>
              </c:pt>
              <c:pt idx="28">
                <c:v>8.9</c:v>
              </c:pt>
              <c:pt idx="29">
                <c:v>8.9766666666666666</c:v>
              </c:pt>
            </c:numLit>
          </c:val>
          <c:smooth val="0"/>
        </c:ser>
        <c:ser>
          <c:idx val="11"/>
          <c:order val="9"/>
          <c:tx>
            <c:v>E (Range)</c:v>
          </c:tx>
          <c:spPr>
            <a:ln w="25400">
              <a:solidFill>
                <a:srgbClr val="00FF00"/>
              </a:solidFill>
              <a:prstDash val="lgDash"/>
            </a:ln>
          </c:spPr>
          <c:marker>
            <c:symbol val="none"/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9.1</c:v>
              </c:pt>
              <c:pt idx="1">
                <c:v>9.1</c:v>
              </c:pt>
              <c:pt idx="2">
                <c:v>9.1</c:v>
              </c:pt>
              <c:pt idx="3">
                <c:v>9.1</c:v>
              </c:pt>
              <c:pt idx="4">
                <c:v>9.1</c:v>
              </c:pt>
              <c:pt idx="5">
                <c:v>9.1</c:v>
              </c:pt>
              <c:pt idx="6">
                <c:v>9.1</c:v>
              </c:pt>
              <c:pt idx="7">
                <c:v>9.1</c:v>
              </c:pt>
              <c:pt idx="8">
                <c:v>9.1</c:v>
              </c:pt>
              <c:pt idx="9">
                <c:v>9.1</c:v>
              </c:pt>
              <c:pt idx="10">
                <c:v>9.1</c:v>
              </c:pt>
              <c:pt idx="11">
                <c:v>9.1</c:v>
              </c:pt>
              <c:pt idx="12">
                <c:v>9.1</c:v>
              </c:pt>
              <c:pt idx="13">
                <c:v>9.1</c:v>
              </c:pt>
              <c:pt idx="14">
                <c:v>9.1</c:v>
              </c:pt>
              <c:pt idx="15">
                <c:v>9.1</c:v>
              </c:pt>
              <c:pt idx="16">
                <c:v>9.1</c:v>
              </c:pt>
              <c:pt idx="17">
                <c:v>9.1</c:v>
              </c:pt>
              <c:pt idx="18">
                <c:v>9.1</c:v>
              </c:pt>
              <c:pt idx="19">
                <c:v>9.1</c:v>
              </c:pt>
              <c:pt idx="20">
                <c:v>9.1</c:v>
              </c:pt>
              <c:pt idx="21">
                <c:v>9.1</c:v>
              </c:pt>
              <c:pt idx="22">
                <c:v>9.1</c:v>
              </c:pt>
              <c:pt idx="23">
                <c:v>9.1</c:v>
              </c:pt>
              <c:pt idx="24">
                <c:v>9.1</c:v>
              </c:pt>
              <c:pt idx="25">
                <c:v>9.1</c:v>
              </c:pt>
              <c:pt idx="26">
                <c:v>9.1</c:v>
              </c:pt>
              <c:pt idx="27">
                <c:v>9.1</c:v>
              </c:pt>
              <c:pt idx="28">
                <c:v>9.1</c:v>
              </c:pt>
              <c:pt idx="29">
                <c:v>9.1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085184"/>
        <c:axId val="41095168"/>
      </c:lineChart>
      <c:catAx>
        <c:axId val="410449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1083648"/>
        <c:crossesAt val="-10"/>
        <c:auto val="1"/>
        <c:lblAlgn val="ctr"/>
        <c:lblOffset val="100"/>
        <c:tickLblSkip val="1"/>
        <c:tickMarkSkip val="1"/>
        <c:noMultiLvlLbl val="0"/>
      </c:catAx>
      <c:valAx>
        <c:axId val="41083648"/>
        <c:scaling>
          <c:orientation val="minMax"/>
          <c:max val="32"/>
          <c:min val="0"/>
        </c:scaling>
        <c:delete val="0"/>
        <c:axPos val="l"/>
        <c:majorGridlines>
          <c:spPr>
            <a:ln w="12700">
              <a:solidFill>
                <a:srgbClr val="333333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1044992"/>
        <c:crosses val="autoZero"/>
        <c:crossBetween val="between"/>
        <c:majorUnit val="5"/>
      </c:valAx>
      <c:catAx>
        <c:axId val="410851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1095168"/>
        <c:crosses val="autoZero"/>
        <c:auto val="1"/>
        <c:lblAlgn val="ctr"/>
        <c:lblOffset val="100"/>
        <c:noMultiLvlLbl val="0"/>
      </c:catAx>
      <c:valAx>
        <c:axId val="41095168"/>
        <c:scaling>
          <c:orientation val="minMax"/>
          <c:max val="60"/>
          <c:min val="0"/>
        </c:scaling>
        <c:delete val="0"/>
        <c:axPos val="r"/>
        <c:numFmt formatCode="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1085184"/>
        <c:crosses val="max"/>
        <c:crossBetween val="between"/>
        <c:majorUnit val="10"/>
      </c:valAx>
      <c:spPr>
        <a:solidFill>
          <a:srgbClr val="969696"/>
        </a:solidFill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7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 horizontalDpi="-3"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Relative Humidity / %</a:t>
            </a:r>
          </a:p>
        </c:rich>
      </c:tx>
      <c:layout>
        <c:manualLayout>
          <c:xMode val="edge"/>
          <c:yMode val="edge"/>
          <c:x val="0.44022072348252606"/>
          <c:y val="2.555168408826945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429797670141016E-2"/>
          <c:y val="9.6399644762227746E-2"/>
          <c:w val="0.94788473329245859"/>
          <c:h val="0.85365950482213726"/>
        </c:manualLayout>
      </c:layout>
      <c:lineChart>
        <c:grouping val="standard"/>
        <c:varyColors val="0"/>
        <c:ser>
          <c:idx val="2"/>
          <c:order val="0"/>
          <c:tx>
            <c:v>Max</c:v>
          </c:tx>
          <c:spPr>
            <a:ln w="38100">
              <a:solidFill>
                <a:srgbClr val="008000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003300"/>
              </a:solidFill>
              <a:ln>
                <a:solidFill>
                  <a:srgbClr val="003300"/>
                </a:solidFill>
                <a:prstDash val="solid"/>
              </a:ln>
            </c:spPr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75</c:v>
              </c:pt>
              <c:pt idx="1">
                <c:v>89</c:v>
              </c:pt>
              <c:pt idx="2">
                <c:v>84</c:v>
              </c:pt>
              <c:pt idx="3">
                <c:v>85</c:v>
              </c:pt>
              <c:pt idx="4">
                <c:v>91</c:v>
              </c:pt>
              <c:pt idx="5">
                <c:v>95</c:v>
              </c:pt>
              <c:pt idx="6">
                <c:v>84</c:v>
              </c:pt>
              <c:pt idx="7">
                <c:v>79</c:v>
              </c:pt>
              <c:pt idx="8">
                <c:v>77</c:v>
              </c:pt>
              <c:pt idx="9">
                <c:v>86</c:v>
              </c:pt>
              <c:pt idx="10">
                <c:v>93</c:v>
              </c:pt>
              <c:pt idx="11">
                <c:v>94</c:v>
              </c:pt>
              <c:pt idx="12">
                <c:v>95</c:v>
              </c:pt>
              <c:pt idx="13">
                <c:v>80</c:v>
              </c:pt>
              <c:pt idx="14">
                <c:v>83</c:v>
              </c:pt>
              <c:pt idx="15">
                <c:v>90</c:v>
              </c:pt>
              <c:pt idx="16">
                <c:v>95</c:v>
              </c:pt>
              <c:pt idx="17">
                <c:v>95</c:v>
              </c:pt>
              <c:pt idx="18">
                <c:v>85</c:v>
              </c:pt>
              <c:pt idx="19">
                <c:v>90</c:v>
              </c:pt>
              <c:pt idx="20">
                <c:v>91</c:v>
              </c:pt>
              <c:pt idx="21">
                <c:v>89</c:v>
              </c:pt>
              <c:pt idx="22">
                <c:v>86</c:v>
              </c:pt>
              <c:pt idx="23">
                <c:v>83</c:v>
              </c:pt>
              <c:pt idx="24">
                <c:v>95</c:v>
              </c:pt>
              <c:pt idx="25">
                <c:v>88</c:v>
              </c:pt>
              <c:pt idx="26">
                <c:v>85</c:v>
              </c:pt>
              <c:pt idx="27">
                <c:v>92</c:v>
              </c:pt>
              <c:pt idx="28">
                <c:v>77</c:v>
              </c:pt>
              <c:pt idx="29">
                <c:v>78</c:v>
              </c:pt>
            </c:numLit>
          </c:val>
          <c:smooth val="0"/>
        </c:ser>
        <c:ser>
          <c:idx val="1"/>
          <c:order val="1"/>
          <c:tx>
            <c:v>Min</c:v>
          </c:tx>
          <c:spPr>
            <a:ln w="38100">
              <a:solidFill>
                <a:srgbClr val="FF9900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FF6600"/>
              </a:solidFill>
              <a:ln>
                <a:solidFill>
                  <a:srgbClr val="FF6600"/>
                </a:solidFill>
                <a:prstDash val="solid"/>
              </a:ln>
            </c:spPr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36</c:v>
              </c:pt>
              <c:pt idx="1">
                <c:v>48</c:v>
              </c:pt>
              <c:pt idx="2">
                <c:v>39</c:v>
              </c:pt>
              <c:pt idx="3">
                <c:v>41</c:v>
              </c:pt>
              <c:pt idx="4">
                <c:v>58</c:v>
              </c:pt>
              <c:pt idx="5">
                <c:v>66</c:v>
              </c:pt>
              <c:pt idx="6">
                <c:v>42</c:v>
              </c:pt>
              <c:pt idx="7">
                <c:v>46</c:v>
              </c:pt>
              <c:pt idx="8">
                <c:v>47</c:v>
              </c:pt>
              <c:pt idx="9">
                <c:v>52</c:v>
              </c:pt>
              <c:pt idx="10">
                <c:v>34</c:v>
              </c:pt>
              <c:pt idx="11">
                <c:v>67</c:v>
              </c:pt>
              <c:pt idx="12">
                <c:v>49</c:v>
              </c:pt>
              <c:pt idx="13">
                <c:v>36</c:v>
              </c:pt>
              <c:pt idx="14">
                <c:v>62</c:v>
              </c:pt>
              <c:pt idx="15">
                <c:v>52</c:v>
              </c:pt>
              <c:pt idx="16">
                <c:v>72</c:v>
              </c:pt>
              <c:pt idx="17">
                <c:v>54</c:v>
              </c:pt>
              <c:pt idx="18">
                <c:v>44</c:v>
              </c:pt>
              <c:pt idx="19">
                <c:v>54</c:v>
              </c:pt>
              <c:pt idx="20">
                <c:v>45</c:v>
              </c:pt>
              <c:pt idx="21">
                <c:v>64</c:v>
              </c:pt>
              <c:pt idx="22">
                <c:v>46</c:v>
              </c:pt>
              <c:pt idx="23">
                <c:v>37</c:v>
              </c:pt>
              <c:pt idx="24">
                <c:v>58</c:v>
              </c:pt>
              <c:pt idx="25">
                <c:v>42</c:v>
              </c:pt>
              <c:pt idx="26">
                <c:v>31</c:v>
              </c:pt>
              <c:pt idx="27">
                <c:v>68</c:v>
              </c:pt>
              <c:pt idx="28">
                <c:v>36</c:v>
              </c:pt>
              <c:pt idx="29">
                <c:v>38</c:v>
              </c:pt>
            </c:numLit>
          </c:val>
          <c:smooth val="0"/>
        </c:ser>
        <c:ser>
          <c:idx val="3"/>
          <c:order val="2"/>
          <c:tx>
            <c:v>Mean</c:v>
          </c:tx>
          <c:spPr>
            <a:ln w="38100">
              <a:solidFill>
                <a:srgbClr val="993366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800080"/>
              </a:solidFill>
              <a:ln>
                <a:solidFill>
                  <a:srgbClr val="800080"/>
                </a:solidFill>
                <a:prstDash val="solid"/>
              </a:ln>
            </c:spPr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58</c:v>
              </c:pt>
              <c:pt idx="1">
                <c:v>65</c:v>
              </c:pt>
              <c:pt idx="2">
                <c:v>60</c:v>
              </c:pt>
              <c:pt idx="3">
                <c:v>64</c:v>
              </c:pt>
              <c:pt idx="4">
                <c:v>75</c:v>
              </c:pt>
              <c:pt idx="5">
                <c:v>83</c:v>
              </c:pt>
              <c:pt idx="6">
                <c:v>61</c:v>
              </c:pt>
              <c:pt idx="7">
                <c:v>66</c:v>
              </c:pt>
              <c:pt idx="8">
                <c:v>62</c:v>
              </c:pt>
              <c:pt idx="9">
                <c:v>71</c:v>
              </c:pt>
              <c:pt idx="10">
                <c:v>63</c:v>
              </c:pt>
              <c:pt idx="11">
                <c:v>80</c:v>
              </c:pt>
              <c:pt idx="12">
                <c:v>75</c:v>
              </c:pt>
              <c:pt idx="13">
                <c:v>58</c:v>
              </c:pt>
              <c:pt idx="14">
                <c:v>72</c:v>
              </c:pt>
              <c:pt idx="15">
                <c:v>78</c:v>
              </c:pt>
              <c:pt idx="16">
                <c:v>86</c:v>
              </c:pt>
              <c:pt idx="17">
                <c:v>76</c:v>
              </c:pt>
              <c:pt idx="18">
                <c:v>64</c:v>
              </c:pt>
              <c:pt idx="19">
                <c:v>73</c:v>
              </c:pt>
              <c:pt idx="20">
                <c:v>69</c:v>
              </c:pt>
              <c:pt idx="21">
                <c:v>73</c:v>
              </c:pt>
              <c:pt idx="22">
                <c:v>64</c:v>
              </c:pt>
              <c:pt idx="23">
                <c:v>62</c:v>
              </c:pt>
              <c:pt idx="24">
                <c:v>80</c:v>
              </c:pt>
              <c:pt idx="25">
                <c:v>66</c:v>
              </c:pt>
              <c:pt idx="26">
                <c:v>57</c:v>
              </c:pt>
              <c:pt idx="27">
                <c:v>82</c:v>
              </c:pt>
              <c:pt idx="28">
                <c:v>54</c:v>
              </c:pt>
              <c:pt idx="29">
                <c:v>56</c:v>
              </c:pt>
            </c:numLit>
          </c:val>
          <c:smooth val="0"/>
        </c:ser>
        <c:ser>
          <c:idx val="5"/>
          <c:order val="5"/>
          <c:tx>
            <c:v>Cumulative Mean</c:v>
          </c:tx>
          <c:spPr>
            <a:ln w="12700">
              <a:solidFill>
                <a:srgbClr val="CC99FF"/>
              </a:solidFill>
              <a:prstDash val="solid"/>
            </a:ln>
          </c:spPr>
          <c:marker>
            <c:symbol val="none"/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58</c:v>
              </c:pt>
              <c:pt idx="1">
                <c:v>61.5</c:v>
              </c:pt>
              <c:pt idx="2">
                <c:v>61</c:v>
              </c:pt>
              <c:pt idx="3">
                <c:v>61.75</c:v>
              </c:pt>
              <c:pt idx="4">
                <c:v>64.400000000000006</c:v>
              </c:pt>
              <c:pt idx="5">
                <c:v>67.5</c:v>
              </c:pt>
              <c:pt idx="6">
                <c:v>66.571428571428569</c:v>
              </c:pt>
              <c:pt idx="7">
                <c:v>66.5</c:v>
              </c:pt>
              <c:pt idx="8">
                <c:v>66</c:v>
              </c:pt>
              <c:pt idx="9">
                <c:v>66.5</c:v>
              </c:pt>
              <c:pt idx="10">
                <c:v>66.181818181818187</c:v>
              </c:pt>
              <c:pt idx="11">
                <c:v>67.333333333333329</c:v>
              </c:pt>
              <c:pt idx="12">
                <c:v>67.92307692307692</c:v>
              </c:pt>
              <c:pt idx="13">
                <c:v>67.214285714285708</c:v>
              </c:pt>
              <c:pt idx="14">
                <c:v>67.533333333333331</c:v>
              </c:pt>
              <c:pt idx="15">
                <c:v>68.1875</c:v>
              </c:pt>
              <c:pt idx="16">
                <c:v>69.235294117647058</c:v>
              </c:pt>
              <c:pt idx="17">
                <c:v>69.611111111111114</c:v>
              </c:pt>
              <c:pt idx="18">
                <c:v>69.315789473684205</c:v>
              </c:pt>
              <c:pt idx="19">
                <c:v>69.5</c:v>
              </c:pt>
              <c:pt idx="20">
                <c:v>69.476190476190482</c:v>
              </c:pt>
              <c:pt idx="21">
                <c:v>69.63636363636364</c:v>
              </c:pt>
              <c:pt idx="22">
                <c:v>69.391304347826093</c:v>
              </c:pt>
              <c:pt idx="23">
                <c:v>69.083333333333329</c:v>
              </c:pt>
              <c:pt idx="24">
                <c:v>69.52</c:v>
              </c:pt>
              <c:pt idx="25">
                <c:v>69.384615384615387</c:v>
              </c:pt>
              <c:pt idx="26">
                <c:v>68.925925925925924</c:v>
              </c:pt>
              <c:pt idx="27">
                <c:v>69.392857142857139</c:v>
              </c:pt>
              <c:pt idx="28">
                <c:v>68.862068965517238</c:v>
              </c:pt>
              <c:pt idx="29">
                <c:v>68.433333333333337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886592"/>
        <c:axId val="119888128"/>
      </c:lineChart>
      <c:lineChart>
        <c:grouping val="standard"/>
        <c:varyColors val="0"/>
        <c:ser>
          <c:idx val="0"/>
          <c:order val="3"/>
          <c:tx>
            <c:v>Range</c:v>
          </c:tx>
          <c:spPr>
            <a:ln w="25400">
              <a:solidFill>
                <a:srgbClr val="00FF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339966"/>
              </a:solidFill>
              <a:ln>
                <a:solidFill>
                  <a:srgbClr val="339966"/>
                </a:solidFill>
                <a:prstDash val="solid"/>
              </a:ln>
            </c:spPr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39</c:v>
              </c:pt>
              <c:pt idx="1">
                <c:v>41</c:v>
              </c:pt>
              <c:pt idx="2">
                <c:v>45</c:v>
              </c:pt>
              <c:pt idx="3">
                <c:v>44</c:v>
              </c:pt>
              <c:pt idx="4">
                <c:v>33</c:v>
              </c:pt>
              <c:pt idx="5">
                <c:v>29</c:v>
              </c:pt>
              <c:pt idx="6">
                <c:v>42</c:v>
              </c:pt>
              <c:pt idx="7">
                <c:v>33</c:v>
              </c:pt>
              <c:pt idx="8">
                <c:v>30</c:v>
              </c:pt>
              <c:pt idx="9">
                <c:v>34</c:v>
              </c:pt>
              <c:pt idx="10">
                <c:v>59</c:v>
              </c:pt>
              <c:pt idx="11">
                <c:v>27</c:v>
              </c:pt>
              <c:pt idx="12">
                <c:v>46</c:v>
              </c:pt>
              <c:pt idx="13">
                <c:v>44</c:v>
              </c:pt>
              <c:pt idx="14">
                <c:v>21</c:v>
              </c:pt>
              <c:pt idx="15">
                <c:v>38</c:v>
              </c:pt>
              <c:pt idx="16">
                <c:v>23</c:v>
              </c:pt>
              <c:pt idx="17">
                <c:v>41</c:v>
              </c:pt>
              <c:pt idx="18">
                <c:v>41</c:v>
              </c:pt>
              <c:pt idx="19">
                <c:v>36</c:v>
              </c:pt>
              <c:pt idx="20">
                <c:v>46</c:v>
              </c:pt>
              <c:pt idx="21">
                <c:v>25</c:v>
              </c:pt>
              <c:pt idx="22">
                <c:v>40</c:v>
              </c:pt>
              <c:pt idx="23">
                <c:v>46</c:v>
              </c:pt>
              <c:pt idx="24">
                <c:v>37</c:v>
              </c:pt>
              <c:pt idx="25">
                <c:v>46</c:v>
              </c:pt>
              <c:pt idx="26">
                <c:v>54</c:v>
              </c:pt>
              <c:pt idx="27">
                <c:v>24</c:v>
              </c:pt>
              <c:pt idx="28">
                <c:v>41</c:v>
              </c:pt>
              <c:pt idx="29">
                <c:v>40</c:v>
              </c:pt>
            </c:numLit>
          </c:val>
          <c:smooth val="0"/>
        </c:ser>
        <c:ser>
          <c:idx val="4"/>
          <c:order val="4"/>
          <c:tx>
            <c:v>Rainfall</c:v>
          </c:tx>
          <c:spPr>
            <a:ln w="25400">
              <a:solidFill>
                <a:srgbClr val="33CCCC"/>
              </a:solidFill>
              <a:prstDash val="solid"/>
            </a:ln>
          </c:spPr>
          <c:marker>
            <c:symbol val="none"/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7.1</c:v>
              </c:pt>
              <c:pt idx="5">
                <c:v>6</c:v>
              </c:pt>
              <c:pt idx="6">
                <c:v>0</c:v>
              </c:pt>
              <c:pt idx="7">
                <c:v>1.4</c:v>
              </c:pt>
              <c:pt idx="8">
                <c:v>0.8</c:v>
              </c:pt>
              <c:pt idx="9">
                <c:v>14.2</c:v>
              </c:pt>
              <c:pt idx="10">
                <c:v>3.3</c:v>
              </c:pt>
              <c:pt idx="11">
                <c:v>7.1</c:v>
              </c:pt>
              <c:pt idx="12">
                <c:v>0.8</c:v>
              </c:pt>
              <c:pt idx="13">
                <c:v>0</c:v>
              </c:pt>
              <c:pt idx="14">
                <c:v>0</c:v>
              </c:pt>
              <c:pt idx="15">
                <c:v>14.7</c:v>
              </c:pt>
              <c:pt idx="16">
                <c:v>7.6</c:v>
              </c:pt>
              <c:pt idx="17">
                <c:v>1.1000000000000001</c:v>
              </c:pt>
              <c:pt idx="18">
                <c:v>0.3</c:v>
              </c:pt>
              <c:pt idx="19">
                <c:v>2.7</c:v>
              </c:pt>
              <c:pt idx="20">
                <c:v>0</c:v>
              </c:pt>
              <c:pt idx="21">
                <c:v>5.2</c:v>
              </c:pt>
              <c:pt idx="22">
                <c:v>0.1</c:v>
              </c:pt>
              <c:pt idx="23">
                <c:v>3.3</c:v>
              </c:pt>
              <c:pt idx="24">
                <c:v>3.3</c:v>
              </c:pt>
              <c:pt idx="25">
                <c:v>0</c:v>
              </c:pt>
              <c:pt idx="26">
                <c:v>0</c:v>
              </c:pt>
              <c:pt idx="27">
                <c:v>8.5</c:v>
              </c:pt>
              <c:pt idx="28">
                <c:v>0</c:v>
              </c:pt>
              <c:pt idx="29">
                <c:v>0.1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906304"/>
        <c:axId val="119907840"/>
      </c:lineChart>
      <c:catAx>
        <c:axId val="1198865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98881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9888128"/>
        <c:scaling>
          <c:orientation val="minMax"/>
          <c:max val="100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9886592"/>
        <c:crosses val="autoZero"/>
        <c:crossBetween val="between"/>
        <c:majorUnit val="10"/>
      </c:valAx>
      <c:catAx>
        <c:axId val="1199063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907840"/>
        <c:crosses val="autoZero"/>
        <c:auto val="1"/>
        <c:lblAlgn val="ctr"/>
        <c:lblOffset val="100"/>
        <c:noMultiLvlLbl val="0"/>
      </c:catAx>
      <c:valAx>
        <c:axId val="119907840"/>
        <c:scaling>
          <c:orientation val="minMax"/>
          <c:max val="200"/>
          <c:min val="0"/>
        </c:scaling>
        <c:delete val="0"/>
        <c:axPos val="r"/>
        <c:numFmt formatCode="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9906304"/>
        <c:crosses val="max"/>
        <c:crossBetween val="between"/>
        <c:majorUnit val="40"/>
      </c:valAx>
      <c:spPr>
        <a:solidFill>
          <a:srgbClr val="969696"/>
        </a:solidFill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6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Pressure / hPa</a:t>
            </a:r>
          </a:p>
        </c:rich>
      </c:tx>
      <c:layout>
        <c:manualLayout>
          <c:xMode val="edge"/>
          <c:yMode val="edge"/>
          <c:x val="0.45677498467198036"/>
          <c:y val="1.858304297328687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94788473329246E-2"/>
          <c:y val="8.5946671233793417E-2"/>
          <c:w val="0.94236664622930721"/>
          <c:h val="0.86411247835057159"/>
        </c:manualLayout>
      </c:layout>
      <c:lineChart>
        <c:grouping val="standard"/>
        <c:varyColors val="0"/>
        <c:ser>
          <c:idx val="5"/>
          <c:order val="0"/>
          <c:tx>
            <c:v>Cum. Mean</c:v>
          </c:tx>
          <c:spPr>
            <a:ln w="12700">
              <a:solidFill>
                <a:srgbClr val="993366"/>
              </a:solidFill>
              <a:prstDash val="solid"/>
            </a:ln>
          </c:spPr>
          <c:marker>
            <c:symbol val="square"/>
            <c:size val="2"/>
            <c:spPr>
              <a:noFill/>
              <a:ln>
                <a:solidFill>
                  <a:srgbClr val="808080"/>
                </a:solidFill>
                <a:prstDash val="solid"/>
              </a:ln>
            </c:spPr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1029.5</c:v>
              </c:pt>
              <c:pt idx="1">
                <c:v>1031.0000002500001</c:v>
              </c:pt>
              <c:pt idx="2">
                <c:v>1030.8333335</c:v>
              </c:pt>
              <c:pt idx="3">
                <c:v>1028.750000125</c:v>
              </c:pt>
              <c:pt idx="4">
                <c:v>1025.5000001000001</c:v>
              </c:pt>
              <c:pt idx="5">
                <c:v>1022.3333334166667</c:v>
              </c:pt>
              <c:pt idx="6">
                <c:v>1019.6428572142858</c:v>
              </c:pt>
              <c:pt idx="7">
                <c:v>1018.0000000625</c:v>
              </c:pt>
              <c:pt idx="8">
                <c:v>1017.3333333888889</c:v>
              </c:pt>
              <c:pt idx="9">
                <c:v>1017.00000005</c:v>
              </c:pt>
              <c:pt idx="10">
                <c:v>1016.9090909545455</c:v>
              </c:pt>
              <c:pt idx="11">
                <c:v>1016.5833333750001</c:v>
              </c:pt>
              <c:pt idx="12">
                <c:v>1016.2692308076923</c:v>
              </c:pt>
              <c:pt idx="13">
                <c:v>1016.3571428928572</c:v>
              </c:pt>
              <c:pt idx="14">
                <c:v>1016.2000000333334</c:v>
              </c:pt>
              <c:pt idx="15">
                <c:v>1015.87500003125</c:v>
              </c:pt>
              <c:pt idx="16">
                <c:v>1015.1176470882353</c:v>
              </c:pt>
              <c:pt idx="17">
                <c:v>1014.3055555833333</c:v>
              </c:pt>
              <c:pt idx="18">
                <c:v>1014.0526316052632</c:v>
              </c:pt>
              <c:pt idx="19">
                <c:v>1013.925000025</c:v>
              </c:pt>
              <c:pt idx="20">
                <c:v>1013.7380952619047</c:v>
              </c:pt>
              <c:pt idx="21">
                <c:v>1013.5227272954545</c:v>
              </c:pt>
              <c:pt idx="22">
                <c:v>1013.6086956739131</c:v>
              </c:pt>
              <c:pt idx="23">
                <c:v>1013.9583333541667</c:v>
              </c:pt>
              <c:pt idx="24">
                <c:v>1014.24000002</c:v>
              </c:pt>
              <c:pt idx="25">
                <c:v>1014.4615384807693</c:v>
              </c:pt>
              <c:pt idx="26">
                <c:v>1014.4629629814815</c:v>
              </c:pt>
              <c:pt idx="27">
                <c:v>1014.5000000178571</c:v>
              </c:pt>
              <c:pt idx="28">
                <c:v>1014.7241379482758</c:v>
              </c:pt>
              <c:pt idx="29">
                <c:v>1015.0666666833333</c:v>
              </c:pt>
            </c:numLit>
          </c:val>
          <c:smooth val="0"/>
        </c:ser>
        <c:ser>
          <c:idx val="1"/>
          <c:order val="1"/>
          <c:tx>
            <c:v>Max</c:v>
          </c:tx>
          <c:spPr>
            <a:ln w="38100">
              <a:solidFill>
                <a:srgbClr val="00CCFF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1032</c:v>
              </c:pt>
              <c:pt idx="1">
                <c:v>1034.0000010000001</c:v>
              </c:pt>
              <c:pt idx="2">
                <c:v>1034</c:v>
              </c:pt>
              <c:pt idx="3">
                <c:v>1027</c:v>
              </c:pt>
              <c:pt idx="4">
                <c:v>1017</c:v>
              </c:pt>
              <c:pt idx="5">
                <c:v>1008</c:v>
              </c:pt>
              <c:pt idx="6">
                <c:v>1005</c:v>
              </c:pt>
              <c:pt idx="7">
                <c:v>1009</c:v>
              </c:pt>
              <c:pt idx="8">
                <c:v>1015</c:v>
              </c:pt>
              <c:pt idx="9">
                <c:v>1015</c:v>
              </c:pt>
              <c:pt idx="10">
                <c:v>1018</c:v>
              </c:pt>
              <c:pt idx="11">
                <c:v>1018</c:v>
              </c:pt>
              <c:pt idx="12">
                <c:v>1017</c:v>
              </c:pt>
              <c:pt idx="13">
                <c:v>1019</c:v>
              </c:pt>
              <c:pt idx="14">
                <c:v>1016</c:v>
              </c:pt>
              <c:pt idx="15">
                <c:v>1013</c:v>
              </c:pt>
              <c:pt idx="16">
                <c:v>1011</c:v>
              </c:pt>
              <c:pt idx="17">
                <c:v>1005</c:v>
              </c:pt>
              <c:pt idx="18">
                <c:v>1014</c:v>
              </c:pt>
              <c:pt idx="19">
                <c:v>1014</c:v>
              </c:pt>
              <c:pt idx="20">
                <c:v>1011</c:v>
              </c:pt>
              <c:pt idx="21">
                <c:v>1011</c:v>
              </c:pt>
              <c:pt idx="22">
                <c:v>1019</c:v>
              </c:pt>
              <c:pt idx="23">
                <c:v>1024</c:v>
              </c:pt>
              <c:pt idx="24">
                <c:v>1023</c:v>
              </c:pt>
              <c:pt idx="25">
                <c:v>1023</c:v>
              </c:pt>
              <c:pt idx="26">
                <c:v>1017</c:v>
              </c:pt>
              <c:pt idx="27">
                <c:v>1018</c:v>
              </c:pt>
              <c:pt idx="28">
                <c:v>1024</c:v>
              </c:pt>
              <c:pt idx="29">
                <c:v>1026</c:v>
              </c:pt>
            </c:numLit>
          </c:val>
          <c:smooth val="0"/>
        </c:ser>
        <c:ser>
          <c:idx val="0"/>
          <c:order val="3"/>
          <c:tx>
            <c:v>Min</c:v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1027</c:v>
              </c:pt>
              <c:pt idx="1">
                <c:v>1031</c:v>
              </c:pt>
              <c:pt idx="2">
                <c:v>1027</c:v>
              </c:pt>
              <c:pt idx="3">
                <c:v>1018</c:v>
              </c:pt>
              <c:pt idx="4">
                <c:v>1008</c:v>
              </c:pt>
              <c:pt idx="5">
                <c:v>1005</c:v>
              </c:pt>
              <c:pt idx="6">
                <c:v>1002</c:v>
              </c:pt>
              <c:pt idx="7">
                <c:v>1004</c:v>
              </c:pt>
              <c:pt idx="8">
                <c:v>1009</c:v>
              </c:pt>
              <c:pt idx="9">
                <c:v>1013</c:v>
              </c:pt>
              <c:pt idx="10">
                <c:v>1014</c:v>
              </c:pt>
              <c:pt idx="11">
                <c:v>1008</c:v>
              </c:pt>
              <c:pt idx="12">
                <c:v>1008</c:v>
              </c:pt>
              <c:pt idx="13">
                <c:v>1016</c:v>
              </c:pt>
              <c:pt idx="14">
                <c:v>1012</c:v>
              </c:pt>
              <c:pt idx="15">
                <c:v>1009</c:v>
              </c:pt>
              <c:pt idx="16">
                <c:v>995</c:v>
              </c:pt>
              <c:pt idx="17">
                <c:v>996</c:v>
              </c:pt>
              <c:pt idx="18">
                <c:v>1005</c:v>
              </c:pt>
              <c:pt idx="19">
                <c:v>1009</c:v>
              </c:pt>
              <c:pt idx="20">
                <c:v>1009</c:v>
              </c:pt>
              <c:pt idx="21">
                <c:v>1007</c:v>
              </c:pt>
              <c:pt idx="22">
                <c:v>1012</c:v>
              </c:pt>
              <c:pt idx="23">
                <c:v>1020</c:v>
              </c:pt>
              <c:pt idx="24">
                <c:v>1019</c:v>
              </c:pt>
              <c:pt idx="25">
                <c:v>1017</c:v>
              </c:pt>
              <c:pt idx="26">
                <c:v>1012</c:v>
              </c:pt>
              <c:pt idx="27">
                <c:v>1013</c:v>
              </c:pt>
              <c:pt idx="28">
                <c:v>1018</c:v>
              </c:pt>
              <c:pt idx="29">
                <c:v>1024</c:v>
              </c:pt>
            </c:numLit>
          </c:val>
          <c:smooth val="0"/>
        </c:ser>
        <c:ser>
          <c:idx val="4"/>
          <c:order val="4"/>
          <c:tx>
            <c:v>MSLP</c:v>
          </c:tx>
          <c:spPr>
            <a:ln w="25400">
              <a:solidFill>
                <a:srgbClr val="CC99FF"/>
              </a:solidFill>
              <a:prstDash val="lgDash"/>
            </a:ln>
          </c:spPr>
          <c:marker>
            <c:symbol val="none"/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1013.25</c:v>
              </c:pt>
              <c:pt idx="1">
                <c:v>1013.25</c:v>
              </c:pt>
              <c:pt idx="2">
                <c:v>1013.25</c:v>
              </c:pt>
              <c:pt idx="3">
                <c:v>1013.25</c:v>
              </c:pt>
              <c:pt idx="4">
                <c:v>1013.25</c:v>
              </c:pt>
              <c:pt idx="5">
                <c:v>1013.25</c:v>
              </c:pt>
              <c:pt idx="6">
                <c:v>1013.25</c:v>
              </c:pt>
              <c:pt idx="7">
                <c:v>1013.25</c:v>
              </c:pt>
              <c:pt idx="8">
                <c:v>1013.25</c:v>
              </c:pt>
              <c:pt idx="9">
                <c:v>1013.25</c:v>
              </c:pt>
              <c:pt idx="10">
                <c:v>1013.25</c:v>
              </c:pt>
              <c:pt idx="11">
                <c:v>1013.25</c:v>
              </c:pt>
              <c:pt idx="12">
                <c:v>1013.25</c:v>
              </c:pt>
              <c:pt idx="13">
                <c:v>1013.25</c:v>
              </c:pt>
              <c:pt idx="14">
                <c:v>1013.25</c:v>
              </c:pt>
              <c:pt idx="15">
                <c:v>1013.25</c:v>
              </c:pt>
              <c:pt idx="16">
                <c:v>1013.25</c:v>
              </c:pt>
              <c:pt idx="17">
                <c:v>1013.25</c:v>
              </c:pt>
              <c:pt idx="18">
                <c:v>1013.25</c:v>
              </c:pt>
              <c:pt idx="19">
                <c:v>1013.25</c:v>
              </c:pt>
              <c:pt idx="20">
                <c:v>1013.25</c:v>
              </c:pt>
              <c:pt idx="21">
                <c:v>1013.25</c:v>
              </c:pt>
              <c:pt idx="22">
                <c:v>1013.25</c:v>
              </c:pt>
              <c:pt idx="23">
                <c:v>1013.25</c:v>
              </c:pt>
              <c:pt idx="24">
                <c:v>1013.25</c:v>
              </c:pt>
              <c:pt idx="25">
                <c:v>1013.25</c:v>
              </c:pt>
              <c:pt idx="26">
                <c:v>1013.25</c:v>
              </c:pt>
              <c:pt idx="27">
                <c:v>1013.25</c:v>
              </c:pt>
              <c:pt idx="28">
                <c:v>1013.25</c:v>
              </c:pt>
              <c:pt idx="29">
                <c:v>1013.25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006912"/>
        <c:axId val="120012800"/>
      </c:lineChart>
      <c:lineChart>
        <c:grouping val="standard"/>
        <c:varyColors val="0"/>
        <c:ser>
          <c:idx val="3"/>
          <c:order val="2"/>
          <c:tx>
            <c:v>Range</c:v>
          </c:tx>
          <c:spPr>
            <a:ln w="25400">
              <a:solidFill>
                <a:srgbClr val="00FF00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5</c:v>
              </c:pt>
              <c:pt idx="1">
                <c:v>3.0000010000001112</c:v>
              </c:pt>
              <c:pt idx="2">
                <c:v>7</c:v>
              </c:pt>
              <c:pt idx="3">
                <c:v>9</c:v>
              </c:pt>
              <c:pt idx="4">
                <c:v>9</c:v>
              </c:pt>
              <c:pt idx="5">
                <c:v>3</c:v>
              </c:pt>
              <c:pt idx="6">
                <c:v>3</c:v>
              </c:pt>
              <c:pt idx="7">
                <c:v>5</c:v>
              </c:pt>
              <c:pt idx="8">
                <c:v>6</c:v>
              </c:pt>
              <c:pt idx="9">
                <c:v>2</c:v>
              </c:pt>
              <c:pt idx="10">
                <c:v>4</c:v>
              </c:pt>
              <c:pt idx="11">
                <c:v>10</c:v>
              </c:pt>
              <c:pt idx="12">
                <c:v>9</c:v>
              </c:pt>
              <c:pt idx="13">
                <c:v>3</c:v>
              </c:pt>
              <c:pt idx="14">
                <c:v>4</c:v>
              </c:pt>
              <c:pt idx="15">
                <c:v>4</c:v>
              </c:pt>
              <c:pt idx="16">
                <c:v>16</c:v>
              </c:pt>
              <c:pt idx="17">
                <c:v>9</c:v>
              </c:pt>
              <c:pt idx="18">
                <c:v>9</c:v>
              </c:pt>
              <c:pt idx="19">
                <c:v>5</c:v>
              </c:pt>
              <c:pt idx="20">
                <c:v>2</c:v>
              </c:pt>
              <c:pt idx="21">
                <c:v>4</c:v>
              </c:pt>
              <c:pt idx="22">
                <c:v>7</c:v>
              </c:pt>
              <c:pt idx="23">
                <c:v>4</c:v>
              </c:pt>
              <c:pt idx="24">
                <c:v>4</c:v>
              </c:pt>
              <c:pt idx="25">
                <c:v>6</c:v>
              </c:pt>
              <c:pt idx="26">
                <c:v>5</c:v>
              </c:pt>
              <c:pt idx="27">
                <c:v>5</c:v>
              </c:pt>
              <c:pt idx="28">
                <c:v>6</c:v>
              </c:pt>
              <c:pt idx="29">
                <c:v>2</c:v>
              </c:pt>
            </c:numLit>
          </c:val>
          <c:smooth val="0"/>
        </c:ser>
        <c:ser>
          <c:idx val="6"/>
          <c:order val="5"/>
          <c:tx>
            <c:v>Rainfall/3</c:v>
          </c:tx>
          <c:spPr>
            <a:ln w="12700">
              <a:solidFill>
                <a:srgbClr val="33CCCC"/>
              </a:solidFill>
              <a:prstDash val="solid"/>
            </a:ln>
          </c:spPr>
          <c:marker>
            <c:symbol val="none"/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2.3666666666666667</c:v>
              </c:pt>
              <c:pt idx="5">
                <c:v>2</c:v>
              </c:pt>
              <c:pt idx="6">
                <c:v>0</c:v>
              </c:pt>
              <c:pt idx="7">
                <c:v>0.46666666666666662</c:v>
              </c:pt>
              <c:pt idx="8">
                <c:v>0.26666666666666666</c:v>
              </c:pt>
              <c:pt idx="9">
                <c:v>4.7333333333333334</c:v>
              </c:pt>
              <c:pt idx="10">
                <c:v>1.0999999999999999</c:v>
              </c:pt>
              <c:pt idx="11">
                <c:v>2.3666666666666667</c:v>
              </c:pt>
              <c:pt idx="12">
                <c:v>0.26666666666666666</c:v>
              </c:pt>
              <c:pt idx="13">
                <c:v>0</c:v>
              </c:pt>
              <c:pt idx="14">
                <c:v>0</c:v>
              </c:pt>
              <c:pt idx="15">
                <c:v>4.8999999999999995</c:v>
              </c:pt>
              <c:pt idx="16">
                <c:v>2.5333333333333332</c:v>
              </c:pt>
              <c:pt idx="17">
                <c:v>0.3666666666666667</c:v>
              </c:pt>
              <c:pt idx="18">
                <c:v>9.9999999999999992E-2</c:v>
              </c:pt>
              <c:pt idx="19">
                <c:v>0.9</c:v>
              </c:pt>
              <c:pt idx="20">
                <c:v>0</c:v>
              </c:pt>
              <c:pt idx="21">
                <c:v>1.7333333333333334</c:v>
              </c:pt>
              <c:pt idx="22">
                <c:v>3.3333333333333333E-2</c:v>
              </c:pt>
              <c:pt idx="23">
                <c:v>1.0999999999999999</c:v>
              </c:pt>
              <c:pt idx="24">
                <c:v>1.0999999999999999</c:v>
              </c:pt>
              <c:pt idx="25">
                <c:v>0</c:v>
              </c:pt>
              <c:pt idx="26">
                <c:v>0</c:v>
              </c:pt>
              <c:pt idx="27">
                <c:v>2.8333333333333335</c:v>
              </c:pt>
              <c:pt idx="28">
                <c:v>0</c:v>
              </c:pt>
              <c:pt idx="29">
                <c:v>3.3333333333333333E-2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014336"/>
        <c:axId val="120015872"/>
      </c:lineChart>
      <c:catAx>
        <c:axId val="1200069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00128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0012800"/>
        <c:scaling>
          <c:orientation val="minMax"/>
          <c:max val="1040"/>
          <c:min val="980"/>
        </c:scaling>
        <c:delete val="0"/>
        <c:axPos val="l"/>
        <c:majorGridlines>
          <c:spPr>
            <a:ln w="3175">
              <a:solidFill>
                <a:srgbClr val="333333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0006912"/>
        <c:crosses val="autoZero"/>
        <c:crossBetween val="between"/>
        <c:majorUnit val="10"/>
      </c:valAx>
      <c:catAx>
        <c:axId val="1200143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0015872"/>
        <c:crosses val="autoZero"/>
        <c:auto val="1"/>
        <c:lblAlgn val="ctr"/>
        <c:lblOffset val="100"/>
        <c:noMultiLvlLbl val="0"/>
      </c:catAx>
      <c:valAx>
        <c:axId val="120015872"/>
        <c:scaling>
          <c:orientation val="minMax"/>
          <c:max val="120"/>
          <c:min val="0"/>
        </c:scaling>
        <c:delete val="0"/>
        <c:axPos val="r"/>
        <c:numFmt formatCode="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0014336"/>
        <c:crosses val="max"/>
        <c:crossBetween val="between"/>
        <c:majorUnit val="20"/>
      </c:valAx>
      <c:spPr>
        <a:solidFill>
          <a:srgbClr val="969696"/>
        </a:solidFill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 sz="14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Wind Speed / mh</a:t>
            </a:r>
            <a:r>
              <a:rPr lang="en-GB" sz="1400" b="1" i="0" u="none" strike="noStrike" baseline="30000">
                <a:solidFill>
                  <a:srgbClr val="000000"/>
                </a:solidFill>
                <a:latin typeface="Arial"/>
                <a:cs typeface="Arial"/>
              </a:rPr>
              <a:t>-1</a:t>
            </a:r>
          </a:p>
        </c:rich>
      </c:tx>
      <c:layout>
        <c:manualLayout>
          <c:xMode val="edge"/>
          <c:yMode val="edge"/>
          <c:x val="0.44800000000000001"/>
          <c:y val="1.990632318501171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1.8461538461538463E-2"/>
          <c:y val="8.7822014051522249E-2"/>
          <c:w val="0.96307692307692305"/>
          <c:h val="0.86182669789227162"/>
        </c:manualLayout>
      </c:layout>
      <c:lineChart>
        <c:grouping val="standard"/>
        <c:varyColors val="0"/>
        <c:ser>
          <c:idx val="1"/>
          <c:order val="0"/>
          <c:tx>
            <c:v>Mean</c:v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800000"/>
              </a:solidFill>
              <a:ln>
                <a:solidFill>
                  <a:srgbClr val="800000"/>
                </a:solidFill>
                <a:prstDash val="solid"/>
              </a:ln>
            </c:spPr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3.2</c:v>
              </c:pt>
              <c:pt idx="1">
                <c:v>3.6</c:v>
              </c:pt>
              <c:pt idx="2">
                <c:v>6.6</c:v>
              </c:pt>
              <c:pt idx="3">
                <c:v>6.5</c:v>
              </c:pt>
              <c:pt idx="4">
                <c:v>5.6</c:v>
              </c:pt>
              <c:pt idx="5">
                <c:v>2.4</c:v>
              </c:pt>
              <c:pt idx="6">
                <c:v>5.9</c:v>
              </c:pt>
              <c:pt idx="7">
                <c:v>6.2</c:v>
              </c:pt>
              <c:pt idx="8">
                <c:v>5.4</c:v>
              </c:pt>
              <c:pt idx="9">
                <c:v>2.9</c:v>
              </c:pt>
              <c:pt idx="10">
                <c:v>3.8</c:v>
              </c:pt>
              <c:pt idx="11">
                <c:v>5.7</c:v>
              </c:pt>
              <c:pt idx="12">
                <c:v>6.5</c:v>
              </c:pt>
              <c:pt idx="13">
                <c:v>3.7</c:v>
              </c:pt>
              <c:pt idx="14">
                <c:v>5.9</c:v>
              </c:pt>
              <c:pt idx="15">
                <c:v>5.0999999999999996</c:v>
              </c:pt>
              <c:pt idx="16">
                <c:v>5</c:v>
              </c:pt>
              <c:pt idx="17">
                <c:v>7.6</c:v>
              </c:pt>
              <c:pt idx="18">
                <c:v>6.7</c:v>
              </c:pt>
              <c:pt idx="19">
                <c:v>3.4</c:v>
              </c:pt>
              <c:pt idx="20">
                <c:v>8.1999999999999993</c:v>
              </c:pt>
              <c:pt idx="21">
                <c:v>7.1</c:v>
              </c:pt>
              <c:pt idx="22">
                <c:v>6.3</c:v>
              </c:pt>
              <c:pt idx="23">
                <c:v>5</c:v>
              </c:pt>
              <c:pt idx="24">
                <c:v>6.7</c:v>
              </c:pt>
              <c:pt idx="25">
                <c:v>4.2</c:v>
              </c:pt>
              <c:pt idx="26">
                <c:v>3.8</c:v>
              </c:pt>
              <c:pt idx="27">
                <c:v>3.1</c:v>
              </c:pt>
              <c:pt idx="28">
                <c:v>4.3</c:v>
              </c:pt>
              <c:pt idx="29">
                <c:v>2.9</c:v>
              </c:pt>
            </c:numLit>
          </c:val>
          <c:smooth val="0"/>
        </c:ser>
        <c:ser>
          <c:idx val="0"/>
          <c:order val="1"/>
          <c:tx>
            <c:v>E (Mean)</c:v>
          </c:tx>
          <c:spPr>
            <a:ln w="25400">
              <a:solidFill>
                <a:srgbClr val="FF99CC"/>
              </a:solidFill>
              <a:prstDash val="lgDash"/>
            </a:ln>
          </c:spPr>
          <c:marker>
            <c:symbol val="none"/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4.4489999999999998</c:v>
              </c:pt>
              <c:pt idx="1">
                <c:v>4.4489999999999998</c:v>
              </c:pt>
              <c:pt idx="2">
                <c:v>4.4489999999999998</c:v>
              </c:pt>
              <c:pt idx="3">
                <c:v>4.4489999999999998</c:v>
              </c:pt>
              <c:pt idx="4">
                <c:v>4.4489999999999998</c:v>
              </c:pt>
              <c:pt idx="5">
                <c:v>4.4489999999999998</c:v>
              </c:pt>
              <c:pt idx="6">
                <c:v>4.4489999999999998</c:v>
              </c:pt>
              <c:pt idx="7">
                <c:v>4.4489999999999998</c:v>
              </c:pt>
              <c:pt idx="8">
                <c:v>4.4489999999999998</c:v>
              </c:pt>
              <c:pt idx="9">
                <c:v>4.4489999999999998</c:v>
              </c:pt>
              <c:pt idx="10">
                <c:v>4.4489999999999998</c:v>
              </c:pt>
              <c:pt idx="11">
                <c:v>4.4489999999999998</c:v>
              </c:pt>
              <c:pt idx="12">
                <c:v>4.4489999999999998</c:v>
              </c:pt>
              <c:pt idx="13">
                <c:v>4.4489999999999998</c:v>
              </c:pt>
              <c:pt idx="14">
                <c:v>4.4489999999999998</c:v>
              </c:pt>
              <c:pt idx="15">
                <c:v>4.4489999999999998</c:v>
              </c:pt>
              <c:pt idx="16">
                <c:v>4.4489999999999998</c:v>
              </c:pt>
              <c:pt idx="17">
                <c:v>4.4489999999999998</c:v>
              </c:pt>
              <c:pt idx="18">
                <c:v>4.4489999999999998</c:v>
              </c:pt>
              <c:pt idx="19">
                <c:v>4.4489999999999998</c:v>
              </c:pt>
              <c:pt idx="20">
                <c:v>4.4489999999999998</c:v>
              </c:pt>
              <c:pt idx="21">
                <c:v>4.4489999999999998</c:v>
              </c:pt>
              <c:pt idx="22">
                <c:v>4.4489999999999998</c:v>
              </c:pt>
              <c:pt idx="23">
                <c:v>4.4489999999999998</c:v>
              </c:pt>
              <c:pt idx="24">
                <c:v>4.4489999999999998</c:v>
              </c:pt>
              <c:pt idx="25">
                <c:v>4.4489999999999998</c:v>
              </c:pt>
              <c:pt idx="26">
                <c:v>4.4489999999999998</c:v>
              </c:pt>
              <c:pt idx="27">
                <c:v>4.4489999999999998</c:v>
              </c:pt>
              <c:pt idx="28">
                <c:v>4.4489999999999998</c:v>
              </c:pt>
              <c:pt idx="29">
                <c:v>4.4489999999999998</c:v>
              </c:pt>
            </c:numLit>
          </c:val>
          <c:smooth val="0"/>
        </c:ser>
        <c:ser>
          <c:idx val="2"/>
          <c:order val="4"/>
          <c:tx>
            <c:v>Cumulative Mean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3.2</c:v>
              </c:pt>
              <c:pt idx="1">
                <c:v>3.4000000000000004</c:v>
              </c:pt>
              <c:pt idx="2">
                <c:v>4.4666666666666668</c:v>
              </c:pt>
              <c:pt idx="3">
                <c:v>4.9749999999999996</c:v>
              </c:pt>
              <c:pt idx="4">
                <c:v>5.0999999999999996</c:v>
              </c:pt>
              <c:pt idx="5">
                <c:v>4.6499999999999995</c:v>
              </c:pt>
              <c:pt idx="6">
                <c:v>4.8285714285714283</c:v>
              </c:pt>
              <c:pt idx="7">
                <c:v>5</c:v>
              </c:pt>
              <c:pt idx="8">
                <c:v>5.0444444444444443</c:v>
              </c:pt>
              <c:pt idx="9">
                <c:v>4.83</c:v>
              </c:pt>
              <c:pt idx="10">
                <c:v>4.7363636363636354</c:v>
              </c:pt>
              <c:pt idx="11">
                <c:v>4.8166666666666664</c:v>
              </c:pt>
              <c:pt idx="12">
                <c:v>4.9461538461538463</c:v>
              </c:pt>
              <c:pt idx="13">
                <c:v>4.8571428571428568</c:v>
              </c:pt>
              <c:pt idx="14">
                <c:v>4.9266666666666667</c:v>
              </c:pt>
              <c:pt idx="15">
                <c:v>4.9375</c:v>
              </c:pt>
              <c:pt idx="16">
                <c:v>4.9411764705882355</c:v>
              </c:pt>
              <c:pt idx="17">
                <c:v>5.0888888888888886</c:v>
              </c:pt>
              <c:pt idx="18">
                <c:v>5.1736842105263152</c:v>
              </c:pt>
              <c:pt idx="19">
                <c:v>5.085</c:v>
              </c:pt>
              <c:pt idx="20">
                <c:v>5.2333333333333334</c:v>
              </c:pt>
              <c:pt idx="21">
                <c:v>5.3181818181818183</c:v>
              </c:pt>
              <c:pt idx="22">
                <c:v>5.3608695652173912</c:v>
              </c:pt>
              <c:pt idx="23">
                <c:v>5.3458333333333341</c:v>
              </c:pt>
              <c:pt idx="24">
                <c:v>5.4</c:v>
              </c:pt>
              <c:pt idx="25">
                <c:v>5.3538461538461535</c:v>
              </c:pt>
              <c:pt idx="26">
                <c:v>5.2962962962962967</c:v>
              </c:pt>
              <c:pt idx="27">
                <c:v>5.2178571428571425</c:v>
              </c:pt>
              <c:pt idx="28">
                <c:v>5.1862068965517247</c:v>
              </c:pt>
              <c:pt idx="29">
                <c:v>5.1100000000000003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056448"/>
        <c:axId val="120324864"/>
      </c:lineChart>
      <c:lineChart>
        <c:grouping val="standard"/>
        <c:varyColors val="0"/>
        <c:ser>
          <c:idx val="3"/>
          <c:order val="2"/>
          <c:tx>
            <c:v>Max Gust</c:v>
          </c:tx>
          <c:spPr>
            <a:ln w="28575">
              <a:noFill/>
            </a:ln>
          </c:spPr>
          <c:marker>
            <c:symbol val="circle"/>
            <c:size val="9"/>
            <c:spPr>
              <a:solidFill>
                <a:srgbClr val="FFCC00"/>
              </a:solidFill>
              <a:ln>
                <a:solidFill>
                  <a:srgbClr val="FFCC00"/>
                </a:solidFill>
                <a:prstDash val="solid"/>
              </a:ln>
            </c:spPr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14.7</c:v>
              </c:pt>
              <c:pt idx="1">
                <c:v>17.5</c:v>
              </c:pt>
              <c:pt idx="2">
                <c:v>23.7</c:v>
              </c:pt>
              <c:pt idx="3">
                <c:v>27.5</c:v>
              </c:pt>
              <c:pt idx="4">
                <c:v>19.2</c:v>
              </c:pt>
              <c:pt idx="5">
                <c:v>13.2</c:v>
              </c:pt>
              <c:pt idx="6">
                <c:v>23.5</c:v>
              </c:pt>
              <c:pt idx="7">
                <c:v>23.5</c:v>
              </c:pt>
              <c:pt idx="8">
                <c:v>19</c:v>
              </c:pt>
              <c:pt idx="9">
                <c:v>17</c:v>
              </c:pt>
              <c:pt idx="10">
                <c:v>17</c:v>
              </c:pt>
              <c:pt idx="11">
                <c:v>22.5</c:v>
              </c:pt>
              <c:pt idx="12">
                <c:v>17.600000000000001</c:v>
              </c:pt>
              <c:pt idx="13">
                <c:v>13</c:v>
              </c:pt>
              <c:pt idx="14">
                <c:v>19</c:v>
              </c:pt>
              <c:pt idx="15">
                <c:v>23.2</c:v>
              </c:pt>
              <c:pt idx="16">
                <c:v>23.2</c:v>
              </c:pt>
              <c:pt idx="17">
                <c:v>25.9</c:v>
              </c:pt>
              <c:pt idx="18">
                <c:v>22.5</c:v>
              </c:pt>
              <c:pt idx="19">
                <c:v>14.5</c:v>
              </c:pt>
              <c:pt idx="20">
                <c:v>32.9</c:v>
              </c:pt>
              <c:pt idx="21">
                <c:v>24.6</c:v>
              </c:pt>
              <c:pt idx="22">
                <c:v>17.600000000000001</c:v>
              </c:pt>
              <c:pt idx="23">
                <c:v>17.600000000000001</c:v>
              </c:pt>
              <c:pt idx="24">
                <c:v>22.1</c:v>
              </c:pt>
              <c:pt idx="25">
                <c:v>15.4</c:v>
              </c:pt>
              <c:pt idx="26">
                <c:v>16.100000000000001</c:v>
              </c:pt>
              <c:pt idx="27">
                <c:v>12.8</c:v>
              </c:pt>
              <c:pt idx="28">
                <c:v>14.7</c:v>
              </c:pt>
              <c:pt idx="29">
                <c:v>12.5</c:v>
              </c:pt>
            </c:numLit>
          </c:val>
          <c:smooth val="0"/>
        </c:ser>
        <c:ser>
          <c:idx val="4"/>
          <c:order val="3"/>
          <c:tx>
            <c:v>Max Average</c:v>
          </c:tx>
          <c:spPr>
            <a:ln w="28575">
              <a:noFill/>
            </a:ln>
          </c:spPr>
          <c:marker>
            <c:symbol val="circle"/>
            <c:size val="6"/>
            <c:spPr>
              <a:solidFill>
                <a:srgbClr val="800000"/>
              </a:solidFill>
              <a:ln>
                <a:solidFill>
                  <a:srgbClr val="800000"/>
                </a:solidFill>
                <a:prstDash val="solid"/>
              </a:ln>
            </c:spPr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11.4</c:v>
              </c:pt>
              <c:pt idx="1">
                <c:v>10.7</c:v>
              </c:pt>
              <c:pt idx="2">
                <c:v>16.100000000000001</c:v>
              </c:pt>
              <c:pt idx="3">
                <c:v>16.8</c:v>
              </c:pt>
              <c:pt idx="4">
                <c:v>13.5</c:v>
              </c:pt>
              <c:pt idx="5">
                <c:v>9</c:v>
              </c:pt>
              <c:pt idx="6">
                <c:v>16.100000000000001</c:v>
              </c:pt>
              <c:pt idx="7">
                <c:v>15</c:v>
              </c:pt>
              <c:pt idx="8">
                <c:v>13.8</c:v>
              </c:pt>
              <c:pt idx="9">
                <c:v>13.8</c:v>
              </c:pt>
              <c:pt idx="10">
                <c:v>13.5</c:v>
              </c:pt>
              <c:pt idx="11">
                <c:v>15.6</c:v>
              </c:pt>
              <c:pt idx="12">
                <c:v>13.2</c:v>
              </c:pt>
              <c:pt idx="13">
                <c:v>10.199999999999999</c:v>
              </c:pt>
              <c:pt idx="14">
                <c:v>14</c:v>
              </c:pt>
              <c:pt idx="15">
                <c:v>15.2</c:v>
              </c:pt>
              <c:pt idx="16">
                <c:v>15.6</c:v>
              </c:pt>
              <c:pt idx="17">
                <c:v>16.600000000000001</c:v>
              </c:pt>
              <c:pt idx="18">
                <c:v>14.5</c:v>
              </c:pt>
              <c:pt idx="19">
                <c:v>11.2</c:v>
              </c:pt>
              <c:pt idx="20">
                <c:v>19.7</c:v>
              </c:pt>
              <c:pt idx="21">
                <c:v>17</c:v>
              </c:pt>
              <c:pt idx="22">
                <c:v>13.5</c:v>
              </c:pt>
              <c:pt idx="23">
                <c:v>11.8</c:v>
              </c:pt>
              <c:pt idx="24">
                <c:v>14</c:v>
              </c:pt>
              <c:pt idx="25">
                <c:v>10.9</c:v>
              </c:pt>
              <c:pt idx="26">
                <c:v>12.1</c:v>
              </c:pt>
              <c:pt idx="27">
                <c:v>9.1999999999999993</c:v>
              </c:pt>
              <c:pt idx="28">
                <c:v>10.5</c:v>
              </c:pt>
              <c:pt idx="29">
                <c:v>9.6999999999999993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326400"/>
        <c:axId val="120332288"/>
      </c:lineChart>
      <c:catAx>
        <c:axId val="1200564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03248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0324864"/>
        <c:scaling>
          <c:orientation val="minMax"/>
          <c:max val="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0056448"/>
        <c:crosses val="autoZero"/>
        <c:crossBetween val="between"/>
        <c:majorUnit val="2"/>
      </c:valAx>
      <c:catAx>
        <c:axId val="1203264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0332288"/>
        <c:crosses val="autoZero"/>
        <c:auto val="1"/>
        <c:lblAlgn val="ctr"/>
        <c:lblOffset val="100"/>
        <c:noMultiLvlLbl val="0"/>
      </c:catAx>
      <c:valAx>
        <c:axId val="120332288"/>
        <c:scaling>
          <c:orientation val="minMax"/>
          <c:max val="40"/>
          <c:min val="0"/>
        </c:scaling>
        <c:delete val="0"/>
        <c:axPos val="r"/>
        <c:numFmt formatCode="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0326400"/>
        <c:crosses val="max"/>
        <c:crossBetween val="between"/>
        <c:majorUnit val="10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Sun Hours / h</a:t>
            </a:r>
          </a:p>
        </c:rich>
      </c:tx>
      <c:layout>
        <c:manualLayout>
          <c:xMode val="edge"/>
          <c:yMode val="edge"/>
          <c:x val="0.46040541433241655"/>
          <c:y val="2.803738317757009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941082492304096E-2"/>
          <c:y val="9.3457997235733309E-2"/>
          <c:w val="0.97360402135369983"/>
          <c:h val="0.85630889967240642"/>
        </c:manualLayout>
      </c:layout>
      <c:barChart>
        <c:barDir val="col"/>
        <c:grouping val="clustered"/>
        <c:varyColors val="0"/>
        <c:ser>
          <c:idx val="1"/>
          <c:order val="0"/>
          <c:tx>
            <c:v>Sun</c:v>
          </c:tx>
          <c:spPr>
            <a:solidFill>
              <a:srgbClr val="FFFF00"/>
            </a:solidFill>
            <a:ln w="12700">
              <a:solidFill>
                <a:srgbClr val="C0C0C0"/>
              </a:solidFill>
              <a:prstDash val="solid"/>
            </a:ln>
          </c:spPr>
          <c:invertIfNegative val="0"/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11</c:v>
              </c:pt>
              <c:pt idx="1">
                <c:v>9</c:v>
              </c:pt>
              <c:pt idx="2">
                <c:v>14.7</c:v>
              </c:pt>
              <c:pt idx="3">
                <c:v>10</c:v>
              </c:pt>
              <c:pt idx="4">
                <c:v>0.5</c:v>
              </c:pt>
              <c:pt idx="5">
                <c:v>1.5</c:v>
              </c:pt>
              <c:pt idx="6">
                <c:v>8</c:v>
              </c:pt>
              <c:pt idx="7">
                <c:v>5</c:v>
              </c:pt>
              <c:pt idx="8">
                <c:v>7</c:v>
              </c:pt>
              <c:pt idx="9">
                <c:v>3</c:v>
              </c:pt>
              <c:pt idx="10">
                <c:v>6</c:v>
              </c:pt>
              <c:pt idx="11">
                <c:v>1.5</c:v>
              </c:pt>
              <c:pt idx="12">
                <c:v>5</c:v>
              </c:pt>
              <c:pt idx="13">
                <c:v>13</c:v>
              </c:pt>
              <c:pt idx="14">
                <c:v>1</c:v>
              </c:pt>
              <c:pt idx="15">
                <c:v>3</c:v>
              </c:pt>
              <c:pt idx="16">
                <c:v>0.3</c:v>
              </c:pt>
              <c:pt idx="17">
                <c:v>3.5</c:v>
              </c:pt>
              <c:pt idx="18">
                <c:v>5</c:v>
              </c:pt>
              <c:pt idx="19">
                <c:v>3.5</c:v>
              </c:pt>
              <c:pt idx="20">
                <c:v>7</c:v>
              </c:pt>
              <c:pt idx="21">
                <c:v>4</c:v>
              </c:pt>
              <c:pt idx="22">
                <c:v>6</c:v>
              </c:pt>
              <c:pt idx="23">
                <c:v>8</c:v>
              </c:pt>
              <c:pt idx="24">
                <c:v>5</c:v>
              </c:pt>
              <c:pt idx="25">
                <c:v>12</c:v>
              </c:pt>
              <c:pt idx="26">
                <c:v>10</c:v>
              </c:pt>
              <c:pt idx="27">
                <c:v>0.5</c:v>
              </c:pt>
              <c:pt idx="28">
                <c:v>10.5</c:v>
              </c:pt>
              <c:pt idx="29">
                <c:v>8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overlap val="100"/>
        <c:axId val="120339840"/>
        <c:axId val="120366208"/>
      </c:barChart>
      <c:catAx>
        <c:axId val="1203398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03662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0366208"/>
        <c:scaling>
          <c:orientation val="minMax"/>
          <c:max val="15.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0339840"/>
        <c:crosses val="autoZero"/>
        <c:crossBetween val="between"/>
        <c:majorUnit val="2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Cumulative Rain / mm</a:t>
            </a:r>
          </a:p>
        </c:rich>
      </c:tx>
      <c:layout>
        <c:manualLayout>
          <c:xMode val="edge"/>
          <c:yMode val="edge"/>
          <c:x val="0.43726963096402616"/>
          <c:y val="1.97444831591173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520312932614146E-2"/>
          <c:y val="9.2915320252749636E-2"/>
          <c:w val="0.94095997472707582"/>
          <c:h val="0.85714382933161537"/>
        </c:manualLayout>
      </c:layout>
      <c:lineChart>
        <c:grouping val="standard"/>
        <c:varyColors val="0"/>
        <c:ser>
          <c:idx val="1"/>
          <c:order val="0"/>
          <c:tx>
            <c:v>Cumulative Rain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7.1</c:v>
              </c:pt>
              <c:pt idx="5">
                <c:v>13.1</c:v>
              </c:pt>
              <c:pt idx="6">
                <c:v>13.1</c:v>
              </c:pt>
              <c:pt idx="7">
                <c:v>14.5</c:v>
              </c:pt>
              <c:pt idx="8">
                <c:v>15.3</c:v>
              </c:pt>
              <c:pt idx="9">
                <c:v>29.5</c:v>
              </c:pt>
              <c:pt idx="10">
                <c:v>32.799999999999997</c:v>
              </c:pt>
              <c:pt idx="11">
                <c:v>39.9</c:v>
              </c:pt>
              <c:pt idx="12">
                <c:v>40.699999999999996</c:v>
              </c:pt>
              <c:pt idx="13">
                <c:v>40.699999999999996</c:v>
              </c:pt>
              <c:pt idx="14">
                <c:v>40.699999999999996</c:v>
              </c:pt>
              <c:pt idx="15">
                <c:v>55.399999999999991</c:v>
              </c:pt>
              <c:pt idx="16">
                <c:v>62.999999999999993</c:v>
              </c:pt>
              <c:pt idx="17">
                <c:v>64.099999999999994</c:v>
              </c:pt>
              <c:pt idx="18">
                <c:v>64.399999999999991</c:v>
              </c:pt>
              <c:pt idx="19">
                <c:v>67.099999999999994</c:v>
              </c:pt>
              <c:pt idx="20">
                <c:v>67.099999999999994</c:v>
              </c:pt>
              <c:pt idx="21">
                <c:v>72.3</c:v>
              </c:pt>
              <c:pt idx="22">
                <c:v>72.399999999999991</c:v>
              </c:pt>
              <c:pt idx="23">
                <c:v>75.699999999999989</c:v>
              </c:pt>
              <c:pt idx="24">
                <c:v>78.999999999999986</c:v>
              </c:pt>
              <c:pt idx="25">
                <c:v>78.999999999999986</c:v>
              </c:pt>
              <c:pt idx="26">
                <c:v>78.999999999999986</c:v>
              </c:pt>
              <c:pt idx="27">
                <c:v>87.499999999999986</c:v>
              </c:pt>
              <c:pt idx="28">
                <c:v>87.499999999999986</c:v>
              </c:pt>
              <c:pt idx="29">
                <c:v>87.59999999999998</c:v>
              </c:pt>
            </c:numLit>
          </c:val>
          <c:smooth val="0"/>
        </c:ser>
        <c:ser>
          <c:idx val="2"/>
          <c:order val="1"/>
          <c:tx>
            <c:v>E (Cumulative Rain)</c:v>
          </c:tx>
          <c:spPr>
            <a:ln w="25400">
              <a:solidFill>
                <a:srgbClr val="00CCFF"/>
              </a:solidFill>
              <a:prstDash val="lgDash"/>
            </a:ln>
          </c:spPr>
          <c:marker>
            <c:symbol val="none"/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1.9666666666666666</c:v>
              </c:pt>
              <c:pt idx="1">
                <c:v>3.9333333333333331</c:v>
              </c:pt>
              <c:pt idx="2">
                <c:v>5.8999999999999995</c:v>
              </c:pt>
              <c:pt idx="3">
                <c:v>7.8666666666666663</c:v>
              </c:pt>
              <c:pt idx="4">
                <c:v>9.8333333333333321</c:v>
              </c:pt>
              <c:pt idx="5">
                <c:v>11.799999999999999</c:v>
              </c:pt>
              <c:pt idx="6">
                <c:v>13.766666666666666</c:v>
              </c:pt>
              <c:pt idx="7">
                <c:v>15.733333333333333</c:v>
              </c:pt>
              <c:pt idx="8">
                <c:v>17.7</c:v>
              </c:pt>
              <c:pt idx="9">
                <c:v>19.666666666666664</c:v>
              </c:pt>
              <c:pt idx="10">
                <c:v>21.633333333333333</c:v>
              </c:pt>
              <c:pt idx="11">
                <c:v>23.599999999999998</c:v>
              </c:pt>
              <c:pt idx="12">
                <c:v>25.566666666666666</c:v>
              </c:pt>
              <c:pt idx="13">
                <c:v>27.533333333333331</c:v>
              </c:pt>
              <c:pt idx="14">
                <c:v>29.5</c:v>
              </c:pt>
              <c:pt idx="15">
                <c:v>31.466666666666665</c:v>
              </c:pt>
              <c:pt idx="16">
                <c:v>33.43333333333333</c:v>
              </c:pt>
              <c:pt idx="17">
                <c:v>35.4</c:v>
              </c:pt>
              <c:pt idx="18">
                <c:v>37.366666666666667</c:v>
              </c:pt>
              <c:pt idx="19">
                <c:v>39.333333333333329</c:v>
              </c:pt>
              <c:pt idx="20">
                <c:v>41.3</c:v>
              </c:pt>
              <c:pt idx="21">
                <c:v>43.266666666666666</c:v>
              </c:pt>
              <c:pt idx="22">
                <c:v>45.233333333333334</c:v>
              </c:pt>
              <c:pt idx="23">
                <c:v>47.199999999999996</c:v>
              </c:pt>
              <c:pt idx="24">
                <c:v>49.166666666666664</c:v>
              </c:pt>
              <c:pt idx="25">
                <c:v>51.133333333333333</c:v>
              </c:pt>
              <c:pt idx="26">
                <c:v>53.099999999999994</c:v>
              </c:pt>
              <c:pt idx="27">
                <c:v>55.066666666666663</c:v>
              </c:pt>
              <c:pt idx="28">
                <c:v>57.033333333333331</c:v>
              </c:pt>
              <c:pt idx="29">
                <c:v>59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594816"/>
        <c:axId val="120596352"/>
      </c:lineChart>
      <c:lineChart>
        <c:grouping val="standard"/>
        <c:varyColors val="0"/>
        <c:ser>
          <c:idx val="0"/>
          <c:order val="2"/>
          <c:tx>
            <c:v>Cumulative Anomaly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circle"/>
            <c:size val="2"/>
            <c:spPr>
              <a:solidFill>
                <a:srgbClr val="333399"/>
              </a:solidFill>
              <a:ln>
                <a:solidFill>
                  <a:srgbClr val="333399"/>
                </a:solidFill>
                <a:prstDash val="solid"/>
              </a:ln>
            </c:spPr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0.7220338983050848</c:v>
              </c:pt>
              <c:pt idx="5">
                <c:v>1.1101694915254239</c:v>
              </c:pt>
              <c:pt idx="6">
                <c:v>0.95157384987893467</c:v>
              </c:pt>
              <c:pt idx="7">
                <c:v>0.92161016949152552</c:v>
              </c:pt>
              <c:pt idx="8">
                <c:v>0.86440677966101698</c:v>
              </c:pt>
              <c:pt idx="9">
                <c:v>1.5000000000000002</c:v>
              </c:pt>
              <c:pt idx="10">
                <c:v>1.5161787365177195</c:v>
              </c:pt>
              <c:pt idx="11">
                <c:v>1.6906779661016951</c:v>
              </c:pt>
              <c:pt idx="12">
                <c:v>1.5919165580182528</c:v>
              </c:pt>
              <c:pt idx="13">
                <c:v>1.4782082324455206</c:v>
              </c:pt>
              <c:pt idx="14">
                <c:v>1.3796610169491523</c:v>
              </c:pt>
              <c:pt idx="15">
                <c:v>1.7605932203389829</c:v>
              </c:pt>
              <c:pt idx="16">
                <c:v>1.8843469591226321</c:v>
              </c:pt>
              <c:pt idx="17">
                <c:v>1.8107344632768361</c:v>
              </c:pt>
              <c:pt idx="18">
                <c:v>1.7234611953612844</c:v>
              </c:pt>
              <c:pt idx="19">
                <c:v>1.7059322033898305</c:v>
              </c:pt>
              <c:pt idx="20">
                <c:v>1.6246973365617434</c:v>
              </c:pt>
              <c:pt idx="21">
                <c:v>1.6710323574730355</c:v>
              </c:pt>
              <c:pt idx="22">
                <c:v>1.6005895357406041</c:v>
              </c:pt>
              <c:pt idx="23">
                <c:v>1.6038135593220337</c:v>
              </c:pt>
              <c:pt idx="24">
                <c:v>1.6067796610169489</c:v>
              </c:pt>
              <c:pt idx="25">
                <c:v>1.5449804432855279</c:v>
              </c:pt>
              <c:pt idx="26">
                <c:v>1.487758945386064</c:v>
              </c:pt>
              <c:pt idx="27">
                <c:v>1.5889830508474574</c:v>
              </c:pt>
              <c:pt idx="28">
                <c:v>1.5341905318527176</c:v>
              </c:pt>
              <c:pt idx="29">
                <c:v>1.4847457627118641</c:v>
              </c:pt>
            </c:numLit>
          </c:val>
          <c:smooth val="0"/>
        </c:ser>
        <c:ser>
          <c:idx val="3"/>
          <c:order val="3"/>
          <c:tx>
            <c:v>E (Cumulative Anomaly)</c:v>
          </c:tx>
          <c:spPr>
            <a:ln w="3175">
              <a:solidFill>
                <a:srgbClr val="0000FF"/>
              </a:solidFill>
              <a:prstDash val="lgDash"/>
            </a:ln>
          </c:spPr>
          <c:marker>
            <c:symbol val="none"/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1</c:v>
              </c:pt>
              <c:pt idx="1">
                <c:v>1</c:v>
              </c:pt>
              <c:pt idx="2">
                <c:v>1</c:v>
              </c:pt>
              <c:pt idx="3">
                <c:v>1</c:v>
              </c:pt>
              <c:pt idx="4">
                <c:v>1</c:v>
              </c:pt>
              <c:pt idx="5">
                <c:v>1</c:v>
              </c:pt>
              <c:pt idx="6">
                <c:v>1</c:v>
              </c:pt>
              <c:pt idx="7">
                <c:v>1</c:v>
              </c:pt>
              <c:pt idx="8">
                <c:v>1</c:v>
              </c:pt>
              <c:pt idx="9">
                <c:v>1</c:v>
              </c:pt>
              <c:pt idx="10">
                <c:v>1</c:v>
              </c:pt>
              <c:pt idx="11">
                <c:v>1</c:v>
              </c:pt>
              <c:pt idx="12">
                <c:v>1</c:v>
              </c:pt>
              <c:pt idx="13">
                <c:v>1</c:v>
              </c:pt>
              <c:pt idx="14">
                <c:v>1</c:v>
              </c:pt>
              <c:pt idx="15">
                <c:v>1</c:v>
              </c:pt>
              <c:pt idx="16">
                <c:v>1</c:v>
              </c:pt>
              <c:pt idx="17">
                <c:v>1</c:v>
              </c:pt>
              <c:pt idx="18">
                <c:v>1</c:v>
              </c:pt>
              <c:pt idx="19">
                <c:v>1</c:v>
              </c:pt>
              <c:pt idx="20">
                <c:v>1</c:v>
              </c:pt>
              <c:pt idx="21">
                <c:v>1</c:v>
              </c:pt>
              <c:pt idx="22">
                <c:v>1</c:v>
              </c:pt>
              <c:pt idx="23">
                <c:v>1</c:v>
              </c:pt>
              <c:pt idx="24">
                <c:v>1</c:v>
              </c:pt>
              <c:pt idx="25">
                <c:v>1</c:v>
              </c:pt>
              <c:pt idx="26">
                <c:v>1</c:v>
              </c:pt>
              <c:pt idx="27">
                <c:v>1</c:v>
              </c:pt>
              <c:pt idx="28">
                <c:v>1</c:v>
              </c:pt>
              <c:pt idx="29">
                <c:v>1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597888"/>
        <c:axId val="120607872"/>
      </c:lineChart>
      <c:catAx>
        <c:axId val="120594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05963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0596352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0594816"/>
        <c:crosses val="autoZero"/>
        <c:crossBetween val="between"/>
        <c:majorUnit val="20"/>
      </c:valAx>
      <c:catAx>
        <c:axId val="120597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0607872"/>
        <c:crosses val="autoZero"/>
        <c:auto val="1"/>
        <c:lblAlgn val="ctr"/>
        <c:lblOffset val="100"/>
        <c:noMultiLvlLbl val="0"/>
      </c:catAx>
      <c:valAx>
        <c:axId val="120607872"/>
        <c:scaling>
          <c:orientation val="minMax"/>
          <c:max val="2.5"/>
          <c:min val="0"/>
        </c:scaling>
        <c:delete val="0"/>
        <c:axPos val="r"/>
        <c:numFmt formatCode="0%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0597888"/>
        <c:crosses val="max"/>
        <c:crossBetween val="between"/>
        <c:majorUnit val="0.5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 sz="14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Dew Point / </a:t>
            </a:r>
            <a:r>
              <a:rPr lang="en-GB" sz="1400" b="1" i="0" u="none" strike="noStrike" baseline="30000">
                <a:solidFill>
                  <a:srgbClr val="000000"/>
                </a:solidFill>
                <a:latin typeface="Arial"/>
                <a:cs typeface="Arial"/>
              </a:rPr>
              <a:t>o</a:t>
            </a:r>
            <a:r>
              <a:rPr lang="en-GB" sz="14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C</a:t>
            </a:r>
          </a:p>
        </c:rich>
      </c:tx>
      <c:layout>
        <c:manualLayout>
          <c:xMode val="edge"/>
          <c:yMode val="edge"/>
          <c:x val="0.45817984006611717"/>
          <c:y val="1.99296600234466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985254257748993E-2"/>
          <c:y val="8.6752687408804985E-2"/>
          <c:w val="0.97355532025683733"/>
          <c:h val="0.86283753963351983"/>
        </c:manualLayout>
      </c:layout>
      <c:lineChart>
        <c:grouping val="standard"/>
        <c:varyColors val="0"/>
        <c:ser>
          <c:idx val="2"/>
          <c:order val="0"/>
          <c:tx>
            <c:v>Min Dew Point</c:v>
          </c:tx>
          <c:spPr>
            <a:ln w="38100">
              <a:solidFill>
                <a:srgbClr val="99CC00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808000"/>
              </a:solidFill>
              <a:ln>
                <a:solidFill>
                  <a:srgbClr val="808000"/>
                </a:solidFill>
                <a:prstDash val="solid"/>
              </a:ln>
            </c:spPr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2.2999999999999998</c:v>
              </c:pt>
              <c:pt idx="1">
                <c:v>7.4</c:v>
              </c:pt>
              <c:pt idx="2">
                <c:v>8.1999999999999993</c:v>
              </c:pt>
              <c:pt idx="3">
                <c:v>8.3000000000000007</c:v>
              </c:pt>
              <c:pt idx="4">
                <c:v>8.6999999999999993</c:v>
              </c:pt>
              <c:pt idx="5">
                <c:v>6.3</c:v>
              </c:pt>
              <c:pt idx="6">
                <c:v>3.8</c:v>
              </c:pt>
              <c:pt idx="7">
                <c:v>5.4</c:v>
              </c:pt>
              <c:pt idx="8">
                <c:v>4.7</c:v>
              </c:pt>
              <c:pt idx="9">
                <c:v>2.9</c:v>
              </c:pt>
              <c:pt idx="10">
                <c:v>1.9</c:v>
              </c:pt>
              <c:pt idx="11">
                <c:v>3.9</c:v>
              </c:pt>
              <c:pt idx="12">
                <c:v>7.7</c:v>
              </c:pt>
              <c:pt idx="13">
                <c:v>7</c:v>
              </c:pt>
              <c:pt idx="14">
                <c:v>9.1</c:v>
              </c:pt>
              <c:pt idx="15">
                <c:v>6</c:v>
              </c:pt>
              <c:pt idx="16">
                <c:v>7.9</c:v>
              </c:pt>
              <c:pt idx="17">
                <c:v>7.7</c:v>
              </c:pt>
              <c:pt idx="18">
                <c:v>5.8</c:v>
              </c:pt>
              <c:pt idx="19">
                <c:v>6</c:v>
              </c:pt>
              <c:pt idx="20">
                <c:v>6.2</c:v>
              </c:pt>
              <c:pt idx="21">
                <c:v>7.3</c:v>
              </c:pt>
              <c:pt idx="22">
                <c:v>5.8</c:v>
              </c:pt>
              <c:pt idx="23">
                <c:v>4.5999999999999996</c:v>
              </c:pt>
              <c:pt idx="24">
                <c:v>9</c:v>
              </c:pt>
              <c:pt idx="25">
                <c:v>12.9</c:v>
              </c:pt>
              <c:pt idx="26">
                <c:v>12</c:v>
              </c:pt>
              <c:pt idx="27">
                <c:v>10.3</c:v>
              </c:pt>
              <c:pt idx="28">
                <c:v>4.9000000000000004</c:v>
              </c:pt>
              <c:pt idx="29">
                <c:v>4.8</c:v>
              </c:pt>
            </c:numLit>
          </c:val>
          <c:smooth val="0"/>
        </c:ser>
        <c:ser>
          <c:idx val="3"/>
          <c:order val="1"/>
          <c:tx>
            <c:v>Frost Point</c:v>
          </c:tx>
          <c:spPr>
            <a:ln w="38100">
              <a:solidFill>
                <a:srgbClr val="000080"/>
              </a:solidFill>
              <a:prstDash val="sysDash"/>
            </a:ln>
          </c:spPr>
          <c:marker>
            <c:symbol val="none"/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</c:numLit>
          </c:val>
          <c:smooth val="0"/>
        </c:ser>
        <c:ser>
          <c:idx val="0"/>
          <c:order val="2"/>
          <c:tx>
            <c:v>Mean' Dew Point</c:v>
          </c:tx>
          <c:spPr>
            <a:ln w="38100">
              <a:solidFill>
                <a:srgbClr val="008080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666699"/>
              </a:solidFill>
              <a:ln>
                <a:solidFill>
                  <a:srgbClr val="666699"/>
                </a:solidFill>
                <a:prstDash val="solid"/>
              </a:ln>
            </c:spPr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6.1</c:v>
              </c:pt>
              <c:pt idx="1">
                <c:v>10.4</c:v>
              </c:pt>
              <c:pt idx="2">
                <c:v>10.4</c:v>
              </c:pt>
              <c:pt idx="3">
                <c:v>10.8</c:v>
              </c:pt>
              <c:pt idx="4">
                <c:v>9.9</c:v>
              </c:pt>
              <c:pt idx="5">
                <c:v>9</c:v>
              </c:pt>
              <c:pt idx="6">
                <c:v>7.1</c:v>
              </c:pt>
              <c:pt idx="7">
                <c:v>7.4</c:v>
              </c:pt>
              <c:pt idx="8">
                <c:v>6.4</c:v>
              </c:pt>
              <c:pt idx="9">
                <c:v>6.5</c:v>
              </c:pt>
              <c:pt idx="10">
                <c:v>6.1</c:v>
              </c:pt>
              <c:pt idx="11">
                <c:v>8.6</c:v>
              </c:pt>
              <c:pt idx="12">
                <c:v>12.3</c:v>
              </c:pt>
              <c:pt idx="13">
                <c:v>8.6</c:v>
              </c:pt>
              <c:pt idx="14">
                <c:v>11.9</c:v>
              </c:pt>
              <c:pt idx="15">
                <c:v>10.199999999999999</c:v>
              </c:pt>
              <c:pt idx="16">
                <c:v>10.199999999999999</c:v>
              </c:pt>
              <c:pt idx="17">
                <c:v>9.8000000000000007</c:v>
              </c:pt>
              <c:pt idx="18">
                <c:v>8.1999999999999993</c:v>
              </c:pt>
              <c:pt idx="19">
                <c:v>10.1</c:v>
              </c:pt>
              <c:pt idx="20">
                <c:v>11</c:v>
              </c:pt>
              <c:pt idx="21">
                <c:v>10.4</c:v>
              </c:pt>
              <c:pt idx="22">
                <c:v>8.1999999999999993</c:v>
              </c:pt>
              <c:pt idx="23">
                <c:v>7.5</c:v>
              </c:pt>
              <c:pt idx="24">
                <c:v>13.6</c:v>
              </c:pt>
              <c:pt idx="25">
                <c:v>14.8</c:v>
              </c:pt>
              <c:pt idx="26">
                <c:v>15.4</c:v>
              </c:pt>
              <c:pt idx="27">
                <c:v>14.9</c:v>
              </c:pt>
              <c:pt idx="28">
                <c:v>6.6</c:v>
              </c:pt>
              <c:pt idx="29">
                <c:v>6.8</c:v>
              </c:pt>
            </c:numLit>
          </c:val>
          <c:smooth val="0"/>
        </c:ser>
        <c:ser>
          <c:idx val="4"/>
          <c:order val="3"/>
          <c:tx>
            <c:v>Max Dew Point</c:v>
          </c:tx>
          <c:spPr>
            <a:ln w="38100">
              <a:solidFill>
                <a:srgbClr val="003300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003366"/>
              </a:solidFill>
              <a:ln>
                <a:solidFill>
                  <a:srgbClr val="003366"/>
                </a:solidFill>
                <a:prstDash val="solid"/>
              </a:ln>
            </c:spPr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8.5</c:v>
              </c:pt>
              <c:pt idx="1">
                <c:v>12.8</c:v>
              </c:pt>
              <c:pt idx="2">
                <c:v>13.3</c:v>
              </c:pt>
              <c:pt idx="3">
                <c:v>15.2</c:v>
              </c:pt>
              <c:pt idx="4">
                <c:v>11.8</c:v>
              </c:pt>
              <c:pt idx="5">
                <c:v>10.1</c:v>
              </c:pt>
              <c:pt idx="6">
                <c:v>10.3</c:v>
              </c:pt>
              <c:pt idx="7">
                <c:v>10</c:v>
              </c:pt>
              <c:pt idx="8">
                <c:v>9.3000000000000007</c:v>
              </c:pt>
              <c:pt idx="9">
                <c:v>9.1999999999999993</c:v>
              </c:pt>
              <c:pt idx="10">
                <c:v>9.6999999999999993</c:v>
              </c:pt>
              <c:pt idx="11">
                <c:v>13.4</c:v>
              </c:pt>
              <c:pt idx="12">
                <c:v>15.1</c:v>
              </c:pt>
              <c:pt idx="13">
                <c:v>11.3</c:v>
              </c:pt>
              <c:pt idx="14">
                <c:v>14.2</c:v>
              </c:pt>
              <c:pt idx="15">
                <c:v>12.2</c:v>
              </c:pt>
              <c:pt idx="16">
                <c:v>11.8</c:v>
              </c:pt>
              <c:pt idx="17">
                <c:v>11.9</c:v>
              </c:pt>
              <c:pt idx="18">
                <c:v>10.5</c:v>
              </c:pt>
              <c:pt idx="19">
                <c:v>13.7</c:v>
              </c:pt>
              <c:pt idx="20">
                <c:v>14.2</c:v>
              </c:pt>
              <c:pt idx="21">
                <c:v>13.4</c:v>
              </c:pt>
              <c:pt idx="22">
                <c:v>15.4</c:v>
              </c:pt>
              <c:pt idx="23">
                <c:v>10.3</c:v>
              </c:pt>
              <c:pt idx="24">
                <c:v>16.2</c:v>
              </c:pt>
              <c:pt idx="25">
                <c:v>17.100000000000001</c:v>
              </c:pt>
              <c:pt idx="26">
                <c:v>18.2</c:v>
              </c:pt>
              <c:pt idx="27">
                <c:v>16.399999999999999</c:v>
              </c:pt>
              <c:pt idx="28">
                <c:v>10.5</c:v>
              </c:pt>
              <c:pt idx="29">
                <c:v>9.5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638080"/>
        <c:axId val="120644352"/>
      </c:lineChart>
      <c:catAx>
        <c:axId val="120638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0644352"/>
        <c:crossesAt val="-10"/>
        <c:auto val="1"/>
        <c:lblAlgn val="ctr"/>
        <c:lblOffset val="100"/>
        <c:tickLblSkip val="1"/>
        <c:tickMarkSkip val="1"/>
        <c:noMultiLvlLbl val="0"/>
      </c:catAx>
      <c:valAx>
        <c:axId val="120644352"/>
        <c:scaling>
          <c:orientation val="minMax"/>
          <c:max val="19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0638080"/>
        <c:crosses val="autoZero"/>
        <c:crossBetween val="between"/>
        <c:majorUnit val="2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Mean Wind Direction Frequency</a:t>
            </a:r>
          </a:p>
        </c:rich>
      </c:tx>
      <c:layout>
        <c:manualLayout>
          <c:xMode val="edge"/>
          <c:yMode val="edge"/>
          <c:x val="0.40434296945276205"/>
          <c:y val="2.585193889541715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0809876812071785"/>
          <c:y val="0.15981198589894241"/>
          <c:w val="0.37206594093054307"/>
          <c:h val="0.74500587544065799"/>
        </c:manualLayout>
      </c:layout>
      <c:radarChart>
        <c:radarStyle val="filled"/>
        <c:varyColors val="1"/>
        <c:ser>
          <c:idx val="0"/>
          <c:order val="0"/>
          <c:tx>
            <c:v>Mean Wind Direction</c:v>
          </c:tx>
          <c:spPr>
            <a:solidFill>
              <a:srgbClr val="FF99CC"/>
            </a:solidFill>
            <a:ln w="38100">
              <a:solidFill>
                <a:srgbClr val="FF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</c:dPt>
          <c:dPt>
            <c:idx val="2"/>
            <c:bubble3D val="0"/>
          </c:dPt>
          <c:dPt>
            <c:idx val="3"/>
            <c:bubble3D val="0"/>
          </c:dPt>
          <c:dPt>
            <c:idx val="4"/>
            <c:bubble3D val="0"/>
          </c:dPt>
          <c:dPt>
            <c:idx val="5"/>
            <c:bubble3D val="0"/>
          </c:dPt>
          <c:dPt>
            <c:idx val="6"/>
            <c:bubble3D val="0"/>
          </c:dPt>
          <c:dPt>
            <c:idx val="7"/>
            <c:bubble3D val="0"/>
          </c:dPt>
          <c:dLbls>
            <c:dLbl>
              <c:idx val="0"/>
              <c:layout>
                <c:manualLayout>
                  <c:xMode val="edge"/>
                  <c:yMode val="edge"/>
                  <c:x val="0.4888500454182057"/>
                  <c:y val="7.638072855464159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Mode val="edge"/>
                  <c:yMode val="edge"/>
                  <c:x val="0.65258253361950147"/>
                  <c:y val="0.2138660399529964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layout>
                <c:manualLayout>
                  <c:xMode val="edge"/>
                  <c:yMode val="edge"/>
                  <c:x val="0.70305204611165717"/>
                  <c:y val="0.5111633372502937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layout>
                <c:manualLayout>
                  <c:xMode val="edge"/>
                  <c:yMode val="edge"/>
                  <c:x val="0.64730084045171776"/>
                  <c:y val="0.7955346650998824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4"/>
              <c:layout>
                <c:manualLayout>
                  <c:xMode val="edge"/>
                  <c:yMode val="edge"/>
                  <c:x val="0.49119746460388736"/>
                  <c:y val="0.9588719153936545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5"/>
              <c:layout>
                <c:manualLayout>
                  <c:xMode val="edge"/>
                  <c:yMode val="edge"/>
                  <c:x val="0.32277013803122823"/>
                  <c:y val="0.8143360752056404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6"/>
              <c:layout>
                <c:manualLayout>
                  <c:xMode val="edge"/>
                  <c:yMode val="edge"/>
                  <c:x val="0.26701893237128882"/>
                  <c:y val="0.5146886016451234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7"/>
              <c:layout>
                <c:manualLayout>
                  <c:xMode val="edge"/>
                  <c:yMode val="edge"/>
                  <c:x val="0.32218328323480783"/>
                  <c:y val="0.20564042303172739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375" b="1" i="0" u="none" strike="noStrike" baseline="0">
                    <a:solidFill>
                      <a:srgbClr val="FF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Lit>
              <c:ptCount val="8"/>
              <c:pt idx="0">
                <c:v>N</c:v>
              </c:pt>
              <c:pt idx="1">
                <c:v>NE</c:v>
              </c:pt>
              <c:pt idx="2">
                <c:v>E</c:v>
              </c:pt>
              <c:pt idx="3">
                <c:v>SE</c:v>
              </c:pt>
              <c:pt idx="4">
                <c:v>S</c:v>
              </c:pt>
              <c:pt idx="5">
                <c:v>SW</c:v>
              </c:pt>
              <c:pt idx="6">
                <c:v>W</c:v>
              </c:pt>
              <c:pt idx="7">
                <c:v>NW</c:v>
              </c:pt>
            </c:strLit>
          </c:cat>
          <c:val>
            <c:numLit>
              <c:formatCode>General</c:formatCode>
              <c:ptCount val="8"/>
              <c:pt idx="0">
                <c:v>2</c:v>
              </c:pt>
              <c:pt idx="1">
                <c:v>4</c:v>
              </c:pt>
              <c:pt idx="2">
                <c:v>0</c:v>
              </c:pt>
              <c:pt idx="3">
                <c:v>0</c:v>
              </c:pt>
              <c:pt idx="4">
                <c:v>5</c:v>
              </c:pt>
              <c:pt idx="5">
                <c:v>10</c:v>
              </c:pt>
              <c:pt idx="6">
                <c:v>7</c:v>
              </c:pt>
              <c:pt idx="7">
                <c:v>2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777728"/>
        <c:axId val="120914688"/>
      </c:radarChart>
      <c:catAx>
        <c:axId val="120777728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0914688"/>
        <c:crosses val="autoZero"/>
        <c:auto val="0"/>
        <c:lblAlgn val="ctr"/>
        <c:lblOffset val="100"/>
        <c:noMultiLvlLbl val="0"/>
      </c:catAx>
      <c:valAx>
        <c:axId val="120914688"/>
        <c:scaling>
          <c:orientation val="minMax"/>
          <c:max val="12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0777728"/>
        <c:crosses val="autoZero"/>
        <c:crossBetween val="between"/>
        <c:majorUnit val="2"/>
      </c:valAx>
      <c:spPr>
        <a:solidFill>
          <a:srgbClr val="C0C0C0"/>
        </a:solidFill>
        <a:ln w="25400">
          <a:noFill/>
        </a:ln>
      </c:spPr>
    </c:plotArea>
    <c:plotVisOnly val="1"/>
    <c:dispBlanksAs val="gap"/>
    <c:showDLblsOverMax val="0"/>
  </c:chart>
  <c:spPr>
    <a:solidFill>
      <a:srgbClr val="C0C0C0"/>
    </a:solidFill>
    <a:ln w="3175">
      <a:solidFill>
        <a:srgbClr val="000000"/>
      </a:solidFill>
      <a:prstDash val="solid"/>
    </a:ln>
  </c:spPr>
  <c:txPr>
    <a:bodyPr/>
    <a:lstStyle/>
    <a:p>
      <a:pPr>
        <a:defRPr sz="23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Cumulative Sun Hours / h</a:t>
            </a:r>
          </a:p>
        </c:rich>
      </c:tx>
      <c:layout>
        <c:manualLayout>
          <c:xMode val="edge"/>
          <c:yMode val="edge"/>
          <c:x val="0.42778132143439052"/>
          <c:y val="2.690058479532163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502160052459488E-2"/>
          <c:y val="8.7719398436812909E-2"/>
          <c:w val="0.9403813516721462"/>
          <c:h val="0.86198928863908153"/>
        </c:manualLayout>
      </c:layout>
      <c:lineChart>
        <c:grouping val="standard"/>
        <c:varyColors val="0"/>
        <c:ser>
          <c:idx val="1"/>
          <c:order val="0"/>
          <c:tx>
            <c:v>Cumulative Sun Hours</c:v>
          </c:tx>
          <c:spPr>
            <a:ln w="38100">
              <a:solidFill>
                <a:srgbClr val="FFFF00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99CC00"/>
              </a:solidFill>
              <a:ln>
                <a:solidFill>
                  <a:srgbClr val="99CC00"/>
                </a:solidFill>
                <a:prstDash val="solid"/>
              </a:ln>
            </c:spPr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11</c:v>
              </c:pt>
              <c:pt idx="1">
                <c:v>20</c:v>
              </c:pt>
              <c:pt idx="2">
                <c:v>34.700000000000003</c:v>
              </c:pt>
              <c:pt idx="3">
                <c:v>44.7</c:v>
              </c:pt>
              <c:pt idx="4">
                <c:v>45.2</c:v>
              </c:pt>
              <c:pt idx="5">
                <c:v>46.7</c:v>
              </c:pt>
              <c:pt idx="6">
                <c:v>54.7</c:v>
              </c:pt>
              <c:pt idx="7">
                <c:v>59.7</c:v>
              </c:pt>
              <c:pt idx="8">
                <c:v>66.7</c:v>
              </c:pt>
              <c:pt idx="9">
                <c:v>69.7</c:v>
              </c:pt>
              <c:pt idx="10">
                <c:v>75.7</c:v>
              </c:pt>
              <c:pt idx="11">
                <c:v>77.2</c:v>
              </c:pt>
              <c:pt idx="12">
                <c:v>82.2</c:v>
              </c:pt>
              <c:pt idx="13">
                <c:v>95.2</c:v>
              </c:pt>
              <c:pt idx="14">
                <c:v>96.2</c:v>
              </c:pt>
              <c:pt idx="15">
                <c:v>99.2</c:v>
              </c:pt>
              <c:pt idx="16">
                <c:v>99.5</c:v>
              </c:pt>
              <c:pt idx="17">
                <c:v>103</c:v>
              </c:pt>
              <c:pt idx="18">
                <c:v>108</c:v>
              </c:pt>
              <c:pt idx="19">
                <c:v>111.5</c:v>
              </c:pt>
              <c:pt idx="20">
                <c:v>118.5</c:v>
              </c:pt>
              <c:pt idx="21">
                <c:v>122.5</c:v>
              </c:pt>
              <c:pt idx="22">
                <c:v>128.5</c:v>
              </c:pt>
              <c:pt idx="23">
                <c:v>136.5</c:v>
              </c:pt>
              <c:pt idx="24">
                <c:v>141.5</c:v>
              </c:pt>
              <c:pt idx="25">
                <c:v>153.5</c:v>
              </c:pt>
              <c:pt idx="26">
                <c:v>163.5</c:v>
              </c:pt>
              <c:pt idx="27">
                <c:v>164</c:v>
              </c:pt>
              <c:pt idx="28">
                <c:v>174.5</c:v>
              </c:pt>
              <c:pt idx="29">
                <c:v>182.5</c:v>
              </c:pt>
            </c:numLit>
          </c:val>
          <c:smooth val="0"/>
        </c:ser>
        <c:ser>
          <c:idx val="2"/>
          <c:order val="1"/>
          <c:tx>
            <c:v>E (Cumulative Sun Hours)</c:v>
          </c:tx>
          <c:spPr>
            <a:ln w="25400">
              <a:solidFill>
                <a:srgbClr val="FFFF99"/>
              </a:solidFill>
              <a:prstDash val="lgDash"/>
            </a:ln>
          </c:spPr>
          <c:marker>
            <c:symbol val="diamond"/>
            <c:size val="2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6.2696878163058738</c:v>
              </c:pt>
              <c:pt idx="1">
                <c:v>12.551523824246591</c:v>
              </c:pt>
              <c:pt idx="2">
                <c:v>18.844976491194707</c:v>
              </c:pt>
              <c:pt idx="3">
                <c:v>25.149504185770269</c:v>
              </c:pt>
              <c:pt idx="4">
                <c:v>31.464555481451445</c:v>
              </c:pt>
              <c:pt idx="5">
                <c:v>37.789569490336135</c:v>
              </c:pt>
              <c:pt idx="6">
                <c:v>44.123976226858822</c:v>
              </c:pt>
              <c:pt idx="7">
                <c:v>50.467197001084791</c:v>
              </c:pt>
              <c:pt idx="8">
                <c:v>56.818644841015782</c:v>
              </c:pt>
              <c:pt idx="9">
                <c:v>63.177724943149073</c:v>
              </c:pt>
              <c:pt idx="10">
                <c:v>69.543835150337486</c:v>
              </c:pt>
              <c:pt idx="11">
                <c:v>75.916366455803455</c:v>
              </c:pt>
              <c:pt idx="12">
                <c:v>82.29470353196831</c:v>
              </c:pt>
              <c:pt idx="13">
                <c:v>88.678225282570025</c:v>
              </c:pt>
              <c:pt idx="14">
                <c:v>95.066305416362312</c:v>
              </c:pt>
              <c:pt idx="15">
                <c:v>101.45831304051639</c:v>
              </c:pt>
              <c:pt idx="16">
                <c:v>107.85361327168735</c:v>
              </c:pt>
              <c:pt idx="17">
                <c:v>114.25156786256113</c:v>
              </c:pt>
              <c:pt idx="18">
                <c:v>120.65153584156845</c:v>
              </c:pt>
              <c:pt idx="19">
                <c:v>127.05287416334039</c:v>
              </c:pt>
              <c:pt idx="20">
                <c:v>133.45493836738811</c:v>
              </c:pt>
              <c:pt idx="21">
                <c:v>139.85708324241776</c:v>
              </c:pt>
              <c:pt idx="22">
                <c:v>146.25866349364324</c:v>
              </c:pt>
              <c:pt idx="23">
                <c:v>152.65903441043247</c:v>
              </c:pt>
              <c:pt idx="24">
                <c:v>159.05755253162047</c:v>
              </c:pt>
              <c:pt idx="25">
                <c:v>165.45357630584297</c:v>
              </c:pt>
              <c:pt idx="26">
                <c:v>171.84646674428708</c:v>
              </c:pt>
              <c:pt idx="27">
                <c:v>178.23558806332204</c:v>
              </c:pt>
              <c:pt idx="28">
                <c:v>184.62030831455948</c:v>
              </c:pt>
              <c:pt idx="29">
                <c:v>191.00000000000003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963456"/>
        <c:axId val="120964992"/>
      </c:lineChart>
      <c:lineChart>
        <c:grouping val="standard"/>
        <c:varyColors val="0"/>
        <c:ser>
          <c:idx val="0"/>
          <c:order val="2"/>
          <c:tx>
            <c:v>Cumulative Anomaly</c:v>
          </c:tx>
          <c:spPr>
            <a:ln w="12700">
              <a:solidFill>
                <a:srgbClr val="99CC00"/>
              </a:solidFill>
              <a:prstDash val="solid"/>
            </a:ln>
          </c:spPr>
          <c:marker>
            <c:symbol val="circle"/>
            <c:size val="2"/>
            <c:spPr>
              <a:solidFill>
                <a:srgbClr val="808000"/>
              </a:solidFill>
              <a:ln>
                <a:solidFill>
                  <a:srgbClr val="808000"/>
                </a:solidFill>
                <a:prstDash val="solid"/>
              </a:ln>
            </c:spPr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1.7544733202491805</c:v>
              </c:pt>
              <c:pt idx="1">
                <c:v>1.5934320230795169</c:v>
              </c:pt>
              <c:pt idx="2">
                <c:v>1.8413395217666382</c:v>
              </c:pt>
              <c:pt idx="3">
                <c:v>1.7773710236916525</c:v>
              </c:pt>
              <c:pt idx="4">
                <c:v>1.4365370591885747</c:v>
              </c:pt>
              <c:pt idx="5">
                <c:v>1.2357907388159719</c:v>
              </c:pt>
              <c:pt idx="6">
                <c:v>1.2396888194927325</c:v>
              </c:pt>
              <c:pt idx="7">
                <c:v>1.1829466177548309</c:v>
              </c:pt>
              <c:pt idx="8">
                <c:v>1.1739104335668904</c:v>
              </c:pt>
              <c:pt idx="9">
                <c:v>1.1032369409110576</c:v>
              </c:pt>
              <c:pt idx="10">
                <c:v>1.0885220787199086</c:v>
              </c:pt>
              <c:pt idx="11">
                <c:v>1.0169085218922305</c:v>
              </c:pt>
              <c:pt idx="12">
                <c:v>0.99884921473796284</c:v>
              </c:pt>
              <c:pt idx="13">
                <c:v>1.0735442629422112</c:v>
              </c:pt>
              <c:pt idx="14">
                <c:v>1.0119253039094394</c:v>
              </c:pt>
              <c:pt idx="15">
                <c:v>0.97774146865999489</c:v>
              </c:pt>
              <c:pt idx="16">
                <c:v>0.92254674629542288</c:v>
              </c:pt>
              <c:pt idx="17">
                <c:v>0.90151935703765396</c:v>
              </c:pt>
              <c:pt idx="18">
                <c:v>0.89513986910053434</c:v>
              </c:pt>
              <c:pt idx="19">
                <c:v>0.87758738819756676</c:v>
              </c:pt>
              <c:pt idx="20">
                <c:v>0.88794016504493334</c:v>
              </c:pt>
              <c:pt idx="21">
                <c:v>0.87589414250594444</c:v>
              </c:pt>
              <c:pt idx="22">
                <c:v>0.87858043366836125</c:v>
              </c:pt>
              <c:pt idx="23">
                <c:v>0.89414950466024834</c:v>
              </c:pt>
              <c:pt idx="24">
                <c:v>0.88961509684911033</c:v>
              </c:pt>
              <c:pt idx="25">
                <c:v>0.92775268705134162</c:v>
              </c:pt>
              <c:pt idx="26">
                <c:v>0.951430675867739</c:v>
              </c:pt>
              <c:pt idx="27">
                <c:v>0.92013049572196248</c:v>
              </c:pt>
              <c:pt idx="28">
                <c:v>0.94518312526422443</c:v>
              </c:pt>
              <c:pt idx="29">
                <c:v>0.95549738219895275</c:v>
              </c:pt>
            </c:numLit>
          </c:val>
          <c:smooth val="0"/>
        </c:ser>
        <c:ser>
          <c:idx val="3"/>
          <c:order val="3"/>
          <c:tx>
            <c:v>E (Cumulative Anomaly)</c:v>
          </c:tx>
          <c:spPr>
            <a:ln w="12700">
              <a:solidFill>
                <a:srgbClr val="808000"/>
              </a:solidFill>
              <a:prstDash val="lgDash"/>
            </a:ln>
          </c:spPr>
          <c:marker>
            <c:symbol val="none"/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1</c:v>
              </c:pt>
              <c:pt idx="1">
                <c:v>1</c:v>
              </c:pt>
              <c:pt idx="2">
                <c:v>1</c:v>
              </c:pt>
              <c:pt idx="3">
                <c:v>1</c:v>
              </c:pt>
              <c:pt idx="4">
                <c:v>1</c:v>
              </c:pt>
              <c:pt idx="5">
                <c:v>1</c:v>
              </c:pt>
              <c:pt idx="6">
                <c:v>1</c:v>
              </c:pt>
              <c:pt idx="7">
                <c:v>1</c:v>
              </c:pt>
              <c:pt idx="8">
                <c:v>1</c:v>
              </c:pt>
              <c:pt idx="9">
                <c:v>1</c:v>
              </c:pt>
              <c:pt idx="10">
                <c:v>1</c:v>
              </c:pt>
              <c:pt idx="11">
                <c:v>1</c:v>
              </c:pt>
              <c:pt idx="12">
                <c:v>1</c:v>
              </c:pt>
              <c:pt idx="13">
                <c:v>1</c:v>
              </c:pt>
              <c:pt idx="14">
                <c:v>1</c:v>
              </c:pt>
              <c:pt idx="15">
                <c:v>1</c:v>
              </c:pt>
              <c:pt idx="16">
                <c:v>1</c:v>
              </c:pt>
              <c:pt idx="17">
                <c:v>1</c:v>
              </c:pt>
              <c:pt idx="18">
                <c:v>1</c:v>
              </c:pt>
              <c:pt idx="19">
                <c:v>1</c:v>
              </c:pt>
              <c:pt idx="20">
                <c:v>1</c:v>
              </c:pt>
              <c:pt idx="21">
                <c:v>1</c:v>
              </c:pt>
              <c:pt idx="22">
                <c:v>1</c:v>
              </c:pt>
              <c:pt idx="23">
                <c:v>1</c:v>
              </c:pt>
              <c:pt idx="24">
                <c:v>1</c:v>
              </c:pt>
              <c:pt idx="25">
                <c:v>1</c:v>
              </c:pt>
              <c:pt idx="26">
                <c:v>1</c:v>
              </c:pt>
              <c:pt idx="27">
                <c:v>1</c:v>
              </c:pt>
              <c:pt idx="28">
                <c:v>1</c:v>
              </c:pt>
              <c:pt idx="29">
                <c:v>1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966528"/>
        <c:axId val="121050240"/>
      </c:lineChart>
      <c:catAx>
        <c:axId val="120963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09649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0964992"/>
        <c:scaling>
          <c:orientation val="minMax"/>
          <c:max val="250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0963456"/>
        <c:crosses val="autoZero"/>
        <c:crossBetween val="between"/>
        <c:majorUnit val="50"/>
      </c:valAx>
      <c:catAx>
        <c:axId val="1209665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050240"/>
        <c:crosses val="autoZero"/>
        <c:auto val="1"/>
        <c:lblAlgn val="ctr"/>
        <c:lblOffset val="100"/>
        <c:noMultiLvlLbl val="0"/>
      </c:catAx>
      <c:valAx>
        <c:axId val="121050240"/>
        <c:scaling>
          <c:orientation val="minMax"/>
          <c:max val="2"/>
          <c:min val="0"/>
        </c:scaling>
        <c:delete val="0"/>
        <c:axPos val="r"/>
        <c:numFmt formatCode="0%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0966528"/>
        <c:crosses val="max"/>
        <c:crossBetween val="between"/>
        <c:majorUnit val="0.4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 horizontalDpi="-3"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 sz="14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Mean' &amp; Mean Temperature / </a:t>
            </a:r>
            <a:r>
              <a:rPr lang="en-GB" sz="1400" b="1" i="0" u="none" strike="noStrike" baseline="30000">
                <a:solidFill>
                  <a:srgbClr val="000000"/>
                </a:solidFill>
                <a:latin typeface="Arial"/>
                <a:cs typeface="Arial"/>
              </a:rPr>
              <a:t>o</a:t>
            </a:r>
            <a:r>
              <a:rPr lang="en-GB" sz="14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C</a:t>
            </a:r>
          </a:p>
        </c:rich>
      </c:tx>
      <c:layout>
        <c:manualLayout>
          <c:xMode val="edge"/>
          <c:yMode val="edge"/>
          <c:x val="0.40872784878534313"/>
          <c:y val="1.990632318501171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970505042623335E-2"/>
          <c:y val="8.7822014051522249E-2"/>
          <c:w val="0.97357128173116314"/>
          <c:h val="0.86182669789227162"/>
        </c:manualLayout>
      </c:layout>
      <c:lineChart>
        <c:grouping val="standard"/>
        <c:varyColors val="0"/>
        <c:ser>
          <c:idx val="2"/>
          <c:order val="0"/>
          <c:tx>
            <c:v>Mean Temperature</c:v>
          </c:tx>
          <c:spPr>
            <a:ln w="25400">
              <a:solidFill>
                <a:srgbClr val="666699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333399"/>
              </a:solidFill>
              <a:ln>
                <a:solidFill>
                  <a:srgbClr val="333399"/>
                </a:solidFill>
                <a:prstDash val="solid"/>
              </a:ln>
            </c:spPr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14.5</c:v>
              </c:pt>
              <c:pt idx="1">
                <c:v>16.399999999999999</c:v>
              </c:pt>
              <c:pt idx="2">
                <c:v>18.3</c:v>
              </c:pt>
              <c:pt idx="3">
                <c:v>18.850000000000001</c:v>
              </c:pt>
              <c:pt idx="4">
                <c:v>14.8</c:v>
              </c:pt>
              <c:pt idx="5">
                <c:v>12.4</c:v>
              </c:pt>
              <c:pt idx="6">
                <c:v>14.9</c:v>
              </c:pt>
              <c:pt idx="7">
                <c:v>14</c:v>
              </c:pt>
              <c:pt idx="8">
                <c:v>13.4</c:v>
              </c:pt>
              <c:pt idx="9">
                <c:v>12.1</c:v>
              </c:pt>
              <c:pt idx="10">
                <c:v>13.55</c:v>
              </c:pt>
              <c:pt idx="11">
                <c:v>11.45</c:v>
              </c:pt>
              <c:pt idx="12">
                <c:v>17.55</c:v>
              </c:pt>
              <c:pt idx="13">
                <c:v>17</c:v>
              </c:pt>
              <c:pt idx="14">
                <c:v>17.45</c:v>
              </c:pt>
              <c:pt idx="15">
                <c:v>13.95</c:v>
              </c:pt>
              <c:pt idx="16">
                <c:v>12.350000000000001</c:v>
              </c:pt>
              <c:pt idx="17">
                <c:v>14.35</c:v>
              </c:pt>
              <c:pt idx="18">
                <c:v>14.75</c:v>
              </c:pt>
              <c:pt idx="19">
                <c:v>14.8</c:v>
              </c:pt>
              <c:pt idx="20">
                <c:v>17.600000000000001</c:v>
              </c:pt>
              <c:pt idx="21">
                <c:v>15.200000000000001</c:v>
              </c:pt>
              <c:pt idx="22">
                <c:v>15.2</c:v>
              </c:pt>
              <c:pt idx="23">
                <c:v>15.2</c:v>
              </c:pt>
              <c:pt idx="24">
                <c:v>17.549999999999997</c:v>
              </c:pt>
              <c:pt idx="25">
                <c:v>22.65</c:v>
              </c:pt>
              <c:pt idx="26">
                <c:v>25.049999999999997</c:v>
              </c:pt>
              <c:pt idx="27">
                <c:v>17.55</c:v>
              </c:pt>
              <c:pt idx="28">
                <c:v>15.600000000000001</c:v>
              </c:pt>
              <c:pt idx="29">
                <c:v>14.9</c:v>
              </c:pt>
            </c:numLit>
          </c:val>
          <c:smooth val="0"/>
        </c:ser>
        <c:ser>
          <c:idx val="0"/>
          <c:order val="1"/>
          <c:tx>
            <c:v>Mean' Temperature</c:v>
          </c:tx>
          <c:spPr>
            <a:ln w="38100">
              <a:solidFill>
                <a:srgbClr val="800080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666699"/>
              </a:solidFill>
              <a:ln>
                <a:solidFill>
                  <a:srgbClr val="666699"/>
                </a:solidFill>
                <a:prstDash val="solid"/>
              </a:ln>
            </c:spPr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14.8</c:v>
              </c:pt>
              <c:pt idx="1">
                <c:v>17.5</c:v>
              </c:pt>
              <c:pt idx="2">
                <c:v>18.7</c:v>
              </c:pt>
              <c:pt idx="3">
                <c:v>18.3</c:v>
              </c:pt>
              <c:pt idx="4">
                <c:v>14.4</c:v>
              </c:pt>
              <c:pt idx="5">
                <c:v>12</c:v>
              </c:pt>
              <c:pt idx="6">
                <c:v>15</c:v>
              </c:pt>
              <c:pt idx="7">
                <c:v>13.8</c:v>
              </c:pt>
              <c:pt idx="8">
                <c:v>13.7</c:v>
              </c:pt>
              <c:pt idx="9">
                <c:v>11.6</c:v>
              </c:pt>
              <c:pt idx="10">
                <c:v>12.9</c:v>
              </c:pt>
              <c:pt idx="11">
                <c:v>11.9</c:v>
              </c:pt>
              <c:pt idx="12">
                <c:v>17.100000000000001</c:v>
              </c:pt>
              <c:pt idx="13">
                <c:v>17.5</c:v>
              </c:pt>
              <c:pt idx="14">
                <c:v>17.2</c:v>
              </c:pt>
              <c:pt idx="15">
                <c:v>14.2</c:v>
              </c:pt>
              <c:pt idx="16">
                <c:v>12.5</c:v>
              </c:pt>
              <c:pt idx="17">
                <c:v>14.1</c:v>
              </c:pt>
              <c:pt idx="18">
                <c:v>15.2</c:v>
              </c:pt>
              <c:pt idx="19">
                <c:v>15.2</c:v>
              </c:pt>
              <c:pt idx="20">
                <c:v>17.2</c:v>
              </c:pt>
              <c:pt idx="21">
                <c:v>15.2</c:v>
              </c:pt>
              <c:pt idx="22">
                <c:v>15.3</c:v>
              </c:pt>
              <c:pt idx="23">
                <c:v>15.3</c:v>
              </c:pt>
              <c:pt idx="24">
                <c:v>17.2</c:v>
              </c:pt>
              <c:pt idx="25">
                <c:v>22.2</c:v>
              </c:pt>
              <c:pt idx="26">
                <c:v>25.4</c:v>
              </c:pt>
              <c:pt idx="27">
                <c:v>18.100000000000001</c:v>
              </c:pt>
              <c:pt idx="28">
                <c:v>16.3</c:v>
              </c:pt>
              <c:pt idx="29">
                <c:v>15.9</c:v>
              </c:pt>
            </c:numLit>
          </c:val>
          <c:smooth val="0"/>
        </c:ser>
        <c:ser>
          <c:idx val="1"/>
          <c:order val="2"/>
          <c:tx>
            <c:v>E (Mean)</c:v>
          </c:tx>
          <c:spPr>
            <a:ln w="38100">
              <a:solidFill>
                <a:srgbClr val="CC99FF"/>
              </a:solidFill>
              <a:prstDash val="lgDash"/>
            </a:ln>
          </c:spPr>
          <c:marker>
            <c:symbol val="none"/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15.649999999999999</c:v>
              </c:pt>
              <c:pt idx="1">
                <c:v>15.649999999999999</c:v>
              </c:pt>
              <c:pt idx="2">
                <c:v>15.649999999999999</c:v>
              </c:pt>
              <c:pt idx="3">
                <c:v>15.649999999999999</c:v>
              </c:pt>
              <c:pt idx="4">
                <c:v>15.649999999999999</c:v>
              </c:pt>
              <c:pt idx="5">
                <c:v>15.649999999999999</c:v>
              </c:pt>
              <c:pt idx="6">
                <c:v>15.649999999999999</c:v>
              </c:pt>
              <c:pt idx="7">
                <c:v>15.649999999999999</c:v>
              </c:pt>
              <c:pt idx="8">
                <c:v>15.649999999999999</c:v>
              </c:pt>
              <c:pt idx="9">
                <c:v>15.649999999999999</c:v>
              </c:pt>
              <c:pt idx="10">
                <c:v>15.649999999999999</c:v>
              </c:pt>
              <c:pt idx="11">
                <c:v>15.649999999999999</c:v>
              </c:pt>
              <c:pt idx="12">
                <c:v>15.649999999999999</c:v>
              </c:pt>
              <c:pt idx="13">
                <c:v>15.649999999999999</c:v>
              </c:pt>
              <c:pt idx="14">
                <c:v>15.649999999999999</c:v>
              </c:pt>
              <c:pt idx="15">
                <c:v>15.649999999999999</c:v>
              </c:pt>
              <c:pt idx="16">
                <c:v>15.649999999999999</c:v>
              </c:pt>
              <c:pt idx="17">
                <c:v>15.649999999999999</c:v>
              </c:pt>
              <c:pt idx="18">
                <c:v>15.649999999999999</c:v>
              </c:pt>
              <c:pt idx="19">
                <c:v>15.649999999999999</c:v>
              </c:pt>
              <c:pt idx="20">
                <c:v>15.649999999999999</c:v>
              </c:pt>
              <c:pt idx="21">
                <c:v>15.649999999999999</c:v>
              </c:pt>
              <c:pt idx="22">
                <c:v>15.649999999999999</c:v>
              </c:pt>
              <c:pt idx="23">
                <c:v>15.649999999999999</c:v>
              </c:pt>
              <c:pt idx="24">
                <c:v>15.649999999999999</c:v>
              </c:pt>
              <c:pt idx="25">
                <c:v>15.649999999999999</c:v>
              </c:pt>
              <c:pt idx="26">
                <c:v>15.649999999999999</c:v>
              </c:pt>
              <c:pt idx="27">
                <c:v>15.649999999999999</c:v>
              </c:pt>
              <c:pt idx="28">
                <c:v>15.649999999999999</c:v>
              </c:pt>
              <c:pt idx="29">
                <c:v>15.649999999999999</c:v>
              </c:pt>
            </c:numLit>
          </c:val>
          <c:smooth val="0"/>
        </c:ser>
        <c:ser>
          <c:idx val="3"/>
          <c:order val="3"/>
          <c:tx>
            <c:v>E (Max)</c:v>
          </c:tx>
          <c:spPr>
            <a:ln w="12700">
              <a:solidFill>
                <a:srgbClr val="FFCC99"/>
              </a:solidFill>
              <a:prstDash val="lgDash"/>
            </a:ln>
          </c:spPr>
          <c:marker>
            <c:symbol val="none"/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20.2</c:v>
              </c:pt>
              <c:pt idx="1">
                <c:v>20.2</c:v>
              </c:pt>
              <c:pt idx="2">
                <c:v>20.2</c:v>
              </c:pt>
              <c:pt idx="3">
                <c:v>20.2</c:v>
              </c:pt>
              <c:pt idx="4">
                <c:v>20.2</c:v>
              </c:pt>
              <c:pt idx="5">
                <c:v>20.2</c:v>
              </c:pt>
              <c:pt idx="6">
                <c:v>20.2</c:v>
              </c:pt>
              <c:pt idx="7">
                <c:v>20.2</c:v>
              </c:pt>
              <c:pt idx="8">
                <c:v>20.2</c:v>
              </c:pt>
              <c:pt idx="9">
                <c:v>20.2</c:v>
              </c:pt>
              <c:pt idx="10">
                <c:v>20.2</c:v>
              </c:pt>
              <c:pt idx="11">
                <c:v>20.2</c:v>
              </c:pt>
              <c:pt idx="12">
                <c:v>20.2</c:v>
              </c:pt>
              <c:pt idx="13">
                <c:v>20.2</c:v>
              </c:pt>
              <c:pt idx="14">
                <c:v>20.2</c:v>
              </c:pt>
              <c:pt idx="15">
                <c:v>20.2</c:v>
              </c:pt>
              <c:pt idx="16">
                <c:v>20.2</c:v>
              </c:pt>
              <c:pt idx="17">
                <c:v>20.2</c:v>
              </c:pt>
              <c:pt idx="18">
                <c:v>20.2</c:v>
              </c:pt>
              <c:pt idx="19">
                <c:v>20.2</c:v>
              </c:pt>
              <c:pt idx="20">
                <c:v>20.2</c:v>
              </c:pt>
              <c:pt idx="21">
                <c:v>20.2</c:v>
              </c:pt>
              <c:pt idx="22">
                <c:v>20.2</c:v>
              </c:pt>
              <c:pt idx="23">
                <c:v>20.2</c:v>
              </c:pt>
              <c:pt idx="24">
                <c:v>20.2</c:v>
              </c:pt>
              <c:pt idx="25">
                <c:v>20.2</c:v>
              </c:pt>
              <c:pt idx="26">
                <c:v>20.2</c:v>
              </c:pt>
              <c:pt idx="27">
                <c:v>20.2</c:v>
              </c:pt>
              <c:pt idx="28">
                <c:v>20.2</c:v>
              </c:pt>
              <c:pt idx="29">
                <c:v>20.2</c:v>
              </c:pt>
            </c:numLit>
          </c:val>
          <c:smooth val="0"/>
        </c:ser>
        <c:ser>
          <c:idx val="4"/>
          <c:order val="4"/>
          <c:tx>
            <c:v>E (Min)</c:v>
          </c:tx>
          <c:spPr>
            <a:ln w="12700">
              <a:solidFill>
                <a:srgbClr val="00CCFF"/>
              </a:solidFill>
              <a:prstDash val="lgDash"/>
            </a:ln>
          </c:spPr>
          <c:marker>
            <c:symbol val="none"/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11.1</c:v>
              </c:pt>
              <c:pt idx="1">
                <c:v>11.1</c:v>
              </c:pt>
              <c:pt idx="2">
                <c:v>11.1</c:v>
              </c:pt>
              <c:pt idx="3">
                <c:v>11.1</c:v>
              </c:pt>
              <c:pt idx="4">
                <c:v>11.1</c:v>
              </c:pt>
              <c:pt idx="5">
                <c:v>11.1</c:v>
              </c:pt>
              <c:pt idx="6">
                <c:v>11.1</c:v>
              </c:pt>
              <c:pt idx="7">
                <c:v>11.1</c:v>
              </c:pt>
              <c:pt idx="8">
                <c:v>11.1</c:v>
              </c:pt>
              <c:pt idx="9">
                <c:v>11.1</c:v>
              </c:pt>
              <c:pt idx="10">
                <c:v>11.1</c:v>
              </c:pt>
              <c:pt idx="11">
                <c:v>11.1</c:v>
              </c:pt>
              <c:pt idx="12">
                <c:v>11.1</c:v>
              </c:pt>
              <c:pt idx="13">
                <c:v>11.1</c:v>
              </c:pt>
              <c:pt idx="14">
                <c:v>11.1</c:v>
              </c:pt>
              <c:pt idx="15">
                <c:v>11.1</c:v>
              </c:pt>
              <c:pt idx="16">
                <c:v>11.1</c:v>
              </c:pt>
              <c:pt idx="17">
                <c:v>11.1</c:v>
              </c:pt>
              <c:pt idx="18">
                <c:v>11.1</c:v>
              </c:pt>
              <c:pt idx="19">
                <c:v>11.1</c:v>
              </c:pt>
              <c:pt idx="20">
                <c:v>11.1</c:v>
              </c:pt>
              <c:pt idx="21">
                <c:v>11.1</c:v>
              </c:pt>
              <c:pt idx="22">
                <c:v>11.1</c:v>
              </c:pt>
              <c:pt idx="23">
                <c:v>11.1</c:v>
              </c:pt>
              <c:pt idx="24">
                <c:v>11.1</c:v>
              </c:pt>
              <c:pt idx="25">
                <c:v>11.1</c:v>
              </c:pt>
              <c:pt idx="26">
                <c:v>11.1</c:v>
              </c:pt>
              <c:pt idx="27">
                <c:v>11.1</c:v>
              </c:pt>
              <c:pt idx="28">
                <c:v>11.1</c:v>
              </c:pt>
              <c:pt idx="29">
                <c:v>11.1</c:v>
              </c:pt>
            </c:numLit>
          </c:val>
          <c:smooth val="0"/>
        </c:ser>
        <c:ser>
          <c:idx val="5"/>
          <c:order val="5"/>
          <c:tx>
            <c:v>Cold Threshold</c:v>
          </c:tx>
          <c:spPr>
            <a:ln w="25400">
              <a:solidFill>
                <a:srgbClr val="0000FF"/>
              </a:solidFill>
              <a:prstDash val="sysDash"/>
            </a:ln>
          </c:spPr>
          <c:marker>
            <c:symbol val="none"/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12.616666666666665</c:v>
              </c:pt>
              <c:pt idx="1">
                <c:v>12.616666666666665</c:v>
              </c:pt>
              <c:pt idx="2">
                <c:v>12.616666666666665</c:v>
              </c:pt>
              <c:pt idx="3">
                <c:v>12.616666666666665</c:v>
              </c:pt>
              <c:pt idx="4">
                <c:v>12.616666666666665</c:v>
              </c:pt>
              <c:pt idx="5">
                <c:v>12.616666666666665</c:v>
              </c:pt>
              <c:pt idx="6">
                <c:v>12.616666666666665</c:v>
              </c:pt>
              <c:pt idx="7">
                <c:v>12.616666666666665</c:v>
              </c:pt>
              <c:pt idx="8">
                <c:v>12.616666666666665</c:v>
              </c:pt>
              <c:pt idx="9">
                <c:v>12.616666666666665</c:v>
              </c:pt>
              <c:pt idx="10">
                <c:v>12.616666666666665</c:v>
              </c:pt>
              <c:pt idx="11">
                <c:v>12.616666666666665</c:v>
              </c:pt>
              <c:pt idx="12">
                <c:v>12.616666666666665</c:v>
              </c:pt>
              <c:pt idx="13">
                <c:v>12.616666666666665</c:v>
              </c:pt>
              <c:pt idx="14">
                <c:v>12.616666666666665</c:v>
              </c:pt>
              <c:pt idx="15">
                <c:v>12.616666666666665</c:v>
              </c:pt>
              <c:pt idx="16">
                <c:v>12.616666666666665</c:v>
              </c:pt>
              <c:pt idx="17">
                <c:v>12.616666666666665</c:v>
              </c:pt>
              <c:pt idx="18">
                <c:v>12.616666666666665</c:v>
              </c:pt>
              <c:pt idx="19">
                <c:v>12.616666666666665</c:v>
              </c:pt>
              <c:pt idx="20">
                <c:v>12.616666666666665</c:v>
              </c:pt>
              <c:pt idx="21">
                <c:v>12.616666666666665</c:v>
              </c:pt>
              <c:pt idx="22">
                <c:v>12.616666666666665</c:v>
              </c:pt>
              <c:pt idx="23">
                <c:v>12.616666666666665</c:v>
              </c:pt>
              <c:pt idx="24">
                <c:v>12.616666666666665</c:v>
              </c:pt>
              <c:pt idx="25">
                <c:v>12.616666666666665</c:v>
              </c:pt>
              <c:pt idx="26">
                <c:v>12.616666666666665</c:v>
              </c:pt>
              <c:pt idx="27">
                <c:v>12.616666666666665</c:v>
              </c:pt>
              <c:pt idx="28">
                <c:v>12.616666666666665</c:v>
              </c:pt>
              <c:pt idx="29">
                <c:v>12.616666666666665</c:v>
              </c:pt>
            </c:numLit>
          </c:val>
          <c:smooth val="0"/>
        </c:ser>
        <c:ser>
          <c:idx val="6"/>
          <c:order val="6"/>
          <c:tx>
            <c:v>Mild Threshold</c:v>
          </c:tx>
          <c:spPr>
            <a:ln w="25400">
              <a:solidFill>
                <a:srgbClr val="FF6600"/>
              </a:solidFill>
              <a:prstDash val="sysDash"/>
            </a:ln>
          </c:spPr>
          <c:marker>
            <c:symbol val="none"/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18.68333333333333</c:v>
              </c:pt>
              <c:pt idx="1">
                <c:v>18.68333333333333</c:v>
              </c:pt>
              <c:pt idx="2">
                <c:v>18.68333333333333</c:v>
              </c:pt>
              <c:pt idx="3">
                <c:v>18.68333333333333</c:v>
              </c:pt>
              <c:pt idx="4">
                <c:v>18.68333333333333</c:v>
              </c:pt>
              <c:pt idx="5">
                <c:v>18.68333333333333</c:v>
              </c:pt>
              <c:pt idx="6">
                <c:v>18.68333333333333</c:v>
              </c:pt>
              <c:pt idx="7">
                <c:v>18.68333333333333</c:v>
              </c:pt>
              <c:pt idx="8">
                <c:v>18.68333333333333</c:v>
              </c:pt>
              <c:pt idx="9">
                <c:v>18.68333333333333</c:v>
              </c:pt>
              <c:pt idx="10">
                <c:v>18.68333333333333</c:v>
              </c:pt>
              <c:pt idx="11">
                <c:v>18.68333333333333</c:v>
              </c:pt>
              <c:pt idx="12">
                <c:v>18.68333333333333</c:v>
              </c:pt>
              <c:pt idx="13">
                <c:v>18.68333333333333</c:v>
              </c:pt>
              <c:pt idx="14">
                <c:v>18.68333333333333</c:v>
              </c:pt>
              <c:pt idx="15">
                <c:v>18.68333333333333</c:v>
              </c:pt>
              <c:pt idx="16">
                <c:v>18.68333333333333</c:v>
              </c:pt>
              <c:pt idx="17">
                <c:v>18.68333333333333</c:v>
              </c:pt>
              <c:pt idx="18">
                <c:v>18.68333333333333</c:v>
              </c:pt>
              <c:pt idx="19">
                <c:v>18.68333333333333</c:v>
              </c:pt>
              <c:pt idx="20">
                <c:v>18.68333333333333</c:v>
              </c:pt>
              <c:pt idx="21">
                <c:v>18.68333333333333</c:v>
              </c:pt>
              <c:pt idx="22">
                <c:v>18.68333333333333</c:v>
              </c:pt>
              <c:pt idx="23">
                <c:v>18.68333333333333</c:v>
              </c:pt>
              <c:pt idx="24">
                <c:v>18.68333333333333</c:v>
              </c:pt>
              <c:pt idx="25">
                <c:v>18.68333333333333</c:v>
              </c:pt>
              <c:pt idx="26">
                <c:v>18.68333333333333</c:v>
              </c:pt>
              <c:pt idx="27">
                <c:v>18.68333333333333</c:v>
              </c:pt>
              <c:pt idx="28">
                <c:v>18.68333333333333</c:v>
              </c:pt>
              <c:pt idx="29">
                <c:v>18.68333333333333</c:v>
              </c:pt>
            </c:numLit>
          </c:val>
          <c:smooth val="0"/>
        </c:ser>
        <c:ser>
          <c:idx val="7"/>
          <c:order val="7"/>
          <c:tx>
            <c:v>Freezing Point</c:v>
          </c:tx>
          <c:spPr>
            <a:ln w="38100">
              <a:solidFill>
                <a:srgbClr val="0000FF"/>
              </a:solidFill>
              <a:prstDash val="sysDash"/>
            </a:ln>
          </c:spPr>
          <c:marker>
            <c:symbol val="none"/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</c:numLit>
          </c:val>
          <c:smooth val="0"/>
        </c:ser>
        <c:ser>
          <c:idx val="8"/>
          <c:order val="8"/>
          <c:tx>
            <c:v>Cum. Mean</c:v>
          </c:tx>
          <c:spPr>
            <a:ln w="12700">
              <a:solidFill>
                <a:srgbClr val="993366"/>
              </a:solidFill>
              <a:prstDash val="solid"/>
            </a:ln>
          </c:spPr>
          <c:marker>
            <c:symbol val="circle"/>
            <c:size val="2"/>
            <c:spPr>
              <a:solidFill>
                <a:srgbClr val="800080"/>
              </a:solidFill>
              <a:ln>
                <a:solidFill>
                  <a:srgbClr val="800080"/>
                </a:solidFill>
                <a:prstDash val="solid"/>
              </a:ln>
            </c:spPr>
          </c:marker>
          <c:val>
            <c:numLit>
              <c:formatCode>General</c:formatCode>
              <c:ptCount val="30"/>
              <c:pt idx="0">
                <c:v>14.8</c:v>
              </c:pt>
              <c:pt idx="1">
                <c:v>16.149999999999999</c:v>
              </c:pt>
              <c:pt idx="2">
                <c:v>17</c:v>
              </c:pt>
              <c:pt idx="3">
                <c:v>17.324999999999999</c:v>
              </c:pt>
              <c:pt idx="4">
                <c:v>16.740000000000002</c:v>
              </c:pt>
              <c:pt idx="5">
                <c:v>15.950000000000001</c:v>
              </c:pt>
              <c:pt idx="6">
                <c:v>15.814285714285715</c:v>
              </c:pt>
              <c:pt idx="7">
                <c:v>15.5625</c:v>
              </c:pt>
              <c:pt idx="8">
                <c:v>15.355555555555554</c:v>
              </c:pt>
              <c:pt idx="9">
                <c:v>14.979999999999999</c:v>
              </c:pt>
              <c:pt idx="10">
                <c:v>14.790909090909089</c:v>
              </c:pt>
              <c:pt idx="11">
                <c:v>14.549999999999999</c:v>
              </c:pt>
              <c:pt idx="12">
                <c:v>14.746153846153845</c:v>
              </c:pt>
              <c:pt idx="13">
                <c:v>14.942857142857141</c:v>
              </c:pt>
              <c:pt idx="14">
                <c:v>15.093333333333332</c:v>
              </c:pt>
              <c:pt idx="15">
                <c:v>15.037499999999998</c:v>
              </c:pt>
              <c:pt idx="16">
                <c:v>14.888235294117646</c:v>
              </c:pt>
              <c:pt idx="17">
                <c:v>14.844444444444443</c:v>
              </c:pt>
              <c:pt idx="18">
                <c:v>14.86315789473684</c:v>
              </c:pt>
              <c:pt idx="19">
                <c:v>14.879999999999999</c:v>
              </c:pt>
              <c:pt idx="20">
                <c:v>14.990476190476189</c:v>
              </c:pt>
              <c:pt idx="21">
                <c:v>14.999999999999998</c:v>
              </c:pt>
              <c:pt idx="22">
                <c:v>15.013043478260867</c:v>
              </c:pt>
              <c:pt idx="23">
                <c:v>15.024999999999999</c:v>
              </c:pt>
              <c:pt idx="24">
                <c:v>15.111999999999998</c:v>
              </c:pt>
              <c:pt idx="25">
                <c:v>15.384615384615383</c:v>
              </c:pt>
              <c:pt idx="26">
                <c:v>15.755555555555553</c:v>
              </c:pt>
              <c:pt idx="27">
                <c:v>15.839285714285712</c:v>
              </c:pt>
              <c:pt idx="28">
                <c:v>15.855172413793102</c:v>
              </c:pt>
              <c:pt idx="29">
                <c:v>15.856666666666664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96832"/>
        <c:axId val="121103104"/>
      </c:lineChart>
      <c:catAx>
        <c:axId val="1210968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1103104"/>
        <c:crossesAt val="-5"/>
        <c:auto val="1"/>
        <c:lblAlgn val="ctr"/>
        <c:lblOffset val="100"/>
        <c:tickLblSkip val="1"/>
        <c:tickMarkSkip val="1"/>
        <c:noMultiLvlLbl val="0"/>
      </c:catAx>
      <c:valAx>
        <c:axId val="121103104"/>
        <c:scaling>
          <c:orientation val="minMax"/>
          <c:max val="26"/>
          <c:min val="1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1096832"/>
        <c:crosses val="autoZero"/>
        <c:crossBetween val="between"/>
        <c:majorUnit val="2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Pressure / Temperature</a:t>
            </a:r>
          </a:p>
        </c:rich>
      </c:tx>
      <c:layout>
        <c:manualLayout>
          <c:xMode val="edge"/>
          <c:yMode val="edge"/>
          <c:x val="0.41566820276497696"/>
          <c:y val="5.251141552511415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0829493087557605E-2"/>
          <c:y val="0.13013727645475809"/>
          <c:w val="0.9244239631336405"/>
          <c:h val="0.7579925575961348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993366"/>
              </a:solidFill>
              <a:ln>
                <a:solidFill>
                  <a:srgbClr val="993366"/>
                </a:solidFill>
                <a:prstDash val="solid"/>
              </a:ln>
            </c:spPr>
          </c:marker>
          <c:trendline>
            <c:spPr>
              <a:ln w="12700">
                <a:solidFill>
                  <a:srgbClr val="000080"/>
                </a:solidFill>
                <a:prstDash val="solid"/>
              </a:ln>
            </c:spPr>
            <c:trendlineType val="linear"/>
            <c:forward val="0.5"/>
            <c:backward val="3"/>
            <c:dispRSqr val="1"/>
            <c:dispEq val="1"/>
            <c:trendlineLbl>
              <c:layout>
                <c:manualLayout>
                  <c:xMode val="edge"/>
                  <c:yMode val="edge"/>
                  <c:x val="4.608294930875576E-3"/>
                  <c:y val="1.1415550566206849E-2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175" b="0" i="0" u="none" strike="noStrike" baseline="0">
                      <a:solidFill>
                        <a:srgbClr val="00000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en-US"/>
                </a:p>
              </c:txPr>
            </c:trendlineLbl>
          </c:trendline>
          <c:xVal>
            <c:numLit>
              <c:formatCode>General</c:formatCode>
              <c:ptCount val="30"/>
              <c:pt idx="0">
                <c:v>14.8</c:v>
              </c:pt>
              <c:pt idx="1">
                <c:v>17.5</c:v>
              </c:pt>
              <c:pt idx="2">
                <c:v>18.7</c:v>
              </c:pt>
              <c:pt idx="3">
                <c:v>18.3</c:v>
              </c:pt>
              <c:pt idx="4">
                <c:v>14.4</c:v>
              </c:pt>
              <c:pt idx="5">
                <c:v>12</c:v>
              </c:pt>
              <c:pt idx="6">
                <c:v>15</c:v>
              </c:pt>
              <c:pt idx="7">
                <c:v>13.8</c:v>
              </c:pt>
              <c:pt idx="8">
                <c:v>13.7</c:v>
              </c:pt>
              <c:pt idx="9">
                <c:v>11.6</c:v>
              </c:pt>
              <c:pt idx="10">
                <c:v>12.9</c:v>
              </c:pt>
              <c:pt idx="11">
                <c:v>11.9</c:v>
              </c:pt>
              <c:pt idx="12">
                <c:v>17.100000000000001</c:v>
              </c:pt>
              <c:pt idx="13">
                <c:v>17.5</c:v>
              </c:pt>
              <c:pt idx="14">
                <c:v>17.2</c:v>
              </c:pt>
              <c:pt idx="15">
                <c:v>14.2</c:v>
              </c:pt>
              <c:pt idx="16">
                <c:v>12.5</c:v>
              </c:pt>
              <c:pt idx="17">
                <c:v>14.1</c:v>
              </c:pt>
              <c:pt idx="18">
                <c:v>15.2</c:v>
              </c:pt>
              <c:pt idx="19">
                <c:v>15.2</c:v>
              </c:pt>
              <c:pt idx="20">
                <c:v>17.2</c:v>
              </c:pt>
              <c:pt idx="21">
                <c:v>15.2</c:v>
              </c:pt>
              <c:pt idx="22">
                <c:v>15.3</c:v>
              </c:pt>
              <c:pt idx="23">
                <c:v>15.3</c:v>
              </c:pt>
              <c:pt idx="24">
                <c:v>17.2</c:v>
              </c:pt>
              <c:pt idx="25">
                <c:v>22.2</c:v>
              </c:pt>
              <c:pt idx="26">
                <c:v>25.4</c:v>
              </c:pt>
              <c:pt idx="27">
                <c:v>18.100000000000001</c:v>
              </c:pt>
              <c:pt idx="28">
                <c:v>16.3</c:v>
              </c:pt>
              <c:pt idx="29">
                <c:v>15.9</c:v>
              </c:pt>
            </c:numLit>
          </c:xVal>
          <c:yVal>
            <c:numLit>
              <c:formatCode>General</c:formatCode>
              <c:ptCount val="30"/>
              <c:pt idx="0">
                <c:v>1029.5</c:v>
              </c:pt>
              <c:pt idx="1">
                <c:v>1032.5000005000002</c:v>
              </c:pt>
              <c:pt idx="2">
                <c:v>1030.5</c:v>
              </c:pt>
              <c:pt idx="3">
                <c:v>1022.5</c:v>
              </c:pt>
              <c:pt idx="4">
                <c:v>1012.5</c:v>
              </c:pt>
              <c:pt idx="5">
                <c:v>1006.5</c:v>
              </c:pt>
              <c:pt idx="6">
                <c:v>1003.5</c:v>
              </c:pt>
              <c:pt idx="7">
                <c:v>1006.5</c:v>
              </c:pt>
              <c:pt idx="8">
                <c:v>1012</c:v>
              </c:pt>
              <c:pt idx="9">
                <c:v>1014</c:v>
              </c:pt>
              <c:pt idx="10">
                <c:v>1016</c:v>
              </c:pt>
              <c:pt idx="11">
                <c:v>1013</c:v>
              </c:pt>
              <c:pt idx="12">
                <c:v>1012.5</c:v>
              </c:pt>
              <c:pt idx="13">
                <c:v>1017.5</c:v>
              </c:pt>
              <c:pt idx="14">
                <c:v>1014</c:v>
              </c:pt>
              <c:pt idx="15">
                <c:v>1011</c:v>
              </c:pt>
              <c:pt idx="16">
                <c:v>1003</c:v>
              </c:pt>
              <c:pt idx="17">
                <c:v>1000.5</c:v>
              </c:pt>
              <c:pt idx="18">
                <c:v>1009.5</c:v>
              </c:pt>
              <c:pt idx="19">
                <c:v>1011.5</c:v>
              </c:pt>
              <c:pt idx="20">
                <c:v>1010</c:v>
              </c:pt>
              <c:pt idx="21">
                <c:v>1009</c:v>
              </c:pt>
              <c:pt idx="22">
                <c:v>1015.5</c:v>
              </c:pt>
              <c:pt idx="23">
                <c:v>1022</c:v>
              </c:pt>
              <c:pt idx="24">
                <c:v>1021</c:v>
              </c:pt>
              <c:pt idx="25">
                <c:v>1020</c:v>
              </c:pt>
              <c:pt idx="26">
                <c:v>1014.5</c:v>
              </c:pt>
              <c:pt idx="27">
                <c:v>1015.5</c:v>
              </c:pt>
              <c:pt idx="28">
                <c:v>1021</c:v>
              </c:pt>
              <c:pt idx="29">
                <c:v>1025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521280"/>
        <c:axId val="121522816"/>
      </c:scatterChart>
      <c:valAx>
        <c:axId val="121521280"/>
        <c:scaling>
          <c:orientation val="minMax"/>
          <c:max val="20"/>
          <c:min val="11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1522816"/>
        <c:crosses val="autoZero"/>
        <c:crossBetween val="midCat"/>
        <c:majorUnit val="1"/>
      </c:valAx>
      <c:valAx>
        <c:axId val="121522816"/>
        <c:scaling>
          <c:orientation val="minMax"/>
          <c:max val="1040"/>
          <c:min val="99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1521280"/>
        <c:crossesAt val="-3"/>
        <c:crossBetween val="midCat"/>
        <c:majorUnit val="10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Relative Humidity Range / Temperature Range </a:t>
            </a:r>
          </a:p>
        </c:rich>
      </c:tx>
      <c:layout>
        <c:manualLayout>
          <c:xMode val="edge"/>
          <c:yMode val="edge"/>
          <c:x val="0.34658040665434381"/>
          <c:y val="3.009259259259259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4.4362292051756007E-2"/>
          <c:y val="0.12037064247559154"/>
          <c:w val="0.94085027726432535"/>
          <c:h val="0.766205435758092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993366"/>
              </a:solidFill>
              <a:ln>
                <a:solidFill>
                  <a:srgbClr val="993366"/>
                </a:solidFill>
                <a:prstDash val="solid"/>
              </a:ln>
            </c:spPr>
          </c:marker>
          <c:trendline>
            <c:spPr>
              <a:ln w="12700">
                <a:solidFill>
                  <a:srgbClr val="0000FF"/>
                </a:solidFill>
                <a:prstDash val="solid"/>
              </a:ln>
            </c:spPr>
            <c:trendlineType val="linear"/>
            <c:forward val="0.5"/>
            <c:backward val="2.5"/>
            <c:dispRSqr val="1"/>
            <c:dispEq val="1"/>
            <c:trendlineLbl>
              <c:layout>
                <c:manualLayout>
                  <c:xMode val="edge"/>
                  <c:yMode val="edge"/>
                  <c:x val="4.6210720887245845E-3"/>
                  <c:y val="9.722244199951624E-2"/>
                </c:manualLayout>
              </c:layout>
              <c:numFmt formatCode="0.00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200" b="0" i="0" u="none" strike="noStrike" baseline="0">
                      <a:solidFill>
                        <a:srgbClr val="00000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en-US"/>
                </a:p>
              </c:txPr>
            </c:trendlineLbl>
          </c:trendline>
          <c:xVal>
            <c:numLit>
              <c:formatCode>General</c:formatCode>
              <c:ptCount val="30"/>
              <c:pt idx="0">
                <c:v>13</c:v>
              </c:pt>
              <c:pt idx="1">
                <c:v>12.6</c:v>
              </c:pt>
              <c:pt idx="2">
                <c:v>11.600000000000001</c:v>
              </c:pt>
              <c:pt idx="3">
                <c:v>13.099999999999998</c:v>
              </c:pt>
              <c:pt idx="4">
                <c:v>7.6000000000000014</c:v>
              </c:pt>
              <c:pt idx="5">
                <c:v>6</c:v>
              </c:pt>
              <c:pt idx="6">
                <c:v>8.4000000000000021</c:v>
              </c:pt>
              <c:pt idx="7">
                <c:v>8.6000000000000014</c:v>
              </c:pt>
              <c:pt idx="8">
                <c:v>7.4000000000000021</c:v>
              </c:pt>
              <c:pt idx="9">
                <c:v>6</c:v>
              </c:pt>
              <c:pt idx="10">
                <c:v>10.5</c:v>
              </c:pt>
              <c:pt idx="11">
                <c:v>5.9</c:v>
              </c:pt>
              <c:pt idx="12">
                <c:v>7.5</c:v>
              </c:pt>
              <c:pt idx="13">
                <c:v>12.799999999999999</c:v>
              </c:pt>
              <c:pt idx="14">
                <c:v>5.0999999999999996</c:v>
              </c:pt>
              <c:pt idx="15">
                <c:v>6.7000000000000011</c:v>
              </c:pt>
              <c:pt idx="16">
                <c:v>4.9000000000000004</c:v>
              </c:pt>
              <c:pt idx="17">
                <c:v>6.3000000000000007</c:v>
              </c:pt>
              <c:pt idx="18">
                <c:v>7.2999999999999989</c:v>
              </c:pt>
              <c:pt idx="19">
                <c:v>11</c:v>
              </c:pt>
              <c:pt idx="20">
                <c:v>7.1999999999999993</c:v>
              </c:pt>
              <c:pt idx="21">
                <c:v>5.8000000000000007</c:v>
              </c:pt>
              <c:pt idx="22">
                <c:v>8</c:v>
              </c:pt>
              <c:pt idx="23">
                <c:v>9.3999999999999986</c:v>
              </c:pt>
              <c:pt idx="24">
                <c:v>11.7</c:v>
              </c:pt>
              <c:pt idx="25">
                <c:v>13.499999999999998</c:v>
              </c:pt>
              <c:pt idx="26">
                <c:v>13.7</c:v>
              </c:pt>
              <c:pt idx="27">
                <c:v>6.1000000000000014</c:v>
              </c:pt>
              <c:pt idx="28">
                <c:v>10.4</c:v>
              </c:pt>
              <c:pt idx="29">
                <c:v>11.2</c:v>
              </c:pt>
            </c:numLit>
          </c:xVal>
          <c:yVal>
            <c:numLit>
              <c:formatCode>General</c:formatCode>
              <c:ptCount val="30"/>
              <c:pt idx="0">
                <c:v>39</c:v>
              </c:pt>
              <c:pt idx="1">
                <c:v>41</c:v>
              </c:pt>
              <c:pt idx="2">
                <c:v>45</c:v>
              </c:pt>
              <c:pt idx="3">
                <c:v>44</c:v>
              </c:pt>
              <c:pt idx="4">
                <c:v>33</c:v>
              </c:pt>
              <c:pt idx="5">
                <c:v>29</c:v>
              </c:pt>
              <c:pt idx="6">
                <c:v>42</c:v>
              </c:pt>
              <c:pt idx="7">
                <c:v>33</c:v>
              </c:pt>
              <c:pt idx="8">
                <c:v>30</c:v>
              </c:pt>
              <c:pt idx="9">
                <c:v>34</c:v>
              </c:pt>
              <c:pt idx="10">
                <c:v>59</c:v>
              </c:pt>
              <c:pt idx="11">
                <c:v>27</c:v>
              </c:pt>
              <c:pt idx="12">
                <c:v>46</c:v>
              </c:pt>
              <c:pt idx="13">
                <c:v>44</c:v>
              </c:pt>
              <c:pt idx="14">
                <c:v>21</c:v>
              </c:pt>
              <c:pt idx="15">
                <c:v>38</c:v>
              </c:pt>
              <c:pt idx="16">
                <c:v>23</c:v>
              </c:pt>
              <c:pt idx="17">
                <c:v>41</c:v>
              </c:pt>
              <c:pt idx="18">
                <c:v>41</c:v>
              </c:pt>
              <c:pt idx="19">
                <c:v>36</c:v>
              </c:pt>
              <c:pt idx="20">
                <c:v>46</c:v>
              </c:pt>
              <c:pt idx="21">
                <c:v>25</c:v>
              </c:pt>
              <c:pt idx="22">
                <c:v>40</c:v>
              </c:pt>
              <c:pt idx="23">
                <c:v>46</c:v>
              </c:pt>
              <c:pt idx="24">
                <c:v>37</c:v>
              </c:pt>
              <c:pt idx="25">
                <c:v>46</c:v>
              </c:pt>
              <c:pt idx="26">
                <c:v>54</c:v>
              </c:pt>
              <c:pt idx="27">
                <c:v>24</c:v>
              </c:pt>
              <c:pt idx="28">
                <c:v>41</c:v>
              </c:pt>
              <c:pt idx="29">
                <c:v>40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547776"/>
        <c:axId val="121561856"/>
      </c:scatterChart>
      <c:valAx>
        <c:axId val="121547776"/>
        <c:scaling>
          <c:orientation val="minMax"/>
          <c:max val="15"/>
          <c:min val="0"/>
        </c:scaling>
        <c:delete val="0"/>
        <c:axPos val="b"/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1561856"/>
        <c:crossesAt val="0"/>
        <c:crossBetween val="midCat"/>
        <c:majorUnit val="1"/>
      </c:valAx>
      <c:valAx>
        <c:axId val="121561856"/>
        <c:scaling>
          <c:orientation val="minMax"/>
          <c:max val="60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1547776"/>
        <c:crosses val="autoZero"/>
        <c:crossBetween val="midCat"/>
        <c:majorUnit val="10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 horizontalDpi="-3" verticalDpi="0"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Time of Temperature Extremes</a:t>
            </a:r>
          </a:p>
        </c:rich>
      </c:tx>
      <c:layout>
        <c:manualLayout>
          <c:xMode val="edge"/>
          <c:yMode val="edge"/>
          <c:x val="0.41718183558328387"/>
          <c:y val="2.115158636897767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893697095932809E-2"/>
          <c:y val="8.3431257344300819E-2"/>
          <c:w val="0.95859114218917252"/>
          <c:h val="0.86603995299647474"/>
        </c:manualLayout>
      </c:layout>
      <c:lineChart>
        <c:grouping val="standard"/>
        <c:varyColors val="0"/>
        <c:ser>
          <c:idx val="1"/>
          <c:order val="0"/>
          <c:tx>
            <c:v>T Min</c:v>
          </c:tx>
          <c:spPr>
            <a:ln w="28575">
              <a:noFill/>
            </a:ln>
          </c:spPr>
          <c:marker>
            <c:symbol val="circle"/>
            <c:size val="10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0.22222222222222221</c:v>
              </c:pt>
              <c:pt idx="1">
                <c:v>0.22222222222222221</c:v>
              </c:pt>
              <c:pt idx="2">
                <c:v>0.22916666666666666</c:v>
              </c:pt>
              <c:pt idx="3">
                <c:v>0.22569444444444445</c:v>
              </c:pt>
              <c:pt idx="4">
                <c:v>0.25347222222222221</c:v>
              </c:pt>
              <c:pt idx="5">
                <c:v>0.27083333333333331</c:v>
              </c:pt>
              <c:pt idx="6">
                <c:v>0.21527777777777779</c:v>
              </c:pt>
              <c:pt idx="7">
                <c:v>0.18402777777777779</c:v>
              </c:pt>
              <c:pt idx="8">
                <c:v>0.125</c:v>
              </c:pt>
              <c:pt idx="9">
                <c:v>0.20138888888888887</c:v>
              </c:pt>
              <c:pt idx="10">
                <c:v>0.23611111111111113</c:v>
              </c:pt>
              <c:pt idx="11">
                <c:v>0.22222222222222221</c:v>
              </c:pt>
              <c:pt idx="12">
                <c:v>#N/A</c:v>
              </c:pt>
              <c:pt idx="13">
                <c:v>0.1875</c:v>
              </c:pt>
              <c:pt idx="14">
                <c:v>0.20833333333333334</c:v>
              </c:pt>
              <c:pt idx="15">
                <c:v>0.22569444444444445</c:v>
              </c:pt>
              <c:pt idx="16">
                <c:v>0.20138888888888887</c:v>
              </c:pt>
              <c:pt idx="17">
                <c:v>0.25</c:v>
              </c:pt>
              <c:pt idx="18">
                <c:v>0.21527777777777779</c:v>
              </c:pt>
              <c:pt idx="19">
                <c:v>0.17708333333333334</c:v>
              </c:pt>
              <c:pt idx="20">
                <c:v>0.20833333333333334</c:v>
              </c:pt>
              <c:pt idx="21">
                <c:v>0.20138888888888887</c:v>
              </c:pt>
              <c:pt idx="22">
                <c:v>0.20833333333333334</c:v>
              </c:pt>
              <c:pt idx="23">
                <c:v>0.22222222222222221</c:v>
              </c:pt>
              <c:pt idx="24">
                <c:v>0.125</c:v>
              </c:pt>
              <c:pt idx="25">
                <c:v>0.22916666666666666</c:v>
              </c:pt>
              <c:pt idx="26">
                <c:v>0.21180555555555555</c:v>
              </c:pt>
              <c:pt idx="27">
                <c:v>0.3125</c:v>
              </c:pt>
              <c:pt idx="28">
                <c:v>0.21875</c:v>
              </c:pt>
              <c:pt idx="29">
                <c:v>0.21527777777777779</c:v>
              </c:pt>
            </c:numLit>
          </c:val>
          <c:smooth val="0"/>
        </c:ser>
        <c:ser>
          <c:idx val="2"/>
          <c:order val="1"/>
          <c:tx>
            <c:v>T Max</c:v>
          </c:tx>
          <c:spPr>
            <a:ln w="28575">
              <a:noFill/>
            </a:ln>
          </c:spPr>
          <c:marker>
            <c:symbol val="circle"/>
            <c:size val="10"/>
            <c:spPr>
              <a:solidFill>
                <a:srgbClr val="FF6600"/>
              </a:solidFill>
              <a:ln>
                <a:solidFill>
                  <a:srgbClr val="FF6600"/>
                </a:solidFill>
                <a:prstDash val="solid"/>
              </a:ln>
            </c:spPr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0.64583333333333337</c:v>
              </c:pt>
              <c:pt idx="1">
                <c:v>0.70833333333333337</c:v>
              </c:pt>
              <c:pt idx="2">
                <c:v>0.65972222222222221</c:v>
              </c:pt>
              <c:pt idx="3">
                <c:v>0.61805555555555558</c:v>
              </c:pt>
              <c:pt idx="4">
                <c:v>0.60069444444444442</c:v>
              </c:pt>
              <c:pt idx="5">
                <c:v>0.65277777777777779</c:v>
              </c:pt>
              <c:pt idx="6">
                <c:v>0.53472222222222221</c:v>
              </c:pt>
              <c:pt idx="7">
                <c:v>0.55208333333333337</c:v>
              </c:pt>
              <c:pt idx="8">
                <c:v>0.79166666666666663</c:v>
              </c:pt>
              <c:pt idx="9">
                <c:v>0.47916666666666669</c:v>
              </c:pt>
              <c:pt idx="10">
                <c:v>0.65625</c:v>
              </c:pt>
              <c:pt idx="11">
                <c:v>0.68055555555555547</c:v>
              </c:pt>
              <c:pt idx="12">
                <c:v>0.64236111111111105</c:v>
              </c:pt>
              <c:pt idx="13">
                <c:v>0.73263888888888884</c:v>
              </c:pt>
              <c:pt idx="14">
                <c:v>0.55555555555555558</c:v>
              </c:pt>
              <c:pt idx="15">
                <c:v>0.65277777777777779</c:v>
              </c:pt>
              <c:pt idx="16">
                <c:v>0.47916666666666669</c:v>
              </c:pt>
              <c:pt idx="17">
                <c:v>0.65625</c:v>
              </c:pt>
              <c:pt idx="18">
                <c:v>0.73611111111111116</c:v>
              </c:pt>
              <c:pt idx="19">
                <c:v>0.66666666666666663</c:v>
              </c:pt>
              <c:pt idx="20">
                <c:v>0.67361111111111116</c:v>
              </c:pt>
              <c:pt idx="21">
                <c:v>0.78125</c:v>
              </c:pt>
              <c:pt idx="22">
                <c:v>0.52777777777777779</c:v>
              </c:pt>
              <c:pt idx="23">
                <c:v>0.57638888888888895</c:v>
              </c:pt>
              <c:pt idx="24">
                <c:v>0.75694444444444453</c:v>
              </c:pt>
              <c:pt idx="25">
                <c:v>0.71875</c:v>
              </c:pt>
              <c:pt idx="26">
                <c:v>0.61111111111111105</c:v>
              </c:pt>
              <c:pt idx="27">
                <c:v>0.52777777777777779</c:v>
              </c:pt>
              <c:pt idx="28">
                <c:v>0.70138888888888884</c:v>
              </c:pt>
              <c:pt idx="29">
                <c:v>0.62847222222222221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057472"/>
        <c:axId val="122059392"/>
      </c:lineChart>
      <c:catAx>
        <c:axId val="1220574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20593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2059392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hh:mm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2057472"/>
        <c:crosses val="autoZero"/>
        <c:crossBetween val="between"/>
        <c:majorUnit val="8.3333333300000006E-2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0.63288029354797892"/>
          <c:y val="0.17391304347826086"/>
          <c:w val="0.79542671195766779"/>
          <c:h val="0.225616921269095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Time of Humidity Extremes</a:t>
            </a:r>
          </a:p>
        </c:rich>
      </c:tx>
      <c:layout>
        <c:manualLayout>
          <c:xMode val="edge"/>
          <c:yMode val="edge"/>
          <c:x val="0.42433600988264358"/>
          <c:y val="1.9953051643192488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891290920321186E-2"/>
          <c:y val="8.5680849381108537E-2"/>
          <c:w val="0.95861642989499696"/>
          <c:h val="0.86385075540405321"/>
        </c:manualLayout>
      </c:layout>
      <c:lineChart>
        <c:grouping val="standard"/>
        <c:varyColors val="0"/>
        <c:ser>
          <c:idx val="0"/>
          <c:order val="0"/>
          <c:tx>
            <c:v>H Min</c:v>
          </c:tx>
          <c:spPr>
            <a:ln w="28575">
              <a:noFill/>
            </a:ln>
          </c:spPr>
          <c:marker>
            <c:symbol val="circle"/>
            <c:size val="10"/>
            <c:spPr>
              <a:solidFill>
                <a:srgbClr val="FF9900"/>
              </a:solidFill>
              <a:ln>
                <a:solidFill>
                  <a:srgbClr val="FF9900"/>
                </a:solidFill>
                <a:prstDash val="solid"/>
              </a:ln>
            </c:spPr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0.60416666666666663</c:v>
              </c:pt>
              <c:pt idx="1">
                <c:v>0.75347222222222221</c:v>
              </c:pt>
              <c:pt idx="2">
                <c:v>0.72916666666666663</c:v>
              </c:pt>
              <c:pt idx="3">
                <c:v>0.73263888888888884</c:v>
              </c:pt>
              <c:pt idx="4">
                <c:v>0.60763888888888895</c:v>
              </c:pt>
              <c:pt idx="5">
                <c:v>0.67013888888888884</c:v>
              </c:pt>
              <c:pt idx="6">
                <c:v>0.69097222222222221</c:v>
              </c:pt>
              <c:pt idx="7">
                <c:v>0.55208333333333337</c:v>
              </c:pt>
              <c:pt idx="8">
                <c:v>0.79513888888888884</c:v>
              </c:pt>
              <c:pt idx="9">
                <c:v>0.4861111111111111</c:v>
              </c:pt>
              <c:pt idx="10">
                <c:v>0.71180555555555547</c:v>
              </c:pt>
              <c:pt idx="11">
                <c:v>#N/A</c:v>
              </c:pt>
              <c:pt idx="12">
                <c:v>0.73958333333333337</c:v>
              </c:pt>
              <c:pt idx="13">
                <c:v>0.65972222222222221</c:v>
              </c:pt>
              <c:pt idx="14">
                <c:v>0.4861111111111111</c:v>
              </c:pt>
              <c:pt idx="15">
                <c:v>0.76041666666666663</c:v>
              </c:pt>
              <c:pt idx="16">
                <c:v>0.5</c:v>
              </c:pt>
              <c:pt idx="17">
                <c:v>0.66666666666666663</c:v>
              </c:pt>
              <c:pt idx="18">
                <c:v>0.73958333333333337</c:v>
              </c:pt>
              <c:pt idx="19">
                <c:v>0.6875</c:v>
              </c:pt>
              <c:pt idx="20">
                <c:v>0.8125</c:v>
              </c:pt>
              <c:pt idx="21">
                <c:v>#N/A</c:v>
              </c:pt>
              <c:pt idx="22">
                <c:v>0.60416666666666663</c:v>
              </c:pt>
              <c:pt idx="23">
                <c:v>0.59375</c:v>
              </c:pt>
              <c:pt idx="24">
                <c:v>0.75347222222222221</c:v>
              </c:pt>
              <c:pt idx="25">
                <c:v>0.76388888888888884</c:v>
              </c:pt>
              <c:pt idx="26">
                <c:v>0.64583333333333337</c:v>
              </c:pt>
              <c:pt idx="27">
                <c:v>#N/A</c:v>
              </c:pt>
              <c:pt idx="28">
                <c:v>0.70833333333333337</c:v>
              </c:pt>
              <c:pt idx="29">
                <c:v>0.63194444444444442</c:v>
              </c:pt>
            </c:numLit>
          </c:val>
          <c:smooth val="0"/>
        </c:ser>
        <c:ser>
          <c:idx val="3"/>
          <c:order val="1"/>
          <c:tx>
            <c:v>H Max</c:v>
          </c:tx>
          <c:spPr>
            <a:ln w="28575">
              <a:noFill/>
            </a:ln>
          </c:spPr>
          <c:marker>
            <c:symbol val="circle"/>
            <c:size val="10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0.24652777777777779</c:v>
              </c:pt>
              <c:pt idx="1">
                <c:v>0.26041666666666669</c:v>
              </c:pt>
              <c:pt idx="2">
                <c:v>0.25347222222222221</c:v>
              </c:pt>
              <c:pt idx="3">
                <c:v>0.2986111111111111</c:v>
              </c:pt>
              <c:pt idx="4">
                <c:v>#N/A</c:v>
              </c:pt>
              <c:pt idx="5">
                <c:v>0.30902777777777779</c:v>
              </c:pt>
              <c:pt idx="6">
                <c:v>0.24305555555555555</c:v>
              </c:pt>
              <c:pt idx="7">
                <c:v>0.22916666666666666</c:v>
              </c:pt>
              <c:pt idx="8">
                <c:v>0.20138888888888887</c:v>
              </c:pt>
              <c:pt idx="9">
                <c:v>#N/A</c:v>
              </c:pt>
              <c:pt idx="10">
                <c:v>0.28125</c:v>
              </c:pt>
              <c:pt idx="11">
                <c:v>#N/A</c:v>
              </c:pt>
              <c:pt idx="12">
                <c:v>0.28472222222222221</c:v>
              </c:pt>
              <c:pt idx="13">
                <c:v>0.24305555555555555</c:v>
              </c:pt>
              <c:pt idx="14">
                <c:v>0.28472222222222221</c:v>
              </c:pt>
              <c:pt idx="15">
                <c:v>#N/A</c:v>
              </c:pt>
              <c:pt idx="16">
                <c:v>#N/A</c:v>
              </c:pt>
              <c:pt idx="17">
                <c:v>3.125E-2</c:v>
              </c:pt>
              <c:pt idx="18">
                <c:v>0.23611111111111113</c:v>
              </c:pt>
              <c:pt idx="19">
                <c:v>#N/A</c:v>
              </c:pt>
              <c:pt idx="20">
                <c:v>0.25</c:v>
              </c:pt>
              <c:pt idx="21">
                <c:v>#N/A</c:v>
              </c:pt>
              <c:pt idx="22">
                <c:v>0.23958333333333334</c:v>
              </c:pt>
              <c:pt idx="23">
                <c:v>0.25</c:v>
              </c:pt>
              <c:pt idx="24">
                <c:v>0.36805555555555558</c:v>
              </c:pt>
              <c:pt idx="25">
                <c:v>0.25</c:v>
              </c:pt>
              <c:pt idx="26">
                <c:v>0.22916666666666666</c:v>
              </c:pt>
              <c:pt idx="27">
                <c:v>#N/A</c:v>
              </c:pt>
              <c:pt idx="28">
                <c:v>0</c:v>
              </c:pt>
              <c:pt idx="29">
                <c:v>0.22916666666666666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092928"/>
        <c:axId val="122422784"/>
      </c:lineChart>
      <c:catAx>
        <c:axId val="122092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24227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2422784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hh:mm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2092928"/>
        <c:crosses val="autoZero"/>
        <c:crossBetween val="between"/>
        <c:majorUnit val="8.3333333300000006E-2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0.46201358863495984"/>
          <c:y val="0.10328650820055943"/>
          <c:w val="0.66151945645460164"/>
          <c:h val="0.1455400293273199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Time of Max Gust</a:t>
            </a:r>
          </a:p>
        </c:rich>
      </c:tx>
      <c:layout>
        <c:manualLayout>
          <c:xMode val="edge"/>
          <c:yMode val="edge"/>
          <c:x val="0.44814840737500405"/>
          <c:y val="1.99296600234466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8888912331761387E-2"/>
          <c:y val="8.5580353795172481E-2"/>
          <c:w val="0.95864255319405456"/>
          <c:h val="0.86400987324715228"/>
        </c:manualLayout>
      </c:layout>
      <c:lineChart>
        <c:grouping val="standard"/>
        <c:varyColors val="0"/>
        <c:ser>
          <c:idx val="4"/>
          <c:order val="0"/>
          <c:tx>
            <c:v>Gust</c:v>
          </c:tx>
          <c:spPr>
            <a:ln w="28575">
              <a:noFill/>
            </a:ln>
          </c:spPr>
          <c:marker>
            <c:symbol val="circle"/>
            <c:size val="1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0.55833333333333335</c:v>
              </c:pt>
              <c:pt idx="1">
                <c:v>0.62430555555555556</c:v>
              </c:pt>
              <c:pt idx="2">
                <c:v>0.70347222222222217</c:v>
              </c:pt>
              <c:pt idx="3">
                <c:v>0.7680555555555556</c:v>
              </c:pt>
              <c:pt idx="4">
                <c:v>0.3611111111111111</c:v>
              </c:pt>
              <c:pt idx="5">
                <c:v>4.4444444444444446E-2</c:v>
              </c:pt>
              <c:pt idx="6">
                <c:v>0.64166666666666672</c:v>
              </c:pt>
              <c:pt idx="7">
                <c:v>0.52500000000000002</c:v>
              </c:pt>
              <c:pt idx="8">
                <c:v>0.55000000000000004</c:v>
              </c:pt>
              <c:pt idx="9">
                <c:v>0.4909722222222222</c:v>
              </c:pt>
              <c:pt idx="10">
                <c:v>0.61388888888888882</c:v>
              </c:pt>
              <c:pt idx="11">
                <c:v>0.67986111111111114</c:v>
              </c:pt>
              <c:pt idx="12">
                <c:v>0.56597222222222221</c:v>
              </c:pt>
              <c:pt idx="13">
                <c:v>0.7597222222222223</c:v>
              </c:pt>
              <c:pt idx="14">
                <c:v>0.39583333333333331</c:v>
              </c:pt>
              <c:pt idx="15">
                <c:v>0.8881944444444444</c:v>
              </c:pt>
              <c:pt idx="16">
                <c:v>0.4458333333333333</c:v>
              </c:pt>
              <c:pt idx="17">
                <c:v>0.66666666666666663</c:v>
              </c:pt>
              <c:pt idx="18">
                <c:v>0.66527777777777775</c:v>
              </c:pt>
              <c:pt idx="19">
                <c:v>0.77013888888888893</c:v>
              </c:pt>
              <c:pt idx="20">
                <c:v>0.71388888888888891</c:v>
              </c:pt>
              <c:pt idx="21">
                <c:v>0.53402777777777777</c:v>
              </c:pt>
              <c:pt idx="22">
                <c:v>0.53333333333333333</c:v>
              </c:pt>
              <c:pt idx="23">
                <c:v>0.79583333333333339</c:v>
              </c:pt>
              <c:pt idx="24">
                <c:v>0.49722222222222223</c:v>
              </c:pt>
              <c:pt idx="25">
                <c:v>4.4444444444444446E-2</c:v>
              </c:pt>
              <c:pt idx="26">
                <c:v>0.50763888888888886</c:v>
              </c:pt>
              <c:pt idx="27">
                <c:v>0.36388888888888887</c:v>
              </c:pt>
              <c:pt idx="28">
                <c:v>0.46875</c:v>
              </c:pt>
              <c:pt idx="29">
                <c:v>0.65277777777777779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446976"/>
        <c:axId val="122448896"/>
      </c:lineChart>
      <c:catAx>
        <c:axId val="122446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24488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2448896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hh:mm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2446976"/>
        <c:crosses val="autoZero"/>
        <c:crossBetween val="between"/>
        <c:majorUnit val="8.3333333300000006E-2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 sz="14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Rain Rate / mmh</a:t>
            </a:r>
            <a:r>
              <a:rPr lang="en-GB" sz="1400" b="1" i="0" u="none" strike="noStrike" baseline="30000">
                <a:solidFill>
                  <a:srgbClr val="000000"/>
                </a:solidFill>
                <a:latin typeface="Arial"/>
                <a:cs typeface="Arial"/>
              </a:rPr>
              <a:t>-1</a:t>
            </a:r>
          </a:p>
        </c:rich>
      </c:tx>
      <c:layout>
        <c:manualLayout>
          <c:xMode val="edge"/>
          <c:yMode val="edge"/>
          <c:x val="0.44963144963144963"/>
          <c:y val="1.954022988505747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6412776412776413E-2"/>
          <c:y val="9.1954126205691239E-2"/>
          <c:w val="0.95515970515970516"/>
          <c:h val="0.8586216534456419"/>
        </c:manualLayout>
      </c:layout>
      <c:barChart>
        <c:barDir val="col"/>
        <c:grouping val="clustered"/>
        <c:varyColors val="0"/>
        <c:ser>
          <c:idx val="1"/>
          <c:order val="0"/>
          <c:tx>
            <c:v>Mean</c:v>
          </c:tx>
          <c:spPr>
            <a:solidFill>
              <a:srgbClr val="CCFFFF"/>
            </a:solidFill>
            <a:ln w="3175">
              <a:solidFill>
                <a:srgbClr val="333399"/>
              </a:solidFill>
              <a:prstDash val="solid"/>
            </a:ln>
          </c:spPr>
          <c:invertIfNegative val="0"/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0.88749999999999996</c:v>
              </c:pt>
              <c:pt idx="5">
                <c:v>0.6</c:v>
              </c:pt>
              <c:pt idx="6">
                <c:v>0</c:v>
              </c:pt>
              <c:pt idx="7">
                <c:v>1.4</c:v>
              </c:pt>
              <c:pt idx="8">
                <c:v>1.6</c:v>
              </c:pt>
              <c:pt idx="9">
                <c:v>3.55</c:v>
              </c:pt>
              <c:pt idx="10">
                <c:v>1.3199999999999998</c:v>
              </c:pt>
              <c:pt idx="11">
                <c:v>0.88749999999999996</c:v>
              </c:pt>
              <c:pt idx="12">
                <c:v>1.142857142857143</c:v>
              </c:pt>
              <c:pt idx="13">
                <c:v>0</c:v>
              </c:pt>
              <c:pt idx="14">
                <c:v>0</c:v>
              </c:pt>
              <c:pt idx="15">
                <c:v>3.6749999999999998</c:v>
              </c:pt>
              <c:pt idx="16">
                <c:v>1.0857142857142856</c:v>
              </c:pt>
              <c:pt idx="17">
                <c:v>0.73333333333333339</c:v>
              </c:pt>
              <c:pt idx="18">
                <c:v>1</c:v>
              </c:pt>
              <c:pt idx="19">
                <c:v>0.9</c:v>
              </c:pt>
              <c:pt idx="20">
                <c:v>0</c:v>
              </c:pt>
              <c:pt idx="21">
                <c:v>1.7333333333333334</c:v>
              </c:pt>
              <c:pt idx="22">
                <c:v>0</c:v>
              </c:pt>
              <c:pt idx="23">
                <c:v>0.82499999999999996</c:v>
              </c:pt>
              <c:pt idx="24">
                <c:v>0.65999999999999992</c:v>
              </c:pt>
              <c:pt idx="25">
                <c:v>0</c:v>
              </c:pt>
              <c:pt idx="26">
                <c:v>0</c:v>
              </c:pt>
              <c:pt idx="27">
                <c:v>2.8333333333333335</c:v>
              </c:pt>
              <c:pt idx="28">
                <c:v>0</c:v>
              </c:pt>
              <c:pt idx="29">
                <c:v>0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-80"/>
        <c:axId val="122757888"/>
        <c:axId val="122759424"/>
      </c:barChart>
      <c:barChart>
        <c:barDir val="col"/>
        <c:grouping val="clustered"/>
        <c:varyColors val="0"/>
        <c:ser>
          <c:idx val="0"/>
          <c:order val="1"/>
          <c:tx>
            <c:v>Max</c:v>
          </c:tx>
          <c:spPr>
            <a:solidFill>
              <a:srgbClr val="9999FF"/>
            </a:solidFill>
            <a:ln w="12700">
              <a:solidFill>
                <a:srgbClr val="000080"/>
              </a:solidFill>
              <a:prstDash val="solid"/>
            </a:ln>
          </c:spPr>
          <c:invertIfNegative val="0"/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4">
                <c:v>6</c:v>
              </c:pt>
              <c:pt idx="5">
                <c:v>8</c:v>
              </c:pt>
              <c:pt idx="7">
                <c:v>20</c:v>
              </c:pt>
              <c:pt idx="8">
                <c:v>10</c:v>
              </c:pt>
              <c:pt idx="9">
                <c:v>50</c:v>
              </c:pt>
              <c:pt idx="10">
                <c:v>4</c:v>
              </c:pt>
              <c:pt idx="11">
                <c:v>8</c:v>
              </c:pt>
              <c:pt idx="12">
                <c:v>1.3</c:v>
              </c:pt>
              <c:pt idx="18">
                <c:v>0</c:v>
              </c:pt>
              <c:pt idx="19">
                <c:v>10</c:v>
              </c:pt>
              <c:pt idx="21">
                <c:v>10</c:v>
              </c:pt>
              <c:pt idx="23">
                <c:v>2.5</c:v>
              </c:pt>
              <c:pt idx="24">
                <c:v>1.6</c:v>
              </c:pt>
              <c:pt idx="27">
                <c:v>40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0"/>
        <c:overlap val="-100"/>
        <c:axId val="122773504"/>
        <c:axId val="122775040"/>
      </c:barChart>
      <c:catAx>
        <c:axId val="122757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27594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2759424"/>
        <c:scaling>
          <c:orientation val="minMax"/>
          <c:max val="4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2757888"/>
        <c:crosses val="autoZero"/>
        <c:crossBetween val="between"/>
        <c:majorUnit val="0.5"/>
      </c:valAx>
      <c:catAx>
        <c:axId val="1227735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2775040"/>
        <c:crosses val="autoZero"/>
        <c:auto val="1"/>
        <c:lblAlgn val="ctr"/>
        <c:lblOffset val="100"/>
        <c:noMultiLvlLbl val="0"/>
      </c:catAx>
      <c:valAx>
        <c:axId val="122775040"/>
        <c:scaling>
          <c:orientation val="minMax"/>
          <c:max val="80"/>
          <c:min val="0"/>
        </c:scaling>
        <c:delete val="0"/>
        <c:axPos val="r"/>
        <c:numFmt formatCode="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2773504"/>
        <c:crosses val="max"/>
        <c:crossBetween val="between"/>
        <c:majorUnit val="20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9.6437346437346444E-2"/>
          <c:y val="0.13333345400790417"/>
          <c:w val="0.24324324324324326"/>
          <c:h val="0.1793104655021570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01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Rainfall / mm</a:t>
            </a:r>
          </a:p>
        </c:rich>
      </c:tx>
      <c:layout>
        <c:manualLayout>
          <c:xMode val="edge"/>
          <c:yMode val="edge"/>
          <c:x val="0.47051597051597049"/>
          <c:y val="1.509872241579558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955773955773956E-2"/>
          <c:y val="8.8269554240112152E-2"/>
          <c:w val="0.97297297297297303"/>
          <c:h val="0.85133662181581848"/>
        </c:manualLayout>
      </c:layout>
      <c:barChart>
        <c:barDir val="col"/>
        <c:grouping val="clustered"/>
        <c:varyColors val="0"/>
        <c:ser>
          <c:idx val="0"/>
          <c:order val="0"/>
          <c:tx>
            <c:v>Rainfall</c:v>
          </c:tx>
          <c:spPr>
            <a:solidFill>
              <a:srgbClr val="3366FF"/>
            </a:solidFill>
            <a:ln w="12700">
              <a:solidFill>
                <a:srgbClr val="000080"/>
              </a:solidFill>
              <a:prstDash val="solid"/>
            </a:ln>
          </c:spPr>
          <c:invertIfNegative val="0"/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7.1</c:v>
              </c:pt>
              <c:pt idx="5">
                <c:v>6</c:v>
              </c:pt>
              <c:pt idx="6">
                <c:v>0</c:v>
              </c:pt>
              <c:pt idx="7">
                <c:v>1.4</c:v>
              </c:pt>
              <c:pt idx="8">
                <c:v>0.8</c:v>
              </c:pt>
              <c:pt idx="9">
                <c:v>14.2</c:v>
              </c:pt>
              <c:pt idx="10">
                <c:v>3.3</c:v>
              </c:pt>
              <c:pt idx="11">
                <c:v>7.1</c:v>
              </c:pt>
              <c:pt idx="12">
                <c:v>0.8</c:v>
              </c:pt>
              <c:pt idx="13">
                <c:v>0</c:v>
              </c:pt>
              <c:pt idx="14">
                <c:v>0</c:v>
              </c:pt>
              <c:pt idx="15">
                <c:v>14.7</c:v>
              </c:pt>
              <c:pt idx="16">
                <c:v>7.6</c:v>
              </c:pt>
              <c:pt idx="17">
                <c:v>1.1000000000000001</c:v>
              </c:pt>
              <c:pt idx="18">
                <c:v>0.3</c:v>
              </c:pt>
              <c:pt idx="19">
                <c:v>2.7</c:v>
              </c:pt>
              <c:pt idx="20">
                <c:v>0</c:v>
              </c:pt>
              <c:pt idx="21">
                <c:v>5.2</c:v>
              </c:pt>
              <c:pt idx="22">
                <c:v>0.1</c:v>
              </c:pt>
              <c:pt idx="23">
                <c:v>3.3</c:v>
              </c:pt>
              <c:pt idx="24">
                <c:v>3.3</c:v>
              </c:pt>
              <c:pt idx="25">
                <c:v>0</c:v>
              </c:pt>
              <c:pt idx="26">
                <c:v>0</c:v>
              </c:pt>
              <c:pt idx="27">
                <c:v>8.5</c:v>
              </c:pt>
              <c:pt idx="28">
                <c:v>0</c:v>
              </c:pt>
              <c:pt idx="29">
                <c:v>0.1</c:v>
              </c:pt>
            </c:numLit>
          </c:val>
        </c:ser>
        <c:ser>
          <c:idx val="1"/>
          <c:order val="1"/>
          <c:tx>
            <c:v>Max In Hour</c:v>
          </c:tx>
          <c:spPr>
            <a:solidFill>
              <a:srgbClr val="00CCFF"/>
            </a:solidFill>
            <a:ln w="12700">
              <a:solidFill>
                <a:srgbClr val="0000FF"/>
              </a:solidFill>
              <a:prstDash val="solid"/>
            </a:ln>
          </c:spPr>
          <c:invertIfNegative val="0"/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4">
                <c:v>2.5</c:v>
              </c:pt>
              <c:pt idx="5">
                <c:v>2.2000000000000002</c:v>
              </c:pt>
              <c:pt idx="7">
                <c:v>0.8</c:v>
              </c:pt>
              <c:pt idx="8">
                <c:v>0</c:v>
              </c:pt>
              <c:pt idx="9">
                <c:v>6.1</c:v>
              </c:pt>
              <c:pt idx="10">
                <c:v>1.7</c:v>
              </c:pt>
              <c:pt idx="11">
                <c:v>2.5</c:v>
              </c:pt>
              <c:pt idx="12">
                <c:v>0.8</c:v>
              </c:pt>
              <c:pt idx="15">
                <c:v>8.5</c:v>
              </c:pt>
              <c:pt idx="16">
                <c:v>3.8</c:v>
              </c:pt>
              <c:pt idx="17">
                <c:v>0.5</c:v>
              </c:pt>
              <c:pt idx="18">
                <c:v>0</c:v>
              </c:pt>
              <c:pt idx="19">
                <c:v>1.1000000000000001</c:v>
              </c:pt>
              <c:pt idx="21">
                <c:v>3</c:v>
              </c:pt>
              <c:pt idx="23">
                <c:v>1.6</c:v>
              </c:pt>
              <c:pt idx="24">
                <c:v>1.1000000000000001</c:v>
              </c:pt>
              <c:pt idx="27">
                <c:v>6.3</c:v>
              </c:pt>
            </c:numLit>
          </c:val>
        </c:ser>
        <c:ser>
          <c:idx val="2"/>
          <c:order val="2"/>
          <c:tx>
            <c:v>Max in 10 Minutes</c:v>
          </c:tx>
          <c:spPr>
            <a:solidFill>
              <a:srgbClr val="99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4">
                <c:v>0.8</c:v>
              </c:pt>
              <c:pt idx="5">
                <c:v>0.8</c:v>
              </c:pt>
              <c:pt idx="7">
                <c:v>0.5</c:v>
              </c:pt>
              <c:pt idx="8">
                <c:v>0.8</c:v>
              </c:pt>
              <c:pt idx="9">
                <c:v>3</c:v>
              </c:pt>
              <c:pt idx="10">
                <c:v>0.5</c:v>
              </c:pt>
              <c:pt idx="11">
                <c:v>0.8</c:v>
              </c:pt>
              <c:pt idx="12">
                <c:v>0.3</c:v>
              </c:pt>
              <c:pt idx="18">
                <c:v>0</c:v>
              </c:pt>
              <c:pt idx="19">
                <c:v>0.5</c:v>
              </c:pt>
              <c:pt idx="21">
                <c:v>1.1000000000000001</c:v>
              </c:pt>
              <c:pt idx="23">
                <c:v>0.3</c:v>
              </c:pt>
              <c:pt idx="24">
                <c:v>0.3</c:v>
              </c:pt>
              <c:pt idx="27">
                <c:v>3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overlap val="100"/>
        <c:axId val="122801152"/>
        <c:axId val="122807040"/>
      </c:barChart>
      <c:catAx>
        <c:axId val="1228011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28070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2807040"/>
        <c:scaling>
          <c:orientation val="minMax"/>
          <c:max val="16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2801152"/>
        <c:crosses val="autoZero"/>
        <c:crossBetween val="between"/>
        <c:majorUnit val="2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3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 horizontalDpi="-3" verticalDpi="0"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Wet Hours / h</a:t>
            </a:r>
          </a:p>
        </c:rich>
      </c:tx>
      <c:layout>
        <c:manualLayout>
          <c:xMode val="edge"/>
          <c:yMode val="edge"/>
          <c:x val="0.47116577299003271"/>
          <c:y val="2.2016222479721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926387535464059E-2"/>
          <c:y val="8.2271147161066052E-2"/>
          <c:w val="0.97361992355849891"/>
          <c:h val="0.86790266512166858"/>
        </c:manualLayout>
      </c:layout>
      <c:barChart>
        <c:barDir val="col"/>
        <c:grouping val="clustered"/>
        <c:varyColors val="0"/>
        <c:ser>
          <c:idx val="2"/>
          <c:order val="0"/>
          <c:tx>
            <c:v>Wet</c:v>
          </c:tx>
          <c:spPr>
            <a:solidFill>
              <a:srgbClr val="00FFFF"/>
            </a:solidFill>
            <a:ln w="12700">
              <a:solidFill>
                <a:srgbClr val="3366FF"/>
              </a:solidFill>
              <a:prstDash val="solid"/>
            </a:ln>
          </c:spPr>
          <c:invertIfNegative val="0"/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8</c:v>
              </c:pt>
              <c:pt idx="5">
                <c:v>10</c:v>
              </c:pt>
              <c:pt idx="6">
                <c:v>0</c:v>
              </c:pt>
              <c:pt idx="7">
                <c:v>1</c:v>
              </c:pt>
              <c:pt idx="8">
                <c:v>0.5</c:v>
              </c:pt>
              <c:pt idx="9">
                <c:v>4</c:v>
              </c:pt>
              <c:pt idx="10">
                <c:v>2.5</c:v>
              </c:pt>
              <c:pt idx="11">
                <c:v>8</c:v>
              </c:pt>
              <c:pt idx="12">
                <c:v>0.7</c:v>
              </c:pt>
              <c:pt idx="13">
                <c:v>0</c:v>
              </c:pt>
              <c:pt idx="14">
                <c:v>0</c:v>
              </c:pt>
              <c:pt idx="15">
                <c:v>4</c:v>
              </c:pt>
              <c:pt idx="16">
                <c:v>7</c:v>
              </c:pt>
              <c:pt idx="17">
                <c:v>1.5</c:v>
              </c:pt>
              <c:pt idx="18">
                <c:v>0.3</c:v>
              </c:pt>
              <c:pt idx="19">
                <c:v>3</c:v>
              </c:pt>
              <c:pt idx="20">
                <c:v>0</c:v>
              </c:pt>
              <c:pt idx="21">
                <c:v>3</c:v>
              </c:pt>
              <c:pt idx="22">
                <c:v>0.4</c:v>
              </c:pt>
              <c:pt idx="23">
                <c:v>4</c:v>
              </c:pt>
              <c:pt idx="24">
                <c:v>5</c:v>
              </c:pt>
              <c:pt idx="25">
                <c:v>0</c:v>
              </c:pt>
              <c:pt idx="26">
                <c:v>0</c:v>
              </c:pt>
              <c:pt idx="27">
                <c:v>3</c:v>
              </c:pt>
              <c:pt idx="28">
                <c:v>0</c:v>
              </c:pt>
              <c:pt idx="29">
                <c:v>0.3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overlap val="-10"/>
        <c:axId val="122982784"/>
        <c:axId val="122984320"/>
      </c:barChart>
      <c:catAx>
        <c:axId val="1229827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29843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2984320"/>
        <c:scaling>
          <c:orientation val="minMax"/>
          <c:max val="1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2982784"/>
        <c:crosses val="autoZero"/>
        <c:crossBetween val="between"/>
        <c:majorUnit val="2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Wind Direction Frequency</a:t>
            </a:r>
          </a:p>
        </c:rich>
      </c:tx>
      <c:layout>
        <c:manualLayout>
          <c:xMode val="edge"/>
          <c:yMode val="edge"/>
          <c:x val="0.41263028816676883"/>
          <c:y val="2.243211334120424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9613733905579398"/>
          <c:y val="0.17119254260933731"/>
          <c:w val="0.38197424892703863"/>
          <c:h val="0.73553761410770446"/>
        </c:manualLayout>
      </c:layout>
      <c:radarChart>
        <c:radarStyle val="filled"/>
        <c:varyColors val="1"/>
        <c:ser>
          <c:idx val="0"/>
          <c:order val="0"/>
          <c:tx>
            <c:v>Mean Wind Direction</c:v>
          </c:tx>
          <c:spPr>
            <a:solidFill>
              <a:srgbClr val="FF99CC"/>
            </a:solidFill>
            <a:ln w="38100">
              <a:solidFill>
                <a:srgbClr val="FF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</c:dPt>
          <c:dPt>
            <c:idx val="2"/>
            <c:bubble3D val="0"/>
          </c:dPt>
          <c:dPt>
            <c:idx val="3"/>
            <c:bubble3D val="0"/>
          </c:dPt>
          <c:dPt>
            <c:idx val="4"/>
            <c:bubble3D val="0"/>
          </c:dPt>
          <c:dPt>
            <c:idx val="5"/>
            <c:bubble3D val="0"/>
          </c:dPt>
          <c:dPt>
            <c:idx val="6"/>
            <c:bubble3D val="0"/>
          </c:dPt>
          <c:dPt>
            <c:idx val="7"/>
            <c:bubble3D val="0"/>
          </c:dPt>
          <c:dPt>
            <c:idx val="8"/>
            <c:bubble3D val="0"/>
          </c:dPt>
          <c:dPt>
            <c:idx val="9"/>
            <c:bubble3D val="0"/>
          </c:dPt>
          <c:dPt>
            <c:idx val="10"/>
            <c:bubble3D val="0"/>
          </c:dPt>
          <c:dPt>
            <c:idx val="11"/>
            <c:bubble3D val="0"/>
          </c:dPt>
          <c:dPt>
            <c:idx val="12"/>
            <c:bubble3D val="0"/>
          </c:dPt>
          <c:dPt>
            <c:idx val="13"/>
            <c:bubble3D val="0"/>
          </c:dPt>
          <c:dPt>
            <c:idx val="14"/>
            <c:bubble3D val="0"/>
          </c:dPt>
          <c:dPt>
            <c:idx val="15"/>
            <c:bubble3D val="0"/>
          </c:dPt>
          <c:dLbls>
            <c:dLbl>
              <c:idx val="0"/>
              <c:layout>
                <c:manualLayout>
                  <c:xMode val="edge"/>
                  <c:yMode val="edge"/>
                  <c:x val="0.4739423666462293"/>
                  <c:y val="8.5005952192222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Mode val="edge"/>
                  <c:yMode val="edge"/>
                  <c:x val="0.58920907418761492"/>
                  <c:y val="0.116883184264306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layout>
                <c:manualLayout>
                  <c:xMode val="edge"/>
                  <c:yMode val="edge"/>
                  <c:x val="0.65052115266707544"/>
                  <c:y val="0.20661168935609675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layout>
                <c:manualLayout>
                  <c:xMode val="edge"/>
                  <c:yMode val="edge"/>
                  <c:x val="0.70815450643776823"/>
                  <c:y val="0.3530108292427024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4"/>
              <c:layout>
                <c:manualLayout>
                  <c:xMode val="edge"/>
                  <c:yMode val="edge"/>
                  <c:x val="0.7142857142857143"/>
                  <c:y val="0.51948081895247178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5"/>
              <c:layout>
                <c:manualLayout>
                  <c:xMode val="edge"/>
                  <c:yMode val="edge"/>
                  <c:x val="0.70754138565297364"/>
                  <c:y val="0.7012991055858369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6"/>
              <c:layout>
                <c:manualLayout>
                  <c:xMode val="edge"/>
                  <c:yMode val="edge"/>
                  <c:x val="0.66217044757817289"/>
                  <c:y val="0.8358918632235228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7"/>
              <c:layout>
                <c:manualLayout>
                  <c:xMode val="edge"/>
                  <c:yMode val="edge"/>
                  <c:x val="0.58982219497240962"/>
                  <c:y val="0.9504137710380450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8"/>
              <c:layout>
                <c:manualLayout>
                  <c:xMode val="edge"/>
                  <c:yMode val="edge"/>
                  <c:x val="0.47332924586143471"/>
                  <c:y val="0.9610395150620728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9"/>
              <c:layout>
                <c:manualLayout>
                  <c:xMode val="edge"/>
                  <c:yMode val="edge"/>
                  <c:x val="0.34763948497854075"/>
                  <c:y val="0.9468718563633691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0"/>
              <c:layout>
                <c:manualLayout>
                  <c:xMode val="edge"/>
                  <c:yMode val="edge"/>
                  <c:x val="0.28142244022072349"/>
                  <c:y val="0.8476982454724426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1"/>
              <c:layout>
                <c:manualLayout>
                  <c:xMode val="edge"/>
                  <c:yMode val="edge"/>
                  <c:x val="0.22378908645003065"/>
                  <c:y val="0.6859508086622412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2"/>
              <c:layout>
                <c:manualLayout>
                  <c:xMode val="edge"/>
                  <c:yMode val="edge"/>
                  <c:x val="0.22072348252605764"/>
                  <c:y val="0.5135776278280118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3"/>
              <c:layout>
                <c:manualLayout>
                  <c:xMode val="edge"/>
                  <c:yMode val="edge"/>
                  <c:x val="0.22624156958920907"/>
                  <c:y val="0.3482882763431345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4"/>
              <c:layout>
                <c:manualLayout>
                  <c:xMode val="edge"/>
                  <c:yMode val="edge"/>
                  <c:x val="0.30042918454935624"/>
                  <c:y val="0.21723743338012458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5"/>
              <c:layout>
                <c:manualLayout>
                  <c:xMode val="edge"/>
                  <c:yMode val="edge"/>
                  <c:x val="0.3764561618638872"/>
                  <c:y val="0.1286895665132259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1" i="0" u="none" strike="noStrike" baseline="0">
                    <a:solidFill>
                      <a:srgbClr val="FF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Lit>
              <c:ptCount val="16"/>
              <c:pt idx="0">
                <c:v>N</c:v>
              </c:pt>
              <c:pt idx="1">
                <c:v>NNE</c:v>
              </c:pt>
              <c:pt idx="2">
                <c:v>NE</c:v>
              </c:pt>
              <c:pt idx="3">
                <c:v>ENE</c:v>
              </c:pt>
              <c:pt idx="4">
                <c:v>E</c:v>
              </c:pt>
              <c:pt idx="5">
                <c:v>ESE</c:v>
              </c:pt>
              <c:pt idx="6">
                <c:v>SE</c:v>
              </c:pt>
              <c:pt idx="7">
                <c:v>SSE</c:v>
              </c:pt>
              <c:pt idx="8">
                <c:v>S</c:v>
              </c:pt>
              <c:pt idx="9">
                <c:v>SSW</c:v>
              </c:pt>
              <c:pt idx="10">
                <c:v>SW</c:v>
              </c:pt>
              <c:pt idx="11">
                <c:v>WSW</c:v>
              </c:pt>
              <c:pt idx="12">
                <c:v>W</c:v>
              </c:pt>
              <c:pt idx="13">
                <c:v>WNW</c:v>
              </c:pt>
              <c:pt idx="14">
                <c:v>NW</c:v>
              </c:pt>
              <c:pt idx="15">
                <c:v>NNW</c:v>
              </c:pt>
            </c:strLit>
          </c:cat>
          <c:val>
            <c:numLit>
              <c:formatCode>General</c:formatCode>
              <c:ptCount val="16"/>
              <c:pt idx="0">
                <c:v>4.7E-2</c:v>
              </c:pt>
              <c:pt idx="1">
                <c:v>5.2999999999999999E-2</c:v>
              </c:pt>
              <c:pt idx="2">
                <c:v>4.9000000000000002E-2</c:v>
              </c:pt>
              <c:pt idx="3">
                <c:v>4.2000000000000003E-2</c:v>
              </c:pt>
              <c:pt idx="4">
                <c:v>1.6E-2</c:v>
              </c:pt>
              <c:pt idx="5">
                <c:v>1.0999999999999999E-2</c:v>
              </c:pt>
              <c:pt idx="6">
                <c:v>1.0999999999999999E-2</c:v>
              </c:pt>
              <c:pt idx="7">
                <c:v>1.9E-2</c:v>
              </c:pt>
              <c:pt idx="8">
                <c:v>6.8000000000000005E-2</c:v>
              </c:pt>
              <c:pt idx="9">
                <c:v>0.157</c:v>
              </c:pt>
              <c:pt idx="10">
                <c:v>0.152</c:v>
              </c:pt>
              <c:pt idx="11">
                <c:v>0.121</c:v>
              </c:pt>
              <c:pt idx="12">
                <c:v>9.1999999999999998E-2</c:v>
              </c:pt>
              <c:pt idx="13">
                <c:v>7.4999999999999997E-2</c:v>
              </c:pt>
              <c:pt idx="14">
                <c:v>4.7E-2</c:v>
              </c:pt>
              <c:pt idx="15">
                <c:v>0.04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112064"/>
        <c:axId val="123126144"/>
      </c:radarChart>
      <c:catAx>
        <c:axId val="123112064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3126144"/>
        <c:crosses val="autoZero"/>
        <c:auto val="0"/>
        <c:lblAlgn val="ctr"/>
        <c:lblOffset val="100"/>
        <c:noMultiLvlLbl val="0"/>
      </c:catAx>
      <c:valAx>
        <c:axId val="123126144"/>
        <c:scaling>
          <c:orientation val="minMax"/>
          <c:max val="0.2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General" sourceLinked="1"/>
        <c:majorTickMark val="cross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3112064"/>
        <c:crosses val="autoZero"/>
        <c:crossBetween val="between"/>
        <c:majorUnit val="0.05"/>
      </c:valAx>
      <c:spPr>
        <a:solidFill>
          <a:srgbClr val="C0C0C0"/>
        </a:solidFill>
        <a:ln w="25400">
          <a:noFill/>
        </a:ln>
      </c:spPr>
    </c:plotArea>
    <c:plotVisOnly val="1"/>
    <c:dispBlanksAs val="gap"/>
    <c:showDLblsOverMax val="0"/>
  </c:chart>
  <c:spPr>
    <a:solidFill>
      <a:srgbClr val="C0C0C0"/>
    </a:solidFill>
    <a:ln w="3175">
      <a:solidFill>
        <a:srgbClr val="000000"/>
      </a:solidFill>
      <a:prstDash val="solid"/>
    </a:ln>
  </c:spPr>
  <c:txPr>
    <a:bodyPr/>
    <a:lstStyle/>
    <a:p>
      <a:pPr>
        <a:defRPr sz="23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 horizontalDpi="-3" verticalDpi="0"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7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 sz="14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Temperature / °C   </a:t>
            </a:r>
          </a:p>
        </c:rich>
      </c:tx>
      <c:layout>
        <c:manualLayout>
          <c:xMode val="edge"/>
          <c:yMode val="edge"/>
          <c:x val="0.450704353933713"/>
          <c:y val="2.095459837019790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882432125746363E-2"/>
          <c:y val="8.0326006078792381E-2"/>
          <c:w val="0.95774676524787983"/>
          <c:h val="0.86961632667910016"/>
        </c:manualLayout>
      </c:layout>
      <c:lineChart>
        <c:grouping val="standard"/>
        <c:varyColors val="0"/>
        <c:ser>
          <c:idx val="0"/>
          <c:order val="0"/>
          <c:tx>
            <c:v>Min</c:v>
          </c:tx>
          <c:spPr>
            <a:ln w="38100">
              <a:solidFill>
                <a:srgbClr val="0000FF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10.3</c:v>
              </c:pt>
              <c:pt idx="1">
                <c:v>12.8</c:v>
              </c:pt>
              <c:pt idx="2">
                <c:v>13</c:v>
              </c:pt>
              <c:pt idx="3">
                <c:v>14.3</c:v>
              </c:pt>
              <c:pt idx="4">
                <c:v>13.1</c:v>
              </c:pt>
              <c:pt idx="5">
                <c:v>13.6</c:v>
              </c:pt>
              <c:pt idx="6">
                <c:v>14.1</c:v>
              </c:pt>
              <c:pt idx="7">
                <c:v>13.6</c:v>
              </c:pt>
              <c:pt idx="8">
                <c:v>13.7</c:v>
              </c:pt>
              <c:pt idx="9">
                <c:v>13</c:v>
              </c:pt>
              <c:pt idx="10">
                <c:v>12.2</c:v>
              </c:pt>
              <c:pt idx="11">
                <c:v>14.3</c:v>
              </c:pt>
              <c:pt idx="12">
                <c:v>12.2</c:v>
              </c:pt>
              <c:pt idx="13">
                <c:v>11.7</c:v>
              </c:pt>
              <c:pt idx="14">
                <c:v>11.8</c:v>
              </c:pt>
              <c:pt idx="15">
                <c:v>13.2</c:v>
              </c:pt>
              <c:pt idx="16">
                <c:v>12.8</c:v>
              </c:pt>
              <c:pt idx="17">
                <c:v>13.2</c:v>
              </c:pt>
              <c:pt idx="18">
                <c:v>11.9</c:v>
              </c:pt>
              <c:pt idx="19">
                <c:v>12.6</c:v>
              </c:pt>
              <c:pt idx="20">
                <c:v>13.1</c:v>
              </c:pt>
              <c:pt idx="21">
                <c:v>10.5</c:v>
              </c:pt>
              <c:pt idx="22">
                <c:v>10.9</c:v>
              </c:pt>
              <c:pt idx="23">
                <c:v>10.6</c:v>
              </c:pt>
              <c:pt idx="24">
                <c:v>10.4</c:v>
              </c:pt>
              <c:pt idx="25">
                <c:v>12</c:v>
              </c:pt>
              <c:pt idx="26">
                <c:v>14.4</c:v>
              </c:pt>
              <c:pt idx="27">
                <c:v>14.4</c:v>
              </c:pt>
              <c:pt idx="28">
                <c:v>13.4</c:v>
              </c:pt>
              <c:pt idx="29">
                <c:v>9.1</c:v>
              </c:pt>
              <c:pt idx="30">
                <c:v>12</c:v>
              </c:pt>
            </c:numLit>
          </c:val>
          <c:smooth val="0"/>
        </c:ser>
        <c:ser>
          <c:idx val="1"/>
          <c:order val="1"/>
          <c:tx>
            <c:v>Max</c:v>
          </c:tx>
          <c:spPr>
            <a:ln w="38100">
              <a:solidFill>
                <a:srgbClr val="FF6600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993300"/>
              </a:solidFill>
              <a:ln>
                <a:solidFill>
                  <a:srgbClr val="993300"/>
                </a:solidFill>
                <a:prstDash val="solid"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20.399999999999999</c:v>
              </c:pt>
              <c:pt idx="1">
                <c:v>21.2</c:v>
              </c:pt>
              <c:pt idx="2">
                <c:v>23.7</c:v>
              </c:pt>
              <c:pt idx="3">
                <c:v>24.9</c:v>
              </c:pt>
              <c:pt idx="4">
                <c:v>26.4</c:v>
              </c:pt>
              <c:pt idx="5">
                <c:v>20</c:v>
              </c:pt>
              <c:pt idx="6">
                <c:v>18.600000000000001</c:v>
              </c:pt>
              <c:pt idx="7">
                <c:v>18.100000000000001</c:v>
              </c:pt>
              <c:pt idx="8">
                <c:v>21.6</c:v>
              </c:pt>
              <c:pt idx="9">
                <c:v>21.9</c:v>
              </c:pt>
              <c:pt idx="10">
                <c:v>23.7</c:v>
              </c:pt>
              <c:pt idx="11">
                <c:v>18.8</c:v>
              </c:pt>
              <c:pt idx="12">
                <c:v>17.2</c:v>
              </c:pt>
              <c:pt idx="13">
                <c:v>22.7</c:v>
              </c:pt>
              <c:pt idx="14">
                <c:v>24</c:v>
              </c:pt>
              <c:pt idx="15">
                <c:v>19</c:v>
              </c:pt>
              <c:pt idx="16">
                <c:v>18.899999999999999</c:v>
              </c:pt>
              <c:pt idx="17">
                <c:v>18.399999999999999</c:v>
              </c:pt>
              <c:pt idx="18">
                <c:v>19.899999999999999</c:v>
              </c:pt>
              <c:pt idx="19">
                <c:v>19.100000000000001</c:v>
              </c:pt>
              <c:pt idx="20">
                <c:v>19.3</c:v>
              </c:pt>
              <c:pt idx="21">
                <c:v>20.2</c:v>
              </c:pt>
              <c:pt idx="22">
                <c:v>18</c:v>
              </c:pt>
              <c:pt idx="23">
                <c:v>23.2</c:v>
              </c:pt>
              <c:pt idx="24">
                <c:v>23</c:v>
              </c:pt>
              <c:pt idx="25">
                <c:v>19.899999999999999</c:v>
              </c:pt>
              <c:pt idx="26">
                <c:v>20.100000000000001</c:v>
              </c:pt>
              <c:pt idx="27">
                <c:v>23.6</c:v>
              </c:pt>
              <c:pt idx="28">
                <c:v>20.5</c:v>
              </c:pt>
              <c:pt idx="29">
                <c:v>21.8</c:v>
              </c:pt>
              <c:pt idx="30">
                <c:v>24.7</c:v>
              </c:pt>
            </c:numLit>
          </c:val>
          <c:smooth val="0"/>
        </c:ser>
        <c:ser>
          <c:idx val="7"/>
          <c:order val="2"/>
          <c:tx>
            <c:v>Cumulative Min</c:v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x"/>
            <c:size val="2"/>
            <c:spPr>
              <a:noFill/>
              <a:ln>
                <a:solidFill>
                  <a:srgbClr val="0000FF"/>
                </a:solidFill>
                <a:prstDash val="solid"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10.3</c:v>
              </c:pt>
              <c:pt idx="1">
                <c:v>11.55</c:v>
              </c:pt>
              <c:pt idx="2">
                <c:v>12.033333333333333</c:v>
              </c:pt>
              <c:pt idx="3">
                <c:v>12.600000000000001</c:v>
              </c:pt>
              <c:pt idx="4">
                <c:v>12.700000000000001</c:v>
              </c:pt>
              <c:pt idx="5">
                <c:v>12.850000000000001</c:v>
              </c:pt>
              <c:pt idx="6">
                <c:v>13.028571428571428</c:v>
              </c:pt>
              <c:pt idx="7">
                <c:v>13.1</c:v>
              </c:pt>
              <c:pt idx="8">
                <c:v>13.166666666666666</c:v>
              </c:pt>
              <c:pt idx="9">
                <c:v>13.15</c:v>
              </c:pt>
              <c:pt idx="10">
                <c:v>13.063636363636363</c:v>
              </c:pt>
              <c:pt idx="11">
                <c:v>13.166666666666666</c:v>
              </c:pt>
              <c:pt idx="12">
                <c:v>13.092307692307692</c:v>
              </c:pt>
              <c:pt idx="13">
                <c:v>12.992857142857142</c:v>
              </c:pt>
              <c:pt idx="14">
                <c:v>12.913333333333332</c:v>
              </c:pt>
              <c:pt idx="15">
                <c:v>12.931249999999999</c:v>
              </c:pt>
              <c:pt idx="16">
                <c:v>12.923529411764704</c:v>
              </c:pt>
              <c:pt idx="17">
                <c:v>12.938888888888888</c:v>
              </c:pt>
              <c:pt idx="18">
                <c:v>12.884210526315789</c:v>
              </c:pt>
              <c:pt idx="19">
                <c:v>12.87</c:v>
              </c:pt>
              <c:pt idx="20">
                <c:v>12.880952380952381</c:v>
              </c:pt>
              <c:pt idx="21">
                <c:v>12.772727272727273</c:v>
              </c:pt>
              <c:pt idx="22">
                <c:v>12.691304347826087</c:v>
              </c:pt>
              <c:pt idx="23">
                <c:v>12.604166666666666</c:v>
              </c:pt>
              <c:pt idx="24">
                <c:v>12.515999999999998</c:v>
              </c:pt>
              <c:pt idx="25">
                <c:v>12.496153846153845</c:v>
              </c:pt>
              <c:pt idx="26">
                <c:v>12.566666666666665</c:v>
              </c:pt>
              <c:pt idx="27">
                <c:v>12.632142857142854</c:v>
              </c:pt>
              <c:pt idx="28">
                <c:v>12.658620689655169</c:v>
              </c:pt>
              <c:pt idx="29">
                <c:v>12.539999999999997</c:v>
              </c:pt>
              <c:pt idx="30">
                <c:v>12.522580645161288</c:v>
              </c:pt>
            </c:numLit>
          </c:val>
          <c:smooth val="0"/>
        </c:ser>
        <c:ser>
          <c:idx val="6"/>
          <c:order val="3"/>
          <c:tx>
            <c:v>Cumulative Max</c:v>
          </c:tx>
          <c:spPr>
            <a:ln w="12700">
              <a:solidFill>
                <a:srgbClr val="FF9900"/>
              </a:solidFill>
              <a:prstDash val="solid"/>
            </a:ln>
          </c:spPr>
          <c:marker>
            <c:symbol val="plus"/>
            <c:size val="2"/>
            <c:spPr>
              <a:noFill/>
              <a:ln>
                <a:solidFill>
                  <a:srgbClr val="FF6600"/>
                </a:solidFill>
                <a:prstDash val="solid"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20.399999999999999</c:v>
              </c:pt>
              <c:pt idx="1">
                <c:v>20.799999999999997</c:v>
              </c:pt>
              <c:pt idx="2">
                <c:v>21.766666666666666</c:v>
              </c:pt>
              <c:pt idx="3">
                <c:v>22.549999999999997</c:v>
              </c:pt>
              <c:pt idx="4">
                <c:v>23.32</c:v>
              </c:pt>
              <c:pt idx="5">
                <c:v>22.766666666666666</c:v>
              </c:pt>
              <c:pt idx="6">
                <c:v>22.171428571428571</c:v>
              </c:pt>
              <c:pt idx="7">
                <c:v>21.662499999999998</c:v>
              </c:pt>
              <c:pt idx="8">
                <c:v>21.655555555555551</c:v>
              </c:pt>
              <c:pt idx="9">
                <c:v>21.68</c:v>
              </c:pt>
              <c:pt idx="10">
                <c:v>21.86363636363636</c:v>
              </c:pt>
              <c:pt idx="11">
                <c:v>21.608333333333331</c:v>
              </c:pt>
              <c:pt idx="12">
                <c:v>21.269230769230766</c:v>
              </c:pt>
              <c:pt idx="13">
                <c:v>21.371428571428567</c:v>
              </c:pt>
              <c:pt idx="14">
                <c:v>21.546666666666663</c:v>
              </c:pt>
              <c:pt idx="15">
                <c:v>21.387499999999996</c:v>
              </c:pt>
              <c:pt idx="16">
                <c:v>21.241176470588229</c:v>
              </c:pt>
              <c:pt idx="17">
                <c:v>21.083333333333329</c:v>
              </c:pt>
              <c:pt idx="18">
                <c:v>21.021052631578939</c:v>
              </c:pt>
              <c:pt idx="19">
                <c:v>20.924999999999994</c:v>
              </c:pt>
              <c:pt idx="20">
                <c:v>20.847619047619041</c:v>
              </c:pt>
              <c:pt idx="21">
                <c:v>20.818181818181813</c:v>
              </c:pt>
              <c:pt idx="22">
                <c:v>20.695652173913039</c:v>
              </c:pt>
              <c:pt idx="23">
                <c:v>20.799999999999994</c:v>
              </c:pt>
              <c:pt idx="24">
                <c:v>20.887999999999991</c:v>
              </c:pt>
              <c:pt idx="25">
                <c:v>20.849999999999991</c:v>
              </c:pt>
              <c:pt idx="26">
                <c:v>20.822222222222216</c:v>
              </c:pt>
              <c:pt idx="27">
                <c:v>20.921428571428567</c:v>
              </c:pt>
              <c:pt idx="28">
                <c:v>20.906896551724131</c:v>
              </c:pt>
              <c:pt idx="29">
                <c:v>20.93666666666666</c:v>
              </c:pt>
              <c:pt idx="30">
                <c:v>21.058064516129026</c:v>
              </c:pt>
            </c:numLit>
          </c:val>
          <c:smooth val="0"/>
        </c:ser>
        <c:ser>
          <c:idx val="9"/>
          <c:order val="6"/>
          <c:tx>
            <c:v>E (Min)</c:v>
          </c:tx>
          <c:spPr>
            <a:ln w="25400">
              <a:solidFill>
                <a:srgbClr val="00CCFF"/>
              </a:solidFill>
              <a:prstDash val="lgDash"/>
            </a:ln>
          </c:spPr>
          <c:marker>
            <c:symbol val="star"/>
            <c:size val="2"/>
            <c:spPr>
              <a:noFill/>
              <a:ln>
                <a:solidFill>
                  <a:srgbClr val="000080"/>
                </a:solidFill>
                <a:prstDash val="solid"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13.4</c:v>
              </c:pt>
              <c:pt idx="1">
                <c:v>13.4</c:v>
              </c:pt>
              <c:pt idx="2">
                <c:v>13.4</c:v>
              </c:pt>
              <c:pt idx="3">
                <c:v>13.4</c:v>
              </c:pt>
              <c:pt idx="4">
                <c:v>13.4</c:v>
              </c:pt>
              <c:pt idx="5">
                <c:v>13.4</c:v>
              </c:pt>
              <c:pt idx="6">
                <c:v>13.4</c:v>
              </c:pt>
              <c:pt idx="7">
                <c:v>13.4</c:v>
              </c:pt>
              <c:pt idx="8">
                <c:v>13.4</c:v>
              </c:pt>
              <c:pt idx="9">
                <c:v>13.4</c:v>
              </c:pt>
              <c:pt idx="10">
                <c:v>13.4</c:v>
              </c:pt>
              <c:pt idx="11">
                <c:v>13.4</c:v>
              </c:pt>
              <c:pt idx="12">
                <c:v>13.4</c:v>
              </c:pt>
              <c:pt idx="13">
                <c:v>13.4</c:v>
              </c:pt>
              <c:pt idx="14">
                <c:v>13.4</c:v>
              </c:pt>
              <c:pt idx="15">
                <c:v>13.4</c:v>
              </c:pt>
              <c:pt idx="16">
                <c:v>13.4</c:v>
              </c:pt>
              <c:pt idx="17">
                <c:v>13.4</c:v>
              </c:pt>
              <c:pt idx="18">
                <c:v>13.4</c:v>
              </c:pt>
              <c:pt idx="19">
                <c:v>13.4</c:v>
              </c:pt>
              <c:pt idx="20">
                <c:v>13.4</c:v>
              </c:pt>
              <c:pt idx="21">
                <c:v>13.4</c:v>
              </c:pt>
              <c:pt idx="22">
                <c:v>13.4</c:v>
              </c:pt>
              <c:pt idx="23">
                <c:v>13.4</c:v>
              </c:pt>
              <c:pt idx="24">
                <c:v>13.4</c:v>
              </c:pt>
              <c:pt idx="25">
                <c:v>13.4</c:v>
              </c:pt>
              <c:pt idx="26">
                <c:v>13.4</c:v>
              </c:pt>
              <c:pt idx="27">
                <c:v>13.4</c:v>
              </c:pt>
              <c:pt idx="28">
                <c:v>13.4</c:v>
              </c:pt>
              <c:pt idx="29">
                <c:v>13.4</c:v>
              </c:pt>
              <c:pt idx="30">
                <c:v>13.4</c:v>
              </c:pt>
            </c:numLit>
          </c:val>
          <c:smooth val="0"/>
        </c:ser>
        <c:ser>
          <c:idx val="8"/>
          <c:order val="7"/>
          <c:tx>
            <c:v>E (Max)</c:v>
          </c:tx>
          <c:spPr>
            <a:ln w="25400">
              <a:solidFill>
                <a:srgbClr val="FFCC00"/>
              </a:solidFill>
              <a:prstDash val="lgDash"/>
            </a:ln>
          </c:spPr>
          <c:marker>
            <c:symbol val="diamond"/>
            <c:size val="2"/>
            <c:spPr>
              <a:noFill/>
              <a:ln>
                <a:solidFill>
                  <a:srgbClr val="FFCC00"/>
                </a:solidFill>
                <a:prstDash val="solid"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22.4</c:v>
              </c:pt>
              <c:pt idx="1">
                <c:v>22.4</c:v>
              </c:pt>
              <c:pt idx="2">
                <c:v>22.4</c:v>
              </c:pt>
              <c:pt idx="3">
                <c:v>22.4</c:v>
              </c:pt>
              <c:pt idx="4">
                <c:v>22.4</c:v>
              </c:pt>
              <c:pt idx="5">
                <c:v>22.4</c:v>
              </c:pt>
              <c:pt idx="6">
                <c:v>22.4</c:v>
              </c:pt>
              <c:pt idx="7">
                <c:v>22.4</c:v>
              </c:pt>
              <c:pt idx="8">
                <c:v>22.4</c:v>
              </c:pt>
              <c:pt idx="9">
                <c:v>22.4</c:v>
              </c:pt>
              <c:pt idx="10">
                <c:v>22.4</c:v>
              </c:pt>
              <c:pt idx="11">
                <c:v>22.4</c:v>
              </c:pt>
              <c:pt idx="12">
                <c:v>22.4</c:v>
              </c:pt>
              <c:pt idx="13">
                <c:v>22.4</c:v>
              </c:pt>
              <c:pt idx="14">
                <c:v>22.4</c:v>
              </c:pt>
              <c:pt idx="15">
                <c:v>22.4</c:v>
              </c:pt>
              <c:pt idx="16">
                <c:v>22.4</c:v>
              </c:pt>
              <c:pt idx="17">
                <c:v>22.4</c:v>
              </c:pt>
              <c:pt idx="18">
                <c:v>22.4</c:v>
              </c:pt>
              <c:pt idx="19">
                <c:v>22.4</c:v>
              </c:pt>
              <c:pt idx="20">
                <c:v>22.4</c:v>
              </c:pt>
              <c:pt idx="21">
                <c:v>22.4</c:v>
              </c:pt>
              <c:pt idx="22">
                <c:v>22.4</c:v>
              </c:pt>
              <c:pt idx="23">
                <c:v>22.4</c:v>
              </c:pt>
              <c:pt idx="24">
                <c:v>22.4</c:v>
              </c:pt>
              <c:pt idx="25">
                <c:v>22.4</c:v>
              </c:pt>
              <c:pt idx="26">
                <c:v>22.4</c:v>
              </c:pt>
              <c:pt idx="27">
                <c:v>22.4</c:v>
              </c:pt>
              <c:pt idx="28">
                <c:v>22.4</c:v>
              </c:pt>
              <c:pt idx="29">
                <c:v>22.4</c:v>
              </c:pt>
              <c:pt idx="30">
                <c:v>22.4</c:v>
              </c:pt>
            </c:numLit>
          </c:val>
          <c:smooth val="0"/>
        </c:ser>
        <c:ser>
          <c:idx val="4"/>
          <c:order val="8"/>
          <c:tx>
            <c:v>E (Mean)</c:v>
          </c:tx>
          <c:spPr>
            <a:ln w="25400">
              <a:solidFill>
                <a:srgbClr val="CC99FF"/>
              </a:solidFill>
              <a:prstDash val="lgDash"/>
            </a:ln>
          </c:spPr>
          <c:marker>
            <c:symbol val="square"/>
            <c:size val="2"/>
            <c:spPr>
              <a:noFill/>
              <a:ln w="9525">
                <a:noFill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17.899999999999999</c:v>
              </c:pt>
              <c:pt idx="1">
                <c:v>17.899999999999999</c:v>
              </c:pt>
              <c:pt idx="2">
                <c:v>17.899999999999999</c:v>
              </c:pt>
              <c:pt idx="3">
                <c:v>17.899999999999999</c:v>
              </c:pt>
              <c:pt idx="4">
                <c:v>17.899999999999999</c:v>
              </c:pt>
              <c:pt idx="5">
                <c:v>17.899999999999999</c:v>
              </c:pt>
              <c:pt idx="6">
                <c:v>17.899999999999999</c:v>
              </c:pt>
              <c:pt idx="7">
                <c:v>17.899999999999999</c:v>
              </c:pt>
              <c:pt idx="8">
                <c:v>17.899999999999999</c:v>
              </c:pt>
              <c:pt idx="9">
                <c:v>17.899999999999999</c:v>
              </c:pt>
              <c:pt idx="10">
                <c:v>17.899999999999999</c:v>
              </c:pt>
              <c:pt idx="11">
                <c:v>17.899999999999999</c:v>
              </c:pt>
              <c:pt idx="12">
                <c:v>17.899999999999999</c:v>
              </c:pt>
              <c:pt idx="13">
                <c:v>17.899999999999999</c:v>
              </c:pt>
              <c:pt idx="14">
                <c:v>17.899999999999999</c:v>
              </c:pt>
              <c:pt idx="15">
                <c:v>17.899999999999999</c:v>
              </c:pt>
              <c:pt idx="16">
                <c:v>17.899999999999999</c:v>
              </c:pt>
              <c:pt idx="17">
                <c:v>17.899999999999999</c:v>
              </c:pt>
              <c:pt idx="18">
                <c:v>17.899999999999999</c:v>
              </c:pt>
              <c:pt idx="19">
                <c:v>17.899999999999999</c:v>
              </c:pt>
              <c:pt idx="20">
                <c:v>17.899999999999999</c:v>
              </c:pt>
              <c:pt idx="21">
                <c:v>17.899999999999999</c:v>
              </c:pt>
              <c:pt idx="22">
                <c:v>17.899999999999999</c:v>
              </c:pt>
              <c:pt idx="23">
                <c:v>17.899999999999999</c:v>
              </c:pt>
              <c:pt idx="24">
                <c:v>17.899999999999999</c:v>
              </c:pt>
              <c:pt idx="25">
                <c:v>17.899999999999999</c:v>
              </c:pt>
              <c:pt idx="26">
                <c:v>17.899999999999999</c:v>
              </c:pt>
              <c:pt idx="27">
                <c:v>17.899999999999999</c:v>
              </c:pt>
              <c:pt idx="28">
                <c:v>17.899999999999999</c:v>
              </c:pt>
              <c:pt idx="29">
                <c:v>17.899999999999999</c:v>
              </c:pt>
              <c:pt idx="30">
                <c:v>17.899999999999999</c:v>
              </c:pt>
            </c:numLit>
          </c:val>
          <c:smooth val="1"/>
        </c:ser>
        <c:ser>
          <c:idx val="14"/>
          <c:order val="10"/>
          <c:tx>
            <c:v>Freezing Level</c:v>
          </c:tx>
          <c:spPr>
            <a:ln w="38100">
              <a:solidFill>
                <a:srgbClr val="000080"/>
              </a:solidFill>
              <a:prstDash val="sysDash"/>
            </a:ln>
          </c:spPr>
          <c:marker>
            <c:symbol val="none"/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175424"/>
        <c:axId val="117176960"/>
      </c:lineChart>
      <c:lineChart>
        <c:grouping val="standard"/>
        <c:varyColors val="0"/>
        <c:ser>
          <c:idx val="3"/>
          <c:order val="4"/>
          <c:tx>
            <c:v>Range</c:v>
          </c:tx>
          <c:spPr>
            <a:ln w="38100">
              <a:solidFill>
                <a:srgbClr val="339966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10.099999999999998</c:v>
              </c:pt>
              <c:pt idx="1">
                <c:v>8.3999999999999986</c:v>
              </c:pt>
              <c:pt idx="2">
                <c:v>10.7</c:v>
              </c:pt>
              <c:pt idx="3">
                <c:v>10.599999999999998</c:v>
              </c:pt>
              <c:pt idx="4">
                <c:v>13.299999999999999</c:v>
              </c:pt>
              <c:pt idx="5">
                <c:v>6.4</c:v>
              </c:pt>
              <c:pt idx="6">
                <c:v>4.5000000000000018</c:v>
              </c:pt>
              <c:pt idx="7">
                <c:v>4.5000000000000018</c:v>
              </c:pt>
              <c:pt idx="8">
                <c:v>7.9000000000000021</c:v>
              </c:pt>
              <c:pt idx="9">
                <c:v>8.8999999999999986</c:v>
              </c:pt>
              <c:pt idx="10">
                <c:v>11.5</c:v>
              </c:pt>
              <c:pt idx="11">
                <c:v>4.5</c:v>
              </c:pt>
              <c:pt idx="12">
                <c:v>5</c:v>
              </c:pt>
              <c:pt idx="13">
                <c:v>11</c:v>
              </c:pt>
              <c:pt idx="14">
                <c:v>12.2</c:v>
              </c:pt>
              <c:pt idx="15">
                <c:v>5.8000000000000007</c:v>
              </c:pt>
              <c:pt idx="16">
                <c:v>6.0999999999999979</c:v>
              </c:pt>
              <c:pt idx="17">
                <c:v>5.1999999999999993</c:v>
              </c:pt>
              <c:pt idx="18">
                <c:v>7.9999999999999982</c:v>
              </c:pt>
              <c:pt idx="19">
                <c:v>6.5000000000000018</c:v>
              </c:pt>
              <c:pt idx="20">
                <c:v>6.2</c:v>
              </c:pt>
              <c:pt idx="21">
                <c:v>9.6999999999999993</c:v>
              </c:pt>
              <c:pt idx="22">
                <c:v>7.1</c:v>
              </c:pt>
              <c:pt idx="23">
                <c:v>12.6</c:v>
              </c:pt>
              <c:pt idx="24">
                <c:v>12.6</c:v>
              </c:pt>
              <c:pt idx="25">
                <c:v>7.9</c:v>
              </c:pt>
              <c:pt idx="26">
                <c:v>5.7</c:v>
              </c:pt>
              <c:pt idx="27">
                <c:v>9.1999999999999993</c:v>
              </c:pt>
              <c:pt idx="28">
                <c:v>7.1</c:v>
              </c:pt>
              <c:pt idx="29">
                <c:v>12.7</c:v>
              </c:pt>
              <c:pt idx="30">
                <c:v>12.7</c:v>
              </c:pt>
            </c:numLit>
          </c:val>
          <c:smooth val="0"/>
        </c:ser>
        <c:ser>
          <c:idx val="12"/>
          <c:order val="5"/>
          <c:tx>
            <c:v>Cumulative Range</c:v>
          </c:tx>
          <c:spPr>
            <a:ln w="12700">
              <a:solidFill>
                <a:srgbClr val="008000"/>
              </a:solidFill>
              <a:prstDash val="solid"/>
            </a:ln>
          </c:spPr>
          <c:marker>
            <c:symbol val="none"/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10.099999999999998</c:v>
              </c:pt>
              <c:pt idx="1">
                <c:v>9.2499999999999982</c:v>
              </c:pt>
              <c:pt idx="2">
                <c:v>9.7333333333333325</c:v>
              </c:pt>
              <c:pt idx="3">
                <c:v>9.9499999999999993</c:v>
              </c:pt>
              <c:pt idx="4">
                <c:v>10.62</c:v>
              </c:pt>
              <c:pt idx="5">
                <c:v>9.9166666666666661</c:v>
              </c:pt>
              <c:pt idx="6">
                <c:v>9.1428571428571423</c:v>
              </c:pt>
              <c:pt idx="7">
                <c:v>8.5625</c:v>
              </c:pt>
              <c:pt idx="8">
                <c:v>8.4888888888888889</c:v>
              </c:pt>
              <c:pt idx="9">
                <c:v>8.5300000000000011</c:v>
              </c:pt>
              <c:pt idx="10">
                <c:v>8.8000000000000007</c:v>
              </c:pt>
              <c:pt idx="11">
                <c:v>8.4416666666666682</c:v>
              </c:pt>
              <c:pt idx="12">
                <c:v>8.1769230769230781</c:v>
              </c:pt>
              <c:pt idx="13">
                <c:v>8.3785714285714299</c:v>
              </c:pt>
              <c:pt idx="14">
                <c:v>8.6333333333333329</c:v>
              </c:pt>
              <c:pt idx="15">
                <c:v>8.4562500000000007</c:v>
              </c:pt>
              <c:pt idx="16">
                <c:v>8.3176470588235301</c:v>
              </c:pt>
              <c:pt idx="17">
                <c:v>8.1444444444444439</c:v>
              </c:pt>
              <c:pt idx="18">
                <c:v>8.1368421052631579</c:v>
              </c:pt>
              <c:pt idx="19">
                <c:v>8.0549999999999997</c:v>
              </c:pt>
              <c:pt idx="20">
                <c:v>7.9666666666666659</c:v>
              </c:pt>
              <c:pt idx="21">
                <c:v>8.045454545454545</c:v>
              </c:pt>
              <c:pt idx="22">
                <c:v>8.0043478260869545</c:v>
              </c:pt>
              <c:pt idx="23">
                <c:v>8.1958333333333311</c:v>
              </c:pt>
              <c:pt idx="24">
                <c:v>8.3719999999999981</c:v>
              </c:pt>
              <c:pt idx="25">
                <c:v>8.3538461538461526</c:v>
              </c:pt>
              <c:pt idx="26">
                <c:v>8.2555555555555529</c:v>
              </c:pt>
              <c:pt idx="27">
                <c:v>8.2892857142857128</c:v>
              </c:pt>
              <c:pt idx="28">
                <c:v>8.2482758620689633</c:v>
              </c:pt>
              <c:pt idx="29">
                <c:v>8.3966666666666647</c:v>
              </c:pt>
              <c:pt idx="30">
                <c:v>8.5354838709677399</c:v>
              </c:pt>
            </c:numLit>
          </c:val>
          <c:smooth val="0"/>
        </c:ser>
        <c:ser>
          <c:idx val="11"/>
          <c:order val="9"/>
          <c:tx>
            <c:v>E (Range)</c:v>
          </c:tx>
          <c:spPr>
            <a:ln w="25400">
              <a:solidFill>
                <a:srgbClr val="00FF00"/>
              </a:solidFill>
              <a:prstDash val="lgDash"/>
            </a:ln>
          </c:spPr>
          <c:marker>
            <c:symbol val="none"/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8.9999999999999982</c:v>
              </c:pt>
              <c:pt idx="1">
                <c:v>8.9999999999999982</c:v>
              </c:pt>
              <c:pt idx="2">
                <c:v>8.9999999999999982</c:v>
              </c:pt>
              <c:pt idx="3">
                <c:v>8.9999999999999982</c:v>
              </c:pt>
              <c:pt idx="4">
                <c:v>8.9999999999999982</c:v>
              </c:pt>
              <c:pt idx="5">
                <c:v>8.9999999999999982</c:v>
              </c:pt>
              <c:pt idx="6">
                <c:v>8.9999999999999982</c:v>
              </c:pt>
              <c:pt idx="7">
                <c:v>8.9999999999999982</c:v>
              </c:pt>
              <c:pt idx="8">
                <c:v>8.9999999999999982</c:v>
              </c:pt>
              <c:pt idx="9">
                <c:v>8.9999999999999982</c:v>
              </c:pt>
              <c:pt idx="10">
                <c:v>8.9999999999999982</c:v>
              </c:pt>
              <c:pt idx="11">
                <c:v>8.9999999999999982</c:v>
              </c:pt>
              <c:pt idx="12">
                <c:v>8.9999999999999982</c:v>
              </c:pt>
              <c:pt idx="13">
                <c:v>8.9999999999999982</c:v>
              </c:pt>
              <c:pt idx="14">
                <c:v>8.9999999999999982</c:v>
              </c:pt>
              <c:pt idx="15">
                <c:v>8.9999999999999982</c:v>
              </c:pt>
              <c:pt idx="16">
                <c:v>8.9999999999999982</c:v>
              </c:pt>
              <c:pt idx="17">
                <c:v>8.9999999999999982</c:v>
              </c:pt>
              <c:pt idx="18">
                <c:v>8.9999999999999982</c:v>
              </c:pt>
              <c:pt idx="19">
                <c:v>8.9999999999999982</c:v>
              </c:pt>
              <c:pt idx="20">
                <c:v>8.9999999999999982</c:v>
              </c:pt>
              <c:pt idx="21">
                <c:v>8.9999999999999982</c:v>
              </c:pt>
              <c:pt idx="22">
                <c:v>8.9999999999999982</c:v>
              </c:pt>
              <c:pt idx="23">
                <c:v>8.9999999999999982</c:v>
              </c:pt>
              <c:pt idx="24">
                <c:v>8.9999999999999982</c:v>
              </c:pt>
              <c:pt idx="25">
                <c:v>8.9999999999999982</c:v>
              </c:pt>
              <c:pt idx="26">
                <c:v>8.9999999999999982</c:v>
              </c:pt>
              <c:pt idx="27">
                <c:v>8.9999999999999982</c:v>
              </c:pt>
              <c:pt idx="28">
                <c:v>8.9999999999999982</c:v>
              </c:pt>
              <c:pt idx="29">
                <c:v>8.9999999999999982</c:v>
              </c:pt>
              <c:pt idx="30">
                <c:v>8.9999999999999982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244288"/>
        <c:axId val="117245824"/>
      </c:lineChart>
      <c:catAx>
        <c:axId val="117175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7176960"/>
        <c:crossesAt val="-10"/>
        <c:auto val="1"/>
        <c:lblAlgn val="ctr"/>
        <c:lblOffset val="100"/>
        <c:tickLblSkip val="1"/>
        <c:tickMarkSkip val="1"/>
        <c:noMultiLvlLbl val="0"/>
      </c:catAx>
      <c:valAx>
        <c:axId val="117176960"/>
        <c:scaling>
          <c:orientation val="minMax"/>
          <c:max val="30"/>
          <c:min val="5"/>
        </c:scaling>
        <c:delete val="0"/>
        <c:axPos val="l"/>
        <c:majorGridlines>
          <c:spPr>
            <a:ln w="12700">
              <a:solidFill>
                <a:srgbClr val="333333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7175424"/>
        <c:crosses val="autoZero"/>
        <c:crossBetween val="between"/>
        <c:majorUnit val="5"/>
      </c:valAx>
      <c:catAx>
        <c:axId val="1172442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7245824"/>
        <c:crosses val="autoZero"/>
        <c:auto val="1"/>
        <c:lblAlgn val="ctr"/>
        <c:lblOffset val="100"/>
        <c:noMultiLvlLbl val="0"/>
      </c:catAx>
      <c:valAx>
        <c:axId val="117245824"/>
        <c:scaling>
          <c:orientation val="minMax"/>
          <c:max val="50"/>
          <c:min val="0"/>
        </c:scaling>
        <c:delete val="0"/>
        <c:axPos val="r"/>
        <c:numFmt formatCode="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7244288"/>
        <c:crosses val="max"/>
        <c:crossBetween val="between"/>
        <c:majorUnit val="10"/>
      </c:valAx>
      <c:spPr>
        <a:solidFill>
          <a:srgbClr val="969696"/>
        </a:solidFill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7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 horizontalDpi="-3"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Relative Humidity / %</a:t>
            </a:r>
          </a:p>
        </c:rich>
      </c:tx>
      <c:layout>
        <c:manualLayout>
          <c:xMode val="edge"/>
          <c:yMode val="edge"/>
          <c:x val="0.44022072348252606"/>
          <c:y val="2.555168408826945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429797670141016E-2"/>
          <c:y val="9.5238203259068371E-2"/>
          <c:w val="0.94788473329245859"/>
          <c:h val="0.85482094632529659"/>
        </c:manualLayout>
      </c:layout>
      <c:lineChart>
        <c:grouping val="standard"/>
        <c:varyColors val="0"/>
        <c:ser>
          <c:idx val="2"/>
          <c:order val="0"/>
          <c:tx>
            <c:v>Max</c:v>
          </c:tx>
          <c:spPr>
            <a:ln w="38100">
              <a:solidFill>
                <a:srgbClr val="008000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003300"/>
              </a:solidFill>
              <a:ln>
                <a:solidFill>
                  <a:srgbClr val="003300"/>
                </a:solidFill>
                <a:prstDash val="solid"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72</c:v>
              </c:pt>
              <c:pt idx="1">
                <c:v>76</c:v>
              </c:pt>
              <c:pt idx="2">
                <c:v>66</c:v>
              </c:pt>
              <c:pt idx="3">
                <c:v>66</c:v>
              </c:pt>
              <c:pt idx="4">
                <c:v>87</c:v>
              </c:pt>
              <c:pt idx="5">
                <c:v>89</c:v>
              </c:pt>
              <c:pt idx="6">
                <c:v>85</c:v>
              </c:pt>
              <c:pt idx="7">
                <c:v>90</c:v>
              </c:pt>
              <c:pt idx="8">
                <c:v>85</c:v>
              </c:pt>
              <c:pt idx="9">
                <c:v>88</c:v>
              </c:pt>
              <c:pt idx="10">
                <c:v>92</c:v>
              </c:pt>
              <c:pt idx="11">
                <c:v>81</c:v>
              </c:pt>
              <c:pt idx="12">
                <c:v>79</c:v>
              </c:pt>
              <c:pt idx="13">
                <c:v>72</c:v>
              </c:pt>
              <c:pt idx="14">
                <c:v>78</c:v>
              </c:pt>
              <c:pt idx="15">
                <c:v>93</c:v>
              </c:pt>
              <c:pt idx="16">
                <c:v>85</c:v>
              </c:pt>
              <c:pt idx="17">
                <c:v>91</c:v>
              </c:pt>
              <c:pt idx="18">
                <c:v>94</c:v>
              </c:pt>
              <c:pt idx="19">
                <c:v>91</c:v>
              </c:pt>
              <c:pt idx="20">
                <c:v>94</c:v>
              </c:pt>
              <c:pt idx="21">
                <c:v>92</c:v>
              </c:pt>
              <c:pt idx="22">
                <c:v>89</c:v>
              </c:pt>
              <c:pt idx="23">
                <c:v>81</c:v>
              </c:pt>
              <c:pt idx="24">
                <c:v>70</c:v>
              </c:pt>
              <c:pt idx="25">
                <c:v>90</c:v>
              </c:pt>
              <c:pt idx="26">
                <c:v>83</c:v>
              </c:pt>
              <c:pt idx="27">
                <c:v>85</c:v>
              </c:pt>
              <c:pt idx="28">
                <c:v>89</c:v>
              </c:pt>
              <c:pt idx="29">
                <c:v>83</c:v>
              </c:pt>
              <c:pt idx="30">
                <c:v>85</c:v>
              </c:pt>
            </c:numLit>
          </c:val>
          <c:smooth val="0"/>
        </c:ser>
        <c:ser>
          <c:idx val="1"/>
          <c:order val="1"/>
          <c:tx>
            <c:v>Min</c:v>
          </c:tx>
          <c:spPr>
            <a:ln w="38100">
              <a:solidFill>
                <a:srgbClr val="FF9900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FF6600"/>
              </a:solidFill>
              <a:ln>
                <a:solidFill>
                  <a:srgbClr val="FF6600"/>
                </a:solidFill>
                <a:prstDash val="solid"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37</c:v>
              </c:pt>
              <c:pt idx="1">
                <c:v>40</c:v>
              </c:pt>
              <c:pt idx="2">
                <c:v>39</c:v>
              </c:pt>
              <c:pt idx="3">
                <c:v>34</c:v>
              </c:pt>
              <c:pt idx="4">
                <c:v>34</c:v>
              </c:pt>
              <c:pt idx="5">
                <c:v>44</c:v>
              </c:pt>
              <c:pt idx="6">
                <c:v>60</c:v>
              </c:pt>
              <c:pt idx="7">
                <c:v>61</c:v>
              </c:pt>
              <c:pt idx="8">
                <c:v>50</c:v>
              </c:pt>
              <c:pt idx="9">
                <c:v>49</c:v>
              </c:pt>
              <c:pt idx="10">
                <c:v>40</c:v>
              </c:pt>
              <c:pt idx="11">
                <c:v>60</c:v>
              </c:pt>
              <c:pt idx="12">
                <c:v>48</c:v>
              </c:pt>
              <c:pt idx="13">
                <c:v>34</c:v>
              </c:pt>
              <c:pt idx="14">
                <c:v>34</c:v>
              </c:pt>
              <c:pt idx="15">
                <c:v>70</c:v>
              </c:pt>
              <c:pt idx="16">
                <c:v>64</c:v>
              </c:pt>
              <c:pt idx="17">
                <c:v>65</c:v>
              </c:pt>
              <c:pt idx="18">
                <c:v>62</c:v>
              </c:pt>
              <c:pt idx="19">
                <c:v>54</c:v>
              </c:pt>
              <c:pt idx="20">
                <c:v>67</c:v>
              </c:pt>
              <c:pt idx="21">
                <c:v>43</c:v>
              </c:pt>
              <c:pt idx="22">
                <c:v>44</c:v>
              </c:pt>
              <c:pt idx="23">
                <c:v>33</c:v>
              </c:pt>
              <c:pt idx="24">
                <c:v>40</c:v>
              </c:pt>
              <c:pt idx="25">
                <c:v>56</c:v>
              </c:pt>
              <c:pt idx="26">
                <c:v>58</c:v>
              </c:pt>
              <c:pt idx="27">
                <c:v>46</c:v>
              </c:pt>
              <c:pt idx="28">
                <c:v>61</c:v>
              </c:pt>
              <c:pt idx="29">
                <c:v>40</c:v>
              </c:pt>
              <c:pt idx="30">
                <c:v>41</c:v>
              </c:pt>
            </c:numLit>
          </c:val>
          <c:smooth val="0"/>
        </c:ser>
        <c:ser>
          <c:idx val="3"/>
          <c:order val="2"/>
          <c:tx>
            <c:v>Mean</c:v>
          </c:tx>
          <c:spPr>
            <a:ln w="38100">
              <a:solidFill>
                <a:srgbClr val="993366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800080"/>
              </a:solidFill>
              <a:ln>
                <a:solidFill>
                  <a:srgbClr val="800080"/>
                </a:solidFill>
                <a:prstDash val="solid"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52</c:v>
              </c:pt>
              <c:pt idx="1">
                <c:v>55</c:v>
              </c:pt>
              <c:pt idx="2">
                <c:v>51</c:v>
              </c:pt>
              <c:pt idx="3">
                <c:v>47</c:v>
              </c:pt>
              <c:pt idx="4">
                <c:v>58</c:v>
              </c:pt>
              <c:pt idx="5">
                <c:v>66</c:v>
              </c:pt>
              <c:pt idx="6">
                <c:v>74</c:v>
              </c:pt>
              <c:pt idx="7">
                <c:v>77</c:v>
              </c:pt>
              <c:pt idx="8">
                <c:v>68</c:v>
              </c:pt>
              <c:pt idx="9">
                <c:v>69</c:v>
              </c:pt>
              <c:pt idx="10">
                <c:v>64</c:v>
              </c:pt>
              <c:pt idx="11">
                <c:v>69</c:v>
              </c:pt>
              <c:pt idx="12">
                <c:v>65</c:v>
              </c:pt>
              <c:pt idx="13">
                <c:v>56</c:v>
              </c:pt>
              <c:pt idx="14">
                <c:v>54</c:v>
              </c:pt>
              <c:pt idx="15">
                <c:v>82</c:v>
              </c:pt>
              <c:pt idx="16">
                <c:v>77</c:v>
              </c:pt>
              <c:pt idx="17">
                <c:v>79</c:v>
              </c:pt>
              <c:pt idx="18">
                <c:v>84</c:v>
              </c:pt>
              <c:pt idx="19">
                <c:v>78</c:v>
              </c:pt>
              <c:pt idx="20">
                <c:v>88</c:v>
              </c:pt>
              <c:pt idx="21">
                <c:v>69</c:v>
              </c:pt>
              <c:pt idx="22">
                <c:v>64</c:v>
              </c:pt>
              <c:pt idx="23">
                <c:v>54</c:v>
              </c:pt>
              <c:pt idx="24">
                <c:v>54</c:v>
              </c:pt>
              <c:pt idx="25">
                <c:v>71</c:v>
              </c:pt>
              <c:pt idx="26">
                <c:v>72</c:v>
              </c:pt>
              <c:pt idx="27">
                <c:v>67</c:v>
              </c:pt>
              <c:pt idx="28">
                <c:v>72</c:v>
              </c:pt>
              <c:pt idx="29">
                <c:v>58</c:v>
              </c:pt>
              <c:pt idx="30">
                <c:v>59</c:v>
              </c:pt>
            </c:numLit>
          </c:val>
          <c:smooth val="0"/>
        </c:ser>
        <c:ser>
          <c:idx val="5"/>
          <c:order val="5"/>
          <c:tx>
            <c:v>Cumulative Mean</c:v>
          </c:tx>
          <c:spPr>
            <a:ln w="12700">
              <a:solidFill>
                <a:srgbClr val="CC99FF"/>
              </a:solidFill>
              <a:prstDash val="solid"/>
            </a:ln>
          </c:spPr>
          <c:marker>
            <c:symbol val="none"/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52</c:v>
              </c:pt>
              <c:pt idx="1">
                <c:v>53.5</c:v>
              </c:pt>
              <c:pt idx="2">
                <c:v>52.666666666666664</c:v>
              </c:pt>
              <c:pt idx="3">
                <c:v>51.25</c:v>
              </c:pt>
              <c:pt idx="4">
                <c:v>52.6</c:v>
              </c:pt>
              <c:pt idx="5">
                <c:v>54.833333333333336</c:v>
              </c:pt>
              <c:pt idx="6">
                <c:v>57.571428571428569</c:v>
              </c:pt>
              <c:pt idx="7">
                <c:v>60</c:v>
              </c:pt>
              <c:pt idx="8">
                <c:v>60.888888888888886</c:v>
              </c:pt>
              <c:pt idx="9">
                <c:v>61.7</c:v>
              </c:pt>
              <c:pt idx="10">
                <c:v>61.909090909090907</c:v>
              </c:pt>
              <c:pt idx="11">
                <c:v>62.5</c:v>
              </c:pt>
              <c:pt idx="12">
                <c:v>62.692307692307693</c:v>
              </c:pt>
              <c:pt idx="13">
                <c:v>62.214285714285715</c:v>
              </c:pt>
              <c:pt idx="14">
                <c:v>61.666666666666664</c:v>
              </c:pt>
              <c:pt idx="15">
                <c:v>62.9375</c:v>
              </c:pt>
              <c:pt idx="16">
                <c:v>63.764705882352942</c:v>
              </c:pt>
              <c:pt idx="17">
                <c:v>64.611111111111114</c:v>
              </c:pt>
              <c:pt idx="18">
                <c:v>65.631578947368425</c:v>
              </c:pt>
              <c:pt idx="19">
                <c:v>66.25</c:v>
              </c:pt>
              <c:pt idx="20">
                <c:v>67.285714285714292</c:v>
              </c:pt>
              <c:pt idx="21">
                <c:v>67.36363636363636</c:v>
              </c:pt>
              <c:pt idx="22">
                <c:v>67.217391304347828</c:v>
              </c:pt>
              <c:pt idx="23">
                <c:v>66.666666666666671</c:v>
              </c:pt>
              <c:pt idx="24">
                <c:v>66.16</c:v>
              </c:pt>
              <c:pt idx="25">
                <c:v>66.34615384615384</c:v>
              </c:pt>
              <c:pt idx="26">
                <c:v>66.555555555555557</c:v>
              </c:pt>
              <c:pt idx="27">
                <c:v>66.571428571428569</c:v>
              </c:pt>
              <c:pt idx="28">
                <c:v>66.758620689655174</c:v>
              </c:pt>
              <c:pt idx="29">
                <c:v>66.466666666666669</c:v>
              </c:pt>
              <c:pt idx="30">
                <c:v>66.225806451612897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279360"/>
        <c:axId val="117281152"/>
      </c:lineChart>
      <c:lineChart>
        <c:grouping val="standard"/>
        <c:varyColors val="0"/>
        <c:ser>
          <c:idx val="0"/>
          <c:order val="3"/>
          <c:tx>
            <c:v>Range</c:v>
          </c:tx>
          <c:spPr>
            <a:ln w="25400">
              <a:solidFill>
                <a:srgbClr val="00FF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339966"/>
              </a:solidFill>
              <a:ln>
                <a:solidFill>
                  <a:srgbClr val="339966"/>
                </a:solidFill>
                <a:prstDash val="solid"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35</c:v>
              </c:pt>
              <c:pt idx="1">
                <c:v>36</c:v>
              </c:pt>
              <c:pt idx="2">
                <c:v>27</c:v>
              </c:pt>
              <c:pt idx="3">
                <c:v>32</c:v>
              </c:pt>
              <c:pt idx="4">
                <c:v>53</c:v>
              </c:pt>
              <c:pt idx="5">
                <c:v>45</c:v>
              </c:pt>
              <c:pt idx="6">
                <c:v>25</c:v>
              </c:pt>
              <c:pt idx="7">
                <c:v>29</c:v>
              </c:pt>
              <c:pt idx="8">
                <c:v>35</c:v>
              </c:pt>
              <c:pt idx="9">
                <c:v>39</c:v>
              </c:pt>
              <c:pt idx="10">
                <c:v>52</c:v>
              </c:pt>
              <c:pt idx="11">
                <c:v>21</c:v>
              </c:pt>
              <c:pt idx="12">
                <c:v>31</c:v>
              </c:pt>
              <c:pt idx="13">
                <c:v>38</c:v>
              </c:pt>
              <c:pt idx="14">
                <c:v>44</c:v>
              </c:pt>
              <c:pt idx="15">
                <c:v>23</c:v>
              </c:pt>
              <c:pt idx="16">
                <c:v>21</c:v>
              </c:pt>
              <c:pt idx="17">
                <c:v>26</c:v>
              </c:pt>
              <c:pt idx="18">
                <c:v>32</c:v>
              </c:pt>
              <c:pt idx="19">
                <c:v>37</c:v>
              </c:pt>
              <c:pt idx="20">
                <c:v>27</c:v>
              </c:pt>
              <c:pt idx="21">
                <c:v>49</c:v>
              </c:pt>
              <c:pt idx="22">
                <c:v>45</c:v>
              </c:pt>
              <c:pt idx="23">
                <c:v>48</c:v>
              </c:pt>
              <c:pt idx="24">
                <c:v>30</c:v>
              </c:pt>
              <c:pt idx="25">
                <c:v>34</c:v>
              </c:pt>
              <c:pt idx="26">
                <c:v>25</c:v>
              </c:pt>
              <c:pt idx="27">
                <c:v>39</c:v>
              </c:pt>
              <c:pt idx="28">
                <c:v>28</c:v>
              </c:pt>
              <c:pt idx="29">
                <c:v>43</c:v>
              </c:pt>
              <c:pt idx="30">
                <c:v>44</c:v>
              </c:pt>
            </c:numLit>
          </c:val>
          <c:smooth val="0"/>
        </c:ser>
        <c:ser>
          <c:idx val="4"/>
          <c:order val="4"/>
          <c:tx>
            <c:v>Rainfall</c:v>
          </c:tx>
          <c:spPr>
            <a:ln w="25400">
              <a:solidFill>
                <a:srgbClr val="33CCCC"/>
              </a:solidFill>
              <a:prstDash val="solid"/>
            </a:ln>
          </c:spPr>
          <c:marker>
            <c:symbol val="none"/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4.5999999999999996</c:v>
              </c:pt>
              <c:pt idx="5">
                <c:v>0.8</c:v>
              </c:pt>
              <c:pt idx="6">
                <c:v>3.5</c:v>
              </c:pt>
              <c:pt idx="7">
                <c:v>3.3</c:v>
              </c:pt>
              <c:pt idx="8">
                <c:v>0</c:v>
              </c:pt>
              <c:pt idx="9">
                <c:v>1.9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13.7</c:v>
              </c:pt>
              <c:pt idx="16">
                <c:v>3.3</c:v>
              </c:pt>
              <c:pt idx="17">
                <c:v>7.1</c:v>
              </c:pt>
              <c:pt idx="18">
                <c:v>3</c:v>
              </c:pt>
              <c:pt idx="19">
                <c:v>5.7</c:v>
              </c:pt>
              <c:pt idx="20">
                <c:v>4.0999999999999996</c:v>
              </c:pt>
              <c:pt idx="21">
                <c:v>1.1000000000000001</c:v>
              </c:pt>
              <c:pt idx="22">
                <c:v>1.1000000000000001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282688"/>
        <c:axId val="117284224"/>
      </c:lineChart>
      <c:catAx>
        <c:axId val="1172793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72811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281152"/>
        <c:scaling>
          <c:orientation val="minMax"/>
          <c:max val="100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7279360"/>
        <c:crosses val="autoZero"/>
        <c:crossBetween val="between"/>
        <c:majorUnit val="10"/>
      </c:valAx>
      <c:catAx>
        <c:axId val="1172826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7284224"/>
        <c:crosses val="autoZero"/>
        <c:auto val="1"/>
        <c:lblAlgn val="ctr"/>
        <c:lblOffset val="100"/>
        <c:noMultiLvlLbl val="0"/>
      </c:catAx>
      <c:valAx>
        <c:axId val="117284224"/>
        <c:scaling>
          <c:orientation val="minMax"/>
          <c:max val="200"/>
          <c:min val="0"/>
        </c:scaling>
        <c:delete val="0"/>
        <c:axPos val="r"/>
        <c:numFmt formatCode="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7282688"/>
        <c:crosses val="max"/>
        <c:crossBetween val="between"/>
        <c:majorUnit val="20"/>
      </c:valAx>
      <c:spPr>
        <a:solidFill>
          <a:srgbClr val="969696"/>
        </a:solidFill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6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Pressure / hPa</a:t>
            </a:r>
          </a:p>
        </c:rich>
      </c:tx>
      <c:layout>
        <c:manualLayout>
          <c:xMode val="edge"/>
          <c:yMode val="edge"/>
          <c:x val="0.45677498467198036"/>
          <c:y val="1.858304297328687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94788473329246E-2"/>
          <c:y val="8.5946671233793417E-2"/>
          <c:w val="0.94236664622930721"/>
          <c:h val="0.86411247835057159"/>
        </c:manualLayout>
      </c:layout>
      <c:lineChart>
        <c:grouping val="standard"/>
        <c:varyColors val="0"/>
        <c:ser>
          <c:idx val="5"/>
          <c:order val="0"/>
          <c:tx>
            <c:v>Cum. Mean</c:v>
          </c:tx>
          <c:spPr>
            <a:ln w="12700">
              <a:solidFill>
                <a:srgbClr val="993366"/>
              </a:solidFill>
              <a:prstDash val="solid"/>
            </a:ln>
          </c:spPr>
          <c:marker>
            <c:symbol val="square"/>
            <c:size val="2"/>
            <c:spPr>
              <a:noFill/>
              <a:ln>
                <a:solidFill>
                  <a:srgbClr val="808080"/>
                </a:solidFill>
                <a:prstDash val="solid"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1025</c:v>
              </c:pt>
              <c:pt idx="1">
                <c:v>1022.75</c:v>
              </c:pt>
              <c:pt idx="2">
                <c:v>1020.8333333333334</c:v>
              </c:pt>
              <c:pt idx="3">
                <c:v>1019.875</c:v>
              </c:pt>
              <c:pt idx="4">
                <c:v>1018.2</c:v>
              </c:pt>
              <c:pt idx="5">
                <c:v>1016.0833333333334</c:v>
              </c:pt>
              <c:pt idx="6">
                <c:v>1014.3571428571429</c:v>
              </c:pt>
              <c:pt idx="7">
                <c:v>1013.1875</c:v>
              </c:pt>
              <c:pt idx="8">
                <c:v>1013</c:v>
              </c:pt>
              <c:pt idx="9">
                <c:v>1013.5</c:v>
              </c:pt>
              <c:pt idx="10">
                <c:v>1014</c:v>
              </c:pt>
              <c:pt idx="11">
                <c:v>1014.375</c:v>
              </c:pt>
              <c:pt idx="12">
                <c:v>1014.7307692307693</c:v>
              </c:pt>
              <c:pt idx="13">
                <c:v>1015</c:v>
              </c:pt>
              <c:pt idx="14">
                <c:v>1015</c:v>
              </c:pt>
              <c:pt idx="15">
                <c:v>1014.28125</c:v>
              </c:pt>
              <c:pt idx="16">
                <c:v>1013.1176470588235</c:v>
              </c:pt>
              <c:pt idx="17">
                <c:v>1012.25</c:v>
              </c:pt>
              <c:pt idx="18">
                <c:v>1011.8157894736842</c:v>
              </c:pt>
              <c:pt idx="19">
                <c:v>1011.675</c:v>
              </c:pt>
              <c:pt idx="20">
                <c:v>1011.7380952380952</c:v>
              </c:pt>
              <c:pt idx="21">
                <c:v>1011.9318181818181</c:v>
              </c:pt>
              <c:pt idx="22">
                <c:v>1012</c:v>
              </c:pt>
              <c:pt idx="23">
                <c:v>1011.9166666666666</c:v>
              </c:pt>
              <c:pt idx="24">
                <c:v>1011.84</c:v>
              </c:pt>
              <c:pt idx="25">
                <c:v>1011.9807692307693</c:v>
              </c:pt>
              <c:pt idx="26">
                <c:v>1012.2962962962963</c:v>
              </c:pt>
              <c:pt idx="27">
                <c:v>1012.6428571428571</c:v>
              </c:pt>
              <c:pt idx="28">
                <c:v>1013.0172413793103</c:v>
              </c:pt>
              <c:pt idx="29">
                <c:v>1013.3</c:v>
              </c:pt>
              <c:pt idx="30">
                <c:v>1013.3870967741935</c:v>
              </c:pt>
            </c:numLit>
          </c:val>
          <c:smooth val="0"/>
        </c:ser>
        <c:ser>
          <c:idx val="1"/>
          <c:order val="1"/>
          <c:tx>
            <c:v>Max</c:v>
          </c:tx>
          <c:spPr>
            <a:ln w="38100">
              <a:solidFill>
                <a:srgbClr val="00CCFF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1027</c:v>
              </c:pt>
              <c:pt idx="1">
                <c:v>1023</c:v>
              </c:pt>
              <c:pt idx="2">
                <c:v>1018</c:v>
              </c:pt>
              <c:pt idx="3">
                <c:v>1018</c:v>
              </c:pt>
              <c:pt idx="4">
                <c:v>1016</c:v>
              </c:pt>
              <c:pt idx="5">
                <c:v>1007</c:v>
              </c:pt>
              <c:pt idx="6">
                <c:v>1005</c:v>
              </c:pt>
              <c:pt idx="7">
                <c:v>1007</c:v>
              </c:pt>
              <c:pt idx="8">
                <c:v>1016</c:v>
              </c:pt>
              <c:pt idx="9">
                <c:v>1019</c:v>
              </c:pt>
              <c:pt idx="10">
                <c:v>1020</c:v>
              </c:pt>
              <c:pt idx="11">
                <c:v>1020</c:v>
              </c:pt>
              <c:pt idx="12">
                <c:v>1020</c:v>
              </c:pt>
              <c:pt idx="13">
                <c:v>1020</c:v>
              </c:pt>
              <c:pt idx="14">
                <c:v>1018</c:v>
              </c:pt>
              <c:pt idx="15">
                <c:v>1012</c:v>
              </c:pt>
              <c:pt idx="16">
                <c:v>996</c:v>
              </c:pt>
              <c:pt idx="17">
                <c:v>1000</c:v>
              </c:pt>
              <c:pt idx="18">
                <c:v>1008</c:v>
              </c:pt>
              <c:pt idx="19">
                <c:v>1010</c:v>
              </c:pt>
              <c:pt idx="20">
                <c:v>1016</c:v>
              </c:pt>
              <c:pt idx="21">
                <c:v>1017</c:v>
              </c:pt>
              <c:pt idx="22">
                <c:v>1015</c:v>
              </c:pt>
              <c:pt idx="23">
                <c:v>1012</c:v>
              </c:pt>
              <c:pt idx="24">
                <c:v>1012</c:v>
              </c:pt>
              <c:pt idx="25">
                <c:v>1019</c:v>
              </c:pt>
              <c:pt idx="26">
                <c:v>1022</c:v>
              </c:pt>
              <c:pt idx="27">
                <c:v>1023</c:v>
              </c:pt>
              <c:pt idx="28">
                <c:v>1025</c:v>
              </c:pt>
              <c:pt idx="29">
                <c:v>1025</c:v>
              </c:pt>
              <c:pt idx="30">
                <c:v>1018</c:v>
              </c:pt>
            </c:numLit>
          </c:val>
          <c:smooth val="0"/>
        </c:ser>
        <c:ser>
          <c:idx val="0"/>
          <c:order val="3"/>
          <c:tx>
            <c:v>Min</c:v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1023</c:v>
              </c:pt>
              <c:pt idx="1">
                <c:v>1018</c:v>
              </c:pt>
              <c:pt idx="2">
                <c:v>1016</c:v>
              </c:pt>
              <c:pt idx="3">
                <c:v>1016</c:v>
              </c:pt>
              <c:pt idx="4">
                <c:v>1007</c:v>
              </c:pt>
              <c:pt idx="5">
                <c:v>1004</c:v>
              </c:pt>
              <c:pt idx="6">
                <c:v>1003</c:v>
              </c:pt>
              <c:pt idx="7">
                <c:v>1003</c:v>
              </c:pt>
              <c:pt idx="8">
                <c:v>1007</c:v>
              </c:pt>
              <c:pt idx="9">
                <c:v>1017</c:v>
              </c:pt>
              <c:pt idx="10">
                <c:v>1018</c:v>
              </c:pt>
              <c:pt idx="11">
                <c:v>1017</c:v>
              </c:pt>
              <c:pt idx="12">
                <c:v>1018</c:v>
              </c:pt>
              <c:pt idx="13">
                <c:v>1017</c:v>
              </c:pt>
              <c:pt idx="14">
                <c:v>1012</c:v>
              </c:pt>
              <c:pt idx="15">
                <c:v>995</c:v>
              </c:pt>
              <c:pt idx="16">
                <c:v>993</c:v>
              </c:pt>
              <c:pt idx="17">
                <c:v>995</c:v>
              </c:pt>
              <c:pt idx="18">
                <c:v>1000</c:v>
              </c:pt>
              <c:pt idx="19">
                <c:v>1008</c:v>
              </c:pt>
              <c:pt idx="20">
                <c:v>1010</c:v>
              </c:pt>
              <c:pt idx="21">
                <c:v>1015</c:v>
              </c:pt>
              <c:pt idx="22">
                <c:v>1012</c:v>
              </c:pt>
              <c:pt idx="23">
                <c:v>1008</c:v>
              </c:pt>
              <c:pt idx="24">
                <c:v>1008</c:v>
              </c:pt>
              <c:pt idx="25">
                <c:v>1012</c:v>
              </c:pt>
              <c:pt idx="26">
                <c:v>1019</c:v>
              </c:pt>
              <c:pt idx="27">
                <c:v>1021</c:v>
              </c:pt>
              <c:pt idx="28">
                <c:v>1022</c:v>
              </c:pt>
              <c:pt idx="29">
                <c:v>1018</c:v>
              </c:pt>
              <c:pt idx="30">
                <c:v>1014</c:v>
              </c:pt>
            </c:numLit>
          </c:val>
          <c:smooth val="0"/>
        </c:ser>
        <c:ser>
          <c:idx val="4"/>
          <c:order val="4"/>
          <c:tx>
            <c:v>MSLP</c:v>
          </c:tx>
          <c:spPr>
            <a:ln w="25400">
              <a:solidFill>
                <a:srgbClr val="CC99FF"/>
              </a:solidFill>
              <a:prstDash val="lgDash"/>
            </a:ln>
          </c:spPr>
          <c:marker>
            <c:symbol val="none"/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1013.25</c:v>
              </c:pt>
              <c:pt idx="1">
                <c:v>1013.25</c:v>
              </c:pt>
              <c:pt idx="2">
                <c:v>1013.25</c:v>
              </c:pt>
              <c:pt idx="3">
                <c:v>1013.25</c:v>
              </c:pt>
              <c:pt idx="4">
                <c:v>1013.25</c:v>
              </c:pt>
              <c:pt idx="5">
                <c:v>1013.25</c:v>
              </c:pt>
              <c:pt idx="6">
                <c:v>1013.25</c:v>
              </c:pt>
              <c:pt idx="7">
                <c:v>1013.25</c:v>
              </c:pt>
              <c:pt idx="8">
                <c:v>1013.25</c:v>
              </c:pt>
              <c:pt idx="9">
                <c:v>1013.25</c:v>
              </c:pt>
              <c:pt idx="10">
                <c:v>1013.25</c:v>
              </c:pt>
              <c:pt idx="11">
                <c:v>1013.25</c:v>
              </c:pt>
              <c:pt idx="12">
                <c:v>1013.25</c:v>
              </c:pt>
              <c:pt idx="13">
                <c:v>1013.25</c:v>
              </c:pt>
              <c:pt idx="14">
                <c:v>1013.25</c:v>
              </c:pt>
              <c:pt idx="15">
                <c:v>1013.25</c:v>
              </c:pt>
              <c:pt idx="16">
                <c:v>1013.25</c:v>
              </c:pt>
              <c:pt idx="17">
                <c:v>1013.25</c:v>
              </c:pt>
              <c:pt idx="18">
                <c:v>1013.25</c:v>
              </c:pt>
              <c:pt idx="19">
                <c:v>1013.25</c:v>
              </c:pt>
              <c:pt idx="20">
                <c:v>1013.25</c:v>
              </c:pt>
              <c:pt idx="21">
                <c:v>1013.25</c:v>
              </c:pt>
              <c:pt idx="22">
                <c:v>1013.25</c:v>
              </c:pt>
              <c:pt idx="23">
                <c:v>1013.25</c:v>
              </c:pt>
              <c:pt idx="24">
                <c:v>1013.25</c:v>
              </c:pt>
              <c:pt idx="25">
                <c:v>1013.25</c:v>
              </c:pt>
              <c:pt idx="26">
                <c:v>1013.25</c:v>
              </c:pt>
              <c:pt idx="27">
                <c:v>1013.25</c:v>
              </c:pt>
              <c:pt idx="28">
                <c:v>1013.25</c:v>
              </c:pt>
              <c:pt idx="29">
                <c:v>1013.25</c:v>
              </c:pt>
              <c:pt idx="30">
                <c:v>1013.25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514624"/>
        <c:axId val="117516160"/>
      </c:lineChart>
      <c:lineChart>
        <c:grouping val="standard"/>
        <c:varyColors val="0"/>
        <c:ser>
          <c:idx val="3"/>
          <c:order val="2"/>
          <c:tx>
            <c:v>Range</c:v>
          </c:tx>
          <c:spPr>
            <a:ln w="25400">
              <a:solidFill>
                <a:srgbClr val="00FF00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4</c:v>
              </c:pt>
              <c:pt idx="1">
                <c:v>5</c:v>
              </c:pt>
              <c:pt idx="2">
                <c:v>2</c:v>
              </c:pt>
              <c:pt idx="3">
                <c:v>2</c:v>
              </c:pt>
              <c:pt idx="4">
                <c:v>9</c:v>
              </c:pt>
              <c:pt idx="5">
                <c:v>3</c:v>
              </c:pt>
              <c:pt idx="6">
                <c:v>2</c:v>
              </c:pt>
              <c:pt idx="7">
                <c:v>4</c:v>
              </c:pt>
              <c:pt idx="8">
                <c:v>9</c:v>
              </c:pt>
              <c:pt idx="9">
                <c:v>2</c:v>
              </c:pt>
              <c:pt idx="10">
                <c:v>2</c:v>
              </c:pt>
              <c:pt idx="11">
                <c:v>3</c:v>
              </c:pt>
              <c:pt idx="12">
                <c:v>2</c:v>
              </c:pt>
              <c:pt idx="13">
                <c:v>3</c:v>
              </c:pt>
              <c:pt idx="14">
                <c:v>6</c:v>
              </c:pt>
              <c:pt idx="15">
                <c:v>17</c:v>
              </c:pt>
              <c:pt idx="16">
                <c:v>3</c:v>
              </c:pt>
              <c:pt idx="17">
                <c:v>5</c:v>
              </c:pt>
              <c:pt idx="18">
                <c:v>8</c:v>
              </c:pt>
              <c:pt idx="19">
                <c:v>2</c:v>
              </c:pt>
              <c:pt idx="20">
                <c:v>6</c:v>
              </c:pt>
              <c:pt idx="21">
                <c:v>2</c:v>
              </c:pt>
              <c:pt idx="22">
                <c:v>3</c:v>
              </c:pt>
              <c:pt idx="23">
                <c:v>4</c:v>
              </c:pt>
              <c:pt idx="24">
                <c:v>4</c:v>
              </c:pt>
              <c:pt idx="25">
                <c:v>7</c:v>
              </c:pt>
              <c:pt idx="26">
                <c:v>3</c:v>
              </c:pt>
              <c:pt idx="27">
                <c:v>2</c:v>
              </c:pt>
              <c:pt idx="28">
                <c:v>3</c:v>
              </c:pt>
              <c:pt idx="29">
                <c:v>7</c:v>
              </c:pt>
              <c:pt idx="30">
                <c:v>4</c:v>
              </c:pt>
            </c:numLit>
          </c:val>
          <c:smooth val="0"/>
        </c:ser>
        <c:ser>
          <c:idx val="6"/>
          <c:order val="5"/>
          <c:tx>
            <c:v>Rainfall/3</c:v>
          </c:tx>
          <c:spPr>
            <a:ln w="12700">
              <a:solidFill>
                <a:srgbClr val="33CCCC"/>
              </a:solidFill>
              <a:prstDash val="solid"/>
            </a:ln>
          </c:spPr>
          <c:marker>
            <c:symbol val="none"/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1.5333333333333332</c:v>
              </c:pt>
              <c:pt idx="5">
                <c:v>0.26666666666666666</c:v>
              </c:pt>
              <c:pt idx="6">
                <c:v>1.1666666666666667</c:v>
              </c:pt>
              <c:pt idx="7">
                <c:v>1.0999999999999999</c:v>
              </c:pt>
              <c:pt idx="8">
                <c:v>0</c:v>
              </c:pt>
              <c:pt idx="9">
                <c:v>0.6333333333333333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4.5666666666666664</c:v>
              </c:pt>
              <c:pt idx="16">
                <c:v>1.0999999999999999</c:v>
              </c:pt>
              <c:pt idx="17">
                <c:v>2.3666666666666667</c:v>
              </c:pt>
              <c:pt idx="18">
                <c:v>1</c:v>
              </c:pt>
              <c:pt idx="19">
                <c:v>1.9000000000000001</c:v>
              </c:pt>
              <c:pt idx="20">
                <c:v>1.3666666666666665</c:v>
              </c:pt>
              <c:pt idx="21">
                <c:v>0.3666666666666667</c:v>
              </c:pt>
              <c:pt idx="22">
                <c:v>0.3666666666666667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517696"/>
        <c:axId val="117523584"/>
      </c:lineChart>
      <c:catAx>
        <c:axId val="117514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75161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516160"/>
        <c:scaling>
          <c:orientation val="minMax"/>
          <c:max val="1030"/>
          <c:min val="980"/>
        </c:scaling>
        <c:delete val="0"/>
        <c:axPos val="l"/>
        <c:majorGridlines>
          <c:spPr>
            <a:ln w="3175">
              <a:solidFill>
                <a:srgbClr val="333333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7514624"/>
        <c:crosses val="autoZero"/>
        <c:crossBetween val="between"/>
        <c:majorUnit val="10"/>
      </c:valAx>
      <c:catAx>
        <c:axId val="1175176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7523584"/>
        <c:crosses val="autoZero"/>
        <c:auto val="1"/>
        <c:lblAlgn val="ctr"/>
        <c:lblOffset val="100"/>
        <c:noMultiLvlLbl val="0"/>
      </c:catAx>
      <c:valAx>
        <c:axId val="117523584"/>
        <c:scaling>
          <c:orientation val="minMax"/>
          <c:max val="100"/>
          <c:min val="0"/>
        </c:scaling>
        <c:delete val="0"/>
        <c:axPos val="r"/>
        <c:numFmt formatCode="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7517696"/>
        <c:crosses val="max"/>
        <c:crossBetween val="between"/>
        <c:majorUnit val="20"/>
      </c:valAx>
      <c:spPr>
        <a:solidFill>
          <a:srgbClr val="969696"/>
        </a:solidFill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 sz="14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Wind Speed / mh</a:t>
            </a:r>
            <a:r>
              <a:rPr lang="en-GB" sz="1400" b="1" i="0" u="none" strike="noStrike" baseline="30000">
                <a:solidFill>
                  <a:srgbClr val="000000"/>
                </a:solidFill>
                <a:latin typeface="Arial"/>
                <a:cs typeface="Arial"/>
              </a:rPr>
              <a:t>-1</a:t>
            </a:r>
          </a:p>
        </c:rich>
      </c:tx>
      <c:layout>
        <c:manualLayout>
          <c:xMode val="edge"/>
          <c:yMode val="edge"/>
          <c:x val="0.44800000000000001"/>
          <c:y val="1.990632318501171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1.8461538461538463E-2"/>
          <c:y val="8.6651053864168617E-2"/>
          <c:w val="0.96307692307692305"/>
          <c:h val="0.86299765807962525"/>
        </c:manualLayout>
      </c:layout>
      <c:lineChart>
        <c:grouping val="standard"/>
        <c:varyColors val="0"/>
        <c:ser>
          <c:idx val="1"/>
          <c:order val="0"/>
          <c:tx>
            <c:v>Mean</c:v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800000"/>
              </a:solidFill>
              <a:ln>
                <a:solidFill>
                  <a:srgbClr val="800000"/>
                </a:solidFill>
                <a:prstDash val="solid"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3.1</c:v>
              </c:pt>
              <c:pt idx="1">
                <c:v>2.5</c:v>
              </c:pt>
              <c:pt idx="2">
                <c:v>2.7</c:v>
              </c:pt>
              <c:pt idx="3">
                <c:v>2.8</c:v>
              </c:pt>
              <c:pt idx="4">
                <c:v>4</c:v>
              </c:pt>
              <c:pt idx="5">
                <c:v>8.3000000000000007</c:v>
              </c:pt>
              <c:pt idx="6">
                <c:v>7.7</c:v>
              </c:pt>
              <c:pt idx="7">
                <c:v>7.7</c:v>
              </c:pt>
              <c:pt idx="8">
                <c:v>6.6</c:v>
              </c:pt>
              <c:pt idx="9">
                <c:v>3.7</c:v>
              </c:pt>
              <c:pt idx="10">
                <c:v>2.2000000000000002</c:v>
              </c:pt>
              <c:pt idx="11">
                <c:v>5.2</c:v>
              </c:pt>
              <c:pt idx="12">
                <c:v>4.3</c:v>
              </c:pt>
              <c:pt idx="13">
                <c:v>3.6</c:v>
              </c:pt>
              <c:pt idx="14">
                <c:v>5</c:v>
              </c:pt>
              <c:pt idx="15">
                <c:v>6.8</c:v>
              </c:pt>
              <c:pt idx="16">
                <c:v>7.1</c:v>
              </c:pt>
              <c:pt idx="17">
                <c:v>7.2</c:v>
              </c:pt>
              <c:pt idx="18">
                <c:v>3.3</c:v>
              </c:pt>
              <c:pt idx="19">
                <c:v>2.4</c:v>
              </c:pt>
              <c:pt idx="20">
                <c:v>2.4</c:v>
              </c:pt>
              <c:pt idx="21">
                <c:v>3.5</c:v>
              </c:pt>
              <c:pt idx="22">
                <c:v>3.4</c:v>
              </c:pt>
              <c:pt idx="23">
                <c:v>4.0999999999999996</c:v>
              </c:pt>
              <c:pt idx="24">
                <c:v>3.2</c:v>
              </c:pt>
              <c:pt idx="25">
                <c:v>2.7</c:v>
              </c:pt>
              <c:pt idx="26">
                <c:v>3.1</c:v>
              </c:pt>
              <c:pt idx="27">
                <c:v>2.6</c:v>
              </c:pt>
              <c:pt idx="28">
                <c:v>3.2</c:v>
              </c:pt>
              <c:pt idx="29">
                <c:v>2.7</c:v>
              </c:pt>
              <c:pt idx="30">
                <c:v>3.8</c:v>
              </c:pt>
            </c:numLit>
          </c:val>
          <c:smooth val="0"/>
        </c:ser>
        <c:ser>
          <c:idx val="0"/>
          <c:order val="1"/>
          <c:tx>
            <c:v>E (Mean)</c:v>
          </c:tx>
          <c:spPr>
            <a:ln w="25400">
              <a:solidFill>
                <a:srgbClr val="FF99CC"/>
              </a:solidFill>
              <a:prstDash val="lgDash"/>
            </a:ln>
          </c:spPr>
          <c:marker>
            <c:symbol val="none"/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4.3049999999999997</c:v>
              </c:pt>
              <c:pt idx="1">
                <c:v>4.3049999999999997</c:v>
              </c:pt>
              <c:pt idx="2">
                <c:v>4.3049999999999997</c:v>
              </c:pt>
              <c:pt idx="3">
                <c:v>4.3049999999999997</c:v>
              </c:pt>
              <c:pt idx="4">
                <c:v>4.3049999999999997</c:v>
              </c:pt>
              <c:pt idx="5">
                <c:v>4.3049999999999997</c:v>
              </c:pt>
              <c:pt idx="6">
                <c:v>4.3049999999999997</c:v>
              </c:pt>
              <c:pt idx="7">
                <c:v>4.3049999999999997</c:v>
              </c:pt>
              <c:pt idx="8">
                <c:v>4.3049999999999997</c:v>
              </c:pt>
              <c:pt idx="9">
                <c:v>4.3049999999999997</c:v>
              </c:pt>
              <c:pt idx="10">
                <c:v>4.3049999999999997</c:v>
              </c:pt>
              <c:pt idx="11">
                <c:v>4.3049999999999997</c:v>
              </c:pt>
              <c:pt idx="12">
                <c:v>4.3049999999999997</c:v>
              </c:pt>
              <c:pt idx="13">
                <c:v>4.3049999999999997</c:v>
              </c:pt>
              <c:pt idx="14">
                <c:v>4.3049999999999997</c:v>
              </c:pt>
              <c:pt idx="15">
                <c:v>4.3049999999999997</c:v>
              </c:pt>
              <c:pt idx="16">
                <c:v>4.3049999999999997</c:v>
              </c:pt>
              <c:pt idx="17">
                <c:v>4.3049999999999997</c:v>
              </c:pt>
              <c:pt idx="18">
                <c:v>4.3049999999999997</c:v>
              </c:pt>
              <c:pt idx="19">
                <c:v>4.3049999999999997</c:v>
              </c:pt>
              <c:pt idx="20">
                <c:v>4.3049999999999997</c:v>
              </c:pt>
              <c:pt idx="21">
                <c:v>4.3049999999999997</c:v>
              </c:pt>
              <c:pt idx="22">
                <c:v>4.3049999999999997</c:v>
              </c:pt>
              <c:pt idx="23">
                <c:v>4.3049999999999997</c:v>
              </c:pt>
              <c:pt idx="24">
                <c:v>4.3049999999999997</c:v>
              </c:pt>
              <c:pt idx="25">
                <c:v>4.3049999999999997</c:v>
              </c:pt>
              <c:pt idx="26">
                <c:v>4.3049999999999997</c:v>
              </c:pt>
              <c:pt idx="27">
                <c:v>4.3049999999999997</c:v>
              </c:pt>
              <c:pt idx="28">
                <c:v>4.3049999999999997</c:v>
              </c:pt>
              <c:pt idx="29">
                <c:v>4.3049999999999997</c:v>
              </c:pt>
              <c:pt idx="30">
                <c:v>4.3049999999999997</c:v>
              </c:pt>
            </c:numLit>
          </c:val>
          <c:smooth val="0"/>
        </c:ser>
        <c:ser>
          <c:idx val="2"/>
          <c:order val="4"/>
          <c:tx>
            <c:v>Cumulative Mean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3.1</c:v>
              </c:pt>
              <c:pt idx="1">
                <c:v>2.8</c:v>
              </c:pt>
              <c:pt idx="2">
                <c:v>2.7666666666666671</c:v>
              </c:pt>
              <c:pt idx="3">
                <c:v>2.7750000000000004</c:v>
              </c:pt>
              <c:pt idx="4">
                <c:v>3.0200000000000005</c:v>
              </c:pt>
              <c:pt idx="5">
                <c:v>3.9000000000000004</c:v>
              </c:pt>
              <c:pt idx="6">
                <c:v>4.4428571428571431</c:v>
              </c:pt>
              <c:pt idx="7">
                <c:v>4.8500000000000005</c:v>
              </c:pt>
              <c:pt idx="8">
                <c:v>5.0444444444444452</c:v>
              </c:pt>
              <c:pt idx="9">
                <c:v>4.910000000000001</c:v>
              </c:pt>
              <c:pt idx="10">
                <c:v>4.6636363636363649</c:v>
              </c:pt>
              <c:pt idx="11">
                <c:v>4.7083333333333348</c:v>
              </c:pt>
              <c:pt idx="12">
                <c:v>4.6769230769230781</c:v>
              </c:pt>
              <c:pt idx="13">
                <c:v>4.6000000000000005</c:v>
              </c:pt>
              <c:pt idx="14">
                <c:v>4.6266666666666669</c:v>
              </c:pt>
              <c:pt idx="15">
                <c:v>4.7625000000000002</c:v>
              </c:pt>
              <c:pt idx="16">
                <c:v>4.8999999999999995</c:v>
              </c:pt>
              <c:pt idx="17">
                <c:v>5.0277777777777777</c:v>
              </c:pt>
              <c:pt idx="18">
                <c:v>4.9368421052631577</c:v>
              </c:pt>
              <c:pt idx="19">
                <c:v>4.8100000000000005</c:v>
              </c:pt>
              <c:pt idx="20">
                <c:v>4.6952380952380954</c:v>
              </c:pt>
              <c:pt idx="21">
                <c:v>4.6409090909090915</c:v>
              </c:pt>
              <c:pt idx="22">
                <c:v>4.5869565217391308</c:v>
              </c:pt>
              <c:pt idx="23">
                <c:v>4.5666666666666673</c:v>
              </c:pt>
              <c:pt idx="24">
                <c:v>4.5120000000000005</c:v>
              </c:pt>
              <c:pt idx="25">
                <c:v>4.4423076923076925</c:v>
              </c:pt>
              <c:pt idx="26">
                <c:v>4.3925925925925933</c:v>
              </c:pt>
              <c:pt idx="27">
                <c:v>4.3285714285714283</c:v>
              </c:pt>
              <c:pt idx="28">
                <c:v>4.2896551724137932</c:v>
              </c:pt>
              <c:pt idx="29">
                <c:v>4.2366666666666672</c:v>
              </c:pt>
              <c:pt idx="30">
                <c:v>4.2225806451612904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965568"/>
        <c:axId val="117967488"/>
      </c:lineChart>
      <c:lineChart>
        <c:grouping val="standard"/>
        <c:varyColors val="0"/>
        <c:ser>
          <c:idx val="3"/>
          <c:order val="2"/>
          <c:tx>
            <c:v>Max Gust</c:v>
          </c:tx>
          <c:spPr>
            <a:ln w="28575">
              <a:noFill/>
            </a:ln>
          </c:spPr>
          <c:marker>
            <c:symbol val="circle"/>
            <c:size val="9"/>
            <c:spPr>
              <a:solidFill>
                <a:srgbClr val="FFCC00"/>
              </a:solidFill>
              <a:ln>
                <a:solidFill>
                  <a:srgbClr val="FFCC00"/>
                </a:solidFill>
                <a:prstDash val="solid"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12.1</c:v>
              </c:pt>
              <c:pt idx="1">
                <c:v>11.4</c:v>
              </c:pt>
              <c:pt idx="2">
                <c:v>9.8000000000000007</c:v>
              </c:pt>
              <c:pt idx="3">
                <c:v>12.5</c:v>
              </c:pt>
              <c:pt idx="4">
                <c:v>17.5</c:v>
              </c:pt>
              <c:pt idx="5">
                <c:v>27</c:v>
              </c:pt>
              <c:pt idx="6">
                <c:v>25.1</c:v>
              </c:pt>
              <c:pt idx="7">
                <c:v>28</c:v>
              </c:pt>
              <c:pt idx="8">
                <c:v>19.7</c:v>
              </c:pt>
              <c:pt idx="9">
                <c:v>10.5</c:v>
              </c:pt>
              <c:pt idx="10">
                <c:v>12.3</c:v>
              </c:pt>
              <c:pt idx="11">
                <c:v>17</c:v>
              </c:pt>
              <c:pt idx="12">
                <c:v>14.7</c:v>
              </c:pt>
              <c:pt idx="13">
                <c:v>13.2</c:v>
              </c:pt>
              <c:pt idx="14">
                <c:v>20.8</c:v>
              </c:pt>
              <c:pt idx="15">
                <c:v>25.3</c:v>
              </c:pt>
              <c:pt idx="16">
                <c:v>22.8</c:v>
              </c:pt>
              <c:pt idx="17">
                <c:v>21.9</c:v>
              </c:pt>
              <c:pt idx="18">
                <c:v>12.5</c:v>
              </c:pt>
              <c:pt idx="19">
                <c:v>10.7</c:v>
              </c:pt>
              <c:pt idx="20">
                <c:v>11.2</c:v>
              </c:pt>
              <c:pt idx="21">
                <c:v>12.8</c:v>
              </c:pt>
              <c:pt idx="22">
                <c:v>13.2</c:v>
              </c:pt>
              <c:pt idx="23">
                <c:v>14.8</c:v>
              </c:pt>
              <c:pt idx="24">
                <c:v>10.7</c:v>
              </c:pt>
              <c:pt idx="25">
                <c:v>10.9</c:v>
              </c:pt>
              <c:pt idx="26">
                <c:v>12.5</c:v>
              </c:pt>
              <c:pt idx="27">
                <c:v>10</c:v>
              </c:pt>
              <c:pt idx="28">
                <c:v>12.1</c:v>
              </c:pt>
              <c:pt idx="29">
                <c:v>10.7</c:v>
              </c:pt>
              <c:pt idx="30">
                <c:v>13.7</c:v>
              </c:pt>
            </c:numLit>
          </c:val>
          <c:smooth val="0"/>
        </c:ser>
        <c:ser>
          <c:idx val="4"/>
          <c:order val="3"/>
          <c:tx>
            <c:v>Max Average</c:v>
          </c:tx>
          <c:spPr>
            <a:ln w="28575">
              <a:noFill/>
            </a:ln>
          </c:spPr>
          <c:marker>
            <c:symbol val="circle"/>
            <c:size val="6"/>
            <c:spPr>
              <a:solidFill>
                <a:srgbClr val="800000"/>
              </a:solidFill>
              <a:ln>
                <a:solidFill>
                  <a:srgbClr val="800000"/>
                </a:solidFill>
                <a:prstDash val="solid"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8.5</c:v>
              </c:pt>
              <c:pt idx="1">
                <c:v>8.1</c:v>
              </c:pt>
              <c:pt idx="2">
                <c:v>7.4</c:v>
              </c:pt>
              <c:pt idx="3">
                <c:v>9.1999999999999993</c:v>
              </c:pt>
              <c:pt idx="4">
                <c:v>13</c:v>
              </c:pt>
              <c:pt idx="5">
                <c:v>19.399999999999999</c:v>
              </c:pt>
              <c:pt idx="6">
                <c:v>17.3</c:v>
              </c:pt>
              <c:pt idx="7">
                <c:v>20.100000000000001</c:v>
              </c:pt>
              <c:pt idx="8">
                <c:v>15.2</c:v>
              </c:pt>
              <c:pt idx="9">
                <c:v>8.6999999999999993</c:v>
              </c:pt>
              <c:pt idx="10">
                <c:v>8.5</c:v>
              </c:pt>
              <c:pt idx="11">
                <c:v>11.2</c:v>
              </c:pt>
              <c:pt idx="12">
                <c:v>9.8000000000000007</c:v>
              </c:pt>
              <c:pt idx="13">
                <c:v>9.8000000000000007</c:v>
              </c:pt>
              <c:pt idx="14">
                <c:v>14</c:v>
              </c:pt>
              <c:pt idx="15">
                <c:v>14.7</c:v>
              </c:pt>
              <c:pt idx="16">
                <c:v>15.9</c:v>
              </c:pt>
              <c:pt idx="17">
                <c:v>16.600000000000001</c:v>
              </c:pt>
              <c:pt idx="18">
                <c:v>8.5</c:v>
              </c:pt>
              <c:pt idx="19">
                <c:v>8.6999999999999993</c:v>
              </c:pt>
              <c:pt idx="20">
                <c:v>7.8</c:v>
              </c:pt>
              <c:pt idx="21">
                <c:v>9.1999999999999993</c:v>
              </c:pt>
              <c:pt idx="22">
                <c:v>10.7</c:v>
              </c:pt>
              <c:pt idx="23">
                <c:v>11.4</c:v>
              </c:pt>
              <c:pt idx="24">
                <c:v>8.6999999999999993</c:v>
              </c:pt>
              <c:pt idx="25">
                <c:v>8.1</c:v>
              </c:pt>
              <c:pt idx="26">
                <c:v>8.6999999999999993</c:v>
              </c:pt>
              <c:pt idx="27">
                <c:v>6.7</c:v>
              </c:pt>
              <c:pt idx="28">
                <c:v>9.1999999999999993</c:v>
              </c:pt>
              <c:pt idx="29">
                <c:v>7.4</c:v>
              </c:pt>
              <c:pt idx="30">
                <c:v>10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997952"/>
        <c:axId val="117999488"/>
      </c:lineChart>
      <c:catAx>
        <c:axId val="1179655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79674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967488"/>
        <c:scaling>
          <c:orientation val="minMax"/>
          <c:max val="9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7965568"/>
        <c:crosses val="autoZero"/>
        <c:crossBetween val="between"/>
        <c:majorUnit val="2"/>
      </c:valAx>
      <c:catAx>
        <c:axId val="1179979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7999488"/>
        <c:crosses val="autoZero"/>
        <c:auto val="1"/>
        <c:lblAlgn val="ctr"/>
        <c:lblOffset val="100"/>
        <c:noMultiLvlLbl val="0"/>
      </c:catAx>
      <c:valAx>
        <c:axId val="117999488"/>
        <c:scaling>
          <c:orientation val="minMax"/>
          <c:max val="45"/>
          <c:min val="0"/>
        </c:scaling>
        <c:delete val="0"/>
        <c:axPos val="r"/>
        <c:numFmt formatCode="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7997952"/>
        <c:crosses val="max"/>
        <c:crossBetween val="between"/>
        <c:majorUnit val="10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Sun Hours / h</a:t>
            </a:r>
          </a:p>
        </c:rich>
      </c:tx>
      <c:layout>
        <c:manualLayout>
          <c:xMode val="edge"/>
          <c:yMode val="edge"/>
          <c:x val="0.46040541433241655"/>
          <c:y val="2.803738317757009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941082492304096E-2"/>
          <c:y val="9.2289772270286646E-2"/>
          <c:w val="0.97360402135369983"/>
          <c:h val="0.85747712463785308"/>
        </c:manualLayout>
      </c:layout>
      <c:barChart>
        <c:barDir val="col"/>
        <c:grouping val="clustered"/>
        <c:varyColors val="0"/>
        <c:ser>
          <c:idx val="1"/>
          <c:order val="0"/>
          <c:tx>
            <c:v>Sun</c:v>
          </c:tx>
          <c:spPr>
            <a:solidFill>
              <a:srgbClr val="FFFF00"/>
            </a:solidFill>
            <a:ln w="12700">
              <a:solidFill>
                <a:srgbClr val="C0C0C0"/>
              </a:solidFill>
              <a:prstDash val="solid"/>
            </a:ln>
          </c:spPr>
          <c:invertIfNegative val="0"/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11</c:v>
              </c:pt>
              <c:pt idx="1">
                <c:v>7</c:v>
              </c:pt>
              <c:pt idx="2">
                <c:v>8</c:v>
              </c:pt>
              <c:pt idx="3">
                <c:v>9</c:v>
              </c:pt>
              <c:pt idx="4">
                <c:v>9</c:v>
              </c:pt>
              <c:pt idx="5">
                <c:v>7</c:v>
              </c:pt>
              <c:pt idx="6">
                <c:v>2</c:v>
              </c:pt>
              <c:pt idx="7">
                <c:v>2.5</c:v>
              </c:pt>
              <c:pt idx="8">
                <c:v>7</c:v>
              </c:pt>
              <c:pt idx="9">
                <c:v>3.5</c:v>
              </c:pt>
              <c:pt idx="10">
                <c:v>9</c:v>
              </c:pt>
              <c:pt idx="11">
                <c:v>0.7</c:v>
              </c:pt>
              <c:pt idx="12">
                <c:v>1</c:v>
              </c:pt>
              <c:pt idx="13">
                <c:v>3.5</c:v>
              </c:pt>
              <c:pt idx="14">
                <c:v>9</c:v>
              </c:pt>
              <c:pt idx="15">
                <c:v>2</c:v>
              </c:pt>
              <c:pt idx="16">
                <c:v>2</c:v>
              </c:pt>
              <c:pt idx="17">
                <c:v>0.8</c:v>
              </c:pt>
              <c:pt idx="18">
                <c:v>3</c:v>
              </c:pt>
              <c:pt idx="19">
                <c:v>0.5</c:v>
              </c:pt>
              <c:pt idx="20">
                <c:v>0.2</c:v>
              </c:pt>
              <c:pt idx="21">
                <c:v>8</c:v>
              </c:pt>
              <c:pt idx="22">
                <c:v>4</c:v>
              </c:pt>
              <c:pt idx="23">
                <c:v>13</c:v>
              </c:pt>
              <c:pt idx="24">
                <c:v>8</c:v>
              </c:pt>
              <c:pt idx="25">
                <c:v>0.7</c:v>
              </c:pt>
              <c:pt idx="26">
                <c:v>1.5</c:v>
              </c:pt>
              <c:pt idx="27">
                <c:v>6.5</c:v>
              </c:pt>
              <c:pt idx="28">
                <c:v>4</c:v>
              </c:pt>
              <c:pt idx="29">
                <c:v>11</c:v>
              </c:pt>
              <c:pt idx="30">
                <c:v>12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overlap val="-10"/>
        <c:axId val="118023680"/>
        <c:axId val="118025216"/>
      </c:barChart>
      <c:catAx>
        <c:axId val="118023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80252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8025216"/>
        <c:scaling>
          <c:orientation val="minMax"/>
          <c:max val="15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8023680"/>
        <c:crosses val="autoZero"/>
        <c:crossBetween val="between"/>
        <c:majorUnit val="2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Cumulative Rain / mm</a:t>
            </a:r>
          </a:p>
        </c:rich>
      </c:tx>
      <c:layout>
        <c:manualLayout>
          <c:xMode val="edge"/>
          <c:yMode val="edge"/>
          <c:x val="0.43726963096402616"/>
          <c:y val="1.97444831591173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985254257748993E-2"/>
          <c:y val="9.2915320252749636E-2"/>
          <c:w val="0.954490118154524"/>
          <c:h val="0.85714382933161537"/>
        </c:manualLayout>
      </c:layout>
      <c:lineChart>
        <c:grouping val="standard"/>
        <c:varyColors val="0"/>
        <c:ser>
          <c:idx val="1"/>
          <c:order val="0"/>
          <c:tx>
            <c:v>Cumulative Rain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4.5999999999999996</c:v>
              </c:pt>
              <c:pt idx="5">
                <c:v>5.3999999999999995</c:v>
              </c:pt>
              <c:pt idx="6">
                <c:v>8.8999999999999986</c:v>
              </c:pt>
              <c:pt idx="7">
                <c:v>12.2</c:v>
              </c:pt>
              <c:pt idx="8">
                <c:v>12.2</c:v>
              </c:pt>
              <c:pt idx="9">
                <c:v>14.1</c:v>
              </c:pt>
              <c:pt idx="10">
                <c:v>14.1</c:v>
              </c:pt>
              <c:pt idx="11">
                <c:v>14.1</c:v>
              </c:pt>
              <c:pt idx="12">
                <c:v>14.1</c:v>
              </c:pt>
              <c:pt idx="13">
                <c:v>14.1</c:v>
              </c:pt>
              <c:pt idx="14">
                <c:v>14.1</c:v>
              </c:pt>
              <c:pt idx="15">
                <c:v>27.799999999999997</c:v>
              </c:pt>
              <c:pt idx="16">
                <c:v>31.099999999999998</c:v>
              </c:pt>
              <c:pt idx="17">
                <c:v>38.199999999999996</c:v>
              </c:pt>
              <c:pt idx="18">
                <c:v>41.199999999999996</c:v>
              </c:pt>
              <c:pt idx="19">
                <c:v>46.9</c:v>
              </c:pt>
              <c:pt idx="20">
                <c:v>51</c:v>
              </c:pt>
              <c:pt idx="21">
                <c:v>52.1</c:v>
              </c:pt>
              <c:pt idx="22">
                <c:v>53.2</c:v>
              </c:pt>
              <c:pt idx="23">
                <c:v>53.2</c:v>
              </c:pt>
              <c:pt idx="24">
                <c:v>53.2</c:v>
              </c:pt>
              <c:pt idx="25">
                <c:v>53.2</c:v>
              </c:pt>
              <c:pt idx="26">
                <c:v>53.2</c:v>
              </c:pt>
              <c:pt idx="27">
                <c:v>53.2</c:v>
              </c:pt>
              <c:pt idx="28">
                <c:v>53.2</c:v>
              </c:pt>
              <c:pt idx="29">
                <c:v>53.2</c:v>
              </c:pt>
              <c:pt idx="30">
                <c:v>53.2</c:v>
              </c:pt>
            </c:numLit>
          </c:val>
          <c:smooth val="0"/>
        </c:ser>
        <c:ser>
          <c:idx val="2"/>
          <c:order val="1"/>
          <c:tx>
            <c:v>E (Cumulative Rain)</c:v>
          </c:tx>
          <c:spPr>
            <a:ln w="25400">
              <a:solidFill>
                <a:srgbClr val="00CCFF"/>
              </a:solidFill>
              <a:prstDash val="lgDash"/>
            </a:ln>
          </c:spPr>
          <c:marker>
            <c:symbol val="none"/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1.5161290322580645</c:v>
              </c:pt>
              <c:pt idx="1">
                <c:v>3.032258064516129</c:v>
              </c:pt>
              <c:pt idx="2">
                <c:v>4.5483870967741939</c:v>
              </c:pt>
              <c:pt idx="3">
                <c:v>6.064516129032258</c:v>
              </c:pt>
              <c:pt idx="4">
                <c:v>7.5806451612903221</c:v>
              </c:pt>
              <c:pt idx="5">
                <c:v>9.0967741935483879</c:v>
              </c:pt>
              <c:pt idx="6">
                <c:v>10.612903225806452</c:v>
              </c:pt>
              <c:pt idx="7">
                <c:v>12.129032258064516</c:v>
              </c:pt>
              <c:pt idx="8">
                <c:v>13.64516129032258</c:v>
              </c:pt>
              <c:pt idx="9">
                <c:v>15.161290322580644</c:v>
              </c:pt>
              <c:pt idx="10">
                <c:v>16.677419354838708</c:v>
              </c:pt>
              <c:pt idx="11">
                <c:v>18.193548387096776</c:v>
              </c:pt>
              <c:pt idx="12">
                <c:v>19.70967741935484</c:v>
              </c:pt>
              <c:pt idx="13">
                <c:v>21.225806451612904</c:v>
              </c:pt>
              <c:pt idx="14">
                <c:v>22.741935483870968</c:v>
              </c:pt>
              <c:pt idx="15">
                <c:v>24.258064516129032</c:v>
              </c:pt>
              <c:pt idx="16">
                <c:v>25.774193548387096</c:v>
              </c:pt>
              <c:pt idx="17">
                <c:v>27.29032258064516</c:v>
              </c:pt>
              <c:pt idx="18">
                <c:v>28.806451612903224</c:v>
              </c:pt>
              <c:pt idx="19">
                <c:v>30.322580645161288</c:v>
              </c:pt>
              <c:pt idx="20">
                <c:v>31.838709677419356</c:v>
              </c:pt>
              <c:pt idx="21">
                <c:v>33.354838709677416</c:v>
              </c:pt>
              <c:pt idx="22">
                <c:v>34.87096774193548</c:v>
              </c:pt>
              <c:pt idx="23">
                <c:v>36.387096774193552</c:v>
              </c:pt>
              <c:pt idx="24">
                <c:v>37.903225806451616</c:v>
              </c:pt>
              <c:pt idx="25">
                <c:v>39.41935483870968</c:v>
              </c:pt>
              <c:pt idx="26">
                <c:v>40.935483870967744</c:v>
              </c:pt>
              <c:pt idx="27">
                <c:v>42.451612903225808</c:v>
              </c:pt>
              <c:pt idx="28">
                <c:v>43.967741935483872</c:v>
              </c:pt>
              <c:pt idx="29">
                <c:v>45.483870967741936</c:v>
              </c:pt>
              <c:pt idx="30">
                <c:v>47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130944"/>
        <c:axId val="118149120"/>
      </c:lineChart>
      <c:lineChart>
        <c:grouping val="standard"/>
        <c:varyColors val="0"/>
        <c:ser>
          <c:idx val="0"/>
          <c:order val="2"/>
          <c:tx>
            <c:v>Cumulative Anomaly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circle"/>
            <c:size val="2"/>
            <c:spPr>
              <a:solidFill>
                <a:srgbClr val="333399"/>
              </a:solidFill>
              <a:ln>
                <a:solidFill>
                  <a:srgbClr val="333399"/>
                </a:solidFill>
                <a:prstDash val="solid"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0.60680851063829788</c:v>
              </c:pt>
              <c:pt idx="5">
                <c:v>0.59361702127659566</c:v>
              </c:pt>
              <c:pt idx="6">
                <c:v>0.83860182370820657</c:v>
              </c:pt>
              <c:pt idx="7">
                <c:v>1.0058510638297873</c:v>
              </c:pt>
              <c:pt idx="8">
                <c:v>0.89408983451536639</c:v>
              </c:pt>
              <c:pt idx="9">
                <c:v>0.93</c:v>
              </c:pt>
              <c:pt idx="10">
                <c:v>0.84545454545454546</c:v>
              </c:pt>
              <c:pt idx="11">
                <c:v>0.77499999999999991</c:v>
              </c:pt>
              <c:pt idx="12">
                <c:v>0.71538461538461529</c:v>
              </c:pt>
              <c:pt idx="13">
                <c:v>0.66428571428571426</c:v>
              </c:pt>
              <c:pt idx="14">
                <c:v>0.62</c:v>
              </c:pt>
              <c:pt idx="15">
                <c:v>1.1460106382978723</c:v>
              </c:pt>
              <c:pt idx="16">
                <c:v>1.2066332916145182</c:v>
              </c:pt>
              <c:pt idx="17">
                <c:v>1.3997635933806145</c:v>
              </c:pt>
              <c:pt idx="18">
                <c:v>1.4302351623740202</c:v>
              </c:pt>
              <c:pt idx="19">
                <c:v>1.5467021276595745</c:v>
              </c:pt>
              <c:pt idx="20">
                <c:v>1.6018237082066868</c:v>
              </c:pt>
              <c:pt idx="21">
                <c:v>1.561992263056093</c:v>
              </c:pt>
              <c:pt idx="22">
                <c:v>1.5256244218316377</c:v>
              </c:pt>
              <c:pt idx="23">
                <c:v>1.4620567375886524</c:v>
              </c:pt>
              <c:pt idx="24">
                <c:v>1.4035744680851063</c:v>
              </c:pt>
              <c:pt idx="25">
                <c:v>1.3495908346972176</c:v>
              </c:pt>
              <c:pt idx="26">
                <c:v>1.2996059889676912</c:v>
              </c:pt>
              <c:pt idx="27">
                <c:v>1.2531914893617022</c:v>
              </c:pt>
              <c:pt idx="28">
                <c:v>1.2099779897285401</c:v>
              </c:pt>
              <c:pt idx="29">
                <c:v>1.1696453900709221</c:v>
              </c:pt>
              <c:pt idx="30">
                <c:v>1.1319148936170214</c:v>
              </c:pt>
            </c:numLit>
          </c:val>
          <c:smooth val="0"/>
        </c:ser>
        <c:ser>
          <c:idx val="3"/>
          <c:order val="3"/>
          <c:tx>
            <c:v>E (Cumulative Anomaly)</c:v>
          </c:tx>
          <c:spPr>
            <a:ln w="3175">
              <a:solidFill>
                <a:srgbClr val="0000FF"/>
              </a:solidFill>
              <a:prstDash val="lgDash"/>
            </a:ln>
          </c:spPr>
          <c:marker>
            <c:symbol val="none"/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1</c:v>
              </c:pt>
              <c:pt idx="1">
                <c:v>1</c:v>
              </c:pt>
              <c:pt idx="2">
                <c:v>1</c:v>
              </c:pt>
              <c:pt idx="3">
                <c:v>1</c:v>
              </c:pt>
              <c:pt idx="4">
                <c:v>1</c:v>
              </c:pt>
              <c:pt idx="5">
                <c:v>1</c:v>
              </c:pt>
              <c:pt idx="6">
                <c:v>1</c:v>
              </c:pt>
              <c:pt idx="7">
                <c:v>1</c:v>
              </c:pt>
              <c:pt idx="8">
                <c:v>1</c:v>
              </c:pt>
              <c:pt idx="9">
                <c:v>1</c:v>
              </c:pt>
              <c:pt idx="10">
                <c:v>1</c:v>
              </c:pt>
              <c:pt idx="11">
                <c:v>1</c:v>
              </c:pt>
              <c:pt idx="12">
                <c:v>1</c:v>
              </c:pt>
              <c:pt idx="13">
                <c:v>1</c:v>
              </c:pt>
              <c:pt idx="14">
                <c:v>1</c:v>
              </c:pt>
              <c:pt idx="15">
                <c:v>1</c:v>
              </c:pt>
              <c:pt idx="16">
                <c:v>1</c:v>
              </c:pt>
              <c:pt idx="17">
                <c:v>1</c:v>
              </c:pt>
              <c:pt idx="18">
                <c:v>1</c:v>
              </c:pt>
              <c:pt idx="19">
                <c:v>1</c:v>
              </c:pt>
              <c:pt idx="20">
                <c:v>1</c:v>
              </c:pt>
              <c:pt idx="21">
                <c:v>1</c:v>
              </c:pt>
              <c:pt idx="22">
                <c:v>1</c:v>
              </c:pt>
              <c:pt idx="23">
                <c:v>1</c:v>
              </c:pt>
              <c:pt idx="24">
                <c:v>1</c:v>
              </c:pt>
              <c:pt idx="25">
                <c:v>1</c:v>
              </c:pt>
              <c:pt idx="26">
                <c:v>1</c:v>
              </c:pt>
              <c:pt idx="27">
                <c:v>1</c:v>
              </c:pt>
              <c:pt idx="28">
                <c:v>1</c:v>
              </c:pt>
              <c:pt idx="29">
                <c:v>1</c:v>
              </c:pt>
              <c:pt idx="30">
                <c:v>1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150656"/>
        <c:axId val="118152192"/>
      </c:lineChart>
      <c:catAx>
        <c:axId val="1181309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81491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8149120"/>
        <c:scaling>
          <c:orientation val="minMax"/>
          <c:max val="7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8130944"/>
        <c:crosses val="autoZero"/>
        <c:crossBetween val="between"/>
        <c:majorUnit val="10"/>
      </c:valAx>
      <c:catAx>
        <c:axId val="1181506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152192"/>
        <c:crosses val="autoZero"/>
        <c:auto val="1"/>
        <c:lblAlgn val="ctr"/>
        <c:lblOffset val="100"/>
        <c:noMultiLvlLbl val="0"/>
      </c:catAx>
      <c:valAx>
        <c:axId val="118152192"/>
        <c:scaling>
          <c:orientation val="minMax"/>
          <c:max val="1.75"/>
          <c:min val="0"/>
        </c:scaling>
        <c:delete val="0"/>
        <c:axPos val="r"/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8150656"/>
        <c:crosses val="max"/>
        <c:crossBetween val="between"/>
        <c:majorUnit val="0.25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 sz="14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Dew Point / </a:t>
            </a:r>
            <a:r>
              <a:rPr lang="en-GB" sz="1400" b="1" i="0" u="none" strike="noStrike" baseline="30000">
                <a:solidFill>
                  <a:srgbClr val="000000"/>
                </a:solidFill>
                <a:latin typeface="Arial"/>
                <a:cs typeface="Arial"/>
              </a:rPr>
              <a:t>o</a:t>
            </a:r>
            <a:r>
              <a:rPr lang="en-GB" sz="14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C</a:t>
            </a:r>
          </a:p>
        </c:rich>
      </c:tx>
      <c:layout>
        <c:manualLayout>
          <c:xMode val="edge"/>
          <c:yMode val="edge"/>
          <c:x val="0.45817984006611717"/>
          <c:y val="1.99296600234466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985254257748993E-2"/>
          <c:y val="8.6752687408804985E-2"/>
          <c:w val="0.97355532025683733"/>
          <c:h val="0.86283753963351983"/>
        </c:manualLayout>
      </c:layout>
      <c:lineChart>
        <c:grouping val="standard"/>
        <c:varyColors val="0"/>
        <c:ser>
          <c:idx val="2"/>
          <c:order val="0"/>
          <c:tx>
            <c:v>Min Dew Point</c:v>
          </c:tx>
          <c:spPr>
            <a:ln w="38100">
              <a:solidFill>
                <a:srgbClr val="99CC00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808000"/>
              </a:solidFill>
              <a:ln>
                <a:solidFill>
                  <a:srgbClr val="808000"/>
                </a:solidFill>
                <a:prstDash val="solid"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4.3</c:v>
              </c:pt>
              <c:pt idx="1">
                <c:v>5.6</c:v>
              </c:pt>
              <c:pt idx="2">
                <c:v>5.0999999999999996</c:v>
              </c:pt>
              <c:pt idx="3">
                <c:v>6.2</c:v>
              </c:pt>
              <c:pt idx="4">
                <c:v>6.5</c:v>
              </c:pt>
              <c:pt idx="5">
                <c:v>5.9</c:v>
              </c:pt>
              <c:pt idx="6">
                <c:v>9.6</c:v>
              </c:pt>
              <c:pt idx="7">
                <c:v>9.5</c:v>
              </c:pt>
              <c:pt idx="8">
                <c:v>10.1</c:v>
              </c:pt>
              <c:pt idx="9">
                <c:v>10.1</c:v>
              </c:pt>
              <c:pt idx="10">
                <c:v>7.9</c:v>
              </c:pt>
              <c:pt idx="11">
                <c:v>9.3000000000000007</c:v>
              </c:pt>
              <c:pt idx="12">
                <c:v>5.0999999999999996</c:v>
              </c:pt>
              <c:pt idx="13">
                <c:v>5.3</c:v>
              </c:pt>
              <c:pt idx="14">
                <c:v>4.9000000000000004</c:v>
              </c:pt>
              <c:pt idx="15">
                <c:v>8.9</c:v>
              </c:pt>
              <c:pt idx="16">
                <c:v>8.9</c:v>
              </c:pt>
              <c:pt idx="17">
                <c:v>10.4</c:v>
              </c:pt>
              <c:pt idx="18">
                <c:v>10.8</c:v>
              </c:pt>
              <c:pt idx="19">
                <c:v>9.1999999999999993</c:v>
              </c:pt>
              <c:pt idx="20">
                <c:v>11</c:v>
              </c:pt>
              <c:pt idx="21">
                <c:v>6.3</c:v>
              </c:pt>
              <c:pt idx="22">
                <c:v>3.5</c:v>
              </c:pt>
              <c:pt idx="23">
                <c:v>3.4</c:v>
              </c:pt>
              <c:pt idx="24">
                <c:v>4.3</c:v>
              </c:pt>
              <c:pt idx="25">
                <c:v>9.4</c:v>
              </c:pt>
              <c:pt idx="26">
                <c:v>10.6</c:v>
              </c:pt>
              <c:pt idx="27">
                <c:v>10.7</c:v>
              </c:pt>
              <c:pt idx="28">
                <c:v>7.7</c:v>
              </c:pt>
              <c:pt idx="29">
                <c:v>5.4</c:v>
              </c:pt>
              <c:pt idx="30">
                <c:v>7.4</c:v>
              </c:pt>
            </c:numLit>
          </c:val>
          <c:smooth val="0"/>
        </c:ser>
        <c:ser>
          <c:idx val="3"/>
          <c:order val="1"/>
          <c:tx>
            <c:v>Frost Point</c:v>
          </c:tx>
          <c:spPr>
            <a:ln w="38100">
              <a:solidFill>
                <a:srgbClr val="000080"/>
              </a:solidFill>
              <a:prstDash val="sysDash"/>
            </a:ln>
          </c:spPr>
          <c:marker>
            <c:symbol val="none"/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</c:numLit>
          </c:val>
          <c:smooth val="0"/>
        </c:ser>
        <c:ser>
          <c:idx val="0"/>
          <c:order val="2"/>
          <c:tx>
            <c:v>Mean' Dew Point</c:v>
          </c:tx>
          <c:spPr>
            <a:ln w="38100">
              <a:solidFill>
                <a:srgbClr val="008080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666699"/>
              </a:solidFill>
              <a:ln>
                <a:solidFill>
                  <a:srgbClr val="666699"/>
                </a:solidFill>
                <a:prstDash val="solid"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5.8</c:v>
              </c:pt>
              <c:pt idx="1">
                <c:v>8.3000000000000007</c:v>
              </c:pt>
              <c:pt idx="2">
                <c:v>8.1999999999999993</c:v>
              </c:pt>
              <c:pt idx="3">
                <c:v>8.1</c:v>
              </c:pt>
              <c:pt idx="4">
                <c:v>10.1</c:v>
              </c:pt>
              <c:pt idx="5">
                <c:v>9.8000000000000007</c:v>
              </c:pt>
              <c:pt idx="6">
                <c:v>11.1</c:v>
              </c:pt>
              <c:pt idx="7">
                <c:v>11.3</c:v>
              </c:pt>
              <c:pt idx="8">
                <c:v>11.1</c:v>
              </c:pt>
              <c:pt idx="9">
                <c:v>11.5</c:v>
              </c:pt>
              <c:pt idx="10">
                <c:v>11</c:v>
              </c:pt>
              <c:pt idx="11">
                <c:v>11</c:v>
              </c:pt>
              <c:pt idx="12">
                <c:v>7.8</c:v>
              </c:pt>
              <c:pt idx="13">
                <c:v>7.5</c:v>
              </c:pt>
              <c:pt idx="14">
                <c:v>8.5</c:v>
              </c:pt>
              <c:pt idx="15">
                <c:v>12.9</c:v>
              </c:pt>
              <c:pt idx="16">
                <c:v>11.4</c:v>
              </c:pt>
              <c:pt idx="17">
                <c:v>11.5</c:v>
              </c:pt>
              <c:pt idx="18">
                <c:v>12.6</c:v>
              </c:pt>
              <c:pt idx="19">
                <c:v>11.3</c:v>
              </c:pt>
              <c:pt idx="20">
                <c:v>12.8</c:v>
              </c:pt>
              <c:pt idx="21">
                <c:v>9.4</c:v>
              </c:pt>
              <c:pt idx="22">
                <c:v>7.8</c:v>
              </c:pt>
              <c:pt idx="23">
                <c:v>6.8</c:v>
              </c:pt>
              <c:pt idx="24">
                <c:v>7.5</c:v>
              </c:pt>
              <c:pt idx="25">
                <c:v>10.9</c:v>
              </c:pt>
              <c:pt idx="26">
                <c:v>11.7</c:v>
              </c:pt>
              <c:pt idx="27">
                <c:v>12.2</c:v>
              </c:pt>
              <c:pt idx="28">
                <c:v>11.5</c:v>
              </c:pt>
              <c:pt idx="29">
                <c:v>7.9</c:v>
              </c:pt>
              <c:pt idx="30">
                <c:v>10.4</c:v>
              </c:pt>
            </c:numLit>
          </c:val>
          <c:smooth val="0"/>
        </c:ser>
        <c:ser>
          <c:idx val="4"/>
          <c:order val="3"/>
          <c:tx>
            <c:v>Max Dew Point</c:v>
          </c:tx>
          <c:spPr>
            <a:ln w="38100">
              <a:solidFill>
                <a:srgbClr val="003300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003366"/>
              </a:solidFill>
              <a:ln>
                <a:solidFill>
                  <a:srgbClr val="003366"/>
                </a:solidFill>
                <a:prstDash val="solid"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8.4</c:v>
              </c:pt>
              <c:pt idx="1">
                <c:v>11.7</c:v>
              </c:pt>
              <c:pt idx="2">
                <c:v>10.199999999999999</c:v>
              </c:pt>
              <c:pt idx="3">
                <c:v>9.8000000000000007</c:v>
              </c:pt>
              <c:pt idx="4">
                <c:v>13.3</c:v>
              </c:pt>
              <c:pt idx="5">
                <c:v>13.3</c:v>
              </c:pt>
              <c:pt idx="6">
                <c:v>14</c:v>
              </c:pt>
              <c:pt idx="7">
                <c:v>13.6</c:v>
              </c:pt>
              <c:pt idx="8">
                <c:v>12.2</c:v>
              </c:pt>
              <c:pt idx="9">
                <c:v>13.6</c:v>
              </c:pt>
              <c:pt idx="10">
                <c:v>14.3</c:v>
              </c:pt>
              <c:pt idx="11">
                <c:v>12.5</c:v>
              </c:pt>
              <c:pt idx="12">
                <c:v>10.1</c:v>
              </c:pt>
              <c:pt idx="13">
                <c:v>10</c:v>
              </c:pt>
              <c:pt idx="14">
                <c:v>11.9</c:v>
              </c:pt>
              <c:pt idx="15">
                <c:v>16.399999999999999</c:v>
              </c:pt>
              <c:pt idx="16">
                <c:v>14.6</c:v>
              </c:pt>
              <c:pt idx="17">
                <c:v>12.5</c:v>
              </c:pt>
              <c:pt idx="18">
                <c:v>14.9</c:v>
              </c:pt>
              <c:pt idx="19">
                <c:v>12.3</c:v>
              </c:pt>
              <c:pt idx="20">
                <c:v>14.7</c:v>
              </c:pt>
              <c:pt idx="21">
                <c:v>11.7</c:v>
              </c:pt>
              <c:pt idx="22">
                <c:v>11.2</c:v>
              </c:pt>
              <c:pt idx="23">
                <c:v>10</c:v>
              </c:pt>
              <c:pt idx="24">
                <c:v>11</c:v>
              </c:pt>
              <c:pt idx="25">
                <c:v>12.5</c:v>
              </c:pt>
              <c:pt idx="26">
                <c:v>12.9</c:v>
              </c:pt>
              <c:pt idx="27">
                <c:v>13.9</c:v>
              </c:pt>
              <c:pt idx="28">
                <c:v>14</c:v>
              </c:pt>
              <c:pt idx="29">
                <c:v>10.199999999999999</c:v>
              </c:pt>
              <c:pt idx="30">
                <c:v>12.4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186752"/>
        <c:axId val="118188672"/>
      </c:lineChart>
      <c:catAx>
        <c:axId val="118186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8188672"/>
        <c:crossesAt val="-10"/>
        <c:auto val="1"/>
        <c:lblAlgn val="ctr"/>
        <c:lblOffset val="100"/>
        <c:tickLblSkip val="1"/>
        <c:tickMarkSkip val="1"/>
        <c:noMultiLvlLbl val="0"/>
      </c:catAx>
      <c:valAx>
        <c:axId val="118188672"/>
        <c:scaling>
          <c:orientation val="minMax"/>
          <c:max val="20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8186752"/>
        <c:crosses val="autoZero"/>
        <c:crossBetween val="between"/>
        <c:majorUnit val="5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12700">
      <a:solidFill>
        <a:srgbClr val="800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Mean Wind Direction Frequency</a:t>
            </a:r>
          </a:p>
        </c:rich>
      </c:tx>
      <c:layout>
        <c:manualLayout>
          <c:xMode val="edge"/>
          <c:yMode val="edge"/>
          <c:x val="0.40434296945276205"/>
          <c:y val="2.585193889541715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0809876812071785"/>
          <c:y val="0.15981198589894241"/>
          <c:w val="0.37206594093054307"/>
          <c:h val="0.74500587544065799"/>
        </c:manualLayout>
      </c:layout>
      <c:radarChart>
        <c:radarStyle val="filled"/>
        <c:varyColors val="1"/>
        <c:ser>
          <c:idx val="0"/>
          <c:order val="0"/>
          <c:tx>
            <c:v>Mean Wind Direction</c:v>
          </c:tx>
          <c:spPr>
            <a:solidFill>
              <a:srgbClr val="FF99CC"/>
            </a:solidFill>
            <a:ln w="38100">
              <a:solidFill>
                <a:srgbClr val="FF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</c:dPt>
          <c:dPt>
            <c:idx val="2"/>
            <c:bubble3D val="0"/>
          </c:dPt>
          <c:dPt>
            <c:idx val="3"/>
            <c:bubble3D val="0"/>
          </c:dPt>
          <c:dPt>
            <c:idx val="4"/>
            <c:bubble3D val="0"/>
          </c:dPt>
          <c:dPt>
            <c:idx val="5"/>
            <c:bubble3D val="0"/>
          </c:dPt>
          <c:dPt>
            <c:idx val="6"/>
            <c:bubble3D val="0"/>
          </c:dPt>
          <c:dPt>
            <c:idx val="7"/>
            <c:bubble3D val="0"/>
          </c:dPt>
          <c:dLbls>
            <c:dLbl>
              <c:idx val="0"/>
              <c:layout>
                <c:manualLayout>
                  <c:x val="-8.0197024719062229E-4"/>
                  <c:y val="-0.1277124025771749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 val="0.10040227321664361"/>
                  <c:y val="-0.1667079335412098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layout>
                <c:manualLayout>
                  <c:x val="0.18030144125125075"/>
                  <c:y val="-1.106532071270180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layout>
                <c:manualLayout>
                  <c:x val="0.13152792375474173"/>
                  <c:y val="0.22335297981994318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4"/>
              <c:layout>
                <c:manualLayout>
                  <c:x val="1.5454489384910317E-3"/>
                  <c:y val="0.24267537650625631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5"/>
              <c:layout>
                <c:manualLayout>
                  <c:x val="-4.8768127174451927E-2"/>
                  <c:y val="6.2652861694285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6"/>
              <c:layout>
                <c:manualLayout>
                  <c:x val="-0.13539718118619484"/>
                  <c:y val="-7.5400563178722232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7"/>
              <c:layout>
                <c:manualLayout>
                  <c:x val="-0.11414199494631874"/>
                  <c:y val="-0.2062841616008339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50" b="1" i="0" u="none" strike="noStrike" baseline="0">
                    <a:solidFill>
                      <a:srgbClr val="FF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Lit>
              <c:ptCount val="8"/>
              <c:pt idx="0">
                <c:v>N</c:v>
              </c:pt>
              <c:pt idx="1">
                <c:v>NE</c:v>
              </c:pt>
              <c:pt idx="2">
                <c:v>E</c:v>
              </c:pt>
              <c:pt idx="3">
                <c:v>SE</c:v>
              </c:pt>
              <c:pt idx="4">
                <c:v>S</c:v>
              </c:pt>
              <c:pt idx="5">
                <c:v>SW</c:v>
              </c:pt>
              <c:pt idx="6">
                <c:v>W</c:v>
              </c:pt>
              <c:pt idx="7">
                <c:v>NW</c:v>
              </c:pt>
            </c:strLit>
          </c:cat>
          <c:val>
            <c:numLit>
              <c:formatCode>General</c:formatCode>
              <c:ptCount val="8"/>
              <c:pt idx="0">
                <c:v>8</c:v>
              </c:pt>
              <c:pt idx="1">
                <c:v>4</c:v>
              </c:pt>
              <c:pt idx="2">
                <c:v>0</c:v>
              </c:pt>
              <c:pt idx="3">
                <c:v>1</c:v>
              </c:pt>
              <c:pt idx="4">
                <c:v>4</c:v>
              </c:pt>
              <c:pt idx="5">
                <c:v>8</c:v>
              </c:pt>
              <c:pt idx="6">
                <c:v>3</c:v>
              </c:pt>
              <c:pt idx="7">
                <c:v>3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572544"/>
        <c:axId val="118574080"/>
      </c:radarChart>
      <c:catAx>
        <c:axId val="118572544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8574080"/>
        <c:crosses val="autoZero"/>
        <c:auto val="0"/>
        <c:lblAlgn val="ctr"/>
        <c:lblOffset val="100"/>
        <c:noMultiLvlLbl val="0"/>
      </c:catAx>
      <c:valAx>
        <c:axId val="118574080"/>
        <c:scaling>
          <c:orientation val="minMax"/>
          <c:max val="12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8572544"/>
        <c:crosses val="autoZero"/>
        <c:crossBetween val="between"/>
        <c:majorUnit val="2"/>
      </c:valAx>
      <c:spPr>
        <a:solidFill>
          <a:srgbClr val="C0C0C0"/>
        </a:solidFill>
        <a:ln w="25400">
          <a:noFill/>
        </a:ln>
      </c:spPr>
    </c:plotArea>
    <c:plotVisOnly val="1"/>
    <c:dispBlanksAs val="gap"/>
    <c:showDLblsOverMax val="0"/>
  </c:chart>
  <c:spPr>
    <a:solidFill>
      <a:srgbClr val="C0C0C0"/>
    </a:solidFill>
    <a:ln w="3175">
      <a:solidFill>
        <a:srgbClr val="000000"/>
      </a:solidFill>
      <a:prstDash val="solid"/>
    </a:ln>
  </c:spPr>
  <c:txPr>
    <a:bodyPr/>
    <a:lstStyle/>
    <a:p>
      <a:pPr>
        <a:defRPr sz="23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Cumulative Sun Hours / h</a:t>
            </a:r>
          </a:p>
        </c:rich>
      </c:tx>
      <c:layout>
        <c:manualLayout>
          <c:xMode val="edge"/>
          <c:yMode val="edge"/>
          <c:x val="0.42778132143439052"/>
          <c:y val="2.690058479532163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502160052459488E-2"/>
          <c:y val="8.538021447849789E-2"/>
          <c:w val="0.9403813516721462"/>
          <c:h val="0.86432847259739654"/>
        </c:manualLayout>
      </c:layout>
      <c:lineChart>
        <c:grouping val="standard"/>
        <c:varyColors val="0"/>
        <c:ser>
          <c:idx val="1"/>
          <c:order val="0"/>
          <c:tx>
            <c:v>Cumulative Sun Hours</c:v>
          </c:tx>
          <c:spPr>
            <a:ln w="38100">
              <a:solidFill>
                <a:srgbClr val="FFFF00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99CC00"/>
              </a:solidFill>
              <a:ln>
                <a:solidFill>
                  <a:srgbClr val="99CC00"/>
                </a:solidFill>
                <a:prstDash val="solid"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11</c:v>
              </c:pt>
              <c:pt idx="1">
                <c:v>18</c:v>
              </c:pt>
              <c:pt idx="2">
                <c:v>26</c:v>
              </c:pt>
              <c:pt idx="3">
                <c:v>35</c:v>
              </c:pt>
              <c:pt idx="4">
                <c:v>44</c:v>
              </c:pt>
              <c:pt idx="5">
                <c:v>51</c:v>
              </c:pt>
              <c:pt idx="6">
                <c:v>53</c:v>
              </c:pt>
              <c:pt idx="7">
                <c:v>55.5</c:v>
              </c:pt>
              <c:pt idx="8">
                <c:v>62.5</c:v>
              </c:pt>
              <c:pt idx="9">
                <c:v>66</c:v>
              </c:pt>
              <c:pt idx="10">
                <c:v>75</c:v>
              </c:pt>
              <c:pt idx="11">
                <c:v>75.7</c:v>
              </c:pt>
              <c:pt idx="12">
                <c:v>76.7</c:v>
              </c:pt>
              <c:pt idx="13">
                <c:v>80.2</c:v>
              </c:pt>
              <c:pt idx="14">
                <c:v>89.2</c:v>
              </c:pt>
              <c:pt idx="15">
                <c:v>91.2</c:v>
              </c:pt>
              <c:pt idx="16">
                <c:v>93.2</c:v>
              </c:pt>
              <c:pt idx="17">
                <c:v>94</c:v>
              </c:pt>
              <c:pt idx="18">
                <c:v>97</c:v>
              </c:pt>
              <c:pt idx="19">
                <c:v>97.5</c:v>
              </c:pt>
              <c:pt idx="20">
                <c:v>97.7</c:v>
              </c:pt>
              <c:pt idx="21">
                <c:v>105.7</c:v>
              </c:pt>
              <c:pt idx="22">
                <c:v>109.7</c:v>
              </c:pt>
              <c:pt idx="23">
                <c:v>122.7</c:v>
              </c:pt>
              <c:pt idx="24">
                <c:v>130.69999999999999</c:v>
              </c:pt>
              <c:pt idx="25">
                <c:v>131.39999999999998</c:v>
              </c:pt>
              <c:pt idx="26">
                <c:v>132.89999999999998</c:v>
              </c:pt>
              <c:pt idx="27">
                <c:v>139.39999999999998</c:v>
              </c:pt>
              <c:pt idx="28">
                <c:v>143.39999999999998</c:v>
              </c:pt>
              <c:pt idx="29">
                <c:v>154.39999999999998</c:v>
              </c:pt>
              <c:pt idx="30">
                <c:v>166.39999999999998</c:v>
              </c:pt>
            </c:numLit>
          </c:val>
          <c:smooth val="0"/>
        </c:ser>
        <c:ser>
          <c:idx val="2"/>
          <c:order val="1"/>
          <c:tx>
            <c:v>E (Cumulative Sun Hours)</c:v>
          </c:tx>
          <c:spPr>
            <a:ln w="25400">
              <a:solidFill>
                <a:srgbClr val="FFFF99"/>
              </a:solidFill>
              <a:prstDash val="lgDash"/>
            </a:ln>
          </c:spPr>
          <c:marker>
            <c:symbol val="diamond"/>
            <c:size val="2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6.1348369427787981</c:v>
              </c:pt>
              <c:pt idx="1">
                <c:v>12.263641265947463</c:v>
              </c:pt>
              <c:pt idx="2">
                <c:v>18.385825247895273</c:v>
              </c:pt>
              <c:pt idx="3">
                <c:v>24.500807634529203</c:v>
              </c:pt>
              <c:pt idx="4">
                <c:v>30.60801413047243</c:v>
              </c:pt>
              <c:pt idx="5">
                <c:v>36.706877865395207</c:v>
              </c:pt>
              <c:pt idx="6">
                <c:v>42.796839834327791</c:v>
              </c:pt>
              <c:pt idx="7">
                <c:v>48.877349310991889</c:v>
              </c:pt>
              <c:pt idx="8">
                <c:v>54.947864233374304</c:v>
              </c:pt>
              <c:pt idx="9">
                <c:v>61.007851560952233</c:v>
              </c:pt>
              <c:pt idx="10">
                <c:v>67.056787603161709</c:v>
              </c:pt>
              <c:pt idx="11">
                <c:v>73.094158318877575</c:v>
              </c:pt>
              <c:pt idx="12">
                <c:v>79.119459586843419</c:v>
              </c:pt>
              <c:pt idx="13">
                <c:v>85.132197447151427</c:v>
              </c:pt>
              <c:pt idx="14">
                <c:v>91.131888314024408</c:v>
              </c:pt>
              <c:pt idx="15">
                <c:v>97.118059160294109</c:v>
              </c:pt>
              <c:pt idx="16">
                <c:v>103.09024767410057</c:v>
              </c:pt>
              <c:pt idx="17">
                <c:v>109.04800238845611</c:v>
              </c:pt>
              <c:pt idx="18">
                <c:v>114.99088278442468</c:v>
              </c:pt>
              <c:pt idx="19">
                <c:v>120.91845936876194</c:v>
              </c:pt>
              <c:pt idx="20">
                <c:v>126.83031372694394</c:v>
              </c:pt>
              <c:pt idx="21">
                <c:v>132.72603855258302</c:v>
              </c:pt>
              <c:pt idx="22">
                <c:v>138.6052376542882</c:v>
              </c:pt>
              <c:pt idx="23">
                <c:v>144.46752594107517</c:v>
              </c:pt>
              <c:pt idx="24">
                <c:v>150.31252938746775</c:v>
              </c:pt>
              <c:pt idx="25">
                <c:v>156.13988497945914</c:v>
              </c:pt>
              <c:pt idx="26">
                <c:v>161.94924064251913</c:v>
              </c:pt>
              <c:pt idx="27">
                <c:v>167.740255152841</c:v>
              </c:pt>
              <c:pt idx="28">
                <c:v>173.51259803302287</c:v>
              </c:pt>
              <c:pt idx="29">
                <c:v>179.26594943337119</c:v>
              </c:pt>
              <c:pt idx="30">
                <c:v>185.00000000000011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4272"/>
        <c:axId val="118710272"/>
      </c:lineChart>
      <c:lineChart>
        <c:grouping val="standard"/>
        <c:varyColors val="0"/>
        <c:ser>
          <c:idx val="0"/>
          <c:order val="2"/>
          <c:tx>
            <c:v>Cumulative Anomaly</c:v>
          </c:tx>
          <c:spPr>
            <a:ln w="12700">
              <a:solidFill>
                <a:srgbClr val="99CC00"/>
              </a:solidFill>
              <a:prstDash val="solid"/>
            </a:ln>
          </c:spPr>
          <c:marker>
            <c:symbol val="circle"/>
            <c:size val="2"/>
            <c:spPr>
              <a:solidFill>
                <a:srgbClr val="808000"/>
              </a:solidFill>
              <a:ln>
                <a:solidFill>
                  <a:srgbClr val="808000"/>
                </a:solidFill>
                <a:prstDash val="solid"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1.7930386907752935</c:v>
              </c:pt>
              <c:pt idx="1">
                <c:v>1.467753305046579</c:v>
              </c:pt>
              <c:pt idx="2">
                <c:v>1.414132879511425</c:v>
              </c:pt>
              <c:pt idx="3">
                <c:v>1.4285243377313894</c:v>
              </c:pt>
              <c:pt idx="4">
                <c:v>1.4375320075468374</c:v>
              </c:pt>
              <c:pt idx="5">
                <c:v>1.3893853949392792</c:v>
              </c:pt>
              <c:pt idx="6">
                <c:v>1.2384091957530039</c:v>
              </c:pt>
              <c:pt idx="7">
                <c:v>1.1354952914256904</c:v>
              </c:pt>
              <c:pt idx="8">
                <c:v>1.1374418436820457</c:v>
              </c:pt>
              <c:pt idx="9">
                <c:v>1.0818279665865658</c:v>
              </c:pt>
              <c:pt idx="10">
                <c:v>1.1184550092653673</c:v>
              </c:pt>
              <c:pt idx="11">
                <c:v>1.0356504779732778</c:v>
              </c:pt>
              <c:pt idx="12">
                <c:v>0.9694201704678258</c:v>
              </c:pt>
              <c:pt idx="13">
                <c:v>0.94206425306696395</c:v>
              </c:pt>
              <c:pt idx="14">
                <c:v>0.978801182003741</c:v>
              </c:pt>
              <c:pt idx="15">
                <c:v>0.93906324723266654</c:v>
              </c:pt>
              <c:pt idx="16">
                <c:v>0.90406223772624328</c:v>
              </c:pt>
              <c:pt idx="17">
                <c:v>0.86200570337041682</c:v>
              </c:pt>
              <c:pt idx="18">
                <c:v>0.84354513724229341</c:v>
              </c:pt>
              <c:pt idx="19">
                <c:v>0.8063285002884194</c:v>
              </c:pt>
              <c:pt idx="20">
                <c:v>0.77032057344225058</c:v>
              </c:pt>
              <c:pt idx="21">
                <c:v>0.79637726818859345</c:v>
              </c:pt>
              <c:pt idx="22">
                <c:v>0.79145638257636275</c:v>
              </c:pt>
              <c:pt idx="23">
                <c:v>0.849325820461869</c:v>
              </c:pt>
              <c:pt idx="24">
                <c:v>0.86952165952239679</c:v>
              </c:pt>
              <c:pt idx="25">
                <c:v>0.84155307285698466</c:v>
              </c:pt>
              <c:pt idx="26">
                <c:v>0.82062749706470439</c:v>
              </c:pt>
              <c:pt idx="27">
                <c:v>0.83104678643168839</c:v>
              </c:pt>
              <c:pt idx="28">
                <c:v>0.82645295860712165</c:v>
              </c:pt>
              <c:pt idx="29">
                <c:v>0.86129016965035354</c:v>
              </c:pt>
              <c:pt idx="30">
                <c:v>0.89945945945945882</c:v>
              </c:pt>
            </c:numLit>
          </c:val>
          <c:smooth val="0"/>
        </c:ser>
        <c:ser>
          <c:idx val="3"/>
          <c:order val="3"/>
          <c:tx>
            <c:v>E (Cumulative Anomaly)</c:v>
          </c:tx>
          <c:spPr>
            <a:ln w="12700">
              <a:solidFill>
                <a:srgbClr val="808000"/>
              </a:solidFill>
              <a:prstDash val="lgDash"/>
            </a:ln>
          </c:spPr>
          <c:marker>
            <c:symbol val="none"/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1</c:v>
              </c:pt>
              <c:pt idx="1">
                <c:v>1</c:v>
              </c:pt>
              <c:pt idx="2">
                <c:v>1</c:v>
              </c:pt>
              <c:pt idx="3">
                <c:v>1</c:v>
              </c:pt>
              <c:pt idx="4">
                <c:v>1</c:v>
              </c:pt>
              <c:pt idx="5">
                <c:v>1</c:v>
              </c:pt>
              <c:pt idx="6">
                <c:v>1</c:v>
              </c:pt>
              <c:pt idx="7">
                <c:v>1</c:v>
              </c:pt>
              <c:pt idx="8">
                <c:v>1</c:v>
              </c:pt>
              <c:pt idx="9">
                <c:v>1</c:v>
              </c:pt>
              <c:pt idx="10">
                <c:v>1</c:v>
              </c:pt>
              <c:pt idx="11">
                <c:v>1</c:v>
              </c:pt>
              <c:pt idx="12">
                <c:v>1</c:v>
              </c:pt>
              <c:pt idx="13">
                <c:v>1</c:v>
              </c:pt>
              <c:pt idx="14">
                <c:v>1</c:v>
              </c:pt>
              <c:pt idx="15">
                <c:v>1</c:v>
              </c:pt>
              <c:pt idx="16">
                <c:v>1</c:v>
              </c:pt>
              <c:pt idx="17">
                <c:v>1</c:v>
              </c:pt>
              <c:pt idx="18">
                <c:v>1</c:v>
              </c:pt>
              <c:pt idx="19">
                <c:v>1</c:v>
              </c:pt>
              <c:pt idx="20">
                <c:v>1</c:v>
              </c:pt>
              <c:pt idx="21">
                <c:v>1</c:v>
              </c:pt>
              <c:pt idx="22">
                <c:v>1</c:v>
              </c:pt>
              <c:pt idx="23">
                <c:v>1</c:v>
              </c:pt>
              <c:pt idx="24">
                <c:v>1</c:v>
              </c:pt>
              <c:pt idx="25">
                <c:v>1</c:v>
              </c:pt>
              <c:pt idx="26">
                <c:v>1</c:v>
              </c:pt>
              <c:pt idx="27">
                <c:v>1</c:v>
              </c:pt>
              <c:pt idx="28">
                <c:v>1</c:v>
              </c:pt>
              <c:pt idx="29">
                <c:v>1</c:v>
              </c:pt>
              <c:pt idx="30">
                <c:v>1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11808"/>
        <c:axId val="118713344"/>
      </c:lineChart>
      <c:catAx>
        <c:axId val="11861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87102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8710272"/>
        <c:scaling>
          <c:orientation val="minMax"/>
          <c:max val="200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8614272"/>
        <c:crosses val="autoZero"/>
        <c:crossBetween val="between"/>
        <c:majorUnit val="50"/>
      </c:valAx>
      <c:catAx>
        <c:axId val="1187118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713344"/>
        <c:crosses val="autoZero"/>
        <c:auto val="1"/>
        <c:lblAlgn val="ctr"/>
        <c:lblOffset val="100"/>
        <c:noMultiLvlLbl val="0"/>
      </c:catAx>
      <c:valAx>
        <c:axId val="118713344"/>
        <c:scaling>
          <c:orientation val="minMax"/>
          <c:max val="2"/>
          <c:min val="0"/>
        </c:scaling>
        <c:delete val="0"/>
        <c:axPos val="r"/>
        <c:numFmt formatCode="0%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8711808"/>
        <c:crosses val="max"/>
        <c:crossBetween val="between"/>
        <c:majorUnit val="0.5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 horizontalDpi="-3" verticalDpi="0"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 sz="14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Mean' &amp; Mean Temperature / </a:t>
            </a:r>
            <a:r>
              <a:rPr lang="en-GB" sz="1400" b="1" i="0" u="none" strike="noStrike" baseline="30000">
                <a:solidFill>
                  <a:srgbClr val="000000"/>
                </a:solidFill>
                <a:latin typeface="Arial"/>
                <a:cs typeface="Arial"/>
              </a:rPr>
              <a:t>o</a:t>
            </a:r>
            <a:r>
              <a:rPr lang="en-GB" sz="14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C</a:t>
            </a:r>
          </a:p>
        </c:rich>
      </c:tx>
      <c:layout>
        <c:manualLayout>
          <c:xMode val="edge"/>
          <c:yMode val="edge"/>
          <c:x val="0.40872784878534313"/>
          <c:y val="1.990632318501171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970505042623335E-2"/>
          <c:y val="8.6651053864168617E-2"/>
          <c:w val="0.97172739672788444"/>
          <c:h val="0.86299765807962525"/>
        </c:manualLayout>
      </c:layout>
      <c:lineChart>
        <c:grouping val="standard"/>
        <c:varyColors val="0"/>
        <c:ser>
          <c:idx val="2"/>
          <c:order val="0"/>
          <c:tx>
            <c:v>Mean Temperature</c:v>
          </c:tx>
          <c:spPr>
            <a:ln w="25400">
              <a:solidFill>
                <a:srgbClr val="666699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333399"/>
              </a:solidFill>
              <a:ln>
                <a:solidFill>
                  <a:srgbClr val="333399"/>
                </a:solidFill>
                <a:prstDash val="solid"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15.35</c:v>
              </c:pt>
              <c:pt idx="1">
                <c:v>17</c:v>
              </c:pt>
              <c:pt idx="2">
                <c:v>18.350000000000001</c:v>
              </c:pt>
              <c:pt idx="3">
                <c:v>19.600000000000001</c:v>
              </c:pt>
              <c:pt idx="4">
                <c:v>19.75</c:v>
              </c:pt>
              <c:pt idx="5">
                <c:v>16.8</c:v>
              </c:pt>
              <c:pt idx="6">
                <c:v>16.350000000000001</c:v>
              </c:pt>
              <c:pt idx="7">
                <c:v>15.850000000000001</c:v>
              </c:pt>
              <c:pt idx="8">
                <c:v>17.649999999999999</c:v>
              </c:pt>
              <c:pt idx="9">
                <c:v>17.45</c:v>
              </c:pt>
              <c:pt idx="10">
                <c:v>17.95</c:v>
              </c:pt>
              <c:pt idx="11">
                <c:v>16.55</c:v>
              </c:pt>
              <c:pt idx="12">
                <c:v>14.7</c:v>
              </c:pt>
              <c:pt idx="13">
                <c:v>17.2</c:v>
              </c:pt>
              <c:pt idx="14">
                <c:v>17.899999999999999</c:v>
              </c:pt>
              <c:pt idx="15">
                <c:v>16.100000000000001</c:v>
              </c:pt>
              <c:pt idx="16">
                <c:v>15.85</c:v>
              </c:pt>
              <c:pt idx="17">
                <c:v>15.799999999999999</c:v>
              </c:pt>
              <c:pt idx="18">
                <c:v>15.899999999999999</c:v>
              </c:pt>
              <c:pt idx="19">
                <c:v>15.850000000000001</c:v>
              </c:pt>
              <c:pt idx="20">
                <c:v>16.2</c:v>
              </c:pt>
              <c:pt idx="21">
                <c:v>15.35</c:v>
              </c:pt>
              <c:pt idx="22">
                <c:v>14.45</c:v>
              </c:pt>
              <c:pt idx="23">
                <c:v>16.899999999999999</c:v>
              </c:pt>
              <c:pt idx="24">
                <c:v>16.7</c:v>
              </c:pt>
              <c:pt idx="25">
                <c:v>15.95</c:v>
              </c:pt>
              <c:pt idx="26">
                <c:v>17.25</c:v>
              </c:pt>
              <c:pt idx="27">
                <c:v>19</c:v>
              </c:pt>
              <c:pt idx="28">
                <c:v>16.95</c:v>
              </c:pt>
              <c:pt idx="29">
                <c:v>15.45</c:v>
              </c:pt>
              <c:pt idx="30">
                <c:v>18.350000000000001</c:v>
              </c:pt>
            </c:numLit>
          </c:val>
          <c:smooth val="0"/>
        </c:ser>
        <c:ser>
          <c:idx val="0"/>
          <c:order val="1"/>
          <c:tx>
            <c:v>Mean' Temperature</c:v>
          </c:tx>
          <c:spPr>
            <a:ln w="38100">
              <a:solidFill>
                <a:srgbClr val="800080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666699"/>
              </a:solidFill>
              <a:ln>
                <a:solidFill>
                  <a:srgbClr val="666699"/>
                </a:solidFill>
                <a:prstDash val="solid"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16.2</c:v>
              </c:pt>
              <c:pt idx="1">
                <c:v>17.8</c:v>
              </c:pt>
              <c:pt idx="2">
                <c:v>18.8</c:v>
              </c:pt>
              <c:pt idx="3">
                <c:v>20.100000000000001</c:v>
              </c:pt>
              <c:pt idx="4">
                <c:v>19</c:v>
              </c:pt>
              <c:pt idx="5">
                <c:v>16.7</c:v>
              </c:pt>
              <c:pt idx="6">
                <c:v>15.9</c:v>
              </c:pt>
              <c:pt idx="7">
                <c:v>15.5</c:v>
              </c:pt>
              <c:pt idx="8">
                <c:v>17.3</c:v>
              </c:pt>
              <c:pt idx="9">
                <c:v>17.5</c:v>
              </c:pt>
              <c:pt idx="10">
                <c:v>18.7</c:v>
              </c:pt>
              <c:pt idx="11">
                <c:v>16.7</c:v>
              </c:pt>
              <c:pt idx="12">
                <c:v>14.6</c:v>
              </c:pt>
              <c:pt idx="13">
                <c:v>16.8</c:v>
              </c:pt>
              <c:pt idx="14">
                <c:v>18.7</c:v>
              </c:pt>
              <c:pt idx="15">
                <c:v>16</c:v>
              </c:pt>
              <c:pt idx="16">
                <c:v>15.6</c:v>
              </c:pt>
              <c:pt idx="17">
                <c:v>15.1</c:v>
              </c:pt>
              <c:pt idx="18">
                <c:v>15.3</c:v>
              </c:pt>
              <c:pt idx="19">
                <c:v>15.3</c:v>
              </c:pt>
              <c:pt idx="20">
                <c:v>14.9</c:v>
              </c:pt>
              <c:pt idx="21">
                <c:v>15.7</c:v>
              </c:pt>
              <c:pt idx="22">
                <c:v>14.9</c:v>
              </c:pt>
              <c:pt idx="23">
                <c:v>16.899999999999999</c:v>
              </c:pt>
              <c:pt idx="24">
                <c:v>17.100000000000001</c:v>
              </c:pt>
              <c:pt idx="25">
                <c:v>16.3</c:v>
              </c:pt>
              <c:pt idx="26">
                <c:v>16.8</c:v>
              </c:pt>
              <c:pt idx="27">
                <c:v>18.899999999999999</c:v>
              </c:pt>
              <c:pt idx="28">
                <c:v>16.7</c:v>
              </c:pt>
              <c:pt idx="29">
                <c:v>16.5</c:v>
              </c:pt>
              <c:pt idx="30">
                <c:v>19.2</c:v>
              </c:pt>
            </c:numLit>
          </c:val>
          <c:smooth val="0"/>
        </c:ser>
        <c:ser>
          <c:idx val="1"/>
          <c:order val="2"/>
          <c:tx>
            <c:v>E (Mean)</c:v>
          </c:tx>
          <c:spPr>
            <a:ln w="38100">
              <a:solidFill>
                <a:srgbClr val="CC99FF"/>
              </a:solidFill>
              <a:prstDash val="lgDash"/>
            </a:ln>
          </c:spPr>
          <c:marker>
            <c:symbol val="none"/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17.899999999999999</c:v>
              </c:pt>
              <c:pt idx="1">
                <c:v>17.899999999999999</c:v>
              </c:pt>
              <c:pt idx="2">
                <c:v>17.899999999999999</c:v>
              </c:pt>
              <c:pt idx="3">
                <c:v>17.899999999999999</c:v>
              </c:pt>
              <c:pt idx="4">
                <c:v>17.899999999999999</c:v>
              </c:pt>
              <c:pt idx="5">
                <c:v>17.899999999999999</c:v>
              </c:pt>
              <c:pt idx="6">
                <c:v>17.899999999999999</c:v>
              </c:pt>
              <c:pt idx="7">
                <c:v>17.899999999999999</c:v>
              </c:pt>
              <c:pt idx="8">
                <c:v>17.899999999999999</c:v>
              </c:pt>
              <c:pt idx="9">
                <c:v>17.899999999999999</c:v>
              </c:pt>
              <c:pt idx="10">
                <c:v>17.899999999999999</c:v>
              </c:pt>
              <c:pt idx="11">
                <c:v>17.899999999999999</c:v>
              </c:pt>
              <c:pt idx="12">
                <c:v>17.899999999999999</c:v>
              </c:pt>
              <c:pt idx="13">
                <c:v>17.899999999999999</c:v>
              </c:pt>
              <c:pt idx="14">
                <c:v>17.899999999999999</c:v>
              </c:pt>
              <c:pt idx="15">
                <c:v>17.899999999999999</c:v>
              </c:pt>
              <c:pt idx="16">
                <c:v>17.899999999999999</c:v>
              </c:pt>
              <c:pt idx="17">
                <c:v>17.899999999999999</c:v>
              </c:pt>
              <c:pt idx="18">
                <c:v>17.899999999999999</c:v>
              </c:pt>
              <c:pt idx="19">
                <c:v>17.899999999999999</c:v>
              </c:pt>
              <c:pt idx="20">
                <c:v>17.899999999999999</c:v>
              </c:pt>
              <c:pt idx="21">
                <c:v>17.899999999999999</c:v>
              </c:pt>
              <c:pt idx="22">
                <c:v>17.899999999999999</c:v>
              </c:pt>
              <c:pt idx="23">
                <c:v>17.899999999999999</c:v>
              </c:pt>
              <c:pt idx="24">
                <c:v>17.899999999999999</c:v>
              </c:pt>
              <c:pt idx="25">
                <c:v>17.899999999999999</c:v>
              </c:pt>
              <c:pt idx="26">
                <c:v>17.899999999999999</c:v>
              </c:pt>
              <c:pt idx="27">
                <c:v>17.899999999999999</c:v>
              </c:pt>
              <c:pt idx="28">
                <c:v>17.899999999999999</c:v>
              </c:pt>
              <c:pt idx="29">
                <c:v>17.899999999999999</c:v>
              </c:pt>
              <c:pt idx="30">
                <c:v>17.899999999999999</c:v>
              </c:pt>
            </c:numLit>
          </c:val>
          <c:smooth val="0"/>
        </c:ser>
        <c:ser>
          <c:idx val="3"/>
          <c:order val="3"/>
          <c:tx>
            <c:v>E (Max)</c:v>
          </c:tx>
          <c:spPr>
            <a:ln w="12700">
              <a:solidFill>
                <a:srgbClr val="FFCC99"/>
              </a:solidFill>
              <a:prstDash val="lgDash"/>
            </a:ln>
          </c:spPr>
          <c:marker>
            <c:symbol val="none"/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22.4</c:v>
              </c:pt>
              <c:pt idx="1">
                <c:v>22.4</c:v>
              </c:pt>
              <c:pt idx="2">
                <c:v>22.4</c:v>
              </c:pt>
              <c:pt idx="3">
                <c:v>22.4</c:v>
              </c:pt>
              <c:pt idx="4">
                <c:v>22.4</c:v>
              </c:pt>
              <c:pt idx="5">
                <c:v>22.4</c:v>
              </c:pt>
              <c:pt idx="6">
                <c:v>22.4</c:v>
              </c:pt>
              <c:pt idx="7">
                <c:v>22.4</c:v>
              </c:pt>
              <c:pt idx="8">
                <c:v>22.4</c:v>
              </c:pt>
              <c:pt idx="9">
                <c:v>22.4</c:v>
              </c:pt>
              <c:pt idx="10">
                <c:v>22.4</c:v>
              </c:pt>
              <c:pt idx="11">
                <c:v>22.4</c:v>
              </c:pt>
              <c:pt idx="12">
                <c:v>22.4</c:v>
              </c:pt>
              <c:pt idx="13">
                <c:v>22.4</c:v>
              </c:pt>
              <c:pt idx="14">
                <c:v>22.4</c:v>
              </c:pt>
              <c:pt idx="15">
                <c:v>22.4</c:v>
              </c:pt>
              <c:pt idx="16">
                <c:v>22.4</c:v>
              </c:pt>
              <c:pt idx="17">
                <c:v>22.4</c:v>
              </c:pt>
              <c:pt idx="18">
                <c:v>22.4</c:v>
              </c:pt>
              <c:pt idx="19">
                <c:v>22.4</c:v>
              </c:pt>
              <c:pt idx="20">
                <c:v>22.4</c:v>
              </c:pt>
              <c:pt idx="21">
                <c:v>22.4</c:v>
              </c:pt>
              <c:pt idx="22">
                <c:v>22.4</c:v>
              </c:pt>
              <c:pt idx="23">
                <c:v>22.4</c:v>
              </c:pt>
              <c:pt idx="24">
                <c:v>22.4</c:v>
              </c:pt>
              <c:pt idx="25">
                <c:v>22.4</c:v>
              </c:pt>
              <c:pt idx="26">
                <c:v>22.4</c:v>
              </c:pt>
              <c:pt idx="27">
                <c:v>22.4</c:v>
              </c:pt>
              <c:pt idx="28">
                <c:v>22.4</c:v>
              </c:pt>
              <c:pt idx="29">
                <c:v>22.4</c:v>
              </c:pt>
              <c:pt idx="30">
                <c:v>22.4</c:v>
              </c:pt>
            </c:numLit>
          </c:val>
          <c:smooth val="0"/>
        </c:ser>
        <c:ser>
          <c:idx val="4"/>
          <c:order val="4"/>
          <c:tx>
            <c:v>E (Min)</c:v>
          </c:tx>
          <c:spPr>
            <a:ln w="12700">
              <a:solidFill>
                <a:srgbClr val="00CCFF"/>
              </a:solidFill>
              <a:prstDash val="lgDash"/>
            </a:ln>
          </c:spPr>
          <c:marker>
            <c:symbol val="none"/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13.4</c:v>
              </c:pt>
              <c:pt idx="1">
                <c:v>13.4</c:v>
              </c:pt>
              <c:pt idx="2">
                <c:v>13.4</c:v>
              </c:pt>
              <c:pt idx="3">
                <c:v>13.4</c:v>
              </c:pt>
              <c:pt idx="4">
                <c:v>13.4</c:v>
              </c:pt>
              <c:pt idx="5">
                <c:v>13.4</c:v>
              </c:pt>
              <c:pt idx="6">
                <c:v>13.4</c:v>
              </c:pt>
              <c:pt idx="7">
                <c:v>13.4</c:v>
              </c:pt>
              <c:pt idx="8">
                <c:v>13.4</c:v>
              </c:pt>
              <c:pt idx="9">
                <c:v>13.4</c:v>
              </c:pt>
              <c:pt idx="10">
                <c:v>13.4</c:v>
              </c:pt>
              <c:pt idx="11">
                <c:v>13.4</c:v>
              </c:pt>
              <c:pt idx="12">
                <c:v>13.4</c:v>
              </c:pt>
              <c:pt idx="13">
                <c:v>13.4</c:v>
              </c:pt>
              <c:pt idx="14">
                <c:v>13.4</c:v>
              </c:pt>
              <c:pt idx="15">
                <c:v>13.4</c:v>
              </c:pt>
              <c:pt idx="16">
                <c:v>13.4</c:v>
              </c:pt>
              <c:pt idx="17">
                <c:v>13.4</c:v>
              </c:pt>
              <c:pt idx="18">
                <c:v>13.4</c:v>
              </c:pt>
              <c:pt idx="19">
                <c:v>13.4</c:v>
              </c:pt>
              <c:pt idx="20">
                <c:v>13.4</c:v>
              </c:pt>
              <c:pt idx="21">
                <c:v>13.4</c:v>
              </c:pt>
              <c:pt idx="22">
                <c:v>13.4</c:v>
              </c:pt>
              <c:pt idx="23">
                <c:v>13.4</c:v>
              </c:pt>
              <c:pt idx="24">
                <c:v>13.4</c:v>
              </c:pt>
              <c:pt idx="25">
                <c:v>13.4</c:v>
              </c:pt>
              <c:pt idx="26">
                <c:v>13.4</c:v>
              </c:pt>
              <c:pt idx="27">
                <c:v>13.4</c:v>
              </c:pt>
              <c:pt idx="28">
                <c:v>13.4</c:v>
              </c:pt>
              <c:pt idx="29">
                <c:v>13.4</c:v>
              </c:pt>
              <c:pt idx="30">
                <c:v>13.4</c:v>
              </c:pt>
            </c:numLit>
          </c:val>
          <c:smooth val="0"/>
        </c:ser>
        <c:ser>
          <c:idx val="5"/>
          <c:order val="5"/>
          <c:tx>
            <c:v>Cold Threshold</c:v>
          </c:tx>
          <c:spPr>
            <a:ln w="25400">
              <a:solidFill>
                <a:srgbClr val="0000FF"/>
              </a:solidFill>
              <a:prstDash val="sysDash"/>
            </a:ln>
          </c:spPr>
          <c:marker>
            <c:symbol val="none"/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14.899999999999999</c:v>
              </c:pt>
              <c:pt idx="1">
                <c:v>14.899999999999999</c:v>
              </c:pt>
              <c:pt idx="2">
                <c:v>14.899999999999999</c:v>
              </c:pt>
              <c:pt idx="3">
                <c:v>14.899999999999999</c:v>
              </c:pt>
              <c:pt idx="4">
                <c:v>14.899999999999999</c:v>
              </c:pt>
              <c:pt idx="5">
                <c:v>14.899999999999999</c:v>
              </c:pt>
              <c:pt idx="6">
                <c:v>14.899999999999999</c:v>
              </c:pt>
              <c:pt idx="7">
                <c:v>14.899999999999999</c:v>
              </c:pt>
              <c:pt idx="8">
                <c:v>14.899999999999999</c:v>
              </c:pt>
              <c:pt idx="9">
                <c:v>14.899999999999999</c:v>
              </c:pt>
              <c:pt idx="10">
                <c:v>14.899999999999999</c:v>
              </c:pt>
              <c:pt idx="11">
                <c:v>14.899999999999999</c:v>
              </c:pt>
              <c:pt idx="12">
                <c:v>14.899999999999999</c:v>
              </c:pt>
              <c:pt idx="13">
                <c:v>14.899999999999999</c:v>
              </c:pt>
              <c:pt idx="14">
                <c:v>14.899999999999999</c:v>
              </c:pt>
              <c:pt idx="15">
                <c:v>14.899999999999999</c:v>
              </c:pt>
              <c:pt idx="16">
                <c:v>14.899999999999999</c:v>
              </c:pt>
              <c:pt idx="17">
                <c:v>14.899999999999999</c:v>
              </c:pt>
              <c:pt idx="18">
                <c:v>14.899999999999999</c:v>
              </c:pt>
              <c:pt idx="19">
                <c:v>14.899999999999999</c:v>
              </c:pt>
              <c:pt idx="20">
                <c:v>14.899999999999999</c:v>
              </c:pt>
              <c:pt idx="21">
                <c:v>14.899999999999999</c:v>
              </c:pt>
              <c:pt idx="22">
                <c:v>14.899999999999999</c:v>
              </c:pt>
              <c:pt idx="23">
                <c:v>14.899999999999999</c:v>
              </c:pt>
              <c:pt idx="24">
                <c:v>14.899999999999999</c:v>
              </c:pt>
              <c:pt idx="25">
                <c:v>14.899999999999999</c:v>
              </c:pt>
              <c:pt idx="26">
                <c:v>14.899999999999999</c:v>
              </c:pt>
              <c:pt idx="27">
                <c:v>14.899999999999999</c:v>
              </c:pt>
              <c:pt idx="28">
                <c:v>14.899999999999999</c:v>
              </c:pt>
              <c:pt idx="29">
                <c:v>14.899999999999999</c:v>
              </c:pt>
              <c:pt idx="30">
                <c:v>14.899999999999999</c:v>
              </c:pt>
            </c:numLit>
          </c:val>
          <c:smooth val="0"/>
        </c:ser>
        <c:ser>
          <c:idx val="6"/>
          <c:order val="6"/>
          <c:tx>
            <c:v>Mild Threshold</c:v>
          </c:tx>
          <c:spPr>
            <a:ln w="25400">
              <a:solidFill>
                <a:srgbClr val="FF6600"/>
              </a:solidFill>
              <a:prstDash val="sysDash"/>
            </a:ln>
          </c:spPr>
          <c:marker>
            <c:symbol val="none"/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20.9</c:v>
              </c:pt>
              <c:pt idx="1">
                <c:v>20.9</c:v>
              </c:pt>
              <c:pt idx="2">
                <c:v>20.9</c:v>
              </c:pt>
              <c:pt idx="3">
                <c:v>20.9</c:v>
              </c:pt>
              <c:pt idx="4">
                <c:v>20.9</c:v>
              </c:pt>
              <c:pt idx="5">
                <c:v>20.9</c:v>
              </c:pt>
              <c:pt idx="6">
                <c:v>20.9</c:v>
              </c:pt>
              <c:pt idx="7">
                <c:v>20.9</c:v>
              </c:pt>
              <c:pt idx="8">
                <c:v>20.9</c:v>
              </c:pt>
              <c:pt idx="9">
                <c:v>20.9</c:v>
              </c:pt>
              <c:pt idx="10">
                <c:v>20.9</c:v>
              </c:pt>
              <c:pt idx="11">
                <c:v>20.9</c:v>
              </c:pt>
              <c:pt idx="12">
                <c:v>20.9</c:v>
              </c:pt>
              <c:pt idx="13">
                <c:v>20.9</c:v>
              </c:pt>
              <c:pt idx="14">
                <c:v>20.9</c:v>
              </c:pt>
              <c:pt idx="15">
                <c:v>20.9</c:v>
              </c:pt>
              <c:pt idx="16">
                <c:v>20.9</c:v>
              </c:pt>
              <c:pt idx="17">
                <c:v>20.9</c:v>
              </c:pt>
              <c:pt idx="18">
                <c:v>20.9</c:v>
              </c:pt>
              <c:pt idx="19">
                <c:v>20.9</c:v>
              </c:pt>
              <c:pt idx="20">
                <c:v>20.9</c:v>
              </c:pt>
              <c:pt idx="21">
                <c:v>20.9</c:v>
              </c:pt>
              <c:pt idx="22">
                <c:v>20.9</c:v>
              </c:pt>
              <c:pt idx="23">
                <c:v>20.9</c:v>
              </c:pt>
              <c:pt idx="24">
                <c:v>20.9</c:v>
              </c:pt>
              <c:pt idx="25">
                <c:v>20.9</c:v>
              </c:pt>
              <c:pt idx="26">
                <c:v>20.9</c:v>
              </c:pt>
              <c:pt idx="27">
                <c:v>20.9</c:v>
              </c:pt>
              <c:pt idx="28">
                <c:v>20.9</c:v>
              </c:pt>
              <c:pt idx="29">
                <c:v>20.9</c:v>
              </c:pt>
              <c:pt idx="30">
                <c:v>20.9</c:v>
              </c:pt>
            </c:numLit>
          </c:val>
          <c:smooth val="0"/>
        </c:ser>
        <c:ser>
          <c:idx val="7"/>
          <c:order val="7"/>
          <c:tx>
            <c:v>Freezing Point</c:v>
          </c:tx>
          <c:spPr>
            <a:ln w="38100">
              <a:solidFill>
                <a:srgbClr val="0000FF"/>
              </a:solidFill>
              <a:prstDash val="sysDash"/>
            </a:ln>
          </c:spPr>
          <c:marker>
            <c:symbol val="none"/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</c:numLit>
          </c:val>
          <c:smooth val="0"/>
        </c:ser>
        <c:ser>
          <c:idx val="8"/>
          <c:order val="8"/>
          <c:tx>
            <c:v>Cum. Mean</c:v>
          </c:tx>
          <c:spPr>
            <a:ln w="12700">
              <a:solidFill>
                <a:srgbClr val="993366"/>
              </a:solidFill>
              <a:prstDash val="solid"/>
            </a:ln>
          </c:spPr>
          <c:marker>
            <c:symbol val="circle"/>
            <c:size val="2"/>
            <c:spPr>
              <a:solidFill>
                <a:srgbClr val="800080"/>
              </a:solidFill>
              <a:ln>
                <a:solidFill>
                  <a:srgbClr val="800080"/>
                </a:solidFill>
                <a:prstDash val="solid"/>
              </a:ln>
            </c:spPr>
          </c:marker>
          <c:val>
            <c:numLit>
              <c:formatCode>General</c:formatCode>
              <c:ptCount val="31"/>
              <c:pt idx="0">
                <c:v>16.2</c:v>
              </c:pt>
              <c:pt idx="1">
                <c:v>17</c:v>
              </c:pt>
              <c:pt idx="2">
                <c:v>17.599999999999998</c:v>
              </c:pt>
              <c:pt idx="3">
                <c:v>18.225000000000001</c:v>
              </c:pt>
              <c:pt idx="4">
                <c:v>18.380000000000003</c:v>
              </c:pt>
              <c:pt idx="5">
                <c:v>18.100000000000001</c:v>
              </c:pt>
              <c:pt idx="6">
                <c:v>17.785714285714288</c:v>
              </c:pt>
              <c:pt idx="7">
                <c:v>17.5</c:v>
              </c:pt>
              <c:pt idx="8">
                <c:v>17.477777777777778</c:v>
              </c:pt>
              <c:pt idx="9">
                <c:v>17.48</c:v>
              </c:pt>
              <c:pt idx="10">
                <c:v>17.59090909090909</c:v>
              </c:pt>
              <c:pt idx="11">
                <c:v>17.516666666666666</c:v>
              </c:pt>
              <c:pt idx="12">
                <c:v>17.292307692307691</c:v>
              </c:pt>
              <c:pt idx="13">
                <c:v>17.257142857142856</c:v>
              </c:pt>
              <c:pt idx="14">
                <c:v>17.353333333333335</c:v>
              </c:pt>
              <c:pt idx="15">
                <c:v>17.268750000000001</c:v>
              </c:pt>
              <c:pt idx="16">
                <c:v>17.170588235294119</c:v>
              </c:pt>
              <c:pt idx="17">
                <c:v>17.055555555555557</c:v>
              </c:pt>
              <c:pt idx="18">
                <c:v>16.963157894736845</c:v>
              </c:pt>
              <c:pt idx="19">
                <c:v>16.880000000000003</c:v>
              </c:pt>
              <c:pt idx="20">
                <c:v>16.785714285714288</c:v>
              </c:pt>
              <c:pt idx="21">
                <c:v>16.736363636363638</c:v>
              </c:pt>
              <c:pt idx="22">
                <c:v>16.656521739130437</c:v>
              </c:pt>
              <c:pt idx="23">
                <c:v>16.666666666666668</c:v>
              </c:pt>
              <c:pt idx="24">
                <c:v>16.684000000000001</c:v>
              </c:pt>
              <c:pt idx="25">
                <c:v>16.669230769230772</c:v>
              </c:pt>
              <c:pt idx="26">
                <c:v>16.674074074074074</c:v>
              </c:pt>
              <c:pt idx="27">
                <c:v>16.75357142857143</c:v>
              </c:pt>
              <c:pt idx="28">
                <c:v>16.751724137931035</c:v>
              </c:pt>
              <c:pt idx="29">
                <c:v>16.743333333333332</c:v>
              </c:pt>
              <c:pt idx="30">
                <c:v>16.822580645161292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18240"/>
        <c:axId val="119020160"/>
      </c:lineChart>
      <c:catAx>
        <c:axId val="119018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9020160"/>
        <c:crossesAt val="-5"/>
        <c:auto val="1"/>
        <c:lblAlgn val="ctr"/>
        <c:lblOffset val="100"/>
        <c:tickLblSkip val="1"/>
        <c:tickMarkSkip val="1"/>
        <c:noMultiLvlLbl val="0"/>
      </c:catAx>
      <c:valAx>
        <c:axId val="119020160"/>
        <c:scaling>
          <c:orientation val="minMax"/>
          <c:max val="24"/>
          <c:min val="12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9018240"/>
        <c:crosses val="autoZero"/>
        <c:crossBetween val="between"/>
        <c:majorUnit val="2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Pressure / Temperature</a:t>
            </a:r>
          </a:p>
        </c:rich>
      </c:tx>
      <c:layout>
        <c:manualLayout>
          <c:xMode val="edge"/>
          <c:yMode val="edge"/>
          <c:x val="0.41566820276497696"/>
          <c:y val="5.251141552511415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0829493087557605E-2"/>
          <c:y val="0.1278541663415167"/>
          <c:w val="0.9244239631336405"/>
          <c:h val="0.76027566770937616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993366"/>
              </a:solidFill>
              <a:ln>
                <a:solidFill>
                  <a:srgbClr val="993366"/>
                </a:solidFill>
                <a:prstDash val="solid"/>
              </a:ln>
            </c:spPr>
          </c:marker>
          <c:trendline>
            <c:spPr>
              <a:ln w="12700">
                <a:solidFill>
                  <a:srgbClr val="000080"/>
                </a:solidFill>
                <a:prstDash val="solid"/>
              </a:ln>
            </c:spPr>
            <c:trendlineType val="linear"/>
            <c:forward val="0.5"/>
            <c:backward val="3"/>
            <c:dispRSqr val="1"/>
            <c:dispEq val="1"/>
            <c:trendlineLbl>
              <c:layout>
                <c:manualLayout>
                  <c:xMode val="edge"/>
                  <c:yMode val="edge"/>
                  <c:x val="4.608294930875576E-3"/>
                  <c:y val="1.1415550566206849E-2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175" b="0" i="0" u="none" strike="noStrike" baseline="0">
                      <a:solidFill>
                        <a:srgbClr val="00000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en-US"/>
                </a:p>
              </c:txPr>
            </c:trendlineLbl>
          </c:trendline>
          <c:xVal>
            <c:numLit>
              <c:formatCode>General</c:formatCode>
              <c:ptCount val="31"/>
              <c:pt idx="0">
                <c:v>16.2</c:v>
              </c:pt>
              <c:pt idx="1">
                <c:v>17.8</c:v>
              </c:pt>
              <c:pt idx="2">
                <c:v>18.8</c:v>
              </c:pt>
              <c:pt idx="3">
                <c:v>20.100000000000001</c:v>
              </c:pt>
              <c:pt idx="4">
                <c:v>19</c:v>
              </c:pt>
              <c:pt idx="5">
                <c:v>16.7</c:v>
              </c:pt>
              <c:pt idx="6">
                <c:v>15.9</c:v>
              </c:pt>
              <c:pt idx="7">
                <c:v>15.5</c:v>
              </c:pt>
              <c:pt idx="8">
                <c:v>17.3</c:v>
              </c:pt>
              <c:pt idx="9">
                <c:v>17.5</c:v>
              </c:pt>
              <c:pt idx="10">
                <c:v>18.7</c:v>
              </c:pt>
              <c:pt idx="11">
                <c:v>16.7</c:v>
              </c:pt>
              <c:pt idx="12">
                <c:v>14.6</c:v>
              </c:pt>
              <c:pt idx="13">
                <c:v>16.8</c:v>
              </c:pt>
              <c:pt idx="14">
                <c:v>18.7</c:v>
              </c:pt>
              <c:pt idx="15">
                <c:v>16</c:v>
              </c:pt>
              <c:pt idx="16">
                <c:v>15.6</c:v>
              </c:pt>
              <c:pt idx="17">
                <c:v>15.1</c:v>
              </c:pt>
              <c:pt idx="18">
                <c:v>15.3</c:v>
              </c:pt>
              <c:pt idx="19">
                <c:v>15.3</c:v>
              </c:pt>
              <c:pt idx="20">
                <c:v>14.9</c:v>
              </c:pt>
              <c:pt idx="21">
                <c:v>15.7</c:v>
              </c:pt>
              <c:pt idx="22">
                <c:v>14.9</c:v>
              </c:pt>
              <c:pt idx="23">
                <c:v>16.899999999999999</c:v>
              </c:pt>
              <c:pt idx="24">
                <c:v>17.100000000000001</c:v>
              </c:pt>
              <c:pt idx="25">
                <c:v>16.3</c:v>
              </c:pt>
              <c:pt idx="26">
                <c:v>16.8</c:v>
              </c:pt>
              <c:pt idx="27">
                <c:v>18.899999999999999</c:v>
              </c:pt>
              <c:pt idx="28">
                <c:v>16.7</c:v>
              </c:pt>
              <c:pt idx="29">
                <c:v>16.5</c:v>
              </c:pt>
              <c:pt idx="30">
                <c:v>19.2</c:v>
              </c:pt>
            </c:numLit>
          </c:xVal>
          <c:yVal>
            <c:numLit>
              <c:formatCode>General</c:formatCode>
              <c:ptCount val="31"/>
              <c:pt idx="0">
                <c:v>1025</c:v>
              </c:pt>
              <c:pt idx="1">
                <c:v>1020.5</c:v>
              </c:pt>
              <c:pt idx="2">
                <c:v>1017</c:v>
              </c:pt>
              <c:pt idx="3">
                <c:v>1017</c:v>
              </c:pt>
              <c:pt idx="4">
                <c:v>1011.5</c:v>
              </c:pt>
              <c:pt idx="5">
                <c:v>1005.5</c:v>
              </c:pt>
              <c:pt idx="6">
                <c:v>1004</c:v>
              </c:pt>
              <c:pt idx="7">
                <c:v>1005</c:v>
              </c:pt>
              <c:pt idx="8">
                <c:v>1011.5</c:v>
              </c:pt>
              <c:pt idx="9">
                <c:v>1018</c:v>
              </c:pt>
              <c:pt idx="10">
                <c:v>1019</c:v>
              </c:pt>
              <c:pt idx="11">
                <c:v>1018.5</c:v>
              </c:pt>
              <c:pt idx="12">
                <c:v>1019</c:v>
              </c:pt>
              <c:pt idx="13">
                <c:v>1018.5</c:v>
              </c:pt>
              <c:pt idx="14">
                <c:v>1015</c:v>
              </c:pt>
              <c:pt idx="15">
                <c:v>1003.5</c:v>
              </c:pt>
              <c:pt idx="16">
                <c:v>994.5</c:v>
              </c:pt>
              <c:pt idx="17">
                <c:v>997.5</c:v>
              </c:pt>
              <c:pt idx="18">
                <c:v>1004</c:v>
              </c:pt>
              <c:pt idx="19">
                <c:v>1009</c:v>
              </c:pt>
              <c:pt idx="20">
                <c:v>1013</c:v>
              </c:pt>
              <c:pt idx="21">
                <c:v>1016</c:v>
              </c:pt>
              <c:pt idx="22">
                <c:v>1013.5</c:v>
              </c:pt>
              <c:pt idx="23">
                <c:v>1010</c:v>
              </c:pt>
              <c:pt idx="24">
                <c:v>1010</c:v>
              </c:pt>
              <c:pt idx="25">
                <c:v>1015.5</c:v>
              </c:pt>
              <c:pt idx="26">
                <c:v>1020.5</c:v>
              </c:pt>
              <c:pt idx="27">
                <c:v>1022</c:v>
              </c:pt>
              <c:pt idx="28">
                <c:v>1023.5</c:v>
              </c:pt>
              <c:pt idx="29">
                <c:v>1021.5</c:v>
              </c:pt>
              <c:pt idx="30">
                <c:v>1016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049216"/>
        <c:axId val="119055104"/>
      </c:scatterChart>
      <c:valAx>
        <c:axId val="119049216"/>
        <c:scaling>
          <c:orientation val="minMax"/>
          <c:max val="21"/>
          <c:min val="14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9055104"/>
        <c:crosses val="autoZero"/>
        <c:crossBetween val="midCat"/>
        <c:majorUnit val="1"/>
      </c:valAx>
      <c:valAx>
        <c:axId val="119055104"/>
        <c:scaling>
          <c:orientation val="minMax"/>
          <c:max val="1030"/>
          <c:min val="99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9049216"/>
        <c:crossesAt val="-3"/>
        <c:crossBetween val="midCat"/>
        <c:majorUnit val="5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Relative Humidity Range / Temperature Range </a:t>
            </a:r>
          </a:p>
        </c:rich>
      </c:tx>
      <c:layout>
        <c:manualLayout>
          <c:xMode val="edge"/>
          <c:yMode val="edge"/>
          <c:x val="0.34658040665434381"/>
          <c:y val="3.009259259259259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4.4362292051756007E-2"/>
          <c:y val="0.12037064247559154"/>
          <c:w val="0.94085027726432535"/>
          <c:h val="0.766205435758092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993366"/>
              </a:solidFill>
              <a:ln>
                <a:solidFill>
                  <a:srgbClr val="993366"/>
                </a:solidFill>
                <a:prstDash val="solid"/>
              </a:ln>
            </c:spPr>
          </c:marker>
          <c:trendline>
            <c:spPr>
              <a:ln w="12700">
                <a:solidFill>
                  <a:srgbClr val="0000FF"/>
                </a:solidFill>
                <a:prstDash val="solid"/>
              </a:ln>
            </c:spPr>
            <c:trendlineType val="linear"/>
            <c:forward val="0.5"/>
            <c:backward val="2.5"/>
            <c:dispRSqr val="1"/>
            <c:dispEq val="1"/>
            <c:trendlineLbl>
              <c:layout>
                <c:manualLayout>
                  <c:xMode val="edge"/>
                  <c:yMode val="edge"/>
                  <c:x val="4.6210720887245845E-3"/>
                  <c:y val="0.12962992266602166"/>
                </c:manualLayout>
              </c:layout>
              <c:numFmt formatCode="0.00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200" b="0" i="0" u="none" strike="noStrike" baseline="0">
                      <a:solidFill>
                        <a:srgbClr val="00000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en-US"/>
                </a:p>
              </c:txPr>
            </c:trendlineLbl>
          </c:trendline>
          <c:xVal>
            <c:numLit>
              <c:formatCode>General</c:formatCode>
              <c:ptCount val="31"/>
              <c:pt idx="0">
                <c:v>10.099999999999998</c:v>
              </c:pt>
              <c:pt idx="1">
                <c:v>8.3999999999999986</c:v>
              </c:pt>
              <c:pt idx="2">
                <c:v>10.7</c:v>
              </c:pt>
              <c:pt idx="3">
                <c:v>10.599999999999998</c:v>
              </c:pt>
              <c:pt idx="4">
                <c:v>13.299999999999999</c:v>
              </c:pt>
              <c:pt idx="5">
                <c:v>6.4</c:v>
              </c:pt>
              <c:pt idx="6">
                <c:v>4.5000000000000018</c:v>
              </c:pt>
              <c:pt idx="7">
                <c:v>4.5000000000000018</c:v>
              </c:pt>
              <c:pt idx="8">
                <c:v>7.9000000000000021</c:v>
              </c:pt>
              <c:pt idx="9">
                <c:v>8.8999999999999986</c:v>
              </c:pt>
              <c:pt idx="10">
                <c:v>11.5</c:v>
              </c:pt>
              <c:pt idx="11">
                <c:v>4.5</c:v>
              </c:pt>
              <c:pt idx="12">
                <c:v>5</c:v>
              </c:pt>
              <c:pt idx="13">
                <c:v>11</c:v>
              </c:pt>
              <c:pt idx="14">
                <c:v>12.2</c:v>
              </c:pt>
              <c:pt idx="15">
                <c:v>5.8000000000000007</c:v>
              </c:pt>
              <c:pt idx="16">
                <c:v>6.0999999999999979</c:v>
              </c:pt>
              <c:pt idx="17">
                <c:v>5.1999999999999993</c:v>
              </c:pt>
              <c:pt idx="18">
                <c:v>7.9999999999999982</c:v>
              </c:pt>
              <c:pt idx="19">
                <c:v>6.5000000000000018</c:v>
              </c:pt>
              <c:pt idx="20">
                <c:v>6.2</c:v>
              </c:pt>
              <c:pt idx="21">
                <c:v>9.6999999999999993</c:v>
              </c:pt>
              <c:pt idx="22">
                <c:v>7.1</c:v>
              </c:pt>
              <c:pt idx="23">
                <c:v>12.6</c:v>
              </c:pt>
              <c:pt idx="24">
                <c:v>12.6</c:v>
              </c:pt>
              <c:pt idx="25">
                <c:v>7.9</c:v>
              </c:pt>
              <c:pt idx="26">
                <c:v>5.7</c:v>
              </c:pt>
              <c:pt idx="27">
                <c:v>9.1999999999999993</c:v>
              </c:pt>
              <c:pt idx="28">
                <c:v>7.1</c:v>
              </c:pt>
              <c:pt idx="29">
                <c:v>12.7</c:v>
              </c:pt>
              <c:pt idx="30">
                <c:v>12.7</c:v>
              </c:pt>
            </c:numLit>
          </c:xVal>
          <c:yVal>
            <c:numLit>
              <c:formatCode>General</c:formatCode>
              <c:ptCount val="31"/>
              <c:pt idx="0">
                <c:v>35</c:v>
              </c:pt>
              <c:pt idx="1">
                <c:v>36</c:v>
              </c:pt>
              <c:pt idx="2">
                <c:v>27</c:v>
              </c:pt>
              <c:pt idx="3">
                <c:v>32</c:v>
              </c:pt>
              <c:pt idx="4">
                <c:v>53</c:v>
              </c:pt>
              <c:pt idx="5">
                <c:v>45</c:v>
              </c:pt>
              <c:pt idx="6">
                <c:v>25</c:v>
              </c:pt>
              <c:pt idx="7">
                <c:v>29</c:v>
              </c:pt>
              <c:pt idx="8">
                <c:v>35</c:v>
              </c:pt>
              <c:pt idx="9">
                <c:v>39</c:v>
              </c:pt>
              <c:pt idx="10">
                <c:v>52</c:v>
              </c:pt>
              <c:pt idx="11">
                <c:v>21</c:v>
              </c:pt>
              <c:pt idx="12">
                <c:v>31</c:v>
              </c:pt>
              <c:pt idx="13">
                <c:v>38</c:v>
              </c:pt>
              <c:pt idx="14">
                <c:v>44</c:v>
              </c:pt>
              <c:pt idx="15">
                <c:v>23</c:v>
              </c:pt>
              <c:pt idx="16">
                <c:v>21</c:v>
              </c:pt>
              <c:pt idx="17">
                <c:v>26</c:v>
              </c:pt>
              <c:pt idx="18">
                <c:v>32</c:v>
              </c:pt>
              <c:pt idx="19">
                <c:v>37</c:v>
              </c:pt>
              <c:pt idx="20">
                <c:v>27</c:v>
              </c:pt>
              <c:pt idx="21">
                <c:v>49</c:v>
              </c:pt>
              <c:pt idx="22">
                <c:v>45</c:v>
              </c:pt>
              <c:pt idx="23">
                <c:v>48</c:v>
              </c:pt>
              <c:pt idx="24">
                <c:v>30</c:v>
              </c:pt>
              <c:pt idx="25">
                <c:v>34</c:v>
              </c:pt>
              <c:pt idx="26">
                <c:v>25</c:v>
              </c:pt>
              <c:pt idx="27">
                <c:v>39</c:v>
              </c:pt>
              <c:pt idx="28">
                <c:v>28</c:v>
              </c:pt>
              <c:pt idx="29">
                <c:v>43</c:v>
              </c:pt>
              <c:pt idx="30">
                <c:v>44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075968"/>
        <c:axId val="119077504"/>
      </c:scatterChart>
      <c:valAx>
        <c:axId val="119075968"/>
        <c:scaling>
          <c:orientation val="minMax"/>
          <c:max val="16"/>
          <c:min val="0"/>
        </c:scaling>
        <c:delete val="0"/>
        <c:axPos val="b"/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9077504"/>
        <c:crossesAt val="0"/>
        <c:crossBetween val="midCat"/>
        <c:majorUnit val="1"/>
      </c:valAx>
      <c:valAx>
        <c:axId val="119077504"/>
        <c:scaling>
          <c:orientation val="minMax"/>
          <c:max val="60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9075968"/>
        <c:crosses val="autoZero"/>
        <c:crossBetween val="midCat"/>
        <c:majorUnit val="10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 horizontalDpi="-3" verticalDpi="0"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Time of Temperature Extremes</a:t>
            </a:r>
          </a:p>
        </c:rich>
      </c:tx>
      <c:layout>
        <c:manualLayout>
          <c:xMode val="edge"/>
          <c:yMode val="edge"/>
          <c:x val="0.41718183558328387"/>
          <c:y val="2.115158636897767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893697095932809E-2"/>
          <c:y val="8.4606345475910699E-2"/>
          <c:w val="0.95859114218917252"/>
          <c:h val="0.86486486486486491"/>
        </c:manualLayout>
      </c:layout>
      <c:lineChart>
        <c:grouping val="standard"/>
        <c:varyColors val="0"/>
        <c:ser>
          <c:idx val="1"/>
          <c:order val="0"/>
          <c:tx>
            <c:v>T Min</c:v>
          </c:tx>
          <c:spPr>
            <a:ln w="28575">
              <a:noFill/>
            </a:ln>
          </c:spPr>
          <c:marker>
            <c:symbol val="circle"/>
            <c:size val="10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0.21527777777777779</c:v>
              </c:pt>
              <c:pt idx="1">
                <c:v>0.22916666666666666</c:v>
              </c:pt>
              <c:pt idx="2">
                <c:v>0.20833333333333334</c:v>
              </c:pt>
              <c:pt idx="3">
                <c:v>0.1076388888888889</c:v>
              </c:pt>
              <c:pt idx="4">
                <c:v>0.22222222222222221</c:v>
              </c:pt>
              <c:pt idx="5">
                <c:v>0.22569444444444445</c:v>
              </c:pt>
              <c:pt idx="6">
                <c:v>0.23958333333333334</c:v>
              </c:pt>
              <c:pt idx="7">
                <c:v>0.25694444444444448</c:v>
              </c:pt>
              <c:pt idx="8">
                <c:v>0.23958333333333334</c:v>
              </c:pt>
              <c:pt idx="9">
                <c:v>0.21875</c:v>
              </c:pt>
              <c:pt idx="10">
                <c:v>0.23611111111111113</c:v>
              </c:pt>
              <c:pt idx="11">
                <c:v>0.30208333333333331</c:v>
              </c:pt>
              <c:pt idx="12">
                <c:v>0.23611111111111113</c:v>
              </c:pt>
              <c:pt idx="13">
                <c:v>0.26041666666666669</c:v>
              </c:pt>
              <c:pt idx="14">
                <c:v>0.24305555555555555</c:v>
              </c:pt>
              <c:pt idx="15">
                <c:v>0.1875</c:v>
              </c:pt>
              <c:pt idx="16">
                <c:v>0.22569444444444445</c:v>
              </c:pt>
              <c:pt idx="17">
                <c:v>0.22916666666666666</c:v>
              </c:pt>
              <c:pt idx="18">
                <c:v>0.23611111111111113</c:v>
              </c:pt>
              <c:pt idx="19">
                <c:v>9.375E-2</c:v>
              </c:pt>
              <c:pt idx="20">
                <c:v>0.11041666666666666</c:v>
              </c:pt>
              <c:pt idx="21">
                <c:v>0.24374999999999999</c:v>
              </c:pt>
              <c:pt idx="22">
                <c:v>0.27013888888888887</c:v>
              </c:pt>
              <c:pt idx="23">
                <c:v>0.24444444444444446</c:v>
              </c:pt>
              <c:pt idx="24">
                <c:v>0.12986111111111112</c:v>
              </c:pt>
              <c:pt idx="25">
                <c:v>0.23333333333333331</c:v>
              </c:pt>
              <c:pt idx="26">
                <c:v>0.22916666666666666</c:v>
              </c:pt>
              <c:pt idx="27">
                <c:v>1.3888888888888888E-2</c:v>
              </c:pt>
              <c:pt idx="28">
                <c:v>0.21111111111111111</c:v>
              </c:pt>
              <c:pt idx="29">
                <c:v>0.24791666666666667</c:v>
              </c:pt>
              <c:pt idx="30">
                <c:v>0.26041666666666669</c:v>
              </c:pt>
            </c:numLit>
          </c:val>
          <c:smooth val="0"/>
        </c:ser>
        <c:ser>
          <c:idx val="2"/>
          <c:order val="1"/>
          <c:tx>
            <c:v>T Max</c:v>
          </c:tx>
          <c:spPr>
            <a:ln w="28575">
              <a:noFill/>
            </a:ln>
          </c:spPr>
          <c:marker>
            <c:symbol val="circle"/>
            <c:size val="10"/>
            <c:spPr>
              <a:solidFill>
                <a:srgbClr val="FF6600"/>
              </a:solidFill>
              <a:ln>
                <a:solidFill>
                  <a:srgbClr val="FF6600"/>
                </a:solidFill>
                <a:prstDash val="solid"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0.61111111111111105</c:v>
              </c:pt>
              <c:pt idx="1">
                <c:v>0.53819444444444442</c:v>
              </c:pt>
              <c:pt idx="2">
                <c:v>0.61805555555555558</c:v>
              </c:pt>
              <c:pt idx="3">
                <c:v>0.58680555555555558</c:v>
              </c:pt>
              <c:pt idx="4">
                <c:v>0.625</c:v>
              </c:pt>
              <c:pt idx="5">
                <c:v>0.60069444444444442</c:v>
              </c:pt>
              <c:pt idx="6">
                <c:v>0.72222222222222221</c:v>
              </c:pt>
              <c:pt idx="7">
                <c:v>0.59722222222222221</c:v>
              </c:pt>
              <c:pt idx="8">
                <c:v>0.65972222222222221</c:v>
              </c:pt>
              <c:pt idx="9">
                <c:v>0.71875</c:v>
              </c:pt>
              <c:pt idx="10">
                <c:v>0.69791666666666663</c:v>
              </c:pt>
              <c:pt idx="11">
                <c:v>0.64583333333333337</c:v>
              </c:pt>
              <c:pt idx="12">
                <c:v>0.53125</c:v>
              </c:pt>
              <c:pt idx="13">
                <c:v>0.73958333333333337</c:v>
              </c:pt>
              <c:pt idx="14">
                <c:v>0.61111111111111105</c:v>
              </c:pt>
              <c:pt idx="15">
                <c:v>0.71875</c:v>
              </c:pt>
              <c:pt idx="16">
                <c:v>0.55555555555555558</c:v>
              </c:pt>
              <c:pt idx="17">
                <c:v>0.63888888888888895</c:v>
              </c:pt>
              <c:pt idx="18">
                <c:v>0.59027777777777779</c:v>
              </c:pt>
              <c:pt idx="19">
                <c:v>0.55902777777777779</c:v>
              </c:pt>
              <c:pt idx="20">
                <c:v>0.64027777777777783</c:v>
              </c:pt>
              <c:pt idx="21">
                <c:v>0.56805555555555554</c:v>
              </c:pt>
              <c:pt idx="22">
                <c:v>0.72152777777777777</c:v>
              </c:pt>
              <c:pt idx="23">
                <c:v>0.75763888888888886</c:v>
              </c:pt>
              <c:pt idx="24">
                <c:v>0.68819444444444444</c:v>
              </c:pt>
              <c:pt idx="25">
                <c:v>0.68402777777777779</c:v>
              </c:pt>
              <c:pt idx="26">
                <c:v>0.69444444444444453</c:v>
              </c:pt>
              <c:pt idx="27">
                <c:v>0.78611111111111109</c:v>
              </c:pt>
              <c:pt idx="28">
                <c:v>0.55763888888888891</c:v>
              </c:pt>
              <c:pt idx="29">
                <c:v>0.76249999999999996</c:v>
              </c:pt>
              <c:pt idx="30">
                <c:v>0.6791666666666667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184000"/>
        <c:axId val="119194368"/>
      </c:lineChart>
      <c:catAx>
        <c:axId val="119184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91943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9194368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hh:mm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9184000"/>
        <c:crosses val="autoZero"/>
        <c:crossBetween val="between"/>
        <c:majorUnit val="8.3333333300000006E-2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0.63288029354797892"/>
          <c:y val="0.17273795534665101"/>
          <c:w val="0.79542671195766779"/>
          <c:h val="0.2244418331374853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Time of Humidity Extremes</a:t>
            </a:r>
          </a:p>
        </c:rich>
      </c:tx>
      <c:layout>
        <c:manualLayout>
          <c:xMode val="edge"/>
          <c:yMode val="edge"/>
          <c:x val="0.42433600988264358"/>
          <c:y val="1.9953051643192488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891290920321186E-2"/>
          <c:y val="8.4507139115613902E-2"/>
          <c:w val="0.95861642989499696"/>
          <c:h val="0.86502446566954783"/>
        </c:manualLayout>
      </c:layout>
      <c:lineChart>
        <c:grouping val="standard"/>
        <c:varyColors val="0"/>
        <c:ser>
          <c:idx val="0"/>
          <c:order val="0"/>
          <c:tx>
            <c:v>H Min</c:v>
          </c:tx>
          <c:spPr>
            <a:ln w="28575">
              <a:noFill/>
            </a:ln>
          </c:spPr>
          <c:marker>
            <c:symbol val="circle"/>
            <c:size val="10"/>
            <c:spPr>
              <a:solidFill>
                <a:srgbClr val="FF9900"/>
              </a:solidFill>
              <a:ln>
                <a:solidFill>
                  <a:srgbClr val="FF9900"/>
                </a:solidFill>
                <a:prstDash val="solid"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0.73263888888888884</c:v>
              </c:pt>
              <c:pt idx="1">
                <c:v>0.60416666666666663</c:v>
              </c:pt>
              <c:pt idx="2">
                <c:v>0.61805555555555558</c:v>
              </c:pt>
              <c:pt idx="3">
                <c:v>0.61458333333333337</c:v>
              </c:pt>
              <c:pt idx="4">
                <c:v>0.64236111111111105</c:v>
              </c:pt>
              <c:pt idx="5">
                <c:v>0.68402777777777779</c:v>
              </c:pt>
              <c:pt idx="6">
                <c:v>0.77083333333333337</c:v>
              </c:pt>
              <c:pt idx="7">
                <c:v>0.77430555555555547</c:v>
              </c:pt>
              <c:pt idx="8">
                <c:v>0.65972222222222221</c:v>
              </c:pt>
              <c:pt idx="9">
                <c:v>0.77083333333333337</c:v>
              </c:pt>
              <c:pt idx="10">
                <c:v>0.69097222222222221</c:v>
              </c:pt>
              <c:pt idx="11">
                <c:v>0.625</c:v>
              </c:pt>
              <c:pt idx="12">
                <c:v>0.67361111111111116</c:v>
              </c:pt>
              <c:pt idx="13">
                <c:v>0.70138888888888884</c:v>
              </c:pt>
              <c:pt idx="14">
                <c:v>0.73611111111111116</c:v>
              </c:pt>
              <c:pt idx="15">
                <c:v>0.72222222222222221</c:v>
              </c:pt>
              <c:pt idx="16">
                <c:v>0.77430555555555547</c:v>
              </c:pt>
              <c:pt idx="17">
                <c:v>0.64583333333333337</c:v>
              </c:pt>
              <c:pt idx="18">
                <c:v>0.59722222222222221</c:v>
              </c:pt>
              <c:pt idx="19">
                <c:v>0.59722222222222221</c:v>
              </c:pt>
              <c:pt idx="20">
                <c:v>0.63749999999999996</c:v>
              </c:pt>
              <c:pt idx="21">
                <c:v>0.76875000000000004</c:v>
              </c:pt>
              <c:pt idx="22">
                <c:v>0.66597222222222219</c:v>
              </c:pt>
              <c:pt idx="23">
                <c:v>0.70972222222222225</c:v>
              </c:pt>
              <c:pt idx="24">
                <c:v>0.65347222222222223</c:v>
              </c:pt>
              <c:pt idx="25">
                <c:v>0.69236111111111109</c:v>
              </c:pt>
              <c:pt idx="26">
                <c:v>0.7</c:v>
              </c:pt>
              <c:pt idx="27">
                <c:v>0.80902777777777779</c:v>
              </c:pt>
              <c:pt idx="28">
                <c:v>0.70625000000000004</c:v>
              </c:pt>
              <c:pt idx="29">
                <c:v>0.77777777777777779</c:v>
              </c:pt>
              <c:pt idx="30">
                <c:v>0.7583333333333333</c:v>
              </c:pt>
            </c:numLit>
          </c:val>
          <c:smooth val="0"/>
        </c:ser>
        <c:ser>
          <c:idx val="3"/>
          <c:order val="1"/>
          <c:tx>
            <c:v>H Max</c:v>
          </c:tx>
          <c:spPr>
            <a:ln w="28575">
              <a:noFill/>
            </a:ln>
          </c:spPr>
          <c:marker>
            <c:symbol val="circle"/>
            <c:size val="10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0.22916666666666666</c:v>
              </c:pt>
              <c:pt idx="1">
                <c:v>0.26041666666666669</c:v>
              </c:pt>
              <c:pt idx="2">
                <c:v>0.24305555555555555</c:v>
              </c:pt>
              <c:pt idx="3">
                <c:v>0.1111111111111111</c:v>
              </c:pt>
              <c:pt idx="4">
                <c:v>#N/A</c:v>
              </c:pt>
              <c:pt idx="5">
                <c:v>0.27083333333333331</c:v>
              </c:pt>
              <c:pt idx="6">
                <c:v>#N/A</c:v>
              </c:pt>
              <c:pt idx="7">
                <c:v>0.4375</c:v>
              </c:pt>
              <c:pt idx="8">
                <c:v>0.25694444444444448</c:v>
              </c:pt>
              <c:pt idx="9">
                <c:v>0.2673611111111111</c:v>
              </c:pt>
              <c:pt idx="10">
                <c:v>0.26041666666666669</c:v>
              </c:pt>
              <c:pt idx="11">
                <c:v>0.3298611111111111</c:v>
              </c:pt>
              <c:pt idx="12">
                <c:v>0.25694444444444448</c:v>
              </c:pt>
              <c:pt idx="13">
                <c:v>0.3263888888888889</c:v>
              </c:pt>
              <c:pt idx="14">
                <c:v>0.27777777777777779</c:v>
              </c:pt>
              <c:pt idx="15">
                <c:v>#N/A</c:v>
              </c:pt>
              <c:pt idx="16">
                <c:v>0.27430555555555552</c:v>
              </c:pt>
              <c:pt idx="17">
                <c:v>#N/A</c:v>
              </c:pt>
              <c:pt idx="18">
                <c:v>0.23958333333333334</c:v>
              </c:pt>
              <c:pt idx="19">
                <c:v>0.25347222222222221</c:v>
              </c:pt>
              <c:pt idx="20">
                <c:v>0.33402777777777781</c:v>
              </c:pt>
              <c:pt idx="21">
                <c:v>0.14722222222222223</c:v>
              </c:pt>
              <c:pt idx="22">
                <c:v>0.29166666666666669</c:v>
              </c:pt>
              <c:pt idx="23">
                <c:v>0.28194444444444444</c:v>
              </c:pt>
              <c:pt idx="24">
                <c:v>0.25208333333333333</c:v>
              </c:pt>
              <c:pt idx="25">
                <c:v>0.29444444444444445</c:v>
              </c:pt>
              <c:pt idx="26">
                <c:v>0.3125</c:v>
              </c:pt>
              <c:pt idx="27">
                <c:v>0.28125</c:v>
              </c:pt>
              <c:pt idx="28">
                <c:v>0.24861111111111112</c:v>
              </c:pt>
              <c:pt idx="29">
                <c:v>0.2902777777777778</c:v>
              </c:pt>
              <c:pt idx="30">
                <c:v>0.28333333333333333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363072"/>
        <c:axId val="119364992"/>
      </c:lineChart>
      <c:catAx>
        <c:axId val="1193630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93649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9364992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hh:mm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9363072"/>
        <c:crosses val="autoZero"/>
        <c:crossBetween val="between"/>
        <c:majorUnit val="8.3333333300000006E-2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0.46263125386040765"/>
          <c:y val="0.10563392604093502"/>
          <c:w val="0.66213712168004946"/>
          <c:h val="0.1478874471676955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Time of Max Gust</a:t>
            </a:r>
          </a:p>
        </c:rich>
      </c:tx>
      <c:layout>
        <c:manualLayout>
          <c:xMode val="edge"/>
          <c:yMode val="edge"/>
          <c:x val="0.44814840737500405"/>
          <c:y val="1.99296600234466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8888912331761387E-2"/>
          <c:y val="8.4408020181539978E-2"/>
          <c:w val="0.95864255319405456"/>
          <c:h val="0.86518220686078484"/>
        </c:manualLayout>
      </c:layout>
      <c:lineChart>
        <c:grouping val="standard"/>
        <c:varyColors val="0"/>
        <c:ser>
          <c:idx val="4"/>
          <c:order val="0"/>
          <c:tx>
            <c:v>Gust</c:v>
          </c:tx>
          <c:spPr>
            <a:ln w="28575">
              <a:noFill/>
            </a:ln>
          </c:spPr>
          <c:marker>
            <c:symbol val="circle"/>
            <c:size val="1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0.32500000000000001</c:v>
              </c:pt>
              <c:pt idx="1">
                <c:v>0.74513888888888891</c:v>
              </c:pt>
              <c:pt idx="2">
                <c:v>0.22430555555555556</c:v>
              </c:pt>
              <c:pt idx="3">
                <c:v>0.71250000000000002</c:v>
              </c:pt>
              <c:pt idx="4">
                <c:v>0.63263888888888886</c:v>
              </c:pt>
              <c:pt idx="5">
                <c:v>0.66666666666666663</c:v>
              </c:pt>
              <c:pt idx="6">
                <c:v>0.41249999999999998</c:v>
              </c:pt>
              <c:pt idx="7">
                <c:v>0.62361111111111112</c:v>
              </c:pt>
              <c:pt idx="8">
                <c:v>0.74583333333333324</c:v>
              </c:pt>
              <c:pt idx="9">
                <c:v>0.69444444444444453</c:v>
              </c:pt>
              <c:pt idx="10">
                <c:v>0.9243055555555556</c:v>
              </c:pt>
              <c:pt idx="11">
                <c:v>0.51944444444444449</c:v>
              </c:pt>
              <c:pt idx="12">
                <c:v>0.29305555555555557</c:v>
              </c:pt>
              <c:pt idx="13">
                <c:v>0.45555555555555555</c:v>
              </c:pt>
              <c:pt idx="14">
                <c:v>0.7</c:v>
              </c:pt>
              <c:pt idx="15">
                <c:v>0.67569444444444438</c:v>
              </c:pt>
              <c:pt idx="16">
                <c:v>0.73611111111111116</c:v>
              </c:pt>
              <c:pt idx="17">
                <c:v>0.25416666666666665</c:v>
              </c:pt>
              <c:pt idx="18">
                <c:v>1.4583333333333332E-2</c:v>
              </c:pt>
              <c:pt idx="19">
                <c:v>0.47291666666666665</c:v>
              </c:pt>
              <c:pt idx="20">
                <c:v>0.78194444444444444</c:v>
              </c:pt>
              <c:pt idx="21">
                <c:v>0.51388888888888895</c:v>
              </c:pt>
              <c:pt idx="22">
                <c:v>0.51875000000000004</c:v>
              </c:pt>
              <c:pt idx="23">
                <c:v>0.68055555555555547</c:v>
              </c:pt>
              <c:pt idx="24">
                <c:v>0.77430555555555547</c:v>
              </c:pt>
              <c:pt idx="25">
                <c:v>0.78888888888888886</c:v>
              </c:pt>
              <c:pt idx="26">
                <c:v>0.66319444444444442</c:v>
              </c:pt>
              <c:pt idx="27">
                <c:v>0.875</c:v>
              </c:pt>
              <c:pt idx="28">
                <c:v>0.36875000000000002</c:v>
              </c:pt>
              <c:pt idx="29">
                <c:v>5.6944444444444443E-2</c:v>
              </c:pt>
              <c:pt idx="30">
                <c:v>0.5854166666666667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409664"/>
        <c:axId val="119420032"/>
      </c:lineChart>
      <c:catAx>
        <c:axId val="1194096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94200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9420032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hh:mm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9409664"/>
        <c:crosses val="autoZero"/>
        <c:crossBetween val="between"/>
        <c:majorUnit val="8.3333333300000006E-2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 sz="14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Rain Rate / mmh</a:t>
            </a:r>
            <a:r>
              <a:rPr lang="en-GB" sz="1400" b="1" i="0" u="none" strike="noStrike" baseline="30000">
                <a:solidFill>
                  <a:srgbClr val="000000"/>
                </a:solidFill>
                <a:latin typeface="Arial"/>
                <a:cs typeface="Arial"/>
              </a:rPr>
              <a:t>-1</a:t>
            </a:r>
          </a:p>
        </c:rich>
      </c:tx>
      <c:layout>
        <c:manualLayout>
          <c:xMode val="edge"/>
          <c:yMode val="edge"/>
          <c:x val="0.44963144963144963"/>
          <c:y val="1.954022988505747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6412776412776413E-2"/>
          <c:y val="9.3103552783262378E-2"/>
          <c:w val="0.95515970515970516"/>
          <c:h val="0.85747222686807079"/>
        </c:manualLayout>
      </c:layout>
      <c:barChart>
        <c:barDir val="col"/>
        <c:grouping val="clustered"/>
        <c:varyColors val="0"/>
        <c:ser>
          <c:idx val="1"/>
          <c:order val="0"/>
          <c:tx>
            <c:v>Mean</c:v>
          </c:tx>
          <c:spPr>
            <a:solidFill>
              <a:srgbClr val="CCFFFF"/>
            </a:solidFill>
            <a:ln w="3175">
              <a:solidFill>
                <a:srgbClr val="333399"/>
              </a:solidFill>
              <a:prstDash val="solid"/>
            </a:ln>
          </c:spPr>
          <c:invertIfNegative val="0"/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1.5333333333333332</c:v>
              </c:pt>
              <c:pt idx="5">
                <c:v>0.8</c:v>
              </c:pt>
              <c:pt idx="6">
                <c:v>1.75</c:v>
              </c:pt>
              <c:pt idx="7">
                <c:v>1.65</c:v>
              </c:pt>
              <c:pt idx="8">
                <c:v>0</c:v>
              </c:pt>
              <c:pt idx="9">
                <c:v>1.9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2.2833333333333332</c:v>
              </c:pt>
              <c:pt idx="16">
                <c:v>2.1999999999999997</c:v>
              </c:pt>
              <c:pt idx="17">
                <c:v>2.3666666666666667</c:v>
              </c:pt>
              <c:pt idx="18">
                <c:v>1.5</c:v>
              </c:pt>
              <c:pt idx="19">
                <c:v>1.425</c:v>
              </c:pt>
              <c:pt idx="20">
                <c:v>1.3666666666666665</c:v>
              </c:pt>
              <c:pt idx="21">
                <c:v>0.73333333333333339</c:v>
              </c:pt>
              <c:pt idx="22">
                <c:v>2.2000000000000002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-80"/>
        <c:axId val="119466240"/>
        <c:axId val="119468032"/>
      </c:barChart>
      <c:barChart>
        <c:barDir val="col"/>
        <c:grouping val="clustered"/>
        <c:varyColors val="0"/>
        <c:ser>
          <c:idx val="0"/>
          <c:order val="1"/>
          <c:tx>
            <c:v>Max</c:v>
          </c:tx>
          <c:spPr>
            <a:solidFill>
              <a:srgbClr val="9999FF"/>
            </a:solidFill>
            <a:ln w="12700">
              <a:solidFill>
                <a:srgbClr val="000080"/>
              </a:solidFill>
              <a:prstDash val="solid"/>
            </a:ln>
          </c:spPr>
          <c:invertIfNegative val="0"/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4">
                <c:v>30</c:v>
              </c:pt>
              <c:pt idx="5">
                <c:v>1</c:v>
              </c:pt>
              <c:pt idx="6">
                <c:v>20</c:v>
              </c:pt>
              <c:pt idx="7">
                <c:v>40</c:v>
              </c:pt>
              <c:pt idx="9">
                <c:v>5</c:v>
              </c:pt>
              <c:pt idx="15">
                <c:v>60</c:v>
              </c:pt>
              <c:pt idx="16">
                <c:v>50</c:v>
              </c:pt>
              <c:pt idx="17">
                <c:v>40</c:v>
              </c:pt>
              <c:pt idx="18">
                <c:v>20</c:v>
              </c:pt>
              <c:pt idx="19">
                <c:v>20</c:v>
              </c:pt>
              <c:pt idx="20">
                <c:v>30</c:v>
              </c:pt>
              <c:pt idx="21">
                <c:v>1.7</c:v>
              </c:pt>
              <c:pt idx="22">
                <c:v>6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0"/>
        <c:overlap val="-100"/>
        <c:axId val="119469568"/>
        <c:axId val="119471104"/>
      </c:barChart>
      <c:catAx>
        <c:axId val="11946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94680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9468032"/>
        <c:scaling>
          <c:orientation val="minMax"/>
          <c:max val="4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9466240"/>
        <c:crosses val="autoZero"/>
        <c:crossBetween val="between"/>
        <c:majorUnit val="1"/>
      </c:valAx>
      <c:catAx>
        <c:axId val="1194695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471104"/>
        <c:crosses val="autoZero"/>
        <c:auto val="1"/>
        <c:lblAlgn val="ctr"/>
        <c:lblOffset val="100"/>
        <c:noMultiLvlLbl val="0"/>
      </c:catAx>
      <c:valAx>
        <c:axId val="119471104"/>
        <c:scaling>
          <c:orientation val="minMax"/>
          <c:max val="80"/>
          <c:min val="0"/>
        </c:scaling>
        <c:delete val="0"/>
        <c:axPos val="r"/>
        <c:numFmt formatCode="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9469568"/>
        <c:crosses val="max"/>
        <c:crossBetween val="between"/>
        <c:majorUnit val="20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0.23587223587223588"/>
          <c:y val="0.17816116088937159"/>
          <c:w val="0.38267813267813267"/>
          <c:h val="0.224138172383624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01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Rainfall / mm</a:t>
            </a:r>
          </a:p>
        </c:rich>
      </c:tx>
      <c:layout>
        <c:manualLayout>
          <c:xMode val="edge"/>
          <c:yMode val="edge"/>
          <c:x val="0.47051597051597049"/>
          <c:y val="1.509872241579558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955773955773956E-2"/>
          <c:y val="8.8269554240112152E-2"/>
          <c:w val="0.97297297297297303"/>
          <c:h val="0.85133662181581848"/>
        </c:manualLayout>
      </c:layout>
      <c:barChart>
        <c:barDir val="col"/>
        <c:grouping val="clustered"/>
        <c:varyColors val="0"/>
        <c:ser>
          <c:idx val="0"/>
          <c:order val="0"/>
          <c:tx>
            <c:v>Rainfall</c:v>
          </c:tx>
          <c:spPr>
            <a:solidFill>
              <a:srgbClr val="3366FF"/>
            </a:solidFill>
            <a:ln w="12700">
              <a:solidFill>
                <a:srgbClr val="000080"/>
              </a:solidFill>
              <a:prstDash val="solid"/>
            </a:ln>
          </c:spPr>
          <c:invertIfNegative val="0"/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4.5999999999999996</c:v>
              </c:pt>
              <c:pt idx="5">
                <c:v>0.8</c:v>
              </c:pt>
              <c:pt idx="6">
                <c:v>3.5</c:v>
              </c:pt>
              <c:pt idx="7">
                <c:v>3.3</c:v>
              </c:pt>
              <c:pt idx="8">
                <c:v>0</c:v>
              </c:pt>
              <c:pt idx="9">
                <c:v>1.9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13.7</c:v>
              </c:pt>
              <c:pt idx="16">
                <c:v>3.3</c:v>
              </c:pt>
              <c:pt idx="17">
                <c:v>7.1</c:v>
              </c:pt>
              <c:pt idx="18">
                <c:v>3</c:v>
              </c:pt>
              <c:pt idx="19">
                <c:v>5.7</c:v>
              </c:pt>
              <c:pt idx="20">
                <c:v>4.0999999999999996</c:v>
              </c:pt>
              <c:pt idx="21">
                <c:v>1.1000000000000001</c:v>
              </c:pt>
              <c:pt idx="22">
                <c:v>1.1000000000000001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</c:numLit>
          </c:val>
        </c:ser>
        <c:ser>
          <c:idx val="1"/>
          <c:order val="1"/>
          <c:tx>
            <c:v>Max In Hour</c:v>
          </c:tx>
          <c:spPr>
            <a:solidFill>
              <a:srgbClr val="00CCFF"/>
            </a:solidFill>
            <a:ln w="12700">
              <a:solidFill>
                <a:srgbClr val="0000FF"/>
              </a:solidFill>
              <a:prstDash val="solid"/>
            </a:ln>
          </c:spPr>
          <c:invertIfNegative val="0"/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4">
                <c:v>1.6</c:v>
              </c:pt>
              <c:pt idx="5">
                <c:v>0.8</c:v>
              </c:pt>
              <c:pt idx="6">
                <c:v>1.9</c:v>
              </c:pt>
              <c:pt idx="7">
                <c:v>1.9</c:v>
              </c:pt>
              <c:pt idx="9">
                <c:v>1.9</c:v>
              </c:pt>
              <c:pt idx="15">
                <c:v>4.5</c:v>
              </c:pt>
              <c:pt idx="16">
                <c:v>1.6</c:v>
              </c:pt>
              <c:pt idx="17">
                <c:v>4.5999999999999996</c:v>
              </c:pt>
              <c:pt idx="18">
                <c:v>1.4</c:v>
              </c:pt>
              <c:pt idx="19">
                <c:v>4.5999999999999996</c:v>
              </c:pt>
              <c:pt idx="20">
                <c:v>3.6</c:v>
              </c:pt>
              <c:pt idx="21">
                <c:v>1.1000000000000001</c:v>
              </c:pt>
              <c:pt idx="22">
                <c:v>0.8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</c:numLit>
          </c:val>
        </c:ser>
        <c:ser>
          <c:idx val="2"/>
          <c:order val="2"/>
          <c:tx>
            <c:v>Max in 10 Minutes</c:v>
          </c:tx>
          <c:spPr>
            <a:solidFill>
              <a:srgbClr val="99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4">
                <c:v>1.1000000000000001</c:v>
              </c:pt>
              <c:pt idx="5">
                <c:v>0.3</c:v>
              </c:pt>
              <c:pt idx="6">
                <c:v>1.4</c:v>
              </c:pt>
              <c:pt idx="7">
                <c:v>1.4</c:v>
              </c:pt>
              <c:pt idx="9">
                <c:v>0.5</c:v>
              </c:pt>
              <c:pt idx="15">
                <c:v>3</c:v>
              </c:pt>
              <c:pt idx="16">
                <c:v>1.1000000000000001</c:v>
              </c:pt>
              <c:pt idx="17">
                <c:v>2.5</c:v>
              </c:pt>
              <c:pt idx="18">
                <c:v>1.1000000000000001</c:v>
              </c:pt>
              <c:pt idx="19">
                <c:v>3</c:v>
              </c:pt>
              <c:pt idx="20">
                <c:v>1.6</c:v>
              </c:pt>
              <c:pt idx="21">
                <c:v>0.3</c:v>
              </c:pt>
              <c:pt idx="22">
                <c:v>0.5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overlap val="100"/>
        <c:axId val="119513856"/>
        <c:axId val="119515392"/>
      </c:barChart>
      <c:catAx>
        <c:axId val="119513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95153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9515392"/>
        <c:scaling>
          <c:orientation val="minMax"/>
          <c:max val="20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9513856"/>
        <c:crosses val="autoZero"/>
        <c:crossBetween val="between"/>
        <c:majorUnit val="2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3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 horizontalDpi="-3" verticalDpi="0"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Wet Hours / h</a:t>
            </a:r>
          </a:p>
        </c:rich>
      </c:tx>
      <c:layout>
        <c:manualLayout>
          <c:xMode val="edge"/>
          <c:yMode val="edge"/>
          <c:x val="0.47116577299003271"/>
          <c:y val="2.2016222479721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926387535464059E-2"/>
          <c:y val="8.3429895712630361E-2"/>
          <c:w val="0.97361992355849891"/>
          <c:h val="0.8667439165701043"/>
        </c:manualLayout>
      </c:layout>
      <c:barChart>
        <c:barDir val="col"/>
        <c:grouping val="clustered"/>
        <c:varyColors val="0"/>
        <c:ser>
          <c:idx val="2"/>
          <c:order val="0"/>
          <c:tx>
            <c:v>Wet</c:v>
          </c:tx>
          <c:spPr>
            <a:solidFill>
              <a:srgbClr val="00FFFF"/>
            </a:solidFill>
            <a:ln w="12700">
              <a:solidFill>
                <a:srgbClr val="3366FF"/>
              </a:solidFill>
              <a:prstDash val="solid"/>
            </a:ln>
          </c:spPr>
          <c:invertIfNegative val="0"/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3</c:v>
              </c:pt>
              <c:pt idx="5">
                <c:v>1</c:v>
              </c:pt>
              <c:pt idx="6">
                <c:v>2</c:v>
              </c:pt>
              <c:pt idx="7">
                <c:v>2</c:v>
              </c:pt>
              <c:pt idx="8">
                <c:v>0</c:v>
              </c:pt>
              <c:pt idx="9">
                <c:v>1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6</c:v>
              </c:pt>
              <c:pt idx="16">
                <c:v>1.5</c:v>
              </c:pt>
              <c:pt idx="17">
                <c:v>3</c:v>
              </c:pt>
              <c:pt idx="18">
                <c:v>2</c:v>
              </c:pt>
              <c:pt idx="19">
                <c:v>4</c:v>
              </c:pt>
              <c:pt idx="20">
                <c:v>3</c:v>
              </c:pt>
              <c:pt idx="21">
                <c:v>1.5</c:v>
              </c:pt>
              <c:pt idx="22">
                <c:v>0.5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overlap val="-10"/>
        <c:axId val="119621504"/>
        <c:axId val="119623040"/>
      </c:barChart>
      <c:catAx>
        <c:axId val="1196215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96230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9623040"/>
        <c:scaling>
          <c:orientation val="minMax"/>
          <c:max val="1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9621504"/>
        <c:crosses val="autoZero"/>
        <c:crossBetween val="between"/>
        <c:majorUnit val="2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Wind Direction Frequency</a:t>
            </a:r>
          </a:p>
        </c:rich>
      </c:tx>
      <c:layout>
        <c:manualLayout>
          <c:xMode val="edge"/>
          <c:yMode val="edge"/>
          <c:x val="0.41263028816676883"/>
          <c:y val="2.243211334120424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9613733905579398"/>
          <c:y val="0.17237318083422928"/>
          <c:w val="0.38197424892703863"/>
          <c:h val="0.73553761410770446"/>
        </c:manualLayout>
      </c:layout>
      <c:radarChart>
        <c:radarStyle val="filled"/>
        <c:varyColors val="1"/>
        <c:ser>
          <c:idx val="0"/>
          <c:order val="0"/>
          <c:tx>
            <c:v>Mean Wind Direction</c:v>
          </c:tx>
          <c:spPr>
            <a:solidFill>
              <a:srgbClr val="FF99CC"/>
            </a:solidFill>
            <a:ln w="38100">
              <a:solidFill>
                <a:srgbClr val="FF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</c:dPt>
          <c:dPt>
            <c:idx val="2"/>
            <c:bubble3D val="0"/>
          </c:dPt>
          <c:dPt>
            <c:idx val="3"/>
            <c:bubble3D val="0"/>
          </c:dPt>
          <c:dPt>
            <c:idx val="4"/>
            <c:bubble3D val="0"/>
          </c:dPt>
          <c:dPt>
            <c:idx val="5"/>
            <c:bubble3D val="0"/>
          </c:dPt>
          <c:dPt>
            <c:idx val="6"/>
            <c:bubble3D val="0"/>
          </c:dPt>
          <c:dPt>
            <c:idx val="7"/>
            <c:bubble3D val="0"/>
          </c:dPt>
          <c:dPt>
            <c:idx val="8"/>
            <c:bubble3D val="0"/>
          </c:dPt>
          <c:dPt>
            <c:idx val="9"/>
            <c:bubble3D val="0"/>
          </c:dPt>
          <c:dPt>
            <c:idx val="10"/>
            <c:bubble3D val="0"/>
          </c:dPt>
          <c:dPt>
            <c:idx val="11"/>
            <c:bubble3D val="0"/>
          </c:dPt>
          <c:dPt>
            <c:idx val="12"/>
            <c:bubble3D val="0"/>
          </c:dPt>
          <c:dPt>
            <c:idx val="13"/>
            <c:bubble3D val="0"/>
          </c:dPt>
          <c:dPt>
            <c:idx val="14"/>
            <c:bubble3D val="0"/>
          </c:dPt>
          <c:dPt>
            <c:idx val="15"/>
            <c:bubble3D val="0"/>
          </c:dPt>
          <c:dLbls>
            <c:dLbl>
              <c:idx val="0"/>
              <c:layout>
                <c:manualLayout>
                  <c:x val="3.9996073452192313E-3"/>
                  <c:y val="-0.1590932590835293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 val="5.1069839446034909E-2"/>
                  <c:y val="-0.15667035358111248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layout>
                <c:manualLayout>
                  <c:x val="0.13488625080663191"/>
                  <c:y val="-0.2228724080215385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layout>
                <c:manualLayout>
                  <c:x val="0.18138996573926106"/>
                  <c:y val="-0.1147702828530356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4"/>
              <c:layout>
                <c:manualLayout>
                  <c:x val="0.19658544827819266"/>
                  <c:y val="-1.09759751639267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5"/>
              <c:layout>
                <c:manualLayout>
                  <c:x val="0.1875798143257843"/>
                  <c:y val="0.1349773338238361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6"/>
              <c:layout>
                <c:manualLayout>
                  <c:x val="0.15322876485932824"/>
                  <c:y val="0.2296768061716386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7"/>
              <c:layout>
                <c:manualLayout>
                  <c:x val="8.7883349345280332E-2"/>
                  <c:y val="0.28571505497062638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8"/>
              <c:layout>
                <c:manualLayout>
                  <c:x val="9.5176944083706638E-3"/>
                  <c:y val="0.2392073887059665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9"/>
              <c:layout>
                <c:manualLayout>
                  <c:x val="-4.0936578206694094E-2"/>
                  <c:y val="0.10310223266904611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0"/>
              <c:layout>
                <c:manualLayout>
                  <c:x val="-7.7796949201092327E-2"/>
                  <c:y val="0.1370881894740312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1"/>
              <c:layout>
                <c:manualLayout>
                  <c:x val="-0.14282579484431396"/>
                  <c:y val="8.44443027606029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2"/>
              <c:layout>
                <c:manualLayout>
                  <c:x val="-0.16260220691297708"/>
                  <c:y val="-2.71150758968298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3"/>
              <c:layout>
                <c:manualLayout>
                  <c:x val="-0.1434389156291086"/>
                  <c:y val="-9.695114728932062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4"/>
              <c:layout>
                <c:manualLayout>
                  <c:x val="-0.10839653626987616"/>
                  <c:y val="-0.1713871655982628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5"/>
              <c:layout>
                <c:manualLayout>
                  <c:x val="-7.2177415591291413E-2"/>
                  <c:y val="-0.23038415724598629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1" i="0" u="none" strike="noStrike" baseline="0">
                    <a:solidFill>
                      <a:srgbClr val="FF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Lit>
              <c:ptCount val="16"/>
              <c:pt idx="0">
                <c:v>N</c:v>
              </c:pt>
              <c:pt idx="1">
                <c:v>NNE</c:v>
              </c:pt>
              <c:pt idx="2">
                <c:v>NE</c:v>
              </c:pt>
              <c:pt idx="3">
                <c:v>ENE</c:v>
              </c:pt>
              <c:pt idx="4">
                <c:v>E</c:v>
              </c:pt>
              <c:pt idx="5">
                <c:v>ESE</c:v>
              </c:pt>
              <c:pt idx="6">
                <c:v>SE</c:v>
              </c:pt>
              <c:pt idx="7">
                <c:v>SSE</c:v>
              </c:pt>
              <c:pt idx="8">
                <c:v>S</c:v>
              </c:pt>
              <c:pt idx="9">
                <c:v>SSW</c:v>
              </c:pt>
              <c:pt idx="10">
                <c:v>SW</c:v>
              </c:pt>
              <c:pt idx="11">
                <c:v>WSW</c:v>
              </c:pt>
              <c:pt idx="12">
                <c:v>W</c:v>
              </c:pt>
              <c:pt idx="13">
                <c:v>WNW</c:v>
              </c:pt>
              <c:pt idx="14">
                <c:v>NW</c:v>
              </c:pt>
              <c:pt idx="15">
                <c:v>NNW</c:v>
              </c:pt>
            </c:strLit>
          </c:cat>
          <c:val>
            <c:numLit>
              <c:formatCode>General</c:formatCode>
              <c:ptCount val="16"/>
              <c:pt idx="0">
                <c:v>0.126</c:v>
              </c:pt>
              <c:pt idx="1">
                <c:v>0.114</c:v>
              </c:pt>
              <c:pt idx="2">
                <c:v>5.3999999999999999E-2</c:v>
              </c:pt>
              <c:pt idx="3">
                <c:v>3.9E-2</c:v>
              </c:pt>
              <c:pt idx="4">
                <c:v>1.9E-2</c:v>
              </c:pt>
              <c:pt idx="5">
                <c:v>1.6E-2</c:v>
              </c:pt>
              <c:pt idx="6">
                <c:v>1.0999999999999999E-2</c:v>
              </c:pt>
              <c:pt idx="7">
                <c:v>1.4E-2</c:v>
              </c:pt>
              <c:pt idx="8">
                <c:v>6.6000000000000003E-2</c:v>
              </c:pt>
              <c:pt idx="9">
                <c:v>0.13400000000000001</c:v>
              </c:pt>
              <c:pt idx="10">
                <c:v>0.104</c:v>
              </c:pt>
              <c:pt idx="11">
                <c:v>6.6000000000000003E-2</c:v>
              </c:pt>
              <c:pt idx="12">
                <c:v>4.2999999999999997E-2</c:v>
              </c:pt>
              <c:pt idx="13">
                <c:v>6.6000000000000003E-2</c:v>
              </c:pt>
              <c:pt idx="14">
                <c:v>0.06</c:v>
              </c:pt>
              <c:pt idx="15">
                <c:v>7.1999999999999995E-2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730560"/>
        <c:axId val="119732096"/>
      </c:radarChart>
      <c:catAx>
        <c:axId val="119730560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9732096"/>
        <c:crosses val="autoZero"/>
        <c:auto val="0"/>
        <c:lblAlgn val="ctr"/>
        <c:lblOffset val="100"/>
        <c:noMultiLvlLbl val="0"/>
      </c:catAx>
      <c:valAx>
        <c:axId val="119732096"/>
        <c:scaling>
          <c:orientation val="minMax"/>
          <c:max val="0.2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General" sourceLinked="1"/>
        <c:majorTickMark val="cross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9730560"/>
        <c:crosses val="autoZero"/>
        <c:crossBetween val="between"/>
        <c:majorUnit val="0.05"/>
      </c:valAx>
      <c:spPr>
        <a:solidFill>
          <a:srgbClr val="C0C0C0"/>
        </a:solidFill>
        <a:ln w="25400">
          <a:noFill/>
        </a:ln>
      </c:spPr>
    </c:plotArea>
    <c:plotVisOnly val="1"/>
    <c:dispBlanksAs val="gap"/>
    <c:showDLblsOverMax val="0"/>
  </c:chart>
  <c:spPr>
    <a:solidFill>
      <a:srgbClr val="C0C0C0"/>
    </a:solidFill>
    <a:ln w="3175">
      <a:solidFill>
        <a:srgbClr val="000000"/>
      </a:solidFill>
      <a:prstDash val="solid"/>
    </a:ln>
  </c:spPr>
  <c:txPr>
    <a:bodyPr/>
    <a:lstStyle/>
    <a:p>
      <a:pPr>
        <a:defRPr sz="23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 horizontalDpi="-3" verticalDpi="0"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7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 sz="14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Temperature / °C   </a:t>
            </a:r>
          </a:p>
        </c:rich>
      </c:tx>
      <c:layout>
        <c:manualLayout>
          <c:xMode val="edge"/>
          <c:yMode val="edge"/>
          <c:x val="0.450704353933713"/>
          <c:y val="2.095459837019790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882432125746363E-2"/>
          <c:y val="8.0326006078792381E-2"/>
          <c:w val="0.95774676524787983"/>
          <c:h val="0.86961632667910016"/>
        </c:manualLayout>
      </c:layout>
      <c:lineChart>
        <c:grouping val="standard"/>
        <c:varyColors val="0"/>
        <c:ser>
          <c:idx val="0"/>
          <c:order val="0"/>
          <c:tx>
            <c:v>Min</c:v>
          </c:tx>
          <c:spPr>
            <a:ln w="38100">
              <a:solidFill>
                <a:srgbClr val="0000FF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13.8</c:v>
              </c:pt>
              <c:pt idx="1">
                <c:v>18</c:v>
              </c:pt>
              <c:pt idx="2">
                <c:v>15.7</c:v>
              </c:pt>
              <c:pt idx="3">
                <c:v>16.600000000000001</c:v>
              </c:pt>
              <c:pt idx="4">
                <c:v>14.7</c:v>
              </c:pt>
              <c:pt idx="5">
                <c:v>14.8</c:v>
              </c:pt>
              <c:pt idx="6">
                <c:v>13</c:v>
              </c:pt>
              <c:pt idx="7">
                <c:v>11.7</c:v>
              </c:pt>
              <c:pt idx="8">
                <c:v>11.6</c:v>
              </c:pt>
              <c:pt idx="9">
                <c:v>9.1999999999999993</c:v>
              </c:pt>
              <c:pt idx="10">
                <c:v>15.1</c:v>
              </c:pt>
              <c:pt idx="11">
                <c:v>16</c:v>
              </c:pt>
              <c:pt idx="12">
                <c:v>16.100000000000001</c:v>
              </c:pt>
              <c:pt idx="13">
                <c:v>15.1</c:v>
              </c:pt>
              <c:pt idx="14">
                <c:v>12.1</c:v>
              </c:pt>
              <c:pt idx="15">
                <c:v>14.7</c:v>
              </c:pt>
              <c:pt idx="16">
                <c:v>12.3</c:v>
              </c:pt>
              <c:pt idx="17">
                <c:v>11.6</c:v>
              </c:pt>
              <c:pt idx="18">
                <c:v>9.1</c:v>
              </c:pt>
              <c:pt idx="19">
                <c:v>13.2</c:v>
              </c:pt>
              <c:pt idx="20">
                <c:v>13</c:v>
              </c:pt>
              <c:pt idx="21">
                <c:v>11</c:v>
              </c:pt>
              <c:pt idx="22">
                <c:v>13.7</c:v>
              </c:pt>
              <c:pt idx="23">
                <c:v>14.2</c:v>
              </c:pt>
              <c:pt idx="24">
                <c:v>13.8</c:v>
              </c:pt>
              <c:pt idx="25">
                <c:v>11</c:v>
              </c:pt>
              <c:pt idx="26">
                <c:v>11.2</c:v>
              </c:pt>
              <c:pt idx="27">
                <c:v>12.4</c:v>
              </c:pt>
              <c:pt idx="28">
                <c:v>10.6</c:v>
              </c:pt>
              <c:pt idx="29">
                <c:v>12.5</c:v>
              </c:pt>
              <c:pt idx="30">
                <c:v>12.5</c:v>
              </c:pt>
            </c:numLit>
          </c:val>
          <c:smooth val="0"/>
        </c:ser>
        <c:ser>
          <c:idx val="1"/>
          <c:order val="1"/>
          <c:tx>
            <c:v>Max</c:v>
          </c:tx>
          <c:spPr>
            <a:ln w="38100">
              <a:solidFill>
                <a:srgbClr val="FF6600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993300"/>
              </a:solidFill>
              <a:ln>
                <a:solidFill>
                  <a:srgbClr val="993300"/>
                </a:solidFill>
                <a:prstDash val="solid"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28.2</c:v>
              </c:pt>
              <c:pt idx="1">
                <c:v>27.8</c:v>
              </c:pt>
              <c:pt idx="2">
                <c:v>29.6</c:v>
              </c:pt>
              <c:pt idx="3">
                <c:v>20.2</c:v>
              </c:pt>
              <c:pt idx="4">
                <c:v>24.7</c:v>
              </c:pt>
              <c:pt idx="5">
                <c:v>19.899999999999999</c:v>
              </c:pt>
              <c:pt idx="6">
                <c:v>20.399999999999999</c:v>
              </c:pt>
              <c:pt idx="7">
                <c:v>20.7</c:v>
              </c:pt>
              <c:pt idx="8">
                <c:v>21.1</c:v>
              </c:pt>
              <c:pt idx="9">
                <c:v>23</c:v>
              </c:pt>
              <c:pt idx="10">
                <c:v>21.7</c:v>
              </c:pt>
              <c:pt idx="11">
                <c:v>22.3</c:v>
              </c:pt>
              <c:pt idx="12">
                <c:v>21.2</c:v>
              </c:pt>
              <c:pt idx="13">
                <c:v>22.4</c:v>
              </c:pt>
              <c:pt idx="14">
                <c:v>21.6</c:v>
              </c:pt>
              <c:pt idx="15">
                <c:v>20.2</c:v>
              </c:pt>
              <c:pt idx="16">
                <c:v>20.2</c:v>
              </c:pt>
              <c:pt idx="17">
                <c:v>17.100000000000001</c:v>
              </c:pt>
              <c:pt idx="18">
                <c:v>21.3</c:v>
              </c:pt>
              <c:pt idx="19">
                <c:v>21.7</c:v>
              </c:pt>
              <c:pt idx="20">
                <c:v>23.3</c:v>
              </c:pt>
              <c:pt idx="21">
                <c:v>21.9</c:v>
              </c:pt>
              <c:pt idx="22">
                <c:v>16.399999999999999</c:v>
              </c:pt>
              <c:pt idx="23">
                <c:v>20.7</c:v>
              </c:pt>
              <c:pt idx="24">
                <c:v>19.899999999999999</c:v>
              </c:pt>
              <c:pt idx="25">
                <c:v>17</c:v>
              </c:pt>
              <c:pt idx="26">
                <c:v>17.899999999999999</c:v>
              </c:pt>
              <c:pt idx="27">
                <c:v>19.399999999999999</c:v>
              </c:pt>
              <c:pt idx="28">
                <c:v>16.600000000000001</c:v>
              </c:pt>
              <c:pt idx="29">
                <c:v>16.2</c:v>
              </c:pt>
              <c:pt idx="30">
                <c:v>18</c:v>
              </c:pt>
            </c:numLit>
          </c:val>
          <c:smooth val="0"/>
        </c:ser>
        <c:ser>
          <c:idx val="7"/>
          <c:order val="2"/>
          <c:tx>
            <c:v>Cumulative Min</c:v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x"/>
            <c:size val="2"/>
            <c:spPr>
              <a:noFill/>
              <a:ln>
                <a:solidFill>
                  <a:srgbClr val="0000FF"/>
                </a:solidFill>
                <a:prstDash val="solid"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13.8</c:v>
              </c:pt>
              <c:pt idx="1">
                <c:v>15.9</c:v>
              </c:pt>
              <c:pt idx="2">
                <c:v>15.833333333333334</c:v>
              </c:pt>
              <c:pt idx="3">
                <c:v>16.024999999999999</c:v>
              </c:pt>
              <c:pt idx="4">
                <c:v>15.76</c:v>
              </c:pt>
              <c:pt idx="5">
                <c:v>15.6</c:v>
              </c:pt>
              <c:pt idx="6">
                <c:v>15.228571428571428</c:v>
              </c:pt>
              <c:pt idx="7">
                <c:v>14.7875</c:v>
              </c:pt>
              <c:pt idx="8">
                <c:v>14.433333333333334</c:v>
              </c:pt>
              <c:pt idx="9">
                <c:v>13.91</c:v>
              </c:pt>
              <c:pt idx="10">
                <c:v>14.018181818181818</c:v>
              </c:pt>
              <c:pt idx="11">
                <c:v>14.183333333333332</c:v>
              </c:pt>
              <c:pt idx="12">
                <c:v>14.33076923076923</c:v>
              </c:pt>
              <c:pt idx="13">
                <c:v>14.385714285714284</c:v>
              </c:pt>
              <c:pt idx="14">
                <c:v>14.233333333333331</c:v>
              </c:pt>
              <c:pt idx="15">
                <c:v>14.262499999999998</c:v>
              </c:pt>
              <c:pt idx="16">
                <c:v>14.147058823529409</c:v>
              </c:pt>
              <c:pt idx="17">
                <c:v>14.005555555555553</c:v>
              </c:pt>
              <c:pt idx="18">
                <c:v>13.747368421052631</c:v>
              </c:pt>
              <c:pt idx="19">
                <c:v>13.719999999999999</c:v>
              </c:pt>
              <c:pt idx="20">
                <c:v>13.685714285714285</c:v>
              </c:pt>
              <c:pt idx="21">
                <c:v>13.563636363636363</c:v>
              </c:pt>
              <c:pt idx="22">
                <c:v>13.569565217391302</c:v>
              </c:pt>
              <c:pt idx="23">
                <c:v>13.595833333333331</c:v>
              </c:pt>
              <c:pt idx="24">
                <c:v>13.603999999999999</c:v>
              </c:pt>
              <c:pt idx="25">
                <c:v>13.503846153846153</c:v>
              </c:pt>
              <c:pt idx="26">
                <c:v>13.418518518518518</c:v>
              </c:pt>
              <c:pt idx="27">
                <c:v>13.382142857142854</c:v>
              </c:pt>
              <c:pt idx="28">
                <c:v>13.286206896551722</c:v>
              </c:pt>
              <c:pt idx="29">
                <c:v>13.259999999999998</c:v>
              </c:pt>
              <c:pt idx="30">
                <c:v>13.235483870967741</c:v>
              </c:pt>
            </c:numLit>
          </c:val>
          <c:smooth val="0"/>
        </c:ser>
        <c:ser>
          <c:idx val="6"/>
          <c:order val="3"/>
          <c:tx>
            <c:v>Cumulative Max</c:v>
          </c:tx>
          <c:spPr>
            <a:ln w="12700">
              <a:solidFill>
                <a:srgbClr val="FF9900"/>
              </a:solidFill>
              <a:prstDash val="solid"/>
            </a:ln>
          </c:spPr>
          <c:marker>
            <c:symbol val="plus"/>
            <c:size val="2"/>
            <c:spPr>
              <a:noFill/>
              <a:ln>
                <a:solidFill>
                  <a:srgbClr val="FF6600"/>
                </a:solidFill>
                <a:prstDash val="solid"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28.2</c:v>
              </c:pt>
              <c:pt idx="1">
                <c:v>28</c:v>
              </c:pt>
              <c:pt idx="2">
                <c:v>28.533333333333331</c:v>
              </c:pt>
              <c:pt idx="3">
                <c:v>26.45</c:v>
              </c:pt>
              <c:pt idx="4">
                <c:v>26.1</c:v>
              </c:pt>
              <c:pt idx="5">
                <c:v>25.066666666666666</c:v>
              </c:pt>
              <c:pt idx="6">
                <c:v>24.400000000000002</c:v>
              </c:pt>
              <c:pt idx="7">
                <c:v>23.9375</c:v>
              </c:pt>
              <c:pt idx="8">
                <c:v>23.62222222222222</c:v>
              </c:pt>
              <c:pt idx="9">
                <c:v>23.56</c:v>
              </c:pt>
              <c:pt idx="10">
                <c:v>23.390909090909091</c:v>
              </c:pt>
              <c:pt idx="11">
                <c:v>23.3</c:v>
              </c:pt>
              <c:pt idx="12">
                <c:v>23.138461538461538</c:v>
              </c:pt>
              <c:pt idx="13">
                <c:v>23.085714285714285</c:v>
              </c:pt>
              <c:pt idx="14">
                <c:v>22.986666666666668</c:v>
              </c:pt>
              <c:pt idx="15">
                <c:v>22.8125</c:v>
              </c:pt>
              <c:pt idx="16">
                <c:v>22.658823529411762</c:v>
              </c:pt>
              <c:pt idx="17">
                <c:v>22.35</c:v>
              </c:pt>
              <c:pt idx="18">
                <c:v>22.294736842105266</c:v>
              </c:pt>
              <c:pt idx="19">
                <c:v>22.265000000000001</c:v>
              </c:pt>
              <c:pt idx="20">
                <c:v>22.314285714285717</c:v>
              </c:pt>
              <c:pt idx="21">
                <c:v>22.295454545454547</c:v>
              </c:pt>
              <c:pt idx="22">
                <c:v>22.039130434782606</c:v>
              </c:pt>
              <c:pt idx="23">
                <c:v>21.983333333333334</c:v>
              </c:pt>
              <c:pt idx="24">
                <c:v>21.9</c:v>
              </c:pt>
              <c:pt idx="25">
                <c:v>21.71153846153846</c:v>
              </c:pt>
              <c:pt idx="26">
                <c:v>21.57037037037037</c:v>
              </c:pt>
              <c:pt idx="27">
                <c:v>21.49285714285714</c:v>
              </c:pt>
              <c:pt idx="28">
                <c:v>21.324137931034482</c:v>
              </c:pt>
              <c:pt idx="29">
                <c:v>21.153333333333332</c:v>
              </c:pt>
              <c:pt idx="30">
                <c:v>21.051612903225806</c:v>
              </c:pt>
            </c:numLit>
          </c:val>
          <c:smooth val="0"/>
        </c:ser>
        <c:ser>
          <c:idx val="9"/>
          <c:order val="6"/>
          <c:tx>
            <c:v>E (Min)</c:v>
          </c:tx>
          <c:spPr>
            <a:ln w="25400">
              <a:solidFill>
                <a:srgbClr val="00CCFF"/>
              </a:solidFill>
              <a:prstDash val="lgDash"/>
            </a:ln>
          </c:spPr>
          <c:marker>
            <c:symbol val="star"/>
            <c:size val="2"/>
            <c:spPr>
              <a:noFill/>
              <a:ln>
                <a:solidFill>
                  <a:srgbClr val="000080"/>
                </a:solidFill>
                <a:prstDash val="solid"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13.81</c:v>
              </c:pt>
              <c:pt idx="1">
                <c:v>13.775</c:v>
              </c:pt>
              <c:pt idx="2">
                <c:v>13.74</c:v>
              </c:pt>
              <c:pt idx="3">
                <c:v>13.705</c:v>
              </c:pt>
              <c:pt idx="4">
                <c:v>13.67</c:v>
              </c:pt>
              <c:pt idx="5">
                <c:v>13.6</c:v>
              </c:pt>
              <c:pt idx="6">
                <c:v>13.574999999999999</c:v>
              </c:pt>
              <c:pt idx="7">
                <c:v>13.549999999999999</c:v>
              </c:pt>
              <c:pt idx="8">
                <c:v>13.524999999999999</c:v>
              </c:pt>
              <c:pt idx="9">
                <c:v>13.499999999999998</c:v>
              </c:pt>
              <c:pt idx="10">
                <c:v>13.474999999999998</c:v>
              </c:pt>
              <c:pt idx="11">
                <c:v>13.449999999999998</c:v>
              </c:pt>
              <c:pt idx="12">
                <c:v>13.424999999999997</c:v>
              </c:pt>
              <c:pt idx="13">
                <c:v>13.4</c:v>
              </c:pt>
              <c:pt idx="14">
                <c:v>13.344444444444445</c:v>
              </c:pt>
              <c:pt idx="15">
                <c:v>13.28888888888889</c:v>
              </c:pt>
              <c:pt idx="16">
                <c:v>13.233333333333334</c:v>
              </c:pt>
              <c:pt idx="17">
                <c:v>13.177777777777779</c:v>
              </c:pt>
              <c:pt idx="18">
                <c:v>13.122222222222224</c:v>
              </c:pt>
              <c:pt idx="19">
                <c:v>13.066666666666668</c:v>
              </c:pt>
              <c:pt idx="20">
                <c:v>13.011111111111113</c:v>
              </c:pt>
              <c:pt idx="21">
                <c:v>12.955555555555557</c:v>
              </c:pt>
              <c:pt idx="22">
                <c:v>12.899999999999999</c:v>
              </c:pt>
              <c:pt idx="23">
                <c:v>12.824230769230768</c:v>
              </c:pt>
              <c:pt idx="24">
                <c:v>12.748461538461537</c:v>
              </c:pt>
              <c:pt idx="25">
                <c:v>12.672692307692307</c:v>
              </c:pt>
              <c:pt idx="26">
                <c:v>12.596923076923076</c:v>
              </c:pt>
              <c:pt idx="27">
                <c:v>12.521153846153846</c:v>
              </c:pt>
              <c:pt idx="28">
                <c:v>12.445384615384615</c:v>
              </c:pt>
              <c:pt idx="29">
                <c:v>12.369615384615384</c:v>
              </c:pt>
              <c:pt idx="30">
                <c:v>12.293846153846154</c:v>
              </c:pt>
            </c:numLit>
          </c:val>
          <c:smooth val="0"/>
        </c:ser>
        <c:ser>
          <c:idx val="8"/>
          <c:order val="7"/>
          <c:tx>
            <c:v>E (Max)</c:v>
          </c:tx>
          <c:spPr>
            <a:ln w="25400">
              <a:solidFill>
                <a:srgbClr val="FFCC00"/>
              </a:solidFill>
              <a:prstDash val="lgDash"/>
            </a:ln>
          </c:spPr>
          <c:marker>
            <c:symbol val="diamond"/>
            <c:size val="2"/>
            <c:spPr>
              <a:noFill/>
              <a:ln>
                <a:solidFill>
                  <a:srgbClr val="FFCC00"/>
                </a:solidFill>
                <a:prstDash val="solid"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22.669999999999998</c:v>
              </c:pt>
              <c:pt idx="1">
                <c:v>22.669999999999998</c:v>
              </c:pt>
              <c:pt idx="2">
                <c:v>22.65</c:v>
              </c:pt>
              <c:pt idx="3">
                <c:v>22.63</c:v>
              </c:pt>
              <c:pt idx="4">
                <c:v>22.619999999999997</c:v>
              </c:pt>
              <c:pt idx="5">
                <c:v>22.61</c:v>
              </c:pt>
              <c:pt idx="6">
                <c:v>22.599999999999998</c:v>
              </c:pt>
              <c:pt idx="7">
                <c:v>22.566923076923075</c:v>
              </c:pt>
              <c:pt idx="8">
                <c:v>22.533846153846152</c:v>
              </c:pt>
              <c:pt idx="9">
                <c:v>22.50076923076923</c:v>
              </c:pt>
              <c:pt idx="10">
                <c:v>22.467692307692307</c:v>
              </c:pt>
              <c:pt idx="11">
                <c:v>22.434615384615384</c:v>
              </c:pt>
              <c:pt idx="12">
                <c:v>22.401538461538461</c:v>
              </c:pt>
              <c:pt idx="13">
                <c:v>22.368461538461538</c:v>
              </c:pt>
              <c:pt idx="14">
                <c:v>22.335384615384616</c:v>
              </c:pt>
              <c:pt idx="15">
                <c:v>22.302307692307693</c:v>
              </c:pt>
              <c:pt idx="16">
                <c:v>22.26923076923077</c:v>
              </c:pt>
              <c:pt idx="17">
                <c:v>22.236153846153847</c:v>
              </c:pt>
              <c:pt idx="18">
                <c:v>22.203076923076924</c:v>
              </c:pt>
              <c:pt idx="19">
                <c:v>22.2</c:v>
              </c:pt>
              <c:pt idx="20">
                <c:v>22.099374999999998</c:v>
              </c:pt>
              <c:pt idx="21">
                <c:v>21.998749999999998</c:v>
              </c:pt>
              <c:pt idx="22">
                <c:v>21.898124999999997</c:v>
              </c:pt>
              <c:pt idx="23">
                <c:v>21.797499999999996</c:v>
              </c:pt>
              <c:pt idx="24">
                <c:v>21.696874999999995</c:v>
              </c:pt>
              <c:pt idx="25">
                <c:v>21.596249999999994</c:v>
              </c:pt>
              <c:pt idx="26">
                <c:v>21.495624999999993</c:v>
              </c:pt>
              <c:pt idx="27">
                <c:v>21.394999999999992</c:v>
              </c:pt>
              <c:pt idx="28">
                <c:v>21.294374999999992</c:v>
              </c:pt>
              <c:pt idx="29">
                <c:v>21.193749999999991</c:v>
              </c:pt>
              <c:pt idx="30">
                <c:v>21.09312499999999</c:v>
              </c:pt>
            </c:numLit>
          </c:val>
          <c:smooth val="0"/>
        </c:ser>
        <c:ser>
          <c:idx val="4"/>
          <c:order val="8"/>
          <c:tx>
            <c:v>E (Mean)</c:v>
          </c:tx>
          <c:spPr>
            <a:ln w="25400">
              <a:solidFill>
                <a:srgbClr val="CC99FF"/>
              </a:solidFill>
              <a:prstDash val="lgDash"/>
            </a:ln>
          </c:spPr>
          <c:marker>
            <c:symbol val="square"/>
            <c:size val="2"/>
            <c:spPr>
              <a:noFill/>
              <a:ln w="9525">
                <a:noFill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18.239999999999998</c:v>
              </c:pt>
              <c:pt idx="1">
                <c:v>18.2225</c:v>
              </c:pt>
              <c:pt idx="2">
                <c:v>18.195</c:v>
              </c:pt>
              <c:pt idx="3">
                <c:v>18.1675</c:v>
              </c:pt>
              <c:pt idx="4">
                <c:v>18.145</c:v>
              </c:pt>
              <c:pt idx="5">
                <c:v>18.105</c:v>
              </c:pt>
              <c:pt idx="6">
                <c:v>18.087499999999999</c:v>
              </c:pt>
              <c:pt idx="7">
                <c:v>18.058461538461536</c:v>
              </c:pt>
              <c:pt idx="8">
                <c:v>18.029423076923074</c:v>
              </c:pt>
              <c:pt idx="9">
                <c:v>18.000384615384615</c:v>
              </c:pt>
              <c:pt idx="10">
                <c:v>17.971346153846152</c:v>
              </c:pt>
              <c:pt idx="11">
                <c:v>17.94230769230769</c:v>
              </c:pt>
              <c:pt idx="12">
                <c:v>17.913269230769231</c:v>
              </c:pt>
              <c:pt idx="13">
                <c:v>17.884230769230768</c:v>
              </c:pt>
              <c:pt idx="14">
                <c:v>17.83991452991453</c:v>
              </c:pt>
              <c:pt idx="15">
                <c:v>17.795598290598292</c:v>
              </c:pt>
              <c:pt idx="16">
                <c:v>17.751282051282054</c:v>
              </c:pt>
              <c:pt idx="17">
                <c:v>17.706965811965812</c:v>
              </c:pt>
              <c:pt idx="18">
                <c:v>17.662649572649574</c:v>
              </c:pt>
              <c:pt idx="19">
                <c:v>17.633333333333333</c:v>
              </c:pt>
              <c:pt idx="20">
                <c:v>17.555243055555557</c:v>
              </c:pt>
              <c:pt idx="21">
                <c:v>17.477152777777778</c:v>
              </c:pt>
              <c:pt idx="22">
                <c:v>17.399062499999999</c:v>
              </c:pt>
              <c:pt idx="23">
                <c:v>17.310865384615383</c:v>
              </c:pt>
              <c:pt idx="24">
                <c:v>17.222668269230766</c:v>
              </c:pt>
              <c:pt idx="25">
                <c:v>17.13447115384615</c:v>
              </c:pt>
              <c:pt idx="26">
                <c:v>17.046274038461533</c:v>
              </c:pt>
              <c:pt idx="27">
                <c:v>16.95807692307692</c:v>
              </c:pt>
              <c:pt idx="28">
                <c:v>16.869879807692303</c:v>
              </c:pt>
              <c:pt idx="29">
                <c:v>16.781682692307687</c:v>
              </c:pt>
              <c:pt idx="30">
                <c:v>16.693485576923074</c:v>
              </c:pt>
            </c:numLit>
          </c:val>
          <c:smooth val="1"/>
        </c:ser>
        <c:ser>
          <c:idx val="14"/>
          <c:order val="10"/>
          <c:tx>
            <c:v>Freezing Level</c:v>
          </c:tx>
          <c:spPr>
            <a:ln w="38100">
              <a:solidFill>
                <a:srgbClr val="000080"/>
              </a:solidFill>
              <a:prstDash val="sysDash"/>
            </a:ln>
          </c:spPr>
          <c:marker>
            <c:symbol val="none"/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227520"/>
        <c:axId val="35229056"/>
      </c:lineChart>
      <c:lineChart>
        <c:grouping val="standard"/>
        <c:varyColors val="0"/>
        <c:ser>
          <c:idx val="3"/>
          <c:order val="4"/>
          <c:tx>
            <c:v>Range</c:v>
          </c:tx>
          <c:spPr>
            <a:ln w="38100">
              <a:solidFill>
                <a:srgbClr val="339966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14.4</c:v>
              </c:pt>
              <c:pt idx="1">
                <c:v>9.8000000000000007</c:v>
              </c:pt>
              <c:pt idx="2">
                <c:v>13.9</c:v>
              </c:pt>
              <c:pt idx="3">
                <c:v>3.6</c:v>
              </c:pt>
              <c:pt idx="4">
                <c:v>10</c:v>
              </c:pt>
              <c:pt idx="5">
                <c:v>5.0999999999999996</c:v>
              </c:pt>
              <c:pt idx="6">
                <c:v>7.4</c:v>
              </c:pt>
              <c:pt idx="7">
                <c:v>9</c:v>
              </c:pt>
              <c:pt idx="8">
                <c:v>9.5</c:v>
              </c:pt>
              <c:pt idx="9">
                <c:v>13.8</c:v>
              </c:pt>
              <c:pt idx="10">
                <c:v>6.6</c:v>
              </c:pt>
              <c:pt idx="11">
                <c:v>6.3</c:v>
              </c:pt>
              <c:pt idx="12">
                <c:v>5.0999999999999996</c:v>
              </c:pt>
              <c:pt idx="13">
                <c:v>7.3</c:v>
              </c:pt>
              <c:pt idx="14">
                <c:v>9.5</c:v>
              </c:pt>
              <c:pt idx="15">
                <c:v>5.5</c:v>
              </c:pt>
              <c:pt idx="16">
                <c:v>7.9</c:v>
              </c:pt>
              <c:pt idx="17">
                <c:v>5.5</c:v>
              </c:pt>
              <c:pt idx="18">
                <c:v>12.2</c:v>
              </c:pt>
              <c:pt idx="19">
                <c:v>8.5</c:v>
              </c:pt>
              <c:pt idx="20">
                <c:v>10.3</c:v>
              </c:pt>
              <c:pt idx="21">
                <c:v>10.9</c:v>
              </c:pt>
              <c:pt idx="22">
                <c:v>2.7</c:v>
              </c:pt>
              <c:pt idx="23">
                <c:v>6.5</c:v>
              </c:pt>
              <c:pt idx="24">
                <c:v>6.1</c:v>
              </c:pt>
              <c:pt idx="25">
                <c:v>6</c:v>
              </c:pt>
              <c:pt idx="26">
                <c:v>6.7</c:v>
              </c:pt>
              <c:pt idx="27">
                <c:v>7</c:v>
              </c:pt>
              <c:pt idx="28">
                <c:v>6</c:v>
              </c:pt>
              <c:pt idx="29">
                <c:v>3.7</c:v>
              </c:pt>
              <c:pt idx="30">
                <c:v>5.5</c:v>
              </c:pt>
            </c:numLit>
          </c:val>
          <c:smooth val="0"/>
        </c:ser>
        <c:ser>
          <c:idx val="12"/>
          <c:order val="5"/>
          <c:tx>
            <c:v>Cumulative Range</c:v>
          </c:tx>
          <c:spPr>
            <a:ln w="12700">
              <a:solidFill>
                <a:srgbClr val="008000"/>
              </a:solidFill>
              <a:prstDash val="solid"/>
            </a:ln>
          </c:spPr>
          <c:marker>
            <c:symbol val="none"/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14.4</c:v>
              </c:pt>
              <c:pt idx="1">
                <c:v>12.100000000000001</c:v>
              </c:pt>
              <c:pt idx="2">
                <c:v>12.700000000000001</c:v>
              </c:pt>
              <c:pt idx="3">
                <c:v>10.425000000000001</c:v>
              </c:pt>
              <c:pt idx="4">
                <c:v>10.34</c:v>
              </c:pt>
              <c:pt idx="5">
                <c:v>9.4666666666666668</c:v>
              </c:pt>
              <c:pt idx="6">
                <c:v>9.1714285714285726</c:v>
              </c:pt>
              <c:pt idx="7">
                <c:v>9.15</c:v>
              </c:pt>
              <c:pt idx="8">
                <c:v>9.18888888888889</c:v>
              </c:pt>
              <c:pt idx="9">
                <c:v>9.65</c:v>
              </c:pt>
              <c:pt idx="10">
                <c:v>9.372727272727273</c:v>
              </c:pt>
              <c:pt idx="11">
                <c:v>9.1166666666666654</c:v>
              </c:pt>
              <c:pt idx="12">
                <c:v>8.8076923076923066</c:v>
              </c:pt>
              <c:pt idx="13">
                <c:v>8.6999999999999993</c:v>
              </c:pt>
              <c:pt idx="14">
                <c:v>8.7533333333333321</c:v>
              </c:pt>
              <c:pt idx="15">
                <c:v>8.5499999999999989</c:v>
              </c:pt>
              <c:pt idx="16">
                <c:v>8.5117647058823529</c:v>
              </c:pt>
              <c:pt idx="17">
                <c:v>8.3444444444444432</c:v>
              </c:pt>
              <c:pt idx="18">
                <c:v>8.5473684210526297</c:v>
              </c:pt>
              <c:pt idx="19">
                <c:v>8.5449999999999982</c:v>
              </c:pt>
              <c:pt idx="20">
                <c:v>8.6285714285714281</c:v>
              </c:pt>
              <c:pt idx="21">
                <c:v>8.7318181818181824</c:v>
              </c:pt>
              <c:pt idx="22">
                <c:v>8.4695652173913043</c:v>
              </c:pt>
              <c:pt idx="23">
                <c:v>8.3874999999999993</c:v>
              </c:pt>
              <c:pt idx="24">
                <c:v>8.2959999999999994</c:v>
              </c:pt>
              <c:pt idx="25">
                <c:v>8.207692307692307</c:v>
              </c:pt>
              <c:pt idx="26">
                <c:v>8.1518518518518501</c:v>
              </c:pt>
              <c:pt idx="27">
                <c:v>8.110714285714284</c:v>
              </c:pt>
              <c:pt idx="28">
                <c:v>8.0379310344827566</c:v>
              </c:pt>
              <c:pt idx="29">
                <c:v>7.8933333333333318</c:v>
              </c:pt>
              <c:pt idx="30">
                <c:v>7.816129032258063</c:v>
              </c:pt>
            </c:numLit>
          </c:val>
          <c:smooth val="0"/>
        </c:ser>
        <c:ser>
          <c:idx val="11"/>
          <c:order val="9"/>
          <c:tx>
            <c:v>E (Range)</c:v>
          </c:tx>
          <c:spPr>
            <a:ln w="25400">
              <a:solidFill>
                <a:srgbClr val="00FF00"/>
              </a:solidFill>
              <a:prstDash val="lgDash"/>
            </a:ln>
          </c:spPr>
          <c:marker>
            <c:symbol val="none"/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8.8599999999999977</c:v>
              </c:pt>
              <c:pt idx="1">
                <c:v>8.8949999999999978</c:v>
              </c:pt>
              <c:pt idx="2">
                <c:v>8.9099999999999984</c:v>
              </c:pt>
              <c:pt idx="3">
                <c:v>8.9249999999999989</c:v>
              </c:pt>
              <c:pt idx="4">
                <c:v>8.9499999999999975</c:v>
              </c:pt>
              <c:pt idx="5">
                <c:v>9.01</c:v>
              </c:pt>
              <c:pt idx="6">
                <c:v>9.0249999999999986</c:v>
              </c:pt>
              <c:pt idx="7">
                <c:v>9.0169230769230762</c:v>
              </c:pt>
              <c:pt idx="8">
                <c:v>9.0088461538461537</c:v>
              </c:pt>
              <c:pt idx="9">
                <c:v>9.0007692307692313</c:v>
              </c:pt>
              <c:pt idx="10">
                <c:v>8.9926923076923089</c:v>
              </c:pt>
              <c:pt idx="11">
                <c:v>8.9846153846153864</c:v>
              </c:pt>
              <c:pt idx="12">
                <c:v>8.976538461538464</c:v>
              </c:pt>
              <c:pt idx="13">
                <c:v>8.968461538461538</c:v>
              </c:pt>
              <c:pt idx="14">
                <c:v>8.9909401709401706</c:v>
              </c:pt>
              <c:pt idx="15">
                <c:v>9.0134188034188032</c:v>
              </c:pt>
              <c:pt idx="16">
                <c:v>9.0358974358974358</c:v>
              </c:pt>
              <c:pt idx="17">
                <c:v>9.0583760683760683</c:v>
              </c:pt>
              <c:pt idx="18">
                <c:v>9.0808547008547009</c:v>
              </c:pt>
              <c:pt idx="19">
                <c:v>9.1333333333333311</c:v>
              </c:pt>
              <c:pt idx="20">
                <c:v>9.0882638888888856</c:v>
              </c:pt>
              <c:pt idx="21">
                <c:v>9.0431944444444401</c:v>
              </c:pt>
              <c:pt idx="22">
                <c:v>8.9981249999999982</c:v>
              </c:pt>
              <c:pt idx="23">
                <c:v>8.9732692307692279</c:v>
              </c:pt>
              <c:pt idx="24">
                <c:v>8.9484134615384576</c:v>
              </c:pt>
              <c:pt idx="25">
                <c:v>8.9235576923076874</c:v>
              </c:pt>
              <c:pt idx="26">
                <c:v>8.8987019230769171</c:v>
              </c:pt>
              <c:pt idx="27">
                <c:v>8.8738461538461468</c:v>
              </c:pt>
              <c:pt idx="28">
                <c:v>8.8489903846153766</c:v>
              </c:pt>
              <c:pt idx="29">
                <c:v>8.8241346153846063</c:v>
              </c:pt>
              <c:pt idx="30">
                <c:v>8.799278846153836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243136"/>
        <c:axId val="35244672"/>
      </c:lineChart>
      <c:catAx>
        <c:axId val="35227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5229056"/>
        <c:crossesAt val="-10"/>
        <c:auto val="1"/>
        <c:lblAlgn val="ctr"/>
        <c:lblOffset val="100"/>
        <c:tickLblSkip val="1"/>
        <c:tickMarkSkip val="1"/>
        <c:noMultiLvlLbl val="0"/>
      </c:catAx>
      <c:valAx>
        <c:axId val="35229056"/>
        <c:scaling>
          <c:orientation val="minMax"/>
          <c:max val="30"/>
          <c:min val="5"/>
        </c:scaling>
        <c:delete val="0"/>
        <c:axPos val="l"/>
        <c:majorGridlines>
          <c:spPr>
            <a:ln w="12700">
              <a:solidFill>
                <a:srgbClr val="333333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5227520"/>
        <c:crosses val="autoZero"/>
        <c:crossBetween val="between"/>
        <c:majorUnit val="5"/>
      </c:valAx>
      <c:catAx>
        <c:axId val="352431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5244672"/>
        <c:crosses val="autoZero"/>
        <c:auto val="1"/>
        <c:lblAlgn val="ctr"/>
        <c:lblOffset val="100"/>
        <c:noMultiLvlLbl val="0"/>
      </c:catAx>
      <c:valAx>
        <c:axId val="35244672"/>
        <c:scaling>
          <c:orientation val="minMax"/>
          <c:max val="50"/>
          <c:min val="0"/>
        </c:scaling>
        <c:delete val="0"/>
        <c:axPos val="r"/>
        <c:numFmt formatCode="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5243136"/>
        <c:crosses val="max"/>
        <c:crossBetween val="between"/>
        <c:majorUnit val="10"/>
      </c:valAx>
      <c:spPr>
        <a:solidFill>
          <a:srgbClr val="969696"/>
        </a:solidFill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7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 horizontalDpi="-3"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Relative Humidity / %</a:t>
            </a:r>
          </a:p>
        </c:rich>
      </c:tx>
      <c:layout>
        <c:manualLayout>
          <c:xMode val="edge"/>
          <c:yMode val="edge"/>
          <c:x val="0.44022072348252606"/>
          <c:y val="2.555168408826945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429797670141016E-2"/>
          <c:y val="9.5238203259068371E-2"/>
          <c:w val="0.94788473329245859"/>
          <c:h val="0.85482094632529659"/>
        </c:manualLayout>
      </c:layout>
      <c:lineChart>
        <c:grouping val="standard"/>
        <c:varyColors val="0"/>
        <c:ser>
          <c:idx val="2"/>
          <c:order val="0"/>
          <c:tx>
            <c:v>Max</c:v>
          </c:tx>
          <c:spPr>
            <a:ln w="38100">
              <a:solidFill>
                <a:srgbClr val="008000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003300"/>
              </a:solidFill>
              <a:ln>
                <a:solidFill>
                  <a:srgbClr val="003300"/>
                </a:solidFill>
                <a:prstDash val="solid"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69</c:v>
              </c:pt>
              <c:pt idx="1">
                <c:v>79</c:v>
              </c:pt>
              <c:pt idx="2">
                <c:v>77</c:v>
              </c:pt>
              <c:pt idx="3">
                <c:v>93</c:v>
              </c:pt>
              <c:pt idx="4">
                <c:v>90</c:v>
              </c:pt>
              <c:pt idx="5">
                <c:v>79</c:v>
              </c:pt>
              <c:pt idx="6">
                <c:v>83</c:v>
              </c:pt>
              <c:pt idx="7">
                <c:v>90</c:v>
              </c:pt>
              <c:pt idx="8">
                <c:v>71</c:v>
              </c:pt>
              <c:pt idx="9">
                <c:v>79</c:v>
              </c:pt>
              <c:pt idx="10">
                <c:v>89</c:v>
              </c:pt>
              <c:pt idx="11">
                <c:v>90</c:v>
              </c:pt>
              <c:pt idx="12">
                <c:v>93</c:v>
              </c:pt>
              <c:pt idx="13">
                <c:v>83</c:v>
              </c:pt>
              <c:pt idx="14">
                <c:v>76</c:v>
              </c:pt>
              <c:pt idx="15">
                <c:v>83</c:v>
              </c:pt>
              <c:pt idx="16">
                <c:v>89</c:v>
              </c:pt>
              <c:pt idx="17">
                <c:v>93</c:v>
              </c:pt>
              <c:pt idx="18">
                <c:v>97</c:v>
              </c:pt>
              <c:pt idx="19">
                <c:v>88</c:v>
              </c:pt>
              <c:pt idx="20">
                <c:v>91</c:v>
              </c:pt>
              <c:pt idx="21">
                <c:v>85</c:v>
              </c:pt>
              <c:pt idx="22">
                <c:v>95</c:v>
              </c:pt>
              <c:pt idx="23">
                <c:v>95</c:v>
              </c:pt>
              <c:pt idx="24">
                <c:v>90</c:v>
              </c:pt>
              <c:pt idx="25">
                <c:v>94</c:v>
              </c:pt>
              <c:pt idx="26">
                <c:v>96</c:v>
              </c:pt>
              <c:pt idx="27">
                <c:v>87</c:v>
              </c:pt>
              <c:pt idx="28">
                <c:v>86</c:v>
              </c:pt>
              <c:pt idx="29">
                <c:v>76</c:v>
              </c:pt>
              <c:pt idx="30">
                <c:v>84</c:v>
              </c:pt>
            </c:numLit>
          </c:val>
          <c:smooth val="0"/>
        </c:ser>
        <c:ser>
          <c:idx val="1"/>
          <c:order val="1"/>
          <c:tx>
            <c:v>Min</c:v>
          </c:tx>
          <c:spPr>
            <a:ln w="38100">
              <a:solidFill>
                <a:srgbClr val="FF9900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FF6600"/>
              </a:solidFill>
              <a:ln>
                <a:solidFill>
                  <a:srgbClr val="FF6600"/>
                </a:solidFill>
                <a:prstDash val="solid"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33</c:v>
              </c:pt>
              <c:pt idx="1">
                <c:v>40</c:v>
              </c:pt>
              <c:pt idx="2">
                <c:v>34</c:v>
              </c:pt>
              <c:pt idx="3">
                <c:v>58</c:v>
              </c:pt>
              <c:pt idx="4">
                <c:v>42</c:v>
              </c:pt>
              <c:pt idx="5">
                <c:v>52</c:v>
              </c:pt>
              <c:pt idx="6">
                <c:v>47</c:v>
              </c:pt>
              <c:pt idx="7">
                <c:v>40</c:v>
              </c:pt>
              <c:pt idx="8">
                <c:v>37</c:v>
              </c:pt>
              <c:pt idx="9">
                <c:v>44</c:v>
              </c:pt>
              <c:pt idx="10">
                <c:v>67</c:v>
              </c:pt>
              <c:pt idx="11">
                <c:v>58</c:v>
              </c:pt>
              <c:pt idx="12">
                <c:v>57</c:v>
              </c:pt>
              <c:pt idx="13">
                <c:v>43</c:v>
              </c:pt>
              <c:pt idx="14">
                <c:v>41</c:v>
              </c:pt>
              <c:pt idx="15">
                <c:v>68</c:v>
              </c:pt>
              <c:pt idx="16">
                <c:v>47</c:v>
              </c:pt>
              <c:pt idx="17">
                <c:v>62</c:v>
              </c:pt>
              <c:pt idx="18">
                <c:v>47</c:v>
              </c:pt>
              <c:pt idx="19">
                <c:v>59</c:v>
              </c:pt>
              <c:pt idx="20">
                <c:v>45</c:v>
              </c:pt>
              <c:pt idx="21">
                <c:v>44</c:v>
              </c:pt>
              <c:pt idx="22">
                <c:v>73</c:v>
              </c:pt>
              <c:pt idx="23">
                <c:v>51</c:v>
              </c:pt>
              <c:pt idx="24">
                <c:v>49</c:v>
              </c:pt>
              <c:pt idx="25">
                <c:v>79</c:v>
              </c:pt>
              <c:pt idx="26">
                <c:v>57</c:v>
              </c:pt>
              <c:pt idx="27">
                <c:v>50</c:v>
              </c:pt>
              <c:pt idx="28">
                <c:v>47</c:v>
              </c:pt>
              <c:pt idx="29">
                <c:v>57</c:v>
              </c:pt>
              <c:pt idx="30">
                <c:v>54</c:v>
              </c:pt>
            </c:numLit>
          </c:val>
          <c:smooth val="0"/>
        </c:ser>
        <c:ser>
          <c:idx val="3"/>
          <c:order val="2"/>
          <c:tx>
            <c:v>Mean</c:v>
          </c:tx>
          <c:spPr>
            <a:ln w="38100">
              <a:solidFill>
                <a:srgbClr val="993366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800080"/>
              </a:solidFill>
              <a:ln>
                <a:solidFill>
                  <a:srgbClr val="800080"/>
                </a:solidFill>
                <a:prstDash val="solid"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51</c:v>
              </c:pt>
              <c:pt idx="1">
                <c:v>55</c:v>
              </c:pt>
              <c:pt idx="2">
                <c:v>54</c:v>
              </c:pt>
              <c:pt idx="3">
                <c:v>82</c:v>
              </c:pt>
              <c:pt idx="4">
                <c:v>68</c:v>
              </c:pt>
              <c:pt idx="5">
                <c:v>67</c:v>
              </c:pt>
              <c:pt idx="6">
                <c:v>72</c:v>
              </c:pt>
              <c:pt idx="7">
                <c:v>67</c:v>
              </c:pt>
              <c:pt idx="8">
                <c:v>55</c:v>
              </c:pt>
              <c:pt idx="9">
                <c:v>60</c:v>
              </c:pt>
              <c:pt idx="10">
                <c:v>78</c:v>
              </c:pt>
              <c:pt idx="11">
                <c:v>76</c:v>
              </c:pt>
              <c:pt idx="12">
                <c:v>76</c:v>
              </c:pt>
              <c:pt idx="13">
                <c:v>63</c:v>
              </c:pt>
              <c:pt idx="14">
                <c:v>58</c:v>
              </c:pt>
              <c:pt idx="15">
                <c:v>75</c:v>
              </c:pt>
              <c:pt idx="16">
                <c:v>70</c:v>
              </c:pt>
              <c:pt idx="17">
                <c:v>82</c:v>
              </c:pt>
              <c:pt idx="18">
                <c:v>73</c:v>
              </c:pt>
              <c:pt idx="19">
                <c:v>75</c:v>
              </c:pt>
              <c:pt idx="20">
                <c:v>69</c:v>
              </c:pt>
              <c:pt idx="21">
                <c:v>64</c:v>
              </c:pt>
              <c:pt idx="22">
                <c:v>88</c:v>
              </c:pt>
              <c:pt idx="23">
                <c:v>79</c:v>
              </c:pt>
              <c:pt idx="24">
                <c:v>74</c:v>
              </c:pt>
              <c:pt idx="25">
                <c:v>90</c:v>
              </c:pt>
              <c:pt idx="26">
                <c:v>80</c:v>
              </c:pt>
              <c:pt idx="27">
                <c:v>71</c:v>
              </c:pt>
              <c:pt idx="28">
                <c:v>65</c:v>
              </c:pt>
              <c:pt idx="29">
                <c:v>68</c:v>
              </c:pt>
              <c:pt idx="30">
                <c:v>71</c:v>
              </c:pt>
            </c:numLit>
          </c:val>
          <c:smooth val="0"/>
        </c:ser>
        <c:ser>
          <c:idx val="5"/>
          <c:order val="5"/>
          <c:tx>
            <c:v>Cumulative Mean</c:v>
          </c:tx>
          <c:spPr>
            <a:ln w="12700">
              <a:solidFill>
                <a:srgbClr val="CC99FF"/>
              </a:solidFill>
              <a:prstDash val="solid"/>
            </a:ln>
          </c:spPr>
          <c:marker>
            <c:symbol val="none"/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51</c:v>
              </c:pt>
              <c:pt idx="1">
                <c:v>53</c:v>
              </c:pt>
              <c:pt idx="2">
                <c:v>53.333333333333336</c:v>
              </c:pt>
              <c:pt idx="3">
                <c:v>60.5</c:v>
              </c:pt>
              <c:pt idx="4">
                <c:v>62</c:v>
              </c:pt>
              <c:pt idx="5">
                <c:v>62.833333333333336</c:v>
              </c:pt>
              <c:pt idx="6">
                <c:v>64.142857142857139</c:v>
              </c:pt>
              <c:pt idx="7">
                <c:v>64.5</c:v>
              </c:pt>
              <c:pt idx="8">
                <c:v>63.444444444444443</c:v>
              </c:pt>
              <c:pt idx="9">
                <c:v>63.1</c:v>
              </c:pt>
              <c:pt idx="10">
                <c:v>64.454545454545453</c:v>
              </c:pt>
              <c:pt idx="11">
                <c:v>65.416666666666671</c:v>
              </c:pt>
              <c:pt idx="12">
                <c:v>66.230769230769226</c:v>
              </c:pt>
              <c:pt idx="13">
                <c:v>66</c:v>
              </c:pt>
              <c:pt idx="14">
                <c:v>65.466666666666669</c:v>
              </c:pt>
              <c:pt idx="15">
                <c:v>66.0625</c:v>
              </c:pt>
              <c:pt idx="16">
                <c:v>66.294117647058826</c:v>
              </c:pt>
              <c:pt idx="17">
                <c:v>67.166666666666671</c:v>
              </c:pt>
              <c:pt idx="18">
                <c:v>67.473684210526315</c:v>
              </c:pt>
              <c:pt idx="19">
                <c:v>67.849999999999994</c:v>
              </c:pt>
              <c:pt idx="20">
                <c:v>67.904761904761898</c:v>
              </c:pt>
              <c:pt idx="21">
                <c:v>67.727272727272734</c:v>
              </c:pt>
              <c:pt idx="22">
                <c:v>68.608695652173907</c:v>
              </c:pt>
              <c:pt idx="23">
                <c:v>69.041666666666671</c:v>
              </c:pt>
              <c:pt idx="24">
                <c:v>69.239999999999995</c:v>
              </c:pt>
              <c:pt idx="25">
                <c:v>70.038461538461533</c:v>
              </c:pt>
              <c:pt idx="26">
                <c:v>70.407407407407405</c:v>
              </c:pt>
              <c:pt idx="27">
                <c:v>70.428571428571431</c:v>
              </c:pt>
              <c:pt idx="28">
                <c:v>70.241379310344826</c:v>
              </c:pt>
              <c:pt idx="29">
                <c:v>70.166666666666671</c:v>
              </c:pt>
              <c:pt idx="30">
                <c:v>70.193548387096769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495296"/>
        <c:axId val="107410560"/>
      </c:lineChart>
      <c:lineChart>
        <c:grouping val="standard"/>
        <c:varyColors val="0"/>
        <c:ser>
          <c:idx val="0"/>
          <c:order val="3"/>
          <c:tx>
            <c:v>Range</c:v>
          </c:tx>
          <c:spPr>
            <a:ln w="25400">
              <a:solidFill>
                <a:srgbClr val="00FF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339966"/>
              </a:solidFill>
              <a:ln>
                <a:solidFill>
                  <a:srgbClr val="339966"/>
                </a:solidFill>
                <a:prstDash val="solid"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36</c:v>
              </c:pt>
              <c:pt idx="1">
                <c:v>39</c:v>
              </c:pt>
              <c:pt idx="2">
                <c:v>43</c:v>
              </c:pt>
              <c:pt idx="3">
                <c:v>35</c:v>
              </c:pt>
              <c:pt idx="4">
                <c:v>48</c:v>
              </c:pt>
              <c:pt idx="5">
                <c:v>27</c:v>
              </c:pt>
              <c:pt idx="6">
                <c:v>36</c:v>
              </c:pt>
              <c:pt idx="7">
                <c:v>50</c:v>
              </c:pt>
              <c:pt idx="8">
                <c:v>34</c:v>
              </c:pt>
              <c:pt idx="9">
                <c:v>35</c:v>
              </c:pt>
              <c:pt idx="10">
                <c:v>22</c:v>
              </c:pt>
              <c:pt idx="11">
                <c:v>32</c:v>
              </c:pt>
              <c:pt idx="12">
                <c:v>36</c:v>
              </c:pt>
              <c:pt idx="13">
                <c:v>40</c:v>
              </c:pt>
              <c:pt idx="14">
                <c:v>35</c:v>
              </c:pt>
              <c:pt idx="15">
                <c:v>15</c:v>
              </c:pt>
              <c:pt idx="16">
                <c:v>42</c:v>
              </c:pt>
              <c:pt idx="17">
                <c:v>31</c:v>
              </c:pt>
              <c:pt idx="18">
                <c:v>50</c:v>
              </c:pt>
              <c:pt idx="19">
                <c:v>29</c:v>
              </c:pt>
              <c:pt idx="20">
                <c:v>46</c:v>
              </c:pt>
              <c:pt idx="21">
                <c:v>41</c:v>
              </c:pt>
              <c:pt idx="22">
                <c:v>22</c:v>
              </c:pt>
              <c:pt idx="23">
                <c:v>44</c:v>
              </c:pt>
              <c:pt idx="24">
                <c:v>41</c:v>
              </c:pt>
              <c:pt idx="25">
                <c:v>15</c:v>
              </c:pt>
              <c:pt idx="26">
                <c:v>39</c:v>
              </c:pt>
              <c:pt idx="27">
                <c:v>37</c:v>
              </c:pt>
              <c:pt idx="28">
                <c:v>39</c:v>
              </c:pt>
              <c:pt idx="29">
                <c:v>19</c:v>
              </c:pt>
              <c:pt idx="30">
                <c:v>30</c:v>
              </c:pt>
            </c:numLit>
          </c:val>
          <c:smooth val="0"/>
        </c:ser>
        <c:ser>
          <c:idx val="4"/>
          <c:order val="4"/>
          <c:tx>
            <c:v>Rainfall</c:v>
          </c:tx>
          <c:spPr>
            <a:ln w="25400">
              <a:solidFill>
                <a:srgbClr val="33CCCC"/>
              </a:solidFill>
              <a:prstDash val="solid"/>
            </a:ln>
          </c:spPr>
          <c:marker>
            <c:symbol val="none"/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0</c:v>
              </c:pt>
              <c:pt idx="1">
                <c:v>0.3</c:v>
              </c:pt>
              <c:pt idx="2">
                <c:v>0</c:v>
              </c:pt>
              <c:pt idx="3">
                <c:v>11.6</c:v>
              </c:pt>
              <c:pt idx="4">
                <c:v>0</c:v>
              </c:pt>
              <c:pt idx="5">
                <c:v>0.1</c:v>
              </c:pt>
              <c:pt idx="6">
                <c:v>4.4000000000000004</c:v>
              </c:pt>
              <c:pt idx="7">
                <c:v>0.8</c:v>
              </c:pt>
              <c:pt idx="8">
                <c:v>0</c:v>
              </c:pt>
              <c:pt idx="9">
                <c:v>0</c:v>
              </c:pt>
              <c:pt idx="10">
                <c:v>4.5999999999999996</c:v>
              </c:pt>
              <c:pt idx="11">
                <c:v>0</c:v>
              </c:pt>
              <c:pt idx="12">
                <c:v>1.9</c:v>
              </c:pt>
              <c:pt idx="13">
                <c:v>0</c:v>
              </c:pt>
              <c:pt idx="14">
                <c:v>0.1</c:v>
              </c:pt>
              <c:pt idx="15">
                <c:v>0</c:v>
              </c:pt>
              <c:pt idx="16">
                <c:v>0.8</c:v>
              </c:pt>
              <c:pt idx="17">
                <c:v>14.6</c:v>
              </c:pt>
              <c:pt idx="18">
                <c:v>0</c:v>
              </c:pt>
              <c:pt idx="19">
                <c:v>4.5999999999999996</c:v>
              </c:pt>
              <c:pt idx="20">
                <c:v>0</c:v>
              </c:pt>
              <c:pt idx="21">
                <c:v>0</c:v>
              </c:pt>
              <c:pt idx="22">
                <c:v>9.8000000000000007</c:v>
              </c:pt>
              <c:pt idx="23">
                <c:v>0.5</c:v>
              </c:pt>
              <c:pt idx="24">
                <c:v>9.3000000000000007</c:v>
              </c:pt>
              <c:pt idx="25">
                <c:v>8.6999999999999993</c:v>
              </c:pt>
              <c:pt idx="26">
                <c:v>0.8</c:v>
              </c:pt>
              <c:pt idx="27">
                <c:v>0.1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412096"/>
        <c:axId val="109654400"/>
      </c:lineChart>
      <c:catAx>
        <c:axId val="35495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74105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7410560"/>
        <c:scaling>
          <c:orientation val="minMax"/>
          <c:max val="100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5495296"/>
        <c:crosses val="autoZero"/>
        <c:crossBetween val="between"/>
        <c:majorUnit val="10"/>
      </c:valAx>
      <c:catAx>
        <c:axId val="1074120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9654400"/>
        <c:crosses val="autoZero"/>
        <c:auto val="1"/>
        <c:lblAlgn val="ctr"/>
        <c:lblOffset val="100"/>
        <c:noMultiLvlLbl val="0"/>
      </c:catAx>
      <c:valAx>
        <c:axId val="109654400"/>
        <c:scaling>
          <c:orientation val="minMax"/>
          <c:max val="200"/>
          <c:min val="0"/>
        </c:scaling>
        <c:delete val="0"/>
        <c:axPos val="r"/>
        <c:numFmt formatCode="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7412096"/>
        <c:crosses val="max"/>
        <c:crossBetween val="between"/>
        <c:majorUnit val="20"/>
      </c:valAx>
      <c:spPr>
        <a:solidFill>
          <a:srgbClr val="969696"/>
        </a:solidFill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6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Pressure / hPa</a:t>
            </a:r>
          </a:p>
        </c:rich>
      </c:tx>
      <c:layout>
        <c:manualLayout>
          <c:xMode val="edge"/>
          <c:yMode val="edge"/>
          <c:x val="0.45677498467198036"/>
          <c:y val="1.858304297328687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94788473329246E-2"/>
          <c:y val="8.5946671233793417E-2"/>
          <c:w val="0.94665849172286942"/>
          <c:h val="0.86411247835057159"/>
        </c:manualLayout>
      </c:layout>
      <c:lineChart>
        <c:grouping val="standard"/>
        <c:varyColors val="0"/>
        <c:ser>
          <c:idx val="5"/>
          <c:order val="0"/>
          <c:tx>
            <c:v>Cum. Mean</c:v>
          </c:tx>
          <c:spPr>
            <a:ln w="12700">
              <a:solidFill>
                <a:srgbClr val="993366"/>
              </a:solidFill>
              <a:prstDash val="solid"/>
            </a:ln>
          </c:spPr>
          <c:marker>
            <c:symbol val="square"/>
            <c:size val="2"/>
            <c:spPr>
              <a:noFill/>
              <a:ln>
                <a:solidFill>
                  <a:srgbClr val="808080"/>
                </a:solidFill>
                <a:prstDash val="solid"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1013</c:v>
              </c:pt>
              <c:pt idx="1">
                <c:v>1013.5</c:v>
              </c:pt>
              <c:pt idx="2">
                <c:v>1013.8333333333334</c:v>
              </c:pt>
              <c:pt idx="3">
                <c:v>1013</c:v>
              </c:pt>
              <c:pt idx="4">
                <c:v>1012.6</c:v>
              </c:pt>
              <c:pt idx="5">
                <c:v>1011.25</c:v>
              </c:pt>
              <c:pt idx="6">
                <c:v>1009.9285714285714</c:v>
              </c:pt>
              <c:pt idx="7">
                <c:v>1009.625</c:v>
              </c:pt>
              <c:pt idx="8">
                <c:v>1010.8333333333334</c:v>
              </c:pt>
              <c:pt idx="9">
                <c:v>1011.9</c:v>
              </c:pt>
              <c:pt idx="10">
                <c:v>1011.9090909090909</c:v>
              </c:pt>
              <c:pt idx="11">
                <c:v>1011.75</c:v>
              </c:pt>
              <c:pt idx="12">
                <c:v>1011.4230769230769</c:v>
              </c:pt>
              <c:pt idx="13">
                <c:v>1011.1785714285714</c:v>
              </c:pt>
              <c:pt idx="14">
                <c:v>1011.4</c:v>
              </c:pt>
              <c:pt idx="15">
                <c:v>1011.71875</c:v>
              </c:pt>
              <c:pt idx="16">
                <c:v>1012.0294117647059</c:v>
              </c:pt>
              <c:pt idx="17">
                <c:v>1012.1944444444445</c:v>
              </c:pt>
              <c:pt idx="18">
                <c:v>1012.4736842105264</c:v>
              </c:pt>
              <c:pt idx="19">
                <c:v>1012.725</c:v>
              </c:pt>
              <c:pt idx="20">
                <c:v>1012.8095238095239</c:v>
              </c:pt>
              <c:pt idx="21">
                <c:v>1013.0681818181819</c:v>
              </c:pt>
              <c:pt idx="22">
                <c:v>1013.1304347826087</c:v>
              </c:pt>
              <c:pt idx="23">
                <c:v>1013.125</c:v>
              </c:pt>
              <c:pt idx="24">
                <c:v>1013.02</c:v>
              </c:pt>
              <c:pt idx="25">
                <c:v>1012.7115384615385</c:v>
              </c:pt>
              <c:pt idx="26">
                <c:v>1012.6666666666666</c:v>
              </c:pt>
              <c:pt idx="27">
                <c:v>1012.7678571428571</c:v>
              </c:pt>
              <c:pt idx="28">
                <c:v>1012.9137931034483</c:v>
              </c:pt>
              <c:pt idx="29">
                <c:v>1013.05</c:v>
              </c:pt>
              <c:pt idx="30">
                <c:v>1013.1290322580645</c:v>
              </c:pt>
            </c:numLit>
          </c:val>
          <c:smooth val="0"/>
        </c:ser>
        <c:ser>
          <c:idx val="1"/>
          <c:order val="1"/>
          <c:tx>
            <c:v>Max</c:v>
          </c:tx>
          <c:spPr>
            <a:ln w="38100">
              <a:solidFill>
                <a:srgbClr val="00CCFF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1014</c:v>
              </c:pt>
              <c:pt idx="1">
                <c:v>1015</c:v>
              </c:pt>
              <c:pt idx="2">
                <c:v>1015</c:v>
              </c:pt>
              <c:pt idx="3">
                <c:v>1014</c:v>
              </c:pt>
              <c:pt idx="4">
                <c:v>1013</c:v>
              </c:pt>
              <c:pt idx="5">
                <c:v>1009</c:v>
              </c:pt>
              <c:pt idx="6">
                <c:v>1003</c:v>
              </c:pt>
              <c:pt idx="7">
                <c:v>1015</c:v>
              </c:pt>
              <c:pt idx="8">
                <c:v>1026</c:v>
              </c:pt>
              <c:pt idx="9">
                <c:v>1027</c:v>
              </c:pt>
              <c:pt idx="10">
                <c:v>1016</c:v>
              </c:pt>
              <c:pt idx="11">
                <c:v>1011</c:v>
              </c:pt>
              <c:pt idx="12">
                <c:v>1009</c:v>
              </c:pt>
              <c:pt idx="13">
                <c:v>1011</c:v>
              </c:pt>
              <c:pt idx="14">
                <c:v>1018</c:v>
              </c:pt>
              <c:pt idx="15">
                <c:v>1018</c:v>
              </c:pt>
              <c:pt idx="16">
                <c:v>1018</c:v>
              </c:pt>
              <c:pt idx="17">
                <c:v>1017</c:v>
              </c:pt>
              <c:pt idx="18">
                <c:v>1020</c:v>
              </c:pt>
              <c:pt idx="19">
                <c:v>1020</c:v>
              </c:pt>
              <c:pt idx="20">
                <c:v>1018</c:v>
              </c:pt>
              <c:pt idx="21">
                <c:v>1020</c:v>
              </c:pt>
              <c:pt idx="22">
                <c:v>1018</c:v>
              </c:pt>
              <c:pt idx="23">
                <c:v>1014</c:v>
              </c:pt>
              <c:pt idx="24">
                <c:v>1013</c:v>
              </c:pt>
              <c:pt idx="25">
                <c:v>1008</c:v>
              </c:pt>
              <c:pt idx="26">
                <c:v>1016</c:v>
              </c:pt>
              <c:pt idx="27">
                <c:v>1017</c:v>
              </c:pt>
              <c:pt idx="28">
                <c:v>1018</c:v>
              </c:pt>
              <c:pt idx="29">
                <c:v>1018</c:v>
              </c:pt>
              <c:pt idx="30">
                <c:v>1016</c:v>
              </c:pt>
            </c:numLit>
          </c:val>
          <c:smooth val="0"/>
        </c:ser>
        <c:ser>
          <c:idx val="0"/>
          <c:order val="3"/>
          <c:tx>
            <c:v>Min</c:v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1012</c:v>
              </c:pt>
              <c:pt idx="1">
                <c:v>1013</c:v>
              </c:pt>
              <c:pt idx="2">
                <c:v>1014</c:v>
              </c:pt>
              <c:pt idx="3">
                <c:v>1007</c:v>
              </c:pt>
              <c:pt idx="4">
                <c:v>1009</c:v>
              </c:pt>
              <c:pt idx="5">
                <c:v>1000</c:v>
              </c:pt>
              <c:pt idx="6">
                <c:v>1001</c:v>
              </c:pt>
              <c:pt idx="7">
                <c:v>1000</c:v>
              </c:pt>
              <c:pt idx="8">
                <c:v>1015</c:v>
              </c:pt>
              <c:pt idx="9">
                <c:v>1016</c:v>
              </c:pt>
              <c:pt idx="10">
                <c:v>1008</c:v>
              </c:pt>
              <c:pt idx="11">
                <c:v>1009</c:v>
              </c:pt>
              <c:pt idx="12">
                <c:v>1006</c:v>
              </c:pt>
              <c:pt idx="13">
                <c:v>1005</c:v>
              </c:pt>
              <c:pt idx="14">
                <c:v>1011</c:v>
              </c:pt>
              <c:pt idx="15">
                <c:v>1015</c:v>
              </c:pt>
              <c:pt idx="16">
                <c:v>1016</c:v>
              </c:pt>
              <c:pt idx="17">
                <c:v>1013</c:v>
              </c:pt>
              <c:pt idx="18">
                <c:v>1015</c:v>
              </c:pt>
              <c:pt idx="19">
                <c:v>1015</c:v>
              </c:pt>
              <c:pt idx="20">
                <c:v>1011</c:v>
              </c:pt>
              <c:pt idx="21">
                <c:v>1017</c:v>
              </c:pt>
              <c:pt idx="22">
                <c:v>1011</c:v>
              </c:pt>
              <c:pt idx="23">
                <c:v>1012</c:v>
              </c:pt>
              <c:pt idx="24">
                <c:v>1008</c:v>
              </c:pt>
              <c:pt idx="25">
                <c:v>1002</c:v>
              </c:pt>
              <c:pt idx="26">
                <c:v>1007</c:v>
              </c:pt>
              <c:pt idx="27">
                <c:v>1014</c:v>
              </c:pt>
              <c:pt idx="28">
                <c:v>1016</c:v>
              </c:pt>
              <c:pt idx="29">
                <c:v>1016</c:v>
              </c:pt>
              <c:pt idx="30">
                <c:v>1015</c:v>
              </c:pt>
            </c:numLit>
          </c:val>
          <c:smooth val="0"/>
        </c:ser>
        <c:ser>
          <c:idx val="4"/>
          <c:order val="4"/>
          <c:tx>
            <c:v>MSLP</c:v>
          </c:tx>
          <c:spPr>
            <a:ln w="25400">
              <a:solidFill>
                <a:srgbClr val="CC99FF"/>
              </a:solidFill>
              <a:prstDash val="lgDash"/>
            </a:ln>
          </c:spPr>
          <c:marker>
            <c:symbol val="none"/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1013.25</c:v>
              </c:pt>
              <c:pt idx="1">
                <c:v>1013.25</c:v>
              </c:pt>
              <c:pt idx="2">
                <c:v>1013.25</c:v>
              </c:pt>
              <c:pt idx="3">
                <c:v>1013.25</c:v>
              </c:pt>
              <c:pt idx="4">
                <c:v>1013.25</c:v>
              </c:pt>
              <c:pt idx="5">
                <c:v>1013.25</c:v>
              </c:pt>
              <c:pt idx="6">
                <c:v>1013.25</c:v>
              </c:pt>
              <c:pt idx="7">
                <c:v>1013.25</c:v>
              </c:pt>
              <c:pt idx="8">
                <c:v>1013.25</c:v>
              </c:pt>
              <c:pt idx="9">
                <c:v>1013.25</c:v>
              </c:pt>
              <c:pt idx="10">
                <c:v>1013.25</c:v>
              </c:pt>
              <c:pt idx="11">
                <c:v>1013.25</c:v>
              </c:pt>
              <c:pt idx="12">
                <c:v>1013.25</c:v>
              </c:pt>
              <c:pt idx="13">
                <c:v>1013.25</c:v>
              </c:pt>
              <c:pt idx="14">
                <c:v>1013.25</c:v>
              </c:pt>
              <c:pt idx="15">
                <c:v>1013.25</c:v>
              </c:pt>
              <c:pt idx="16">
                <c:v>1013.25</c:v>
              </c:pt>
              <c:pt idx="17">
                <c:v>1013.25</c:v>
              </c:pt>
              <c:pt idx="18">
                <c:v>1013.25</c:v>
              </c:pt>
              <c:pt idx="19">
                <c:v>1013.25</c:v>
              </c:pt>
              <c:pt idx="20">
                <c:v>1013.25</c:v>
              </c:pt>
              <c:pt idx="21">
                <c:v>1013.25</c:v>
              </c:pt>
              <c:pt idx="22">
                <c:v>1013.25</c:v>
              </c:pt>
              <c:pt idx="23">
                <c:v>1013.25</c:v>
              </c:pt>
              <c:pt idx="24">
                <c:v>1013.25</c:v>
              </c:pt>
              <c:pt idx="25">
                <c:v>1013.25</c:v>
              </c:pt>
              <c:pt idx="26">
                <c:v>1013.25</c:v>
              </c:pt>
              <c:pt idx="27">
                <c:v>1013.25</c:v>
              </c:pt>
              <c:pt idx="28">
                <c:v>1013.25</c:v>
              </c:pt>
              <c:pt idx="29">
                <c:v>1013.25</c:v>
              </c:pt>
              <c:pt idx="30">
                <c:v>1013.25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9675648"/>
        <c:axId val="109677184"/>
      </c:lineChart>
      <c:lineChart>
        <c:grouping val="standard"/>
        <c:varyColors val="0"/>
        <c:ser>
          <c:idx val="3"/>
          <c:order val="2"/>
          <c:tx>
            <c:v>Range</c:v>
          </c:tx>
          <c:spPr>
            <a:ln w="25400">
              <a:solidFill>
                <a:srgbClr val="00FF00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2</c:v>
              </c:pt>
              <c:pt idx="1">
                <c:v>2</c:v>
              </c:pt>
              <c:pt idx="2">
                <c:v>1</c:v>
              </c:pt>
              <c:pt idx="3">
                <c:v>7</c:v>
              </c:pt>
              <c:pt idx="4">
                <c:v>4</c:v>
              </c:pt>
              <c:pt idx="5">
                <c:v>9</c:v>
              </c:pt>
              <c:pt idx="6">
                <c:v>2</c:v>
              </c:pt>
              <c:pt idx="7">
                <c:v>15</c:v>
              </c:pt>
              <c:pt idx="8">
                <c:v>11</c:v>
              </c:pt>
              <c:pt idx="9">
                <c:v>11</c:v>
              </c:pt>
              <c:pt idx="10">
                <c:v>8</c:v>
              </c:pt>
              <c:pt idx="11">
                <c:v>2</c:v>
              </c:pt>
              <c:pt idx="12">
                <c:v>3</c:v>
              </c:pt>
              <c:pt idx="13">
                <c:v>6</c:v>
              </c:pt>
              <c:pt idx="14">
                <c:v>7</c:v>
              </c:pt>
              <c:pt idx="15">
                <c:v>3</c:v>
              </c:pt>
              <c:pt idx="16">
                <c:v>2</c:v>
              </c:pt>
              <c:pt idx="17">
                <c:v>4</c:v>
              </c:pt>
              <c:pt idx="18">
                <c:v>5</c:v>
              </c:pt>
              <c:pt idx="19">
                <c:v>5</c:v>
              </c:pt>
              <c:pt idx="20">
                <c:v>7</c:v>
              </c:pt>
              <c:pt idx="21">
                <c:v>3</c:v>
              </c:pt>
              <c:pt idx="22">
                <c:v>7</c:v>
              </c:pt>
              <c:pt idx="23">
                <c:v>2</c:v>
              </c:pt>
              <c:pt idx="24">
                <c:v>5</c:v>
              </c:pt>
              <c:pt idx="25">
                <c:v>6</c:v>
              </c:pt>
              <c:pt idx="26">
                <c:v>9</c:v>
              </c:pt>
              <c:pt idx="27">
                <c:v>3</c:v>
              </c:pt>
              <c:pt idx="28">
                <c:v>2</c:v>
              </c:pt>
              <c:pt idx="29">
                <c:v>2</c:v>
              </c:pt>
              <c:pt idx="30">
                <c:v>1</c:v>
              </c:pt>
            </c:numLit>
          </c:val>
          <c:smooth val="0"/>
        </c:ser>
        <c:ser>
          <c:idx val="6"/>
          <c:order val="5"/>
          <c:tx>
            <c:v>Rainfall/3</c:v>
          </c:tx>
          <c:spPr>
            <a:ln w="12700">
              <a:solidFill>
                <a:srgbClr val="33CCCC"/>
              </a:solidFill>
              <a:prstDash val="solid"/>
            </a:ln>
          </c:spPr>
          <c:marker>
            <c:symbol val="none"/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0</c:v>
              </c:pt>
              <c:pt idx="1">
                <c:v>9.9999999999999992E-2</c:v>
              </c:pt>
              <c:pt idx="2">
                <c:v>0</c:v>
              </c:pt>
              <c:pt idx="3">
                <c:v>3.8666666666666667</c:v>
              </c:pt>
              <c:pt idx="4">
                <c:v>0</c:v>
              </c:pt>
              <c:pt idx="5">
                <c:v>3.3333333333333333E-2</c:v>
              </c:pt>
              <c:pt idx="6">
                <c:v>1.4666666666666668</c:v>
              </c:pt>
              <c:pt idx="7">
                <c:v>0.26666666666666666</c:v>
              </c:pt>
              <c:pt idx="8">
                <c:v>0</c:v>
              </c:pt>
              <c:pt idx="9">
                <c:v>0</c:v>
              </c:pt>
              <c:pt idx="10">
                <c:v>1.5333333333333332</c:v>
              </c:pt>
              <c:pt idx="11">
                <c:v>0</c:v>
              </c:pt>
              <c:pt idx="12">
                <c:v>0.6333333333333333</c:v>
              </c:pt>
              <c:pt idx="13">
                <c:v>0</c:v>
              </c:pt>
              <c:pt idx="14">
                <c:v>3.3333333333333333E-2</c:v>
              </c:pt>
              <c:pt idx="15">
                <c:v>0</c:v>
              </c:pt>
              <c:pt idx="16">
                <c:v>0.26666666666666666</c:v>
              </c:pt>
              <c:pt idx="17">
                <c:v>4.8666666666666663</c:v>
              </c:pt>
              <c:pt idx="18">
                <c:v>0</c:v>
              </c:pt>
              <c:pt idx="19">
                <c:v>1.5333333333333332</c:v>
              </c:pt>
              <c:pt idx="20">
                <c:v>0</c:v>
              </c:pt>
              <c:pt idx="21">
                <c:v>0</c:v>
              </c:pt>
              <c:pt idx="22">
                <c:v>3.2666666666666671</c:v>
              </c:pt>
              <c:pt idx="23">
                <c:v>0.16666666666666666</c:v>
              </c:pt>
              <c:pt idx="24">
                <c:v>3.1</c:v>
              </c:pt>
              <c:pt idx="25">
                <c:v>2.9</c:v>
              </c:pt>
              <c:pt idx="26">
                <c:v>0.26666666666666666</c:v>
              </c:pt>
              <c:pt idx="27">
                <c:v>3.3333333333333333E-2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9683072"/>
        <c:axId val="109684608"/>
      </c:lineChart>
      <c:catAx>
        <c:axId val="1096756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96771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9677184"/>
        <c:scaling>
          <c:orientation val="minMax"/>
          <c:max val="1030"/>
          <c:min val="995"/>
        </c:scaling>
        <c:delete val="0"/>
        <c:axPos val="l"/>
        <c:majorGridlines>
          <c:spPr>
            <a:ln w="3175">
              <a:solidFill>
                <a:srgbClr val="333333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9675648"/>
        <c:crosses val="autoZero"/>
        <c:crossBetween val="between"/>
        <c:majorUnit val="10"/>
      </c:valAx>
      <c:catAx>
        <c:axId val="1096830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9684608"/>
        <c:crosses val="autoZero"/>
        <c:auto val="1"/>
        <c:lblAlgn val="ctr"/>
        <c:lblOffset val="100"/>
        <c:noMultiLvlLbl val="0"/>
      </c:catAx>
      <c:valAx>
        <c:axId val="109684608"/>
        <c:scaling>
          <c:orientation val="minMax"/>
          <c:max val="70"/>
          <c:min val="0"/>
        </c:scaling>
        <c:delete val="0"/>
        <c:axPos val="r"/>
        <c:numFmt formatCode="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9683072"/>
        <c:crosses val="max"/>
        <c:crossBetween val="between"/>
        <c:majorUnit val="20"/>
      </c:valAx>
      <c:spPr>
        <a:solidFill>
          <a:srgbClr val="969696"/>
        </a:solidFill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 sz="14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Wind Speed / mh</a:t>
            </a:r>
            <a:r>
              <a:rPr lang="en-GB" sz="1400" b="1" i="0" u="none" strike="noStrike" baseline="30000">
                <a:solidFill>
                  <a:srgbClr val="000000"/>
                </a:solidFill>
                <a:latin typeface="Arial"/>
                <a:cs typeface="Arial"/>
              </a:rPr>
              <a:t>-1</a:t>
            </a:r>
          </a:p>
        </c:rich>
      </c:tx>
      <c:layout>
        <c:manualLayout>
          <c:xMode val="edge"/>
          <c:yMode val="edge"/>
          <c:x val="0.44800000000000001"/>
          <c:y val="1.990632318501171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1.8461538461538463E-2"/>
          <c:y val="8.6651053864168617E-2"/>
          <c:w val="0.96307692307692305"/>
          <c:h val="0.86299765807962525"/>
        </c:manualLayout>
      </c:layout>
      <c:lineChart>
        <c:grouping val="standard"/>
        <c:varyColors val="0"/>
        <c:ser>
          <c:idx val="1"/>
          <c:order val="0"/>
          <c:tx>
            <c:v>Mean</c:v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800000"/>
              </a:solidFill>
              <a:ln>
                <a:solidFill>
                  <a:srgbClr val="800000"/>
                </a:solidFill>
                <a:prstDash val="solid"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3.4</c:v>
              </c:pt>
              <c:pt idx="1">
                <c:v>2.2000000000000002</c:v>
              </c:pt>
              <c:pt idx="2">
                <c:v>3.4</c:v>
              </c:pt>
              <c:pt idx="3">
                <c:v>5.9</c:v>
              </c:pt>
              <c:pt idx="4">
                <c:v>3.9</c:v>
              </c:pt>
              <c:pt idx="5">
                <c:v>5.2</c:v>
              </c:pt>
              <c:pt idx="6">
                <c:v>5.7</c:v>
              </c:pt>
              <c:pt idx="7">
                <c:v>6.4</c:v>
              </c:pt>
              <c:pt idx="8">
                <c:v>4.4000000000000004</c:v>
              </c:pt>
              <c:pt idx="9">
                <c:v>5.8</c:v>
              </c:pt>
              <c:pt idx="10">
                <c:v>6.8</c:v>
              </c:pt>
              <c:pt idx="11">
                <c:v>4.5</c:v>
              </c:pt>
              <c:pt idx="12">
                <c:v>5.4</c:v>
              </c:pt>
              <c:pt idx="13">
                <c:v>4.4000000000000004</c:v>
              </c:pt>
              <c:pt idx="14">
                <c:v>4.7</c:v>
              </c:pt>
              <c:pt idx="15">
                <c:v>5.9</c:v>
              </c:pt>
              <c:pt idx="16">
                <c:v>3.2</c:v>
              </c:pt>
              <c:pt idx="17">
                <c:v>4.9000000000000004</c:v>
              </c:pt>
              <c:pt idx="18">
                <c:v>3.7</c:v>
              </c:pt>
              <c:pt idx="19">
                <c:v>3.3</c:v>
              </c:pt>
              <c:pt idx="20">
                <c:v>3.1</c:v>
              </c:pt>
              <c:pt idx="21">
                <c:v>3.7</c:v>
              </c:pt>
              <c:pt idx="22">
                <c:v>3.4</c:v>
              </c:pt>
              <c:pt idx="23">
                <c:v>4.2</c:v>
              </c:pt>
              <c:pt idx="24">
                <c:v>4.5</c:v>
              </c:pt>
              <c:pt idx="25">
                <c:v>2</c:v>
              </c:pt>
              <c:pt idx="26">
                <c:v>4.4000000000000004</c:v>
              </c:pt>
              <c:pt idx="27">
                <c:v>5.5</c:v>
              </c:pt>
              <c:pt idx="28">
                <c:v>4.2</c:v>
              </c:pt>
              <c:pt idx="29">
                <c:v>2.7</c:v>
              </c:pt>
              <c:pt idx="30">
                <c:v>1.6</c:v>
              </c:pt>
            </c:numLit>
          </c:val>
          <c:smooth val="0"/>
        </c:ser>
        <c:ser>
          <c:idx val="0"/>
          <c:order val="1"/>
          <c:tx>
            <c:v>E (Mean)</c:v>
          </c:tx>
          <c:spPr>
            <a:ln w="25400">
              <a:solidFill>
                <a:srgbClr val="FF99CC"/>
              </a:solidFill>
              <a:prstDash val="lgDash"/>
            </a:ln>
          </c:spPr>
          <c:marker>
            <c:symbol val="none"/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4.0169999999999995</c:v>
              </c:pt>
              <c:pt idx="1">
                <c:v>4.0169999999999995</c:v>
              </c:pt>
              <c:pt idx="2">
                <c:v>4.0169999999999995</c:v>
              </c:pt>
              <c:pt idx="3">
                <c:v>4.0169999999999995</c:v>
              </c:pt>
              <c:pt idx="4">
                <c:v>4.0169999999999995</c:v>
              </c:pt>
              <c:pt idx="5">
                <c:v>4.0169999999999995</c:v>
              </c:pt>
              <c:pt idx="6">
                <c:v>4.0169999999999995</c:v>
              </c:pt>
              <c:pt idx="7">
                <c:v>4.0169999999999995</c:v>
              </c:pt>
              <c:pt idx="8">
                <c:v>4.0169999999999995</c:v>
              </c:pt>
              <c:pt idx="9">
                <c:v>4.0169999999999995</c:v>
              </c:pt>
              <c:pt idx="10">
                <c:v>4.0169999999999995</c:v>
              </c:pt>
              <c:pt idx="11">
                <c:v>4.0169999999999995</c:v>
              </c:pt>
              <c:pt idx="12">
                <c:v>4.0169999999999995</c:v>
              </c:pt>
              <c:pt idx="13">
                <c:v>4.0169999999999995</c:v>
              </c:pt>
              <c:pt idx="14">
                <c:v>4.0169999999999995</c:v>
              </c:pt>
              <c:pt idx="15">
                <c:v>4.0169999999999995</c:v>
              </c:pt>
              <c:pt idx="16">
                <c:v>4.0169999999999995</c:v>
              </c:pt>
              <c:pt idx="17">
                <c:v>4.0169999999999995</c:v>
              </c:pt>
              <c:pt idx="18">
                <c:v>4.0169999999999995</c:v>
              </c:pt>
              <c:pt idx="19">
                <c:v>4.0169999999999995</c:v>
              </c:pt>
              <c:pt idx="20">
                <c:v>4.0169999999999995</c:v>
              </c:pt>
              <c:pt idx="21">
                <c:v>4.0169999999999995</c:v>
              </c:pt>
              <c:pt idx="22">
                <c:v>4.0169999999999995</c:v>
              </c:pt>
              <c:pt idx="23">
                <c:v>4.0169999999999995</c:v>
              </c:pt>
              <c:pt idx="24">
                <c:v>4.0169999999999995</c:v>
              </c:pt>
              <c:pt idx="25">
                <c:v>4.0169999999999995</c:v>
              </c:pt>
              <c:pt idx="26">
                <c:v>4.0169999999999995</c:v>
              </c:pt>
              <c:pt idx="27">
                <c:v>4.0169999999999995</c:v>
              </c:pt>
              <c:pt idx="28">
                <c:v>4.0169999999999995</c:v>
              </c:pt>
              <c:pt idx="29">
                <c:v>4.0169999999999995</c:v>
              </c:pt>
              <c:pt idx="30">
                <c:v>4.0169999999999995</c:v>
              </c:pt>
            </c:numLit>
          </c:val>
          <c:smooth val="0"/>
        </c:ser>
        <c:ser>
          <c:idx val="2"/>
          <c:order val="4"/>
          <c:tx>
            <c:v>Cumulative Mean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3.4</c:v>
              </c:pt>
              <c:pt idx="1">
                <c:v>2.8</c:v>
              </c:pt>
              <c:pt idx="2">
                <c:v>3</c:v>
              </c:pt>
              <c:pt idx="3">
                <c:v>3.7250000000000001</c:v>
              </c:pt>
              <c:pt idx="4">
                <c:v>3.7600000000000002</c:v>
              </c:pt>
              <c:pt idx="5">
                <c:v>4</c:v>
              </c:pt>
              <c:pt idx="6">
                <c:v>4.2428571428571429</c:v>
              </c:pt>
              <c:pt idx="7">
                <c:v>4.5125000000000002</c:v>
              </c:pt>
              <c:pt idx="8">
                <c:v>4.5</c:v>
              </c:pt>
              <c:pt idx="9">
                <c:v>4.63</c:v>
              </c:pt>
              <c:pt idx="10">
                <c:v>4.8272727272727272</c:v>
              </c:pt>
              <c:pt idx="11">
                <c:v>4.8</c:v>
              </c:pt>
              <c:pt idx="12">
                <c:v>4.8461538461538458</c:v>
              </c:pt>
              <c:pt idx="13">
                <c:v>4.8142857142857141</c:v>
              </c:pt>
              <c:pt idx="14">
                <c:v>4.8066666666666666</c:v>
              </c:pt>
              <c:pt idx="15">
                <c:v>4.875</c:v>
              </c:pt>
              <c:pt idx="16">
                <c:v>4.776470588235294</c:v>
              </c:pt>
              <c:pt idx="17">
                <c:v>4.7833333333333341</c:v>
              </c:pt>
              <c:pt idx="18">
                <c:v>4.7263157894736851</c:v>
              </c:pt>
              <c:pt idx="19">
                <c:v>4.6550000000000002</c:v>
              </c:pt>
              <c:pt idx="20">
                <c:v>4.5809523809523807</c:v>
              </c:pt>
              <c:pt idx="21">
                <c:v>4.540909090909091</c:v>
              </c:pt>
              <c:pt idx="22">
                <c:v>4.4913043478260875</c:v>
              </c:pt>
              <c:pt idx="23">
                <c:v>4.479166666666667</c:v>
              </c:pt>
              <c:pt idx="24">
                <c:v>4.4800000000000004</c:v>
              </c:pt>
              <c:pt idx="25">
                <c:v>4.384615384615385</c:v>
              </c:pt>
              <c:pt idx="26">
                <c:v>4.3851851851851862</c:v>
              </c:pt>
              <c:pt idx="27">
                <c:v>4.4250000000000007</c:v>
              </c:pt>
              <c:pt idx="28">
                <c:v>4.4172413793103456</c:v>
              </c:pt>
              <c:pt idx="29">
                <c:v>4.3600000000000003</c:v>
              </c:pt>
              <c:pt idx="30">
                <c:v>4.2709677419354843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9794816"/>
        <c:axId val="109796736"/>
      </c:lineChart>
      <c:lineChart>
        <c:grouping val="standard"/>
        <c:varyColors val="0"/>
        <c:ser>
          <c:idx val="3"/>
          <c:order val="2"/>
          <c:tx>
            <c:v>Max Gust</c:v>
          </c:tx>
          <c:spPr>
            <a:ln w="28575">
              <a:noFill/>
            </a:ln>
          </c:spPr>
          <c:marker>
            <c:symbol val="circle"/>
            <c:size val="9"/>
            <c:spPr>
              <a:solidFill>
                <a:srgbClr val="FFCC00"/>
              </a:solidFill>
              <a:ln>
                <a:solidFill>
                  <a:srgbClr val="FFCC00"/>
                </a:solidFill>
                <a:prstDash val="solid"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15.2</c:v>
              </c:pt>
              <c:pt idx="1">
                <c:v>13</c:v>
              </c:pt>
              <c:pt idx="2">
                <c:v>17.5</c:v>
              </c:pt>
              <c:pt idx="3">
                <c:v>16.8</c:v>
              </c:pt>
              <c:pt idx="4">
                <c:v>14.3</c:v>
              </c:pt>
              <c:pt idx="5">
                <c:v>21.3</c:v>
              </c:pt>
              <c:pt idx="6">
                <c:v>23.9</c:v>
              </c:pt>
              <c:pt idx="7">
                <c:v>26.3</c:v>
              </c:pt>
              <c:pt idx="8">
                <c:v>19.399999999999999</c:v>
              </c:pt>
              <c:pt idx="9">
                <c:v>24.2</c:v>
              </c:pt>
              <c:pt idx="10">
                <c:v>19.899999999999999</c:v>
              </c:pt>
              <c:pt idx="11">
                <c:v>12.8</c:v>
              </c:pt>
              <c:pt idx="12">
                <c:v>15.6</c:v>
              </c:pt>
              <c:pt idx="13">
                <c:v>15.6</c:v>
              </c:pt>
              <c:pt idx="14">
                <c:v>14.5</c:v>
              </c:pt>
              <c:pt idx="15">
                <c:v>19.899999999999999</c:v>
              </c:pt>
              <c:pt idx="16">
                <c:v>12.1</c:v>
              </c:pt>
              <c:pt idx="17">
                <c:v>19.399999999999999</c:v>
              </c:pt>
              <c:pt idx="18">
                <c:v>14.7</c:v>
              </c:pt>
              <c:pt idx="19">
                <c:v>17.600000000000001</c:v>
              </c:pt>
              <c:pt idx="20">
                <c:v>17.600000000000001</c:v>
              </c:pt>
              <c:pt idx="21">
                <c:v>15.4</c:v>
              </c:pt>
              <c:pt idx="22">
                <c:v>17</c:v>
              </c:pt>
              <c:pt idx="23">
                <c:v>16.100000000000001</c:v>
              </c:pt>
              <c:pt idx="24">
                <c:v>19.600000000000001</c:v>
              </c:pt>
              <c:pt idx="25">
                <c:v>9.1999999999999993</c:v>
              </c:pt>
              <c:pt idx="26">
                <c:v>17.3</c:v>
              </c:pt>
              <c:pt idx="27">
                <c:v>19.600000000000001</c:v>
              </c:pt>
              <c:pt idx="28">
                <c:v>15.4</c:v>
              </c:pt>
              <c:pt idx="29">
                <c:v>10.5</c:v>
              </c:pt>
              <c:pt idx="30">
                <c:v>7.8</c:v>
              </c:pt>
            </c:numLit>
          </c:val>
          <c:smooth val="0"/>
        </c:ser>
        <c:ser>
          <c:idx val="4"/>
          <c:order val="3"/>
          <c:tx>
            <c:v>Max Average</c:v>
          </c:tx>
          <c:spPr>
            <a:ln w="28575">
              <a:noFill/>
            </a:ln>
          </c:spPr>
          <c:marker>
            <c:symbol val="circle"/>
            <c:size val="6"/>
            <c:spPr>
              <a:solidFill>
                <a:srgbClr val="800000"/>
              </a:solidFill>
              <a:ln>
                <a:solidFill>
                  <a:srgbClr val="800000"/>
                </a:solidFill>
                <a:prstDash val="solid"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11.8</c:v>
              </c:pt>
              <c:pt idx="1">
                <c:v>10.199999999999999</c:v>
              </c:pt>
              <c:pt idx="2">
                <c:v>13.7</c:v>
              </c:pt>
              <c:pt idx="3">
                <c:v>10.9</c:v>
              </c:pt>
              <c:pt idx="4">
                <c:v>9.8000000000000007</c:v>
              </c:pt>
              <c:pt idx="5">
                <c:v>13</c:v>
              </c:pt>
              <c:pt idx="6">
                <c:v>17</c:v>
              </c:pt>
              <c:pt idx="7">
                <c:v>18.100000000000001</c:v>
              </c:pt>
              <c:pt idx="8">
                <c:v>12.3</c:v>
              </c:pt>
              <c:pt idx="9">
                <c:v>15.9</c:v>
              </c:pt>
              <c:pt idx="10">
                <c:v>13.7</c:v>
              </c:pt>
              <c:pt idx="11">
                <c:v>9.6999999999999993</c:v>
              </c:pt>
              <c:pt idx="12">
                <c:v>11.8</c:v>
              </c:pt>
              <c:pt idx="13">
                <c:v>10.7</c:v>
              </c:pt>
              <c:pt idx="14">
                <c:v>12.1</c:v>
              </c:pt>
              <c:pt idx="15">
                <c:v>13</c:v>
              </c:pt>
              <c:pt idx="16">
                <c:v>9.8000000000000007</c:v>
              </c:pt>
              <c:pt idx="17">
                <c:v>13.5</c:v>
              </c:pt>
              <c:pt idx="18">
                <c:v>10.5</c:v>
              </c:pt>
              <c:pt idx="19">
                <c:v>12.8</c:v>
              </c:pt>
              <c:pt idx="20">
                <c:v>10.5</c:v>
              </c:pt>
              <c:pt idx="21">
                <c:v>10.4</c:v>
              </c:pt>
              <c:pt idx="22">
                <c:v>11.8</c:v>
              </c:pt>
              <c:pt idx="23">
                <c:v>12.7</c:v>
              </c:pt>
              <c:pt idx="24">
                <c:v>12.7</c:v>
              </c:pt>
              <c:pt idx="25">
                <c:v>6.9</c:v>
              </c:pt>
              <c:pt idx="26">
                <c:v>11.5</c:v>
              </c:pt>
              <c:pt idx="27">
                <c:v>12.7</c:v>
              </c:pt>
              <c:pt idx="28">
                <c:v>10.4</c:v>
              </c:pt>
              <c:pt idx="29">
                <c:v>8.6999999999999993</c:v>
              </c:pt>
              <c:pt idx="30">
                <c:v>5.8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9798528"/>
        <c:axId val="109800064"/>
      </c:lineChart>
      <c:catAx>
        <c:axId val="109794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97967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9796736"/>
        <c:scaling>
          <c:orientation val="minMax"/>
          <c:max val="9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9794816"/>
        <c:crosses val="autoZero"/>
        <c:crossBetween val="between"/>
        <c:majorUnit val="2"/>
      </c:valAx>
      <c:catAx>
        <c:axId val="1097985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9800064"/>
        <c:crosses val="autoZero"/>
        <c:auto val="1"/>
        <c:lblAlgn val="ctr"/>
        <c:lblOffset val="100"/>
        <c:noMultiLvlLbl val="0"/>
      </c:catAx>
      <c:valAx>
        <c:axId val="109800064"/>
        <c:scaling>
          <c:orientation val="minMax"/>
          <c:max val="45"/>
          <c:min val="0"/>
        </c:scaling>
        <c:delete val="0"/>
        <c:axPos val="r"/>
        <c:numFmt formatCode="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9798528"/>
        <c:crosses val="max"/>
        <c:crossBetween val="between"/>
        <c:majorUnit val="10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0.11630769230769231"/>
          <c:y val="8.6651053864168617E-2"/>
          <c:w val="0.48307692307692307"/>
          <c:h val="0.1686182669789227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1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Sun Hours / h</a:t>
            </a:r>
          </a:p>
        </c:rich>
      </c:tx>
      <c:layout>
        <c:manualLayout>
          <c:xMode val="edge"/>
          <c:yMode val="edge"/>
          <c:x val="0.46040541433241655"/>
          <c:y val="2.803738317757009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941082492304096E-2"/>
          <c:y val="9.2289772270286646E-2"/>
          <c:w val="0.97360402135369983"/>
          <c:h val="0.85747712463785308"/>
        </c:manualLayout>
      </c:layout>
      <c:barChart>
        <c:barDir val="col"/>
        <c:grouping val="clustered"/>
        <c:varyColors val="0"/>
        <c:ser>
          <c:idx val="1"/>
          <c:order val="0"/>
          <c:tx>
            <c:v>Sun</c:v>
          </c:tx>
          <c:spPr>
            <a:solidFill>
              <a:srgbClr val="FFFF00"/>
            </a:solidFill>
            <a:ln w="12700">
              <a:solidFill>
                <a:srgbClr val="C0C0C0"/>
              </a:solidFill>
              <a:prstDash val="solid"/>
            </a:ln>
          </c:spPr>
          <c:invertIfNegative val="0"/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8</c:v>
              </c:pt>
              <c:pt idx="1">
                <c:v>6.5</c:v>
              </c:pt>
              <c:pt idx="2">
                <c:v>9</c:v>
              </c:pt>
              <c:pt idx="3">
                <c:v>1</c:v>
              </c:pt>
              <c:pt idx="4">
                <c:v>6</c:v>
              </c:pt>
              <c:pt idx="5">
                <c:v>1</c:v>
              </c:pt>
              <c:pt idx="6">
                <c:v>5</c:v>
              </c:pt>
              <c:pt idx="7">
                <c:v>6</c:v>
              </c:pt>
              <c:pt idx="8">
                <c:v>9</c:v>
              </c:pt>
              <c:pt idx="9">
                <c:v>8</c:v>
              </c:pt>
              <c:pt idx="10">
                <c:v>3</c:v>
              </c:pt>
              <c:pt idx="11">
                <c:v>0.5</c:v>
              </c:pt>
              <c:pt idx="12">
                <c:v>3</c:v>
              </c:pt>
              <c:pt idx="13">
                <c:v>4</c:v>
              </c:pt>
              <c:pt idx="14">
                <c:v>7</c:v>
              </c:pt>
              <c:pt idx="15">
                <c:v>1</c:v>
              </c:pt>
              <c:pt idx="16">
                <c:v>1</c:v>
              </c:pt>
              <c:pt idx="17">
                <c:v>0</c:v>
              </c:pt>
              <c:pt idx="18">
                <c:v>10</c:v>
              </c:pt>
              <c:pt idx="19">
                <c:v>7.5</c:v>
              </c:pt>
              <c:pt idx="20">
                <c:v>6</c:v>
              </c:pt>
              <c:pt idx="21">
                <c:v>9</c:v>
              </c:pt>
              <c:pt idx="22">
                <c:v>0</c:v>
              </c:pt>
              <c:pt idx="23">
                <c:v>4</c:v>
              </c:pt>
              <c:pt idx="24">
                <c:v>4</c:v>
              </c:pt>
              <c:pt idx="25">
                <c:v>1</c:v>
              </c:pt>
              <c:pt idx="26">
                <c:v>7</c:v>
              </c:pt>
              <c:pt idx="27">
                <c:v>4</c:v>
              </c:pt>
              <c:pt idx="28">
                <c:v>5</c:v>
              </c:pt>
              <c:pt idx="29">
                <c:v>0</c:v>
              </c:pt>
              <c:pt idx="30">
                <c:v>0.1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overlap val="-10"/>
        <c:axId val="109820544"/>
        <c:axId val="109822336"/>
      </c:barChart>
      <c:catAx>
        <c:axId val="109820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98223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9822336"/>
        <c:scaling>
          <c:orientation val="minMax"/>
          <c:max val="14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9820544"/>
        <c:crosses val="autoZero"/>
        <c:crossBetween val="between"/>
        <c:majorUnit val="2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Cumulative Rain / mm</a:t>
            </a:r>
          </a:p>
        </c:rich>
      </c:tx>
      <c:layout>
        <c:manualLayout>
          <c:xMode val="edge"/>
          <c:yMode val="edge"/>
          <c:x val="0.43726963096402616"/>
          <c:y val="1.97444831591173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520312932614146E-2"/>
          <c:y val="9.2915320252749636E-2"/>
          <c:w val="0.95264509859623558"/>
          <c:h val="0.85714382933161537"/>
        </c:manualLayout>
      </c:layout>
      <c:lineChart>
        <c:grouping val="standard"/>
        <c:varyColors val="0"/>
        <c:ser>
          <c:idx val="1"/>
          <c:order val="0"/>
          <c:tx>
            <c:v>Cumulative Rain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0</c:v>
              </c:pt>
              <c:pt idx="1">
                <c:v>0.3</c:v>
              </c:pt>
              <c:pt idx="2">
                <c:v>0.3</c:v>
              </c:pt>
              <c:pt idx="3">
                <c:v>11.9</c:v>
              </c:pt>
              <c:pt idx="4">
                <c:v>11.9</c:v>
              </c:pt>
              <c:pt idx="5">
                <c:v>12</c:v>
              </c:pt>
              <c:pt idx="6">
                <c:v>16.399999999999999</c:v>
              </c:pt>
              <c:pt idx="7">
                <c:v>17.2</c:v>
              </c:pt>
              <c:pt idx="8">
                <c:v>17.2</c:v>
              </c:pt>
              <c:pt idx="9">
                <c:v>17.2</c:v>
              </c:pt>
              <c:pt idx="10">
                <c:v>21.799999999999997</c:v>
              </c:pt>
              <c:pt idx="11">
                <c:v>21.799999999999997</c:v>
              </c:pt>
              <c:pt idx="12">
                <c:v>23.699999999999996</c:v>
              </c:pt>
              <c:pt idx="13">
                <c:v>23.699999999999996</c:v>
              </c:pt>
              <c:pt idx="14">
                <c:v>23.799999999999997</c:v>
              </c:pt>
              <c:pt idx="15">
                <c:v>23.799999999999997</c:v>
              </c:pt>
              <c:pt idx="16">
                <c:v>24.599999999999998</c:v>
              </c:pt>
              <c:pt idx="17">
                <c:v>39.199999999999996</c:v>
              </c:pt>
              <c:pt idx="18">
                <c:v>39.199999999999996</c:v>
              </c:pt>
              <c:pt idx="19">
                <c:v>43.8</c:v>
              </c:pt>
              <c:pt idx="20">
                <c:v>43.8</c:v>
              </c:pt>
              <c:pt idx="21">
                <c:v>43.8</c:v>
              </c:pt>
              <c:pt idx="22">
                <c:v>53.599999999999994</c:v>
              </c:pt>
              <c:pt idx="23">
                <c:v>54.099999999999994</c:v>
              </c:pt>
              <c:pt idx="24">
                <c:v>63.399999999999991</c:v>
              </c:pt>
              <c:pt idx="25">
                <c:v>72.099999999999994</c:v>
              </c:pt>
              <c:pt idx="26">
                <c:v>72.899999999999991</c:v>
              </c:pt>
              <c:pt idx="27">
                <c:v>72.999999999999986</c:v>
              </c:pt>
              <c:pt idx="28">
                <c:v>72.999999999999986</c:v>
              </c:pt>
              <c:pt idx="29">
                <c:v>72.999999999999986</c:v>
              </c:pt>
              <c:pt idx="30">
                <c:v>72.999999999999986</c:v>
              </c:pt>
            </c:numLit>
          </c:val>
          <c:smooth val="0"/>
        </c:ser>
        <c:ser>
          <c:idx val="2"/>
          <c:order val="1"/>
          <c:tx>
            <c:v>E (Cumulative Rain)</c:v>
          </c:tx>
          <c:spPr>
            <a:ln w="25400">
              <a:solidFill>
                <a:srgbClr val="00CCFF"/>
              </a:solidFill>
              <a:prstDash val="lgDash"/>
            </a:ln>
          </c:spPr>
          <c:marker>
            <c:symbol val="none"/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2</c:v>
              </c:pt>
              <c:pt idx="1">
                <c:v>4</c:v>
              </c:pt>
              <c:pt idx="2">
                <c:v>6</c:v>
              </c:pt>
              <c:pt idx="3">
                <c:v>8</c:v>
              </c:pt>
              <c:pt idx="4">
                <c:v>10</c:v>
              </c:pt>
              <c:pt idx="5">
                <c:v>12</c:v>
              </c:pt>
              <c:pt idx="6">
                <c:v>14</c:v>
              </c:pt>
              <c:pt idx="7">
                <c:v>16</c:v>
              </c:pt>
              <c:pt idx="8">
                <c:v>18</c:v>
              </c:pt>
              <c:pt idx="9">
                <c:v>20</c:v>
              </c:pt>
              <c:pt idx="10">
                <c:v>22</c:v>
              </c:pt>
              <c:pt idx="11">
                <c:v>24</c:v>
              </c:pt>
              <c:pt idx="12">
                <c:v>26</c:v>
              </c:pt>
              <c:pt idx="13">
                <c:v>28</c:v>
              </c:pt>
              <c:pt idx="14">
                <c:v>30</c:v>
              </c:pt>
              <c:pt idx="15">
                <c:v>32</c:v>
              </c:pt>
              <c:pt idx="16">
                <c:v>34</c:v>
              </c:pt>
              <c:pt idx="17">
                <c:v>36</c:v>
              </c:pt>
              <c:pt idx="18">
                <c:v>38</c:v>
              </c:pt>
              <c:pt idx="19">
                <c:v>40</c:v>
              </c:pt>
              <c:pt idx="20">
                <c:v>42</c:v>
              </c:pt>
              <c:pt idx="21">
                <c:v>44</c:v>
              </c:pt>
              <c:pt idx="22">
                <c:v>46</c:v>
              </c:pt>
              <c:pt idx="23">
                <c:v>48</c:v>
              </c:pt>
              <c:pt idx="24">
                <c:v>50</c:v>
              </c:pt>
              <c:pt idx="25">
                <c:v>52</c:v>
              </c:pt>
              <c:pt idx="26">
                <c:v>54</c:v>
              </c:pt>
              <c:pt idx="27">
                <c:v>56</c:v>
              </c:pt>
              <c:pt idx="28">
                <c:v>58</c:v>
              </c:pt>
              <c:pt idx="29">
                <c:v>60</c:v>
              </c:pt>
              <c:pt idx="30">
                <c:v>62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9915520"/>
        <c:axId val="109925504"/>
      </c:lineChart>
      <c:lineChart>
        <c:grouping val="standard"/>
        <c:varyColors val="0"/>
        <c:ser>
          <c:idx val="0"/>
          <c:order val="2"/>
          <c:tx>
            <c:v>Cumulative Anomaly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circle"/>
            <c:size val="2"/>
            <c:spPr>
              <a:solidFill>
                <a:srgbClr val="333399"/>
              </a:solidFill>
              <a:ln>
                <a:solidFill>
                  <a:srgbClr val="333399"/>
                </a:solidFill>
                <a:prstDash val="solid"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0</c:v>
              </c:pt>
              <c:pt idx="1">
                <c:v>7.4999999999999997E-2</c:v>
              </c:pt>
              <c:pt idx="2">
                <c:v>4.9999999999999996E-2</c:v>
              </c:pt>
              <c:pt idx="3">
                <c:v>1.4875</c:v>
              </c:pt>
              <c:pt idx="4">
                <c:v>1.19</c:v>
              </c:pt>
              <c:pt idx="5">
                <c:v>1</c:v>
              </c:pt>
              <c:pt idx="6">
                <c:v>1.1714285714285713</c:v>
              </c:pt>
              <c:pt idx="7">
                <c:v>1.075</c:v>
              </c:pt>
              <c:pt idx="8">
                <c:v>0.95555555555555549</c:v>
              </c:pt>
              <c:pt idx="9">
                <c:v>0.86</c:v>
              </c:pt>
              <c:pt idx="10">
                <c:v>0.99090909090909074</c:v>
              </c:pt>
              <c:pt idx="11">
                <c:v>0.90833333333333321</c:v>
              </c:pt>
              <c:pt idx="12">
                <c:v>0.91153846153846141</c:v>
              </c:pt>
              <c:pt idx="13">
                <c:v>0.84642857142857131</c:v>
              </c:pt>
              <c:pt idx="14">
                <c:v>0.79333333333333322</c:v>
              </c:pt>
              <c:pt idx="15">
                <c:v>0.74374999999999991</c:v>
              </c:pt>
              <c:pt idx="16">
                <c:v>0.72352941176470587</c:v>
              </c:pt>
              <c:pt idx="17">
                <c:v>1.0888888888888888</c:v>
              </c:pt>
              <c:pt idx="18">
                <c:v>1.0315789473684209</c:v>
              </c:pt>
              <c:pt idx="19">
                <c:v>1.095</c:v>
              </c:pt>
              <c:pt idx="20">
                <c:v>1.0428571428571427</c:v>
              </c:pt>
              <c:pt idx="21">
                <c:v>0.99545454545454537</c:v>
              </c:pt>
              <c:pt idx="22">
                <c:v>1.1652173913043478</c:v>
              </c:pt>
              <c:pt idx="23">
                <c:v>1.1270833333333332</c:v>
              </c:pt>
              <c:pt idx="24">
                <c:v>1.2679999999999998</c:v>
              </c:pt>
              <c:pt idx="25">
                <c:v>1.3865384615384615</c:v>
              </c:pt>
              <c:pt idx="26">
                <c:v>1.3499999999999999</c:v>
              </c:pt>
              <c:pt idx="27">
                <c:v>1.3035714285714284</c:v>
              </c:pt>
              <c:pt idx="28">
                <c:v>1.2586206896551722</c:v>
              </c:pt>
              <c:pt idx="29">
                <c:v>1.2166666666666663</c:v>
              </c:pt>
              <c:pt idx="30">
                <c:v>1.1774193548387095</c:v>
              </c:pt>
            </c:numLit>
          </c:val>
          <c:smooth val="0"/>
        </c:ser>
        <c:ser>
          <c:idx val="3"/>
          <c:order val="3"/>
          <c:tx>
            <c:v>E (Cumulative Anomaly)</c:v>
          </c:tx>
          <c:spPr>
            <a:ln w="3175">
              <a:solidFill>
                <a:srgbClr val="0000FF"/>
              </a:solidFill>
              <a:prstDash val="lgDash"/>
            </a:ln>
          </c:spPr>
          <c:marker>
            <c:symbol val="none"/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1</c:v>
              </c:pt>
              <c:pt idx="1">
                <c:v>1</c:v>
              </c:pt>
              <c:pt idx="2">
                <c:v>1</c:v>
              </c:pt>
              <c:pt idx="3">
                <c:v>1</c:v>
              </c:pt>
              <c:pt idx="4">
                <c:v>1</c:v>
              </c:pt>
              <c:pt idx="5">
                <c:v>1</c:v>
              </c:pt>
              <c:pt idx="6">
                <c:v>1</c:v>
              </c:pt>
              <c:pt idx="7">
                <c:v>1</c:v>
              </c:pt>
              <c:pt idx="8">
                <c:v>1</c:v>
              </c:pt>
              <c:pt idx="9">
                <c:v>1</c:v>
              </c:pt>
              <c:pt idx="10">
                <c:v>1</c:v>
              </c:pt>
              <c:pt idx="11">
                <c:v>1</c:v>
              </c:pt>
              <c:pt idx="12">
                <c:v>1</c:v>
              </c:pt>
              <c:pt idx="13">
                <c:v>1</c:v>
              </c:pt>
              <c:pt idx="14">
                <c:v>1</c:v>
              </c:pt>
              <c:pt idx="15">
                <c:v>1</c:v>
              </c:pt>
              <c:pt idx="16">
                <c:v>1</c:v>
              </c:pt>
              <c:pt idx="17">
                <c:v>1</c:v>
              </c:pt>
              <c:pt idx="18">
                <c:v>1</c:v>
              </c:pt>
              <c:pt idx="19">
                <c:v>1</c:v>
              </c:pt>
              <c:pt idx="20">
                <c:v>1</c:v>
              </c:pt>
              <c:pt idx="21">
                <c:v>1</c:v>
              </c:pt>
              <c:pt idx="22">
                <c:v>1</c:v>
              </c:pt>
              <c:pt idx="23">
                <c:v>1</c:v>
              </c:pt>
              <c:pt idx="24">
                <c:v>1</c:v>
              </c:pt>
              <c:pt idx="25">
                <c:v>1</c:v>
              </c:pt>
              <c:pt idx="26">
                <c:v>1</c:v>
              </c:pt>
              <c:pt idx="27">
                <c:v>1</c:v>
              </c:pt>
              <c:pt idx="28">
                <c:v>1</c:v>
              </c:pt>
              <c:pt idx="29">
                <c:v>1</c:v>
              </c:pt>
              <c:pt idx="30">
                <c:v>1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9927040"/>
        <c:axId val="109937024"/>
      </c:lineChart>
      <c:catAx>
        <c:axId val="109915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9925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9925504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9915520"/>
        <c:crosses val="autoZero"/>
        <c:crossBetween val="between"/>
        <c:majorUnit val="20"/>
      </c:valAx>
      <c:catAx>
        <c:axId val="1099270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9937024"/>
        <c:crosses val="autoZero"/>
        <c:auto val="1"/>
        <c:lblAlgn val="ctr"/>
        <c:lblOffset val="100"/>
        <c:noMultiLvlLbl val="0"/>
      </c:catAx>
      <c:valAx>
        <c:axId val="109937024"/>
        <c:scaling>
          <c:orientation val="minMax"/>
          <c:max val="2"/>
          <c:min val="0"/>
        </c:scaling>
        <c:delete val="0"/>
        <c:axPos val="r"/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9927040"/>
        <c:crosses val="max"/>
        <c:crossBetween val="between"/>
        <c:majorUnit val="0.4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 sz="14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Dew Point / </a:t>
            </a:r>
            <a:r>
              <a:rPr lang="en-GB" sz="1400" b="1" i="0" u="none" strike="noStrike" baseline="30000">
                <a:solidFill>
                  <a:srgbClr val="000000"/>
                </a:solidFill>
                <a:latin typeface="Arial"/>
                <a:cs typeface="Arial"/>
              </a:rPr>
              <a:t>o</a:t>
            </a:r>
            <a:r>
              <a:rPr lang="en-GB" sz="14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C</a:t>
            </a:r>
          </a:p>
        </c:rich>
      </c:tx>
      <c:layout>
        <c:manualLayout>
          <c:xMode val="edge"/>
          <c:yMode val="edge"/>
          <c:x val="0.45817984006611717"/>
          <c:y val="1.99296600234466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985254257748993E-2"/>
          <c:y val="8.6752687408804985E-2"/>
          <c:w val="0.97355532025683733"/>
          <c:h val="0.86283753963351983"/>
        </c:manualLayout>
      </c:layout>
      <c:lineChart>
        <c:grouping val="standard"/>
        <c:varyColors val="0"/>
        <c:ser>
          <c:idx val="2"/>
          <c:order val="0"/>
          <c:tx>
            <c:v>Min Dew Point</c:v>
          </c:tx>
          <c:spPr>
            <a:ln w="38100">
              <a:solidFill>
                <a:srgbClr val="99CC00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808000"/>
              </a:solidFill>
              <a:ln>
                <a:solidFill>
                  <a:srgbClr val="808000"/>
                </a:solidFill>
                <a:prstDash val="solid"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6.2</c:v>
              </c:pt>
              <c:pt idx="1">
                <c:v>7.4</c:v>
              </c:pt>
              <c:pt idx="2">
                <c:v>10</c:v>
              </c:pt>
              <c:pt idx="3">
                <c:v>10.199999999999999</c:v>
              </c:pt>
              <c:pt idx="4">
                <c:v>9.3000000000000007</c:v>
              </c:pt>
              <c:pt idx="5">
                <c:v>9.3000000000000007</c:v>
              </c:pt>
              <c:pt idx="6">
                <c:v>8.6</c:v>
              </c:pt>
              <c:pt idx="7">
                <c:v>6.3</c:v>
              </c:pt>
              <c:pt idx="8">
                <c:v>4.8</c:v>
              </c:pt>
              <c:pt idx="9">
                <c:v>5</c:v>
              </c:pt>
              <c:pt idx="10">
                <c:v>10.6</c:v>
              </c:pt>
              <c:pt idx="11">
                <c:v>13.4</c:v>
              </c:pt>
              <c:pt idx="12">
                <c:v>11.8</c:v>
              </c:pt>
              <c:pt idx="13">
                <c:v>7.2</c:v>
              </c:pt>
              <c:pt idx="14">
                <c:v>6.8</c:v>
              </c:pt>
              <c:pt idx="15">
                <c:v>11.1</c:v>
              </c:pt>
              <c:pt idx="16">
                <c:v>7.5</c:v>
              </c:pt>
              <c:pt idx="17">
                <c:v>9.6</c:v>
              </c:pt>
              <c:pt idx="18">
                <c:v>8.1999999999999993</c:v>
              </c:pt>
              <c:pt idx="19">
                <c:v>9.6999999999999993</c:v>
              </c:pt>
              <c:pt idx="20">
                <c:v>8.9</c:v>
              </c:pt>
              <c:pt idx="21">
                <c:v>7.4</c:v>
              </c:pt>
              <c:pt idx="22">
                <c:v>11.5</c:v>
              </c:pt>
              <c:pt idx="23">
                <c:v>9.4</c:v>
              </c:pt>
              <c:pt idx="24">
                <c:v>8</c:v>
              </c:pt>
              <c:pt idx="25">
                <c:v>9.6999999999999993</c:v>
              </c:pt>
              <c:pt idx="26">
                <c:v>8.9</c:v>
              </c:pt>
              <c:pt idx="27">
                <c:v>7</c:v>
              </c:pt>
              <c:pt idx="28">
                <c:v>4.8</c:v>
              </c:pt>
              <c:pt idx="29">
                <c:v>6.5</c:v>
              </c:pt>
              <c:pt idx="30">
                <c:v>7.5</c:v>
              </c:pt>
            </c:numLit>
          </c:val>
          <c:smooth val="0"/>
        </c:ser>
        <c:ser>
          <c:idx val="3"/>
          <c:order val="1"/>
          <c:tx>
            <c:v>Frost Point</c:v>
          </c:tx>
          <c:spPr>
            <a:ln w="38100">
              <a:solidFill>
                <a:srgbClr val="000080"/>
              </a:solidFill>
              <a:prstDash val="sysDash"/>
            </a:ln>
          </c:spPr>
          <c:marker>
            <c:symbol val="none"/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</c:numLit>
          </c:val>
          <c:smooth val="0"/>
        </c:ser>
        <c:ser>
          <c:idx val="0"/>
          <c:order val="2"/>
          <c:tx>
            <c:v>Mean' Dew Point</c:v>
          </c:tx>
          <c:spPr>
            <a:ln w="38100">
              <a:solidFill>
                <a:srgbClr val="008080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666699"/>
              </a:solidFill>
              <a:ln>
                <a:solidFill>
                  <a:srgbClr val="666699"/>
                </a:solidFill>
                <a:prstDash val="solid"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10.4</c:v>
              </c:pt>
              <c:pt idx="1">
                <c:v>12.7</c:v>
              </c:pt>
              <c:pt idx="2">
                <c:v>11.9</c:v>
              </c:pt>
              <c:pt idx="3">
                <c:v>14.9</c:v>
              </c:pt>
              <c:pt idx="4">
                <c:v>12.8</c:v>
              </c:pt>
              <c:pt idx="5">
                <c:v>10.9</c:v>
              </c:pt>
              <c:pt idx="6">
                <c:v>10.4</c:v>
              </c:pt>
              <c:pt idx="7">
                <c:v>9.8000000000000007</c:v>
              </c:pt>
              <c:pt idx="8">
                <c:v>6.7</c:v>
              </c:pt>
              <c:pt idx="9">
                <c:v>8.6</c:v>
              </c:pt>
              <c:pt idx="10">
                <c:v>13.6</c:v>
              </c:pt>
              <c:pt idx="11">
                <c:v>14.5</c:v>
              </c:pt>
              <c:pt idx="12">
                <c:v>13.8</c:v>
              </c:pt>
              <c:pt idx="13">
                <c:v>10.7</c:v>
              </c:pt>
              <c:pt idx="14">
                <c:v>8.6999999999999993</c:v>
              </c:pt>
              <c:pt idx="15">
                <c:v>12.8</c:v>
              </c:pt>
              <c:pt idx="16">
                <c:v>10.199999999999999</c:v>
              </c:pt>
              <c:pt idx="17">
                <c:v>10.5</c:v>
              </c:pt>
              <c:pt idx="18">
                <c:v>10.199999999999999</c:v>
              </c:pt>
              <c:pt idx="19">
                <c:v>12.5</c:v>
              </c:pt>
              <c:pt idx="20">
                <c:v>12.2</c:v>
              </c:pt>
              <c:pt idx="21">
                <c:v>10.199999999999999</c:v>
              </c:pt>
              <c:pt idx="22">
                <c:v>13</c:v>
              </c:pt>
              <c:pt idx="23">
                <c:v>12.3</c:v>
              </c:pt>
              <c:pt idx="24">
                <c:v>11.3</c:v>
              </c:pt>
              <c:pt idx="25">
                <c:v>12.6</c:v>
              </c:pt>
              <c:pt idx="26">
                <c:v>10.7</c:v>
              </c:pt>
              <c:pt idx="27">
                <c:v>9.8000000000000007</c:v>
              </c:pt>
              <c:pt idx="28">
                <c:v>7.2</c:v>
              </c:pt>
              <c:pt idx="29">
                <c:v>8.4</c:v>
              </c:pt>
              <c:pt idx="30">
                <c:v>9.6</c:v>
              </c:pt>
            </c:numLit>
          </c:val>
          <c:smooth val="0"/>
        </c:ser>
        <c:ser>
          <c:idx val="4"/>
          <c:order val="3"/>
          <c:tx>
            <c:v>Max Dew Point</c:v>
          </c:tx>
          <c:spPr>
            <a:ln w="38100">
              <a:solidFill>
                <a:srgbClr val="003300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003366"/>
              </a:solidFill>
              <a:ln>
                <a:solidFill>
                  <a:srgbClr val="003366"/>
                </a:solidFill>
                <a:prstDash val="solid"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14.3</c:v>
              </c:pt>
              <c:pt idx="1">
                <c:v>16</c:v>
              </c:pt>
              <c:pt idx="2">
                <c:v>14.4</c:v>
              </c:pt>
              <c:pt idx="3">
                <c:v>18.100000000000001</c:v>
              </c:pt>
              <c:pt idx="4">
                <c:v>15.6</c:v>
              </c:pt>
              <c:pt idx="5">
                <c:v>12.6</c:v>
              </c:pt>
              <c:pt idx="6">
                <c:v>12.5</c:v>
              </c:pt>
              <c:pt idx="7">
                <c:v>12.2</c:v>
              </c:pt>
              <c:pt idx="8">
                <c:v>10.5</c:v>
              </c:pt>
              <c:pt idx="9">
                <c:v>11.7</c:v>
              </c:pt>
              <c:pt idx="10">
                <c:v>17.600000000000001</c:v>
              </c:pt>
              <c:pt idx="11">
                <c:v>16</c:v>
              </c:pt>
              <c:pt idx="12">
                <c:v>17.899999999999999</c:v>
              </c:pt>
              <c:pt idx="13">
                <c:v>12.9</c:v>
              </c:pt>
              <c:pt idx="14">
                <c:v>11.5</c:v>
              </c:pt>
              <c:pt idx="15">
                <c:v>14.3</c:v>
              </c:pt>
              <c:pt idx="16">
                <c:v>13.6</c:v>
              </c:pt>
              <c:pt idx="17">
                <c:v>11.5</c:v>
              </c:pt>
              <c:pt idx="18">
                <c:v>13</c:v>
              </c:pt>
              <c:pt idx="19">
                <c:v>14.6</c:v>
              </c:pt>
              <c:pt idx="20">
                <c:v>14.6</c:v>
              </c:pt>
              <c:pt idx="21">
                <c:v>12.8</c:v>
              </c:pt>
              <c:pt idx="22">
                <c:v>14.8</c:v>
              </c:pt>
              <c:pt idx="23">
                <c:v>14.3</c:v>
              </c:pt>
              <c:pt idx="24">
                <c:v>14.6</c:v>
              </c:pt>
              <c:pt idx="25">
                <c:v>15.1</c:v>
              </c:pt>
              <c:pt idx="26">
                <c:v>12.8</c:v>
              </c:pt>
              <c:pt idx="27">
                <c:v>12.1</c:v>
              </c:pt>
              <c:pt idx="28">
                <c:v>10.1</c:v>
              </c:pt>
              <c:pt idx="29">
                <c:v>9.8000000000000007</c:v>
              </c:pt>
              <c:pt idx="30">
                <c:v>11.3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9963136"/>
        <c:axId val="110043136"/>
      </c:lineChart>
      <c:catAx>
        <c:axId val="109963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0043136"/>
        <c:crossesAt val="-10"/>
        <c:auto val="1"/>
        <c:lblAlgn val="ctr"/>
        <c:lblOffset val="100"/>
        <c:tickLblSkip val="1"/>
        <c:tickMarkSkip val="1"/>
        <c:noMultiLvlLbl val="0"/>
      </c:catAx>
      <c:valAx>
        <c:axId val="110043136"/>
        <c:scaling>
          <c:orientation val="minMax"/>
          <c:max val="20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9963136"/>
        <c:crosses val="autoZero"/>
        <c:crossBetween val="between"/>
        <c:majorUnit val="5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Mean Wind Direction Frequency</a:t>
            </a:r>
          </a:p>
        </c:rich>
      </c:tx>
      <c:layout>
        <c:manualLayout>
          <c:xMode val="edge"/>
          <c:yMode val="edge"/>
          <c:x val="0.40434296945276205"/>
          <c:y val="2.585193889541715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0809876812071785"/>
          <c:y val="0.15981198589894241"/>
          <c:w val="0.37206594093054307"/>
          <c:h val="0.74500587544065799"/>
        </c:manualLayout>
      </c:layout>
      <c:radarChart>
        <c:radarStyle val="filled"/>
        <c:varyColors val="1"/>
        <c:ser>
          <c:idx val="0"/>
          <c:order val="0"/>
          <c:tx>
            <c:v>Mean Wind Direction</c:v>
          </c:tx>
          <c:spPr>
            <a:solidFill>
              <a:srgbClr val="FF99CC"/>
            </a:solidFill>
            <a:ln w="38100">
              <a:solidFill>
                <a:srgbClr val="FF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</c:dPt>
          <c:dPt>
            <c:idx val="2"/>
            <c:bubble3D val="0"/>
          </c:dPt>
          <c:dPt>
            <c:idx val="3"/>
            <c:bubble3D val="0"/>
          </c:dPt>
          <c:dPt>
            <c:idx val="4"/>
            <c:bubble3D val="0"/>
          </c:dPt>
          <c:dPt>
            <c:idx val="5"/>
            <c:bubble3D val="0"/>
          </c:dPt>
          <c:dPt>
            <c:idx val="6"/>
            <c:bubble3D val="0"/>
          </c:dPt>
          <c:dPt>
            <c:idx val="7"/>
            <c:bubble3D val="0"/>
          </c:dPt>
          <c:dLbls>
            <c:dLbl>
              <c:idx val="0"/>
              <c:layout>
                <c:manualLayout>
                  <c:x val="3.717393456502325E-4"/>
                  <c:y val="-0.3053857280765873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 val="7.45475098642049E-2"/>
                  <c:y val="-0.12433838837125379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layout>
                <c:manualLayout>
                  <c:x val="0.15968328317804725"/>
                  <c:y val="-4.8952752821294064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layout>
                <c:manualLayout>
                  <c:x val="0.13192667067364428"/>
                  <c:y val="0.2241514229052742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4"/>
              <c:layout>
                <c:manualLayout>
                  <c:x val="1.5454489384910317E-3"/>
                  <c:y val="0.2923424348689668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5"/>
              <c:layout>
                <c:manualLayout>
                  <c:x val="-2.6195459500218895E-2"/>
                  <c:y val="2.28989825155521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6"/>
              <c:layout>
                <c:manualLayout>
                  <c:x val="-0.10624028641439603"/>
                  <c:y val="-4.8952752821294064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7"/>
              <c:layout>
                <c:manualLayout>
                  <c:x val="-0.11833869108097535"/>
                  <c:y val="-0.2170376059044323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50" b="1" i="0" u="none" strike="noStrike" baseline="0">
                    <a:solidFill>
                      <a:srgbClr val="FF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Lit>
              <c:ptCount val="8"/>
              <c:pt idx="0">
                <c:v>N</c:v>
              </c:pt>
              <c:pt idx="1">
                <c:v>NE</c:v>
              </c:pt>
              <c:pt idx="2">
                <c:v>E</c:v>
              </c:pt>
              <c:pt idx="3">
                <c:v>SE</c:v>
              </c:pt>
              <c:pt idx="4">
                <c:v>S</c:v>
              </c:pt>
              <c:pt idx="5">
                <c:v>SW</c:v>
              </c:pt>
              <c:pt idx="6">
                <c:v>W</c:v>
              </c:pt>
              <c:pt idx="7">
                <c:v>NW</c:v>
              </c:pt>
            </c:strLit>
          </c:cat>
          <c:val>
            <c:numLit>
              <c:formatCode>General</c:formatCode>
              <c:ptCount val="8"/>
              <c:pt idx="0">
                <c:v>1</c:v>
              </c:pt>
              <c:pt idx="1">
                <c:v>4</c:v>
              </c:pt>
              <c:pt idx="2">
                <c:v>1</c:v>
              </c:pt>
              <c:pt idx="3">
                <c:v>0</c:v>
              </c:pt>
              <c:pt idx="4">
                <c:v>3</c:v>
              </c:pt>
              <c:pt idx="5">
                <c:v>13</c:v>
              </c:pt>
              <c:pt idx="6">
                <c:v>7</c:v>
              </c:pt>
              <c:pt idx="7">
                <c:v>2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078208"/>
        <c:axId val="110088192"/>
      </c:radarChart>
      <c:catAx>
        <c:axId val="110078208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0088192"/>
        <c:crosses val="autoZero"/>
        <c:auto val="0"/>
        <c:lblAlgn val="ctr"/>
        <c:lblOffset val="100"/>
        <c:noMultiLvlLbl val="0"/>
      </c:catAx>
      <c:valAx>
        <c:axId val="110088192"/>
        <c:scaling>
          <c:orientation val="minMax"/>
          <c:max val="15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0078208"/>
        <c:crosses val="autoZero"/>
        <c:crossBetween val="between"/>
        <c:majorUnit val="3"/>
      </c:valAx>
      <c:spPr>
        <a:solidFill>
          <a:srgbClr val="C0C0C0"/>
        </a:solidFill>
        <a:ln w="25400">
          <a:noFill/>
        </a:ln>
      </c:spPr>
    </c:plotArea>
    <c:plotVisOnly val="1"/>
    <c:dispBlanksAs val="gap"/>
    <c:showDLblsOverMax val="0"/>
  </c:chart>
  <c:spPr>
    <a:solidFill>
      <a:srgbClr val="C0C0C0"/>
    </a:solidFill>
    <a:ln w="3175">
      <a:solidFill>
        <a:srgbClr val="000000"/>
      </a:solidFill>
      <a:prstDash val="solid"/>
    </a:ln>
  </c:spPr>
  <c:txPr>
    <a:bodyPr/>
    <a:lstStyle/>
    <a:p>
      <a:pPr>
        <a:defRPr sz="23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Cumulative Sun Hours / h</a:t>
            </a:r>
          </a:p>
        </c:rich>
      </c:tx>
      <c:layout>
        <c:manualLayout>
          <c:xMode val="edge"/>
          <c:yMode val="edge"/>
          <c:x val="0.42778132143439052"/>
          <c:y val="2.690058479532163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502160052459488E-2"/>
          <c:y val="8.538021447849789E-2"/>
          <c:w val="0.9403813516721462"/>
          <c:h val="0.86432847259739654"/>
        </c:manualLayout>
      </c:layout>
      <c:lineChart>
        <c:grouping val="standard"/>
        <c:varyColors val="0"/>
        <c:ser>
          <c:idx val="1"/>
          <c:order val="0"/>
          <c:tx>
            <c:v>Cumulative Sun Hours</c:v>
          </c:tx>
          <c:spPr>
            <a:ln w="38100">
              <a:solidFill>
                <a:srgbClr val="FFFF00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99CC00"/>
              </a:solidFill>
              <a:ln>
                <a:solidFill>
                  <a:srgbClr val="99CC00"/>
                </a:solidFill>
                <a:prstDash val="solid"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8</c:v>
              </c:pt>
              <c:pt idx="1">
                <c:v>14.5</c:v>
              </c:pt>
              <c:pt idx="2">
                <c:v>23.5</c:v>
              </c:pt>
              <c:pt idx="3">
                <c:v>24.5</c:v>
              </c:pt>
              <c:pt idx="4">
                <c:v>30.5</c:v>
              </c:pt>
              <c:pt idx="5">
                <c:v>31.5</c:v>
              </c:pt>
              <c:pt idx="6">
                <c:v>36.5</c:v>
              </c:pt>
              <c:pt idx="7">
                <c:v>42.5</c:v>
              </c:pt>
              <c:pt idx="8">
                <c:v>51.5</c:v>
              </c:pt>
              <c:pt idx="9">
                <c:v>59.5</c:v>
              </c:pt>
              <c:pt idx="10">
                <c:v>62.5</c:v>
              </c:pt>
              <c:pt idx="11">
                <c:v>63</c:v>
              </c:pt>
              <c:pt idx="12">
                <c:v>66</c:v>
              </c:pt>
              <c:pt idx="13">
                <c:v>70</c:v>
              </c:pt>
              <c:pt idx="14">
                <c:v>77</c:v>
              </c:pt>
              <c:pt idx="15">
                <c:v>78</c:v>
              </c:pt>
              <c:pt idx="16">
                <c:v>79</c:v>
              </c:pt>
              <c:pt idx="17">
                <c:v>79</c:v>
              </c:pt>
              <c:pt idx="18">
                <c:v>89</c:v>
              </c:pt>
              <c:pt idx="19">
                <c:v>96.5</c:v>
              </c:pt>
              <c:pt idx="20">
                <c:v>102.5</c:v>
              </c:pt>
              <c:pt idx="21">
                <c:v>111.5</c:v>
              </c:pt>
              <c:pt idx="22">
                <c:v>111.5</c:v>
              </c:pt>
              <c:pt idx="23">
                <c:v>115.5</c:v>
              </c:pt>
              <c:pt idx="24">
                <c:v>119.5</c:v>
              </c:pt>
              <c:pt idx="25">
                <c:v>120.5</c:v>
              </c:pt>
              <c:pt idx="26">
                <c:v>127.5</c:v>
              </c:pt>
              <c:pt idx="27">
                <c:v>131.5</c:v>
              </c:pt>
              <c:pt idx="28">
                <c:v>136.5</c:v>
              </c:pt>
              <c:pt idx="29">
                <c:v>136.5</c:v>
              </c:pt>
              <c:pt idx="30">
                <c:v>136.6</c:v>
              </c:pt>
            </c:numLit>
          </c:val>
          <c:smooth val="0"/>
        </c:ser>
        <c:ser>
          <c:idx val="2"/>
          <c:order val="1"/>
          <c:tx>
            <c:v>E (Cumulative Sun Hours)</c:v>
          </c:tx>
          <c:spPr>
            <a:ln w="25400">
              <a:solidFill>
                <a:srgbClr val="FFFF99"/>
              </a:solidFill>
              <a:prstDash val="lgDash"/>
            </a:ln>
          </c:spPr>
          <c:marker>
            <c:symbol val="diamond"/>
            <c:size val="2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6.2305851094972722</c:v>
              </c:pt>
              <c:pt idx="1">
                <c:v>12.439485218114733</c:v>
              </c:pt>
              <c:pt idx="2">
                <c:v>18.626396374111099</c:v>
              </c:pt>
              <c:pt idx="3">
                <c:v>24.791025375076568</c:v>
              </c:pt>
              <c:pt idx="4">
                <c:v>30.933089570422197</c:v>
              </c:pt>
              <c:pt idx="5">
                <c:v>37.052316656542708</c:v>
              </c:pt>
              <c:pt idx="6">
                <c:v>43.148444465694176</c:v>
              </c:pt>
              <c:pt idx="7">
                <c:v>49.22122074958277</c:v>
              </c:pt>
              <c:pt idx="8">
                <c:v>55.270402958614383</c:v>
              </c:pt>
              <c:pt idx="9">
                <c:v>61.295758017707982</c:v>
              </c:pt>
              <c:pt idx="10">
                <c:v>67.297062099528318</c:v>
              </c:pt>
              <c:pt idx="11">
                <c:v>73.274100395946562</c:v>
              </c:pt>
              <c:pt idx="12">
                <c:v>79.22666688849084</c:v>
              </c:pt>
              <c:pt idx="13">
                <c:v>85.154564118502748</c:v>
              </c:pt>
              <c:pt idx="14">
                <c:v>91.057602957671023</c:v>
              </c:pt>
              <c:pt idx="15">
                <c:v>96.935602379569858</c:v>
              </c:pt>
              <c:pt idx="16">
                <c:v>102.78838923278678</c:v>
              </c:pt>
              <c:pt idx="17">
                <c:v>108.61579801618436</c:v>
              </c:pt>
              <c:pt idx="18">
                <c:v>114.41767065680013</c:v>
              </c:pt>
              <c:pt idx="19">
                <c:v>120.19385629085214</c:v>
              </c:pt>
              <c:pt idx="20">
                <c:v>125.94421104828079</c:v>
              </c:pt>
              <c:pt idx="21">
                <c:v>131.66859784122383</c:v>
              </c:pt>
              <c:pt idx="22">
                <c:v>137.36688615678869</c:v>
              </c:pt>
              <c:pt idx="23">
                <c:v>143.03895185445589</c:v>
              </c:pt>
              <c:pt idx="24">
                <c:v>148.68467696841788</c:v>
              </c:pt>
              <c:pt idx="25">
                <c:v>154.30394951513102</c:v>
              </c:pt>
              <c:pt idx="26">
                <c:v>159.89666330633247</c:v>
              </c:pt>
              <c:pt idx="27">
                <c:v>165.46271776775026</c:v>
              </c:pt>
              <c:pt idx="28">
                <c:v>171.00201776371262</c:v>
              </c:pt>
              <c:pt idx="29">
                <c:v>176.51447342784195</c:v>
              </c:pt>
              <c:pt idx="30">
                <c:v>182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0194048"/>
        <c:axId val="110204032"/>
      </c:lineChart>
      <c:lineChart>
        <c:grouping val="standard"/>
        <c:varyColors val="0"/>
        <c:ser>
          <c:idx val="0"/>
          <c:order val="2"/>
          <c:tx>
            <c:v>Cumulative Anomaly</c:v>
          </c:tx>
          <c:spPr>
            <a:ln w="12700">
              <a:solidFill>
                <a:srgbClr val="99CC00"/>
              </a:solidFill>
              <a:prstDash val="solid"/>
            </a:ln>
          </c:spPr>
          <c:marker>
            <c:symbol val="circle"/>
            <c:size val="2"/>
            <c:spPr>
              <a:solidFill>
                <a:srgbClr val="808000"/>
              </a:solidFill>
              <a:ln>
                <a:solidFill>
                  <a:srgbClr val="808000"/>
                </a:solidFill>
                <a:prstDash val="solid"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1.2839885595665184</c:v>
              </c:pt>
              <c:pt idx="1">
                <c:v>1.1656430909925988</c:v>
              </c:pt>
              <c:pt idx="2">
                <c:v>1.2616503765947309</c:v>
              </c:pt>
              <c:pt idx="3">
                <c:v>0.98826085768242777</c:v>
              </c:pt>
              <c:pt idx="4">
                <c:v>0.98599914924643317</c:v>
              </c:pt>
              <c:pt idx="5">
                <c:v>0.85014927115057248</c:v>
              </c:pt>
              <c:pt idx="6">
                <c:v>0.84591693749284236</c:v>
              </c:pt>
              <c:pt idx="7">
                <c:v>0.86344871892191455</c:v>
              </c:pt>
              <c:pt idx="8">
                <c:v>0.93178260412833247</c:v>
              </c:pt>
              <c:pt idx="9">
                <c:v>0.97070338836189618</c:v>
              </c:pt>
              <c:pt idx="10">
                <c:v>0.92871810522079323</c:v>
              </c:pt>
              <c:pt idx="11">
                <c:v>0.85978537654602294</c:v>
              </c:pt>
              <c:pt idx="12">
                <c:v>0.83305284182777783</c:v>
              </c:pt>
              <c:pt idx="13">
                <c:v>0.82203462286045692</c:v>
              </c:pt>
              <c:pt idx="14">
                <c:v>0.8456185699923835</c:v>
              </c:pt>
              <c:pt idx="15">
                <c:v>0.80465791809469656</c:v>
              </c:pt>
              <c:pt idx="16">
                <c:v>0.76856929649016315</c:v>
              </c:pt>
              <c:pt idx="17">
                <c:v>0.72733434217579074</c:v>
              </c:pt>
              <c:pt idx="18">
                <c:v>0.77785187802816458</c:v>
              </c:pt>
              <c:pt idx="19">
                <c:v>0.80286965555447065</c:v>
              </c:pt>
              <c:pt idx="20">
                <c:v>0.81385241248370332</c:v>
              </c:pt>
              <c:pt idx="21">
                <c:v>0.84682302255891961</c:v>
              </c:pt>
              <c:pt idx="22">
                <c:v>0.81169489328552891</c:v>
              </c:pt>
              <c:pt idx="23">
                <c:v>0.80747235981932286</c:v>
              </c:pt>
              <c:pt idx="24">
                <c:v>0.80371429280088491</c:v>
              </c:pt>
              <c:pt idx="25">
                <c:v>0.78092621983200627</c:v>
              </c:pt>
              <c:pt idx="26">
                <c:v>0.79738999778709296</c:v>
              </c:pt>
              <c:pt idx="27">
                <c:v>0.79474096505883807</c:v>
              </c:pt>
              <c:pt idx="28">
                <c:v>0.79823619501737775</c:v>
              </c:pt>
              <c:pt idx="29">
                <c:v>0.77330769171061986</c:v>
              </c:pt>
              <c:pt idx="30">
                <c:v>0.75054945054945055</c:v>
              </c:pt>
            </c:numLit>
          </c:val>
          <c:smooth val="0"/>
        </c:ser>
        <c:ser>
          <c:idx val="3"/>
          <c:order val="3"/>
          <c:tx>
            <c:v>E (Cumulative Anomaly)</c:v>
          </c:tx>
          <c:spPr>
            <a:ln w="12700">
              <a:solidFill>
                <a:srgbClr val="808000"/>
              </a:solidFill>
              <a:prstDash val="lgDash"/>
            </a:ln>
          </c:spPr>
          <c:marker>
            <c:symbol val="none"/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1</c:v>
              </c:pt>
              <c:pt idx="1">
                <c:v>1</c:v>
              </c:pt>
              <c:pt idx="2">
                <c:v>1</c:v>
              </c:pt>
              <c:pt idx="3">
                <c:v>1</c:v>
              </c:pt>
              <c:pt idx="4">
                <c:v>1</c:v>
              </c:pt>
              <c:pt idx="5">
                <c:v>1</c:v>
              </c:pt>
              <c:pt idx="6">
                <c:v>1</c:v>
              </c:pt>
              <c:pt idx="7">
                <c:v>1</c:v>
              </c:pt>
              <c:pt idx="8">
                <c:v>1</c:v>
              </c:pt>
              <c:pt idx="9">
                <c:v>1</c:v>
              </c:pt>
              <c:pt idx="10">
                <c:v>1</c:v>
              </c:pt>
              <c:pt idx="11">
                <c:v>1</c:v>
              </c:pt>
              <c:pt idx="12">
                <c:v>1</c:v>
              </c:pt>
              <c:pt idx="13">
                <c:v>1</c:v>
              </c:pt>
              <c:pt idx="14">
                <c:v>1</c:v>
              </c:pt>
              <c:pt idx="15">
                <c:v>1</c:v>
              </c:pt>
              <c:pt idx="16">
                <c:v>1</c:v>
              </c:pt>
              <c:pt idx="17">
                <c:v>1</c:v>
              </c:pt>
              <c:pt idx="18">
                <c:v>1</c:v>
              </c:pt>
              <c:pt idx="19">
                <c:v>1</c:v>
              </c:pt>
              <c:pt idx="20">
                <c:v>1</c:v>
              </c:pt>
              <c:pt idx="21">
                <c:v>1</c:v>
              </c:pt>
              <c:pt idx="22">
                <c:v>1</c:v>
              </c:pt>
              <c:pt idx="23">
                <c:v>1</c:v>
              </c:pt>
              <c:pt idx="24">
                <c:v>1</c:v>
              </c:pt>
              <c:pt idx="25">
                <c:v>1</c:v>
              </c:pt>
              <c:pt idx="26">
                <c:v>1</c:v>
              </c:pt>
              <c:pt idx="27">
                <c:v>1</c:v>
              </c:pt>
              <c:pt idx="28">
                <c:v>1</c:v>
              </c:pt>
              <c:pt idx="29">
                <c:v>1</c:v>
              </c:pt>
              <c:pt idx="30">
                <c:v>1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0205568"/>
        <c:axId val="110207360"/>
      </c:lineChart>
      <c:catAx>
        <c:axId val="1101940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02040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0204032"/>
        <c:scaling>
          <c:orientation val="minMax"/>
          <c:max val="200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0194048"/>
        <c:crosses val="autoZero"/>
        <c:crossBetween val="between"/>
        <c:majorUnit val="50"/>
      </c:valAx>
      <c:catAx>
        <c:axId val="1102055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0207360"/>
        <c:crosses val="autoZero"/>
        <c:auto val="1"/>
        <c:lblAlgn val="ctr"/>
        <c:lblOffset val="100"/>
        <c:noMultiLvlLbl val="0"/>
      </c:catAx>
      <c:valAx>
        <c:axId val="110207360"/>
        <c:scaling>
          <c:orientation val="minMax"/>
          <c:max val="2"/>
          <c:min val="0"/>
        </c:scaling>
        <c:delete val="0"/>
        <c:axPos val="r"/>
        <c:numFmt formatCode="0%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0205568"/>
        <c:crosses val="max"/>
        <c:crossBetween val="between"/>
        <c:majorUnit val="0.5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 horizontalDpi="-3" verticalDpi="0"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 sz="14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Mean' &amp; Mean Temperature / </a:t>
            </a:r>
            <a:r>
              <a:rPr lang="en-GB" sz="1400" b="1" i="0" u="none" strike="noStrike" baseline="30000">
                <a:solidFill>
                  <a:srgbClr val="000000"/>
                </a:solidFill>
                <a:latin typeface="Arial"/>
                <a:cs typeface="Arial"/>
              </a:rPr>
              <a:t>o</a:t>
            </a:r>
            <a:r>
              <a:rPr lang="en-GB" sz="14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C</a:t>
            </a:r>
          </a:p>
        </c:rich>
      </c:tx>
      <c:layout>
        <c:manualLayout>
          <c:xMode val="edge"/>
          <c:yMode val="edge"/>
          <c:x val="0.40872784878534313"/>
          <c:y val="1.990632318501171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970505042623335E-2"/>
          <c:y val="8.5480093676814986E-2"/>
          <c:w val="0.97172739672788444"/>
          <c:h val="0.86416861826697888"/>
        </c:manualLayout>
      </c:layout>
      <c:lineChart>
        <c:grouping val="standard"/>
        <c:varyColors val="0"/>
        <c:ser>
          <c:idx val="2"/>
          <c:order val="0"/>
          <c:tx>
            <c:v>Mean Temperature</c:v>
          </c:tx>
          <c:spPr>
            <a:ln w="25400">
              <a:solidFill>
                <a:srgbClr val="666699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333399"/>
              </a:solidFill>
              <a:ln>
                <a:solidFill>
                  <a:srgbClr val="333399"/>
                </a:solidFill>
                <a:prstDash val="solid"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21</c:v>
              </c:pt>
              <c:pt idx="1">
                <c:v>22.9</c:v>
              </c:pt>
              <c:pt idx="2">
                <c:v>22.65</c:v>
              </c:pt>
              <c:pt idx="3">
                <c:v>18.399999999999999</c:v>
              </c:pt>
              <c:pt idx="4">
                <c:v>19.7</c:v>
              </c:pt>
              <c:pt idx="5">
                <c:v>17.350000000000001</c:v>
              </c:pt>
              <c:pt idx="6">
                <c:v>16.7</c:v>
              </c:pt>
              <c:pt idx="7">
                <c:v>16.2</c:v>
              </c:pt>
              <c:pt idx="8">
                <c:v>16.350000000000001</c:v>
              </c:pt>
              <c:pt idx="9">
                <c:v>16.100000000000001</c:v>
              </c:pt>
              <c:pt idx="10">
                <c:v>18.399999999999999</c:v>
              </c:pt>
              <c:pt idx="11">
                <c:v>19.149999999999999</c:v>
              </c:pt>
              <c:pt idx="12">
                <c:v>18.649999999999999</c:v>
              </c:pt>
              <c:pt idx="13">
                <c:v>18.75</c:v>
              </c:pt>
              <c:pt idx="14">
                <c:v>16.850000000000001</c:v>
              </c:pt>
              <c:pt idx="15">
                <c:v>17.45</c:v>
              </c:pt>
              <c:pt idx="16">
                <c:v>16.25</c:v>
              </c:pt>
              <c:pt idx="17">
                <c:v>14.350000000000001</c:v>
              </c:pt>
              <c:pt idx="18">
                <c:v>15.2</c:v>
              </c:pt>
              <c:pt idx="19">
                <c:v>17.45</c:v>
              </c:pt>
              <c:pt idx="20">
                <c:v>18.149999999999999</c:v>
              </c:pt>
              <c:pt idx="21">
                <c:v>16.45</c:v>
              </c:pt>
              <c:pt idx="22">
                <c:v>15.049999999999999</c:v>
              </c:pt>
              <c:pt idx="23">
                <c:v>17.45</c:v>
              </c:pt>
              <c:pt idx="24">
                <c:v>16.850000000000001</c:v>
              </c:pt>
              <c:pt idx="25">
                <c:v>14</c:v>
              </c:pt>
              <c:pt idx="26">
                <c:v>14.549999999999999</c:v>
              </c:pt>
              <c:pt idx="27">
                <c:v>15.899999999999999</c:v>
              </c:pt>
              <c:pt idx="28">
                <c:v>13.600000000000001</c:v>
              </c:pt>
              <c:pt idx="29">
                <c:v>14.35</c:v>
              </c:pt>
              <c:pt idx="30">
                <c:v>15.25</c:v>
              </c:pt>
            </c:numLit>
          </c:val>
          <c:smooth val="0"/>
        </c:ser>
        <c:ser>
          <c:idx val="0"/>
          <c:order val="1"/>
          <c:tx>
            <c:v>Mean' Temperature</c:v>
          </c:tx>
          <c:spPr>
            <a:ln w="38100">
              <a:solidFill>
                <a:srgbClr val="800080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666699"/>
              </a:solidFill>
              <a:ln>
                <a:solidFill>
                  <a:srgbClr val="666699"/>
                </a:solidFill>
                <a:prstDash val="solid"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21.4</c:v>
              </c:pt>
              <c:pt idx="1">
                <c:v>22.6</c:v>
              </c:pt>
              <c:pt idx="2">
                <c:v>22.3</c:v>
              </c:pt>
              <c:pt idx="3">
                <c:v>18.2</c:v>
              </c:pt>
              <c:pt idx="4">
                <c:v>19.3</c:v>
              </c:pt>
              <c:pt idx="5">
                <c:v>17.399999999999999</c:v>
              </c:pt>
              <c:pt idx="6">
                <c:v>15.6</c:v>
              </c:pt>
              <c:pt idx="7">
                <c:v>16.399999999999999</c:v>
              </c:pt>
              <c:pt idx="8">
                <c:v>16.100000000000001</c:v>
              </c:pt>
              <c:pt idx="9">
                <c:v>16.8</c:v>
              </c:pt>
              <c:pt idx="10">
                <c:v>17.600000000000001</c:v>
              </c:pt>
              <c:pt idx="11">
                <c:v>18.899999999999999</c:v>
              </c:pt>
              <c:pt idx="12">
                <c:v>18.3</c:v>
              </c:pt>
              <c:pt idx="13">
                <c:v>18.3</c:v>
              </c:pt>
              <c:pt idx="14">
                <c:v>17.399999999999999</c:v>
              </c:pt>
              <c:pt idx="15">
                <c:v>17.3</c:v>
              </c:pt>
              <c:pt idx="16">
                <c:v>15.9</c:v>
              </c:pt>
              <c:pt idx="17">
                <c:v>13.7</c:v>
              </c:pt>
              <c:pt idx="18">
                <c:v>15.6</c:v>
              </c:pt>
              <c:pt idx="19">
                <c:v>17</c:v>
              </c:pt>
              <c:pt idx="20">
                <c:v>18.399999999999999</c:v>
              </c:pt>
              <c:pt idx="21">
                <c:v>17.399999999999999</c:v>
              </c:pt>
              <c:pt idx="22">
                <c:v>15</c:v>
              </c:pt>
              <c:pt idx="23">
                <c:v>16.399999999999999</c:v>
              </c:pt>
              <c:pt idx="24">
                <c:v>16.2</c:v>
              </c:pt>
              <c:pt idx="25">
                <c:v>14.2</c:v>
              </c:pt>
              <c:pt idx="26">
                <c:v>14.2</c:v>
              </c:pt>
              <c:pt idx="27">
                <c:v>15.2</c:v>
              </c:pt>
              <c:pt idx="28">
                <c:v>14.1</c:v>
              </c:pt>
              <c:pt idx="29">
                <c:v>14.3</c:v>
              </c:pt>
              <c:pt idx="30">
                <c:v>15</c:v>
              </c:pt>
            </c:numLit>
          </c:val>
          <c:smooth val="0"/>
        </c:ser>
        <c:ser>
          <c:idx val="1"/>
          <c:order val="2"/>
          <c:tx>
            <c:v>E (Mean)</c:v>
          </c:tx>
          <c:spPr>
            <a:ln w="38100">
              <a:solidFill>
                <a:srgbClr val="CC99FF"/>
              </a:solidFill>
              <a:prstDash val="lgDash"/>
            </a:ln>
          </c:spPr>
          <c:marker>
            <c:symbol val="none"/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18.239999999999998</c:v>
              </c:pt>
              <c:pt idx="1">
                <c:v>18.2225</c:v>
              </c:pt>
              <c:pt idx="2">
                <c:v>18.195</c:v>
              </c:pt>
              <c:pt idx="3">
                <c:v>18.1675</c:v>
              </c:pt>
              <c:pt idx="4">
                <c:v>18.145</c:v>
              </c:pt>
              <c:pt idx="5">
                <c:v>18.105</c:v>
              </c:pt>
              <c:pt idx="6">
                <c:v>18.087499999999999</c:v>
              </c:pt>
              <c:pt idx="7">
                <c:v>18.058461538461536</c:v>
              </c:pt>
              <c:pt idx="8">
                <c:v>18.029423076923074</c:v>
              </c:pt>
              <c:pt idx="9">
                <c:v>18.000384615384615</c:v>
              </c:pt>
              <c:pt idx="10">
                <c:v>17.971346153846152</c:v>
              </c:pt>
              <c:pt idx="11">
                <c:v>17.94230769230769</c:v>
              </c:pt>
              <c:pt idx="12">
                <c:v>17.913269230769231</c:v>
              </c:pt>
              <c:pt idx="13">
                <c:v>17.884230769230768</c:v>
              </c:pt>
              <c:pt idx="14">
                <c:v>17.83991452991453</c:v>
              </c:pt>
              <c:pt idx="15">
                <c:v>17.795598290598292</c:v>
              </c:pt>
              <c:pt idx="16">
                <c:v>17.751282051282054</c:v>
              </c:pt>
              <c:pt idx="17">
                <c:v>17.706965811965812</c:v>
              </c:pt>
              <c:pt idx="18">
                <c:v>17.662649572649574</c:v>
              </c:pt>
              <c:pt idx="19">
                <c:v>17.633333333333333</c:v>
              </c:pt>
              <c:pt idx="20">
                <c:v>17.555243055555557</c:v>
              </c:pt>
              <c:pt idx="21">
                <c:v>17.477152777777778</c:v>
              </c:pt>
              <c:pt idx="22">
                <c:v>17.399062499999999</c:v>
              </c:pt>
              <c:pt idx="23">
                <c:v>17.310865384615383</c:v>
              </c:pt>
              <c:pt idx="24">
                <c:v>17.222668269230766</c:v>
              </c:pt>
              <c:pt idx="25">
                <c:v>17.13447115384615</c:v>
              </c:pt>
              <c:pt idx="26">
                <c:v>17.046274038461533</c:v>
              </c:pt>
              <c:pt idx="27">
                <c:v>16.95807692307692</c:v>
              </c:pt>
              <c:pt idx="28">
                <c:v>16.869879807692303</c:v>
              </c:pt>
              <c:pt idx="29">
                <c:v>16.781682692307687</c:v>
              </c:pt>
              <c:pt idx="30">
                <c:v>16.693485576923074</c:v>
              </c:pt>
            </c:numLit>
          </c:val>
          <c:smooth val="0"/>
        </c:ser>
        <c:ser>
          <c:idx val="3"/>
          <c:order val="3"/>
          <c:tx>
            <c:v>E (Max)</c:v>
          </c:tx>
          <c:spPr>
            <a:ln w="12700">
              <a:solidFill>
                <a:srgbClr val="FFCC99"/>
              </a:solidFill>
              <a:prstDash val="lgDash"/>
            </a:ln>
          </c:spPr>
          <c:marker>
            <c:symbol val="none"/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22.669999999999998</c:v>
              </c:pt>
              <c:pt idx="1">
                <c:v>22.669999999999998</c:v>
              </c:pt>
              <c:pt idx="2">
                <c:v>22.65</c:v>
              </c:pt>
              <c:pt idx="3">
                <c:v>22.63</c:v>
              </c:pt>
              <c:pt idx="4">
                <c:v>22.619999999999997</c:v>
              </c:pt>
              <c:pt idx="5">
                <c:v>22.61</c:v>
              </c:pt>
              <c:pt idx="6">
                <c:v>22.599999999999998</c:v>
              </c:pt>
              <c:pt idx="7">
                <c:v>22.566923076923075</c:v>
              </c:pt>
              <c:pt idx="8">
                <c:v>22.533846153846152</c:v>
              </c:pt>
              <c:pt idx="9">
                <c:v>22.50076923076923</c:v>
              </c:pt>
              <c:pt idx="10">
                <c:v>22.467692307692307</c:v>
              </c:pt>
              <c:pt idx="11">
                <c:v>22.434615384615384</c:v>
              </c:pt>
              <c:pt idx="12">
                <c:v>22.401538461538461</c:v>
              </c:pt>
              <c:pt idx="13">
                <c:v>22.368461538461538</c:v>
              </c:pt>
              <c:pt idx="14">
                <c:v>22.335384615384616</c:v>
              </c:pt>
              <c:pt idx="15">
                <c:v>22.302307692307693</c:v>
              </c:pt>
              <c:pt idx="16">
                <c:v>22.26923076923077</c:v>
              </c:pt>
              <c:pt idx="17">
                <c:v>22.236153846153847</c:v>
              </c:pt>
              <c:pt idx="18">
                <c:v>22.203076923076924</c:v>
              </c:pt>
              <c:pt idx="19">
                <c:v>22.2</c:v>
              </c:pt>
              <c:pt idx="20">
                <c:v>22.099374999999998</c:v>
              </c:pt>
              <c:pt idx="21">
                <c:v>21.998749999999998</c:v>
              </c:pt>
              <c:pt idx="22">
                <c:v>21.898124999999997</c:v>
              </c:pt>
              <c:pt idx="23">
                <c:v>21.797499999999996</c:v>
              </c:pt>
              <c:pt idx="24">
                <c:v>21.696874999999995</c:v>
              </c:pt>
              <c:pt idx="25">
                <c:v>21.596249999999994</c:v>
              </c:pt>
              <c:pt idx="26">
                <c:v>21.495624999999993</c:v>
              </c:pt>
              <c:pt idx="27">
                <c:v>21.394999999999992</c:v>
              </c:pt>
              <c:pt idx="28">
                <c:v>21.294374999999992</c:v>
              </c:pt>
              <c:pt idx="29">
                <c:v>21.193749999999991</c:v>
              </c:pt>
              <c:pt idx="30">
                <c:v>21.09312499999999</c:v>
              </c:pt>
            </c:numLit>
          </c:val>
          <c:smooth val="0"/>
        </c:ser>
        <c:ser>
          <c:idx val="4"/>
          <c:order val="4"/>
          <c:tx>
            <c:v>E (Min)</c:v>
          </c:tx>
          <c:spPr>
            <a:ln w="12700">
              <a:solidFill>
                <a:srgbClr val="00CCFF"/>
              </a:solidFill>
              <a:prstDash val="lgDash"/>
            </a:ln>
          </c:spPr>
          <c:marker>
            <c:symbol val="none"/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13.81</c:v>
              </c:pt>
              <c:pt idx="1">
                <c:v>13.775</c:v>
              </c:pt>
              <c:pt idx="2">
                <c:v>13.74</c:v>
              </c:pt>
              <c:pt idx="3">
                <c:v>13.705</c:v>
              </c:pt>
              <c:pt idx="4">
                <c:v>13.67</c:v>
              </c:pt>
              <c:pt idx="5">
                <c:v>13.6</c:v>
              </c:pt>
              <c:pt idx="6">
                <c:v>13.574999999999999</c:v>
              </c:pt>
              <c:pt idx="7">
                <c:v>13.549999999999999</c:v>
              </c:pt>
              <c:pt idx="8">
                <c:v>13.524999999999999</c:v>
              </c:pt>
              <c:pt idx="9">
                <c:v>13.499999999999998</c:v>
              </c:pt>
              <c:pt idx="10">
                <c:v>13.474999999999998</c:v>
              </c:pt>
              <c:pt idx="11">
                <c:v>13.449999999999998</c:v>
              </c:pt>
              <c:pt idx="12">
                <c:v>13.424999999999997</c:v>
              </c:pt>
              <c:pt idx="13">
                <c:v>13.4</c:v>
              </c:pt>
              <c:pt idx="14">
                <c:v>13.344444444444445</c:v>
              </c:pt>
              <c:pt idx="15">
                <c:v>13.28888888888889</c:v>
              </c:pt>
              <c:pt idx="16">
                <c:v>13.233333333333334</c:v>
              </c:pt>
              <c:pt idx="17">
                <c:v>13.177777777777779</c:v>
              </c:pt>
              <c:pt idx="18">
                <c:v>13.122222222222224</c:v>
              </c:pt>
              <c:pt idx="19">
                <c:v>13.066666666666668</c:v>
              </c:pt>
              <c:pt idx="20">
                <c:v>13.011111111111113</c:v>
              </c:pt>
              <c:pt idx="21">
                <c:v>12.955555555555557</c:v>
              </c:pt>
              <c:pt idx="22">
                <c:v>12.899999999999999</c:v>
              </c:pt>
              <c:pt idx="23">
                <c:v>12.824230769230768</c:v>
              </c:pt>
              <c:pt idx="24">
                <c:v>12.748461538461537</c:v>
              </c:pt>
              <c:pt idx="25">
                <c:v>12.672692307692307</c:v>
              </c:pt>
              <c:pt idx="26">
                <c:v>12.596923076923076</c:v>
              </c:pt>
              <c:pt idx="27">
                <c:v>12.521153846153846</c:v>
              </c:pt>
              <c:pt idx="28">
                <c:v>12.445384615384615</c:v>
              </c:pt>
              <c:pt idx="29">
                <c:v>12.369615384615384</c:v>
              </c:pt>
              <c:pt idx="30">
                <c:v>12.293846153846154</c:v>
              </c:pt>
            </c:numLit>
          </c:val>
          <c:smooth val="0"/>
        </c:ser>
        <c:ser>
          <c:idx val="5"/>
          <c:order val="5"/>
          <c:tx>
            <c:v>Cold Threshold</c:v>
          </c:tx>
          <c:spPr>
            <a:ln w="25400">
              <a:solidFill>
                <a:srgbClr val="0000FF"/>
              </a:solidFill>
              <a:prstDash val="sysDash"/>
            </a:ln>
          </c:spPr>
          <c:marker>
            <c:symbol val="none"/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15.286666666666665</c:v>
              </c:pt>
              <c:pt idx="1">
                <c:v>15.2575</c:v>
              </c:pt>
              <c:pt idx="2">
                <c:v>15.225000000000001</c:v>
              </c:pt>
              <c:pt idx="3">
                <c:v>15.192500000000001</c:v>
              </c:pt>
              <c:pt idx="4">
                <c:v>15.161666666666667</c:v>
              </c:pt>
              <c:pt idx="5">
                <c:v>15.101666666666667</c:v>
              </c:pt>
              <c:pt idx="6">
                <c:v>15.079166666666666</c:v>
              </c:pt>
              <c:pt idx="7">
                <c:v>15.05282051282051</c:v>
              </c:pt>
              <c:pt idx="8">
                <c:v>15.026474358974356</c:v>
              </c:pt>
              <c:pt idx="9">
                <c:v>15.000128205128204</c:v>
              </c:pt>
              <c:pt idx="10">
                <c:v>14.973782051282049</c:v>
              </c:pt>
              <c:pt idx="11">
                <c:v>14.947435897435895</c:v>
              </c:pt>
              <c:pt idx="12">
                <c:v>14.921089743589743</c:v>
              </c:pt>
              <c:pt idx="13">
                <c:v>14.894743589743589</c:v>
              </c:pt>
              <c:pt idx="14">
                <c:v>14.842934472934473</c:v>
              </c:pt>
              <c:pt idx="15">
                <c:v>14.791125356125358</c:v>
              </c:pt>
              <c:pt idx="16">
                <c:v>14.739316239316242</c:v>
              </c:pt>
              <c:pt idx="17">
                <c:v>14.687507122507123</c:v>
              </c:pt>
              <c:pt idx="18">
                <c:v>14.635698005698007</c:v>
              </c:pt>
              <c:pt idx="19">
                <c:v>14.588888888888889</c:v>
              </c:pt>
              <c:pt idx="20">
                <c:v>14.525821759259262</c:v>
              </c:pt>
              <c:pt idx="21">
                <c:v>14.462754629629632</c:v>
              </c:pt>
              <c:pt idx="22">
                <c:v>14.399687500000001</c:v>
              </c:pt>
              <c:pt idx="23">
                <c:v>14.31977564102564</c:v>
              </c:pt>
              <c:pt idx="24">
                <c:v>14.23986378205128</c:v>
              </c:pt>
              <c:pt idx="25">
                <c:v>14.159951923076921</c:v>
              </c:pt>
              <c:pt idx="26">
                <c:v>14.08004006410256</c:v>
              </c:pt>
              <c:pt idx="27">
                <c:v>14.000128205128204</c:v>
              </c:pt>
              <c:pt idx="28">
                <c:v>13.920216346153845</c:v>
              </c:pt>
              <c:pt idx="29">
                <c:v>13.840304487179484</c:v>
              </c:pt>
              <c:pt idx="30">
                <c:v>13.760392628205128</c:v>
              </c:pt>
            </c:numLit>
          </c:val>
          <c:smooth val="0"/>
        </c:ser>
        <c:ser>
          <c:idx val="6"/>
          <c:order val="6"/>
          <c:tx>
            <c:v>Mild Threshold</c:v>
          </c:tx>
          <c:spPr>
            <a:ln w="25400">
              <a:solidFill>
                <a:srgbClr val="FF6600"/>
              </a:solidFill>
              <a:prstDash val="sysDash"/>
            </a:ln>
          </c:spPr>
          <c:marker>
            <c:symbol val="none"/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21.193333333333332</c:v>
              </c:pt>
              <c:pt idx="1">
                <c:v>21.1875</c:v>
              </c:pt>
              <c:pt idx="2">
                <c:v>21.164999999999999</c:v>
              </c:pt>
              <c:pt idx="3">
                <c:v>21.142499999999998</c:v>
              </c:pt>
              <c:pt idx="4">
                <c:v>21.12833333333333</c:v>
              </c:pt>
              <c:pt idx="5">
                <c:v>21.108333333333334</c:v>
              </c:pt>
              <c:pt idx="6">
                <c:v>21.095833333333331</c:v>
              </c:pt>
              <c:pt idx="7">
                <c:v>21.064102564102562</c:v>
              </c:pt>
              <c:pt idx="8">
                <c:v>21.032371794871793</c:v>
              </c:pt>
              <c:pt idx="9">
                <c:v>21.000641025641023</c:v>
              </c:pt>
              <c:pt idx="10">
                <c:v>20.968910256410254</c:v>
              </c:pt>
              <c:pt idx="11">
                <c:v>20.937179487179485</c:v>
              </c:pt>
              <c:pt idx="12">
                <c:v>20.905448717948719</c:v>
              </c:pt>
              <c:pt idx="13">
                <c:v>20.873717948717946</c:v>
              </c:pt>
              <c:pt idx="14">
                <c:v>20.836894586894587</c:v>
              </c:pt>
              <c:pt idx="15">
                <c:v>20.800071225071228</c:v>
              </c:pt>
              <c:pt idx="16">
                <c:v>20.763247863247866</c:v>
              </c:pt>
              <c:pt idx="17">
                <c:v>20.726424501424503</c:v>
              </c:pt>
              <c:pt idx="18">
                <c:v>20.689601139601141</c:v>
              </c:pt>
              <c:pt idx="19">
                <c:v>20.677777777777777</c:v>
              </c:pt>
              <c:pt idx="20">
                <c:v>20.584664351851853</c:v>
              </c:pt>
              <c:pt idx="21">
                <c:v>20.491550925925925</c:v>
              </c:pt>
              <c:pt idx="22">
                <c:v>20.3984375</c:v>
              </c:pt>
              <c:pt idx="23">
                <c:v>20.301955128205126</c:v>
              </c:pt>
              <c:pt idx="24">
                <c:v>20.205472756410252</c:v>
              </c:pt>
              <c:pt idx="25">
                <c:v>20.108990384615378</c:v>
              </c:pt>
              <c:pt idx="26">
                <c:v>20.012508012820504</c:v>
              </c:pt>
              <c:pt idx="27">
                <c:v>19.916025641025634</c:v>
              </c:pt>
              <c:pt idx="28">
                <c:v>19.819543269230763</c:v>
              </c:pt>
              <c:pt idx="29">
                <c:v>19.723060897435889</c:v>
              </c:pt>
              <c:pt idx="30">
                <c:v>19.626578525641019</c:v>
              </c:pt>
            </c:numLit>
          </c:val>
          <c:smooth val="0"/>
        </c:ser>
        <c:ser>
          <c:idx val="7"/>
          <c:order val="7"/>
          <c:tx>
            <c:v>Freezing Point</c:v>
          </c:tx>
          <c:spPr>
            <a:ln w="38100">
              <a:solidFill>
                <a:srgbClr val="0000FF"/>
              </a:solidFill>
              <a:prstDash val="sysDash"/>
            </a:ln>
          </c:spPr>
          <c:marker>
            <c:symbol val="none"/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</c:numLit>
          </c:val>
          <c:smooth val="0"/>
        </c:ser>
        <c:ser>
          <c:idx val="8"/>
          <c:order val="8"/>
          <c:tx>
            <c:v>Cum. Mean</c:v>
          </c:tx>
          <c:spPr>
            <a:ln w="12700">
              <a:solidFill>
                <a:srgbClr val="993366"/>
              </a:solidFill>
              <a:prstDash val="solid"/>
            </a:ln>
          </c:spPr>
          <c:marker>
            <c:symbol val="circle"/>
            <c:size val="2"/>
            <c:spPr>
              <a:solidFill>
                <a:srgbClr val="800080"/>
              </a:solidFill>
              <a:ln>
                <a:solidFill>
                  <a:srgbClr val="800080"/>
                </a:solidFill>
                <a:prstDash val="solid"/>
              </a:ln>
            </c:spPr>
          </c:marker>
          <c:val>
            <c:numLit>
              <c:formatCode>General</c:formatCode>
              <c:ptCount val="31"/>
              <c:pt idx="0">
                <c:v>21.4</c:v>
              </c:pt>
              <c:pt idx="1">
                <c:v>22</c:v>
              </c:pt>
              <c:pt idx="2">
                <c:v>22.099999999999998</c:v>
              </c:pt>
              <c:pt idx="3">
                <c:v>21.125</c:v>
              </c:pt>
              <c:pt idx="4">
                <c:v>20.759999999999998</c:v>
              </c:pt>
              <c:pt idx="5">
                <c:v>20.2</c:v>
              </c:pt>
              <c:pt idx="6">
                <c:v>19.542857142857141</c:v>
              </c:pt>
              <c:pt idx="7">
                <c:v>19.149999999999999</c:v>
              </c:pt>
              <c:pt idx="8">
                <c:v>18.81111111111111</c:v>
              </c:pt>
              <c:pt idx="9">
                <c:v>18.61</c:v>
              </c:pt>
              <c:pt idx="10">
                <c:v>18.518181818181816</c:v>
              </c:pt>
              <c:pt idx="11">
                <c:v>18.55</c:v>
              </c:pt>
              <c:pt idx="12">
                <c:v>18.530769230769231</c:v>
              </c:pt>
              <c:pt idx="13">
                <c:v>18.514285714285712</c:v>
              </c:pt>
              <c:pt idx="14">
                <c:v>18.439999999999998</c:v>
              </c:pt>
              <c:pt idx="15">
                <c:v>18.368749999999999</c:v>
              </c:pt>
              <c:pt idx="16">
                <c:v>18.223529411764702</c:v>
              </c:pt>
              <c:pt idx="17">
                <c:v>17.972222222222218</c:v>
              </c:pt>
              <c:pt idx="18">
                <c:v>17.847368421052629</c:v>
              </c:pt>
              <c:pt idx="19">
                <c:v>17.805</c:v>
              </c:pt>
              <c:pt idx="20">
                <c:v>17.833333333333332</c:v>
              </c:pt>
              <c:pt idx="21">
                <c:v>17.813636363636359</c:v>
              </c:pt>
              <c:pt idx="22">
                <c:v>17.691304347826083</c:v>
              </c:pt>
              <c:pt idx="23">
                <c:v>17.637499999999996</c:v>
              </c:pt>
              <c:pt idx="24">
                <c:v>17.579999999999995</c:v>
              </c:pt>
              <c:pt idx="25">
                <c:v>17.449999999999996</c:v>
              </c:pt>
              <c:pt idx="26">
                <c:v>17.329629629629625</c:v>
              </c:pt>
              <c:pt idx="27">
                <c:v>17.253571428571423</c:v>
              </c:pt>
              <c:pt idx="28">
                <c:v>17.144827586206894</c:v>
              </c:pt>
              <c:pt idx="29">
                <c:v>17.049999999999997</c:v>
              </c:pt>
              <c:pt idx="30">
                <c:v>16.983870967741932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0249856"/>
        <c:axId val="110256128"/>
      </c:lineChart>
      <c:catAx>
        <c:axId val="110249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0256128"/>
        <c:crossesAt val="-5"/>
        <c:auto val="1"/>
        <c:lblAlgn val="ctr"/>
        <c:lblOffset val="100"/>
        <c:tickLblSkip val="1"/>
        <c:tickMarkSkip val="1"/>
        <c:noMultiLvlLbl val="0"/>
      </c:catAx>
      <c:valAx>
        <c:axId val="110256128"/>
        <c:scaling>
          <c:orientation val="minMax"/>
          <c:max val="23"/>
          <c:min val="12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0249856"/>
        <c:crosses val="autoZero"/>
        <c:crossBetween val="between"/>
        <c:majorUnit val="2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Pressure / Temperature</a:t>
            </a:r>
          </a:p>
        </c:rich>
      </c:tx>
      <c:layout>
        <c:manualLayout>
          <c:xMode val="edge"/>
          <c:yMode val="edge"/>
          <c:x val="0.41566820276497696"/>
          <c:y val="5.251141552511415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0829493087557605E-2"/>
          <c:y val="0.1278541663415167"/>
          <c:w val="0.9244239631336405"/>
          <c:h val="0.76027566770937616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993366"/>
              </a:solidFill>
              <a:ln>
                <a:solidFill>
                  <a:srgbClr val="993366"/>
                </a:solidFill>
                <a:prstDash val="solid"/>
              </a:ln>
            </c:spPr>
          </c:marker>
          <c:trendline>
            <c:spPr>
              <a:ln w="12700">
                <a:solidFill>
                  <a:srgbClr val="000080"/>
                </a:solidFill>
                <a:prstDash val="solid"/>
              </a:ln>
            </c:spPr>
            <c:trendlineType val="linear"/>
            <c:forward val="0.5"/>
            <c:backward val="3"/>
            <c:dispRSqr val="1"/>
            <c:dispEq val="1"/>
            <c:trendlineLbl>
              <c:layout>
                <c:manualLayout>
                  <c:xMode val="edge"/>
                  <c:yMode val="edge"/>
                  <c:x val="4.608294930875576E-3"/>
                  <c:y val="1.1415550566206849E-2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175" b="0" i="0" u="none" strike="noStrike" baseline="0">
                      <a:solidFill>
                        <a:srgbClr val="00000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en-US"/>
                </a:p>
              </c:txPr>
            </c:trendlineLbl>
          </c:trendline>
          <c:xVal>
            <c:numLit>
              <c:formatCode>General</c:formatCode>
              <c:ptCount val="31"/>
              <c:pt idx="0">
                <c:v>21.4</c:v>
              </c:pt>
              <c:pt idx="1">
                <c:v>22.6</c:v>
              </c:pt>
              <c:pt idx="2">
                <c:v>22.3</c:v>
              </c:pt>
              <c:pt idx="3">
                <c:v>18.2</c:v>
              </c:pt>
              <c:pt idx="4">
                <c:v>19.3</c:v>
              </c:pt>
              <c:pt idx="5">
                <c:v>17.399999999999999</c:v>
              </c:pt>
              <c:pt idx="6">
                <c:v>15.6</c:v>
              </c:pt>
              <c:pt idx="7">
                <c:v>16.399999999999999</c:v>
              </c:pt>
              <c:pt idx="8">
                <c:v>16.100000000000001</c:v>
              </c:pt>
              <c:pt idx="9">
                <c:v>16.8</c:v>
              </c:pt>
              <c:pt idx="10">
                <c:v>17.600000000000001</c:v>
              </c:pt>
              <c:pt idx="11">
                <c:v>18.899999999999999</c:v>
              </c:pt>
              <c:pt idx="12">
                <c:v>18.3</c:v>
              </c:pt>
              <c:pt idx="13">
                <c:v>18.3</c:v>
              </c:pt>
              <c:pt idx="14">
                <c:v>17.399999999999999</c:v>
              </c:pt>
              <c:pt idx="15">
                <c:v>17.3</c:v>
              </c:pt>
              <c:pt idx="16">
                <c:v>15.9</c:v>
              </c:pt>
              <c:pt idx="17">
                <c:v>13.7</c:v>
              </c:pt>
              <c:pt idx="18">
                <c:v>15.6</c:v>
              </c:pt>
              <c:pt idx="19">
                <c:v>17</c:v>
              </c:pt>
              <c:pt idx="20">
                <c:v>18.399999999999999</c:v>
              </c:pt>
              <c:pt idx="21">
                <c:v>17.399999999999999</c:v>
              </c:pt>
              <c:pt idx="22">
                <c:v>15</c:v>
              </c:pt>
              <c:pt idx="23">
                <c:v>16.399999999999999</c:v>
              </c:pt>
              <c:pt idx="24">
                <c:v>16.2</c:v>
              </c:pt>
              <c:pt idx="25">
                <c:v>14.2</c:v>
              </c:pt>
              <c:pt idx="26">
                <c:v>14.2</c:v>
              </c:pt>
              <c:pt idx="27">
                <c:v>15.2</c:v>
              </c:pt>
              <c:pt idx="28">
                <c:v>14.1</c:v>
              </c:pt>
              <c:pt idx="29">
                <c:v>14.3</c:v>
              </c:pt>
              <c:pt idx="30">
                <c:v>15</c:v>
              </c:pt>
            </c:numLit>
          </c:xVal>
          <c:yVal>
            <c:numLit>
              <c:formatCode>General</c:formatCode>
              <c:ptCount val="31"/>
              <c:pt idx="0">
                <c:v>1013</c:v>
              </c:pt>
              <c:pt idx="1">
                <c:v>1014</c:v>
              </c:pt>
              <c:pt idx="2">
                <c:v>1014.5</c:v>
              </c:pt>
              <c:pt idx="3">
                <c:v>1010.5</c:v>
              </c:pt>
              <c:pt idx="4">
                <c:v>1011</c:v>
              </c:pt>
              <c:pt idx="5">
                <c:v>1004.5</c:v>
              </c:pt>
              <c:pt idx="6">
                <c:v>1002</c:v>
              </c:pt>
              <c:pt idx="7">
                <c:v>1007.5</c:v>
              </c:pt>
              <c:pt idx="8">
                <c:v>1020.5</c:v>
              </c:pt>
              <c:pt idx="9">
                <c:v>1021.5</c:v>
              </c:pt>
              <c:pt idx="10">
                <c:v>1012</c:v>
              </c:pt>
              <c:pt idx="11">
                <c:v>1010</c:v>
              </c:pt>
              <c:pt idx="12">
                <c:v>1007.5</c:v>
              </c:pt>
              <c:pt idx="13">
                <c:v>1008</c:v>
              </c:pt>
              <c:pt idx="14">
                <c:v>1014.5</c:v>
              </c:pt>
              <c:pt idx="15">
                <c:v>1016.5</c:v>
              </c:pt>
              <c:pt idx="16">
                <c:v>1017</c:v>
              </c:pt>
              <c:pt idx="17">
                <c:v>1015</c:v>
              </c:pt>
              <c:pt idx="18">
                <c:v>1017.5</c:v>
              </c:pt>
              <c:pt idx="19">
                <c:v>1017.5</c:v>
              </c:pt>
              <c:pt idx="20">
                <c:v>1014.5</c:v>
              </c:pt>
              <c:pt idx="21">
                <c:v>1018.5</c:v>
              </c:pt>
              <c:pt idx="22">
                <c:v>1014.5</c:v>
              </c:pt>
              <c:pt idx="23">
                <c:v>1013</c:v>
              </c:pt>
              <c:pt idx="24">
                <c:v>1010.5</c:v>
              </c:pt>
              <c:pt idx="25">
                <c:v>1005</c:v>
              </c:pt>
              <c:pt idx="26">
                <c:v>1011.5</c:v>
              </c:pt>
              <c:pt idx="27">
                <c:v>1015.5</c:v>
              </c:pt>
              <c:pt idx="28">
                <c:v>1017</c:v>
              </c:pt>
              <c:pt idx="29">
                <c:v>1017</c:v>
              </c:pt>
              <c:pt idx="30">
                <c:v>1015.5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281088"/>
        <c:axId val="110282624"/>
      </c:scatterChart>
      <c:valAx>
        <c:axId val="110281088"/>
        <c:scaling>
          <c:orientation val="minMax"/>
          <c:max val="21"/>
          <c:min val="14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0282624"/>
        <c:crosses val="autoZero"/>
        <c:crossBetween val="midCat"/>
        <c:majorUnit val="1"/>
      </c:valAx>
      <c:valAx>
        <c:axId val="110282624"/>
        <c:scaling>
          <c:orientation val="minMax"/>
          <c:max val="1025"/>
          <c:min val="1005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0281088"/>
        <c:crossesAt val="-3"/>
        <c:crossBetween val="midCat"/>
        <c:majorUnit val="5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Relative Humidity Range / Temperature Range </a:t>
            </a:r>
          </a:p>
        </c:rich>
      </c:tx>
      <c:layout>
        <c:manualLayout>
          <c:xMode val="edge"/>
          <c:yMode val="edge"/>
          <c:x val="0.34658040665434381"/>
          <c:y val="3.009259259259259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4.4362292051756007E-2"/>
          <c:y val="0.12037064247559154"/>
          <c:w val="0.94085027726432535"/>
          <c:h val="0.766205435758092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993366"/>
              </a:solidFill>
              <a:ln>
                <a:solidFill>
                  <a:srgbClr val="993366"/>
                </a:solidFill>
                <a:prstDash val="solid"/>
              </a:ln>
            </c:spPr>
          </c:marker>
          <c:trendline>
            <c:spPr>
              <a:ln w="12700">
                <a:solidFill>
                  <a:srgbClr val="0000FF"/>
                </a:solidFill>
                <a:prstDash val="solid"/>
              </a:ln>
            </c:spPr>
            <c:trendlineType val="linear"/>
            <c:forward val="0.5"/>
            <c:backward val="2.5"/>
            <c:dispRSqr val="1"/>
            <c:dispEq val="1"/>
            <c:trendlineLbl>
              <c:layout>
                <c:manualLayout>
                  <c:xMode val="edge"/>
                  <c:yMode val="edge"/>
                  <c:x val="5.0831792975970423E-2"/>
                  <c:y val="0.12731510261841411"/>
                </c:manualLayout>
              </c:layout>
              <c:numFmt formatCode="0.00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200" b="0" i="0" u="none" strike="noStrike" baseline="0">
                      <a:solidFill>
                        <a:srgbClr val="00000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en-US"/>
                </a:p>
              </c:txPr>
            </c:trendlineLbl>
          </c:trendline>
          <c:xVal>
            <c:numLit>
              <c:formatCode>General</c:formatCode>
              <c:ptCount val="31"/>
              <c:pt idx="0">
                <c:v>14.4</c:v>
              </c:pt>
              <c:pt idx="1">
                <c:v>9.8000000000000007</c:v>
              </c:pt>
              <c:pt idx="2">
                <c:v>13.9</c:v>
              </c:pt>
              <c:pt idx="3">
                <c:v>3.6</c:v>
              </c:pt>
              <c:pt idx="4">
                <c:v>10</c:v>
              </c:pt>
              <c:pt idx="5">
                <c:v>5.0999999999999996</c:v>
              </c:pt>
              <c:pt idx="6">
                <c:v>7.4</c:v>
              </c:pt>
              <c:pt idx="7">
                <c:v>9</c:v>
              </c:pt>
              <c:pt idx="8">
                <c:v>9.5</c:v>
              </c:pt>
              <c:pt idx="9">
                <c:v>13.8</c:v>
              </c:pt>
              <c:pt idx="10">
                <c:v>6.6</c:v>
              </c:pt>
              <c:pt idx="11">
                <c:v>6.3</c:v>
              </c:pt>
              <c:pt idx="12">
                <c:v>5.0999999999999996</c:v>
              </c:pt>
              <c:pt idx="13">
                <c:v>7.3</c:v>
              </c:pt>
              <c:pt idx="14">
                <c:v>9.5</c:v>
              </c:pt>
              <c:pt idx="15">
                <c:v>5.5</c:v>
              </c:pt>
              <c:pt idx="16">
                <c:v>7.9</c:v>
              </c:pt>
              <c:pt idx="17">
                <c:v>5.5</c:v>
              </c:pt>
              <c:pt idx="18">
                <c:v>12.2</c:v>
              </c:pt>
              <c:pt idx="19">
                <c:v>8.5</c:v>
              </c:pt>
              <c:pt idx="20">
                <c:v>10.3</c:v>
              </c:pt>
              <c:pt idx="21">
                <c:v>10.9</c:v>
              </c:pt>
              <c:pt idx="22">
                <c:v>2.7</c:v>
              </c:pt>
              <c:pt idx="23">
                <c:v>6.5</c:v>
              </c:pt>
              <c:pt idx="24">
                <c:v>6.1</c:v>
              </c:pt>
              <c:pt idx="25">
                <c:v>6</c:v>
              </c:pt>
              <c:pt idx="26">
                <c:v>6.7</c:v>
              </c:pt>
              <c:pt idx="27">
                <c:v>7</c:v>
              </c:pt>
              <c:pt idx="28">
                <c:v>6</c:v>
              </c:pt>
              <c:pt idx="29">
                <c:v>3.7</c:v>
              </c:pt>
              <c:pt idx="30">
                <c:v>5.5</c:v>
              </c:pt>
            </c:numLit>
          </c:xVal>
          <c:yVal>
            <c:numLit>
              <c:formatCode>General</c:formatCode>
              <c:ptCount val="31"/>
              <c:pt idx="0">
                <c:v>36</c:v>
              </c:pt>
              <c:pt idx="1">
                <c:v>39</c:v>
              </c:pt>
              <c:pt idx="2">
                <c:v>43</c:v>
              </c:pt>
              <c:pt idx="3">
                <c:v>35</c:v>
              </c:pt>
              <c:pt idx="4">
                <c:v>48</c:v>
              </c:pt>
              <c:pt idx="5">
                <c:v>27</c:v>
              </c:pt>
              <c:pt idx="6">
                <c:v>36</c:v>
              </c:pt>
              <c:pt idx="7">
                <c:v>50</c:v>
              </c:pt>
              <c:pt idx="8">
                <c:v>34</c:v>
              </c:pt>
              <c:pt idx="9">
                <c:v>35</c:v>
              </c:pt>
              <c:pt idx="10">
                <c:v>22</c:v>
              </c:pt>
              <c:pt idx="11">
                <c:v>32</c:v>
              </c:pt>
              <c:pt idx="12">
                <c:v>36</c:v>
              </c:pt>
              <c:pt idx="13">
                <c:v>40</c:v>
              </c:pt>
              <c:pt idx="14">
                <c:v>35</c:v>
              </c:pt>
              <c:pt idx="15">
                <c:v>15</c:v>
              </c:pt>
              <c:pt idx="16">
                <c:v>42</c:v>
              </c:pt>
              <c:pt idx="17">
                <c:v>31</c:v>
              </c:pt>
              <c:pt idx="18">
                <c:v>50</c:v>
              </c:pt>
              <c:pt idx="19">
                <c:v>29</c:v>
              </c:pt>
              <c:pt idx="20">
                <c:v>46</c:v>
              </c:pt>
              <c:pt idx="21">
                <c:v>41</c:v>
              </c:pt>
              <c:pt idx="22">
                <c:v>22</c:v>
              </c:pt>
              <c:pt idx="23">
                <c:v>44</c:v>
              </c:pt>
              <c:pt idx="24">
                <c:v>41</c:v>
              </c:pt>
              <c:pt idx="25">
                <c:v>15</c:v>
              </c:pt>
              <c:pt idx="26">
                <c:v>39</c:v>
              </c:pt>
              <c:pt idx="27">
                <c:v>37</c:v>
              </c:pt>
              <c:pt idx="28">
                <c:v>39</c:v>
              </c:pt>
              <c:pt idx="29">
                <c:v>19</c:v>
              </c:pt>
              <c:pt idx="30">
                <c:v>30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438656"/>
        <c:axId val="110440448"/>
      </c:scatterChart>
      <c:valAx>
        <c:axId val="110438656"/>
        <c:scaling>
          <c:orientation val="minMax"/>
          <c:max val="14"/>
          <c:min val="0"/>
        </c:scaling>
        <c:delete val="0"/>
        <c:axPos val="b"/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0440448"/>
        <c:crossesAt val="0"/>
        <c:crossBetween val="midCat"/>
        <c:majorUnit val="1"/>
      </c:valAx>
      <c:valAx>
        <c:axId val="110440448"/>
        <c:scaling>
          <c:orientation val="minMax"/>
          <c:max val="60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0438656"/>
        <c:crosses val="autoZero"/>
        <c:crossBetween val="midCat"/>
        <c:majorUnit val="10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 horizontalDpi="-3" verticalDpi="0"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Time of Temperature Extremes</a:t>
            </a:r>
          </a:p>
        </c:rich>
      </c:tx>
      <c:layout>
        <c:manualLayout>
          <c:xMode val="edge"/>
          <c:yMode val="edge"/>
          <c:x val="0.41718183558328387"/>
          <c:y val="2.115158636897767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893697095932809E-2"/>
          <c:y val="8.3431257344300819E-2"/>
          <c:w val="0.95859114218917252"/>
          <c:h val="0.86603995299647474"/>
        </c:manualLayout>
      </c:layout>
      <c:lineChart>
        <c:grouping val="standard"/>
        <c:varyColors val="0"/>
        <c:ser>
          <c:idx val="1"/>
          <c:order val="0"/>
          <c:tx>
            <c:v>T Min</c:v>
          </c:tx>
          <c:spPr>
            <a:ln w="28575">
              <a:noFill/>
            </a:ln>
          </c:spPr>
          <c:marker>
            <c:symbol val="circle"/>
            <c:size val="10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0.13680555555555554</c:v>
              </c:pt>
              <c:pt idx="1">
                <c:v>0.31944444444444448</c:v>
              </c:pt>
              <c:pt idx="2">
                <c:v>0.19375000000000001</c:v>
              </c:pt>
              <c:pt idx="3">
                <c:v>0.31944444444444448</c:v>
              </c:pt>
              <c:pt idx="4">
                <c:v>0.27152777777777776</c:v>
              </c:pt>
              <c:pt idx="5">
                <c:v>0.26041666666666669</c:v>
              </c:pt>
              <c:pt idx="6">
                <c:v>0.24027777777777778</c:v>
              </c:pt>
              <c:pt idx="7">
                <c:v>0.24166666666666667</c:v>
              </c:pt>
              <c:pt idx="8">
                <c:v>0.27569444444444446</c:v>
              </c:pt>
              <c:pt idx="9">
                <c:v>0.23680555555555557</c:v>
              </c:pt>
              <c:pt idx="10">
                <c:v>0.1986111111111111</c:v>
              </c:pt>
              <c:pt idx="11">
                <c:v>0.24236111111111111</c:v>
              </c:pt>
              <c:pt idx="12">
                <c:v>0.22569444444444445</c:v>
              </c:pt>
              <c:pt idx="13">
                <c:v>0.25277777777777777</c:v>
              </c:pt>
              <c:pt idx="14">
                <c:v>0.2673611111111111</c:v>
              </c:pt>
              <c:pt idx="15">
                <c:v>0.26111111111111113</c:v>
              </c:pt>
              <c:pt idx="16">
                <c:v>0.19513888888888889</c:v>
              </c:pt>
              <c:pt idx="17">
                <c:v>0.17708333333333334</c:v>
              </c:pt>
              <c:pt idx="18">
                <c:v>0.21527777777777779</c:v>
              </c:pt>
              <c:pt idx="19">
                <c:v>0.25</c:v>
              </c:pt>
              <c:pt idx="20">
                <c:v>2.7777777777777776E-2</c:v>
              </c:pt>
              <c:pt idx="21">
                <c:v>0.23263888888888887</c:v>
              </c:pt>
              <c:pt idx="22">
                <c:v>0.4381944444444445</c:v>
              </c:pt>
              <c:pt idx="23">
                <c:v>0.22916666666666666</c:v>
              </c:pt>
              <c:pt idx="24">
                <c:v>0.125</c:v>
              </c:pt>
              <c:pt idx="25">
                <c:v>0.26041666666666669</c:v>
              </c:pt>
              <c:pt idx="26">
                <c:v>#N/A</c:v>
              </c:pt>
              <c:pt idx="27">
                <c:v>0.15277777777777776</c:v>
              </c:pt>
              <c:pt idx="28">
                <c:v>0.28819444444444448</c:v>
              </c:pt>
              <c:pt idx="29">
                <c:v>0.24861111111111112</c:v>
              </c:pt>
              <c:pt idx="30">
                <c:v>0.24652777777777779</c:v>
              </c:pt>
            </c:numLit>
          </c:val>
          <c:smooth val="0"/>
        </c:ser>
        <c:ser>
          <c:idx val="2"/>
          <c:order val="1"/>
          <c:tx>
            <c:v>T Max</c:v>
          </c:tx>
          <c:spPr>
            <a:ln w="28575">
              <a:noFill/>
            </a:ln>
          </c:spPr>
          <c:marker>
            <c:symbol val="circle"/>
            <c:size val="10"/>
            <c:spPr>
              <a:solidFill>
                <a:srgbClr val="FF6600"/>
              </a:solidFill>
              <a:ln>
                <a:solidFill>
                  <a:srgbClr val="FF6600"/>
                </a:solidFill>
                <a:prstDash val="solid"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0.65833333333333333</c:v>
              </c:pt>
              <c:pt idx="1">
                <c:v>0.72222222222222221</c:v>
              </c:pt>
              <c:pt idx="2">
                <c:v>0.63194444444444442</c:v>
              </c:pt>
              <c:pt idx="3">
                <c:v>0.8125</c:v>
              </c:pt>
              <c:pt idx="4">
                <c:v>0.75208333333333333</c:v>
              </c:pt>
              <c:pt idx="5">
                <c:v>0.62847222222222221</c:v>
              </c:pt>
              <c:pt idx="6">
                <c:v>0.56388888888888888</c:v>
              </c:pt>
              <c:pt idx="7">
                <c:v>0.66736111111111107</c:v>
              </c:pt>
              <c:pt idx="8">
                <c:v>0.75</c:v>
              </c:pt>
              <c:pt idx="9">
                <c:v>0.66041666666666665</c:v>
              </c:pt>
              <c:pt idx="10">
                <c:v>0.74513888888888891</c:v>
              </c:pt>
              <c:pt idx="11">
                <c:v>0.71805555555555556</c:v>
              </c:pt>
              <c:pt idx="12">
                <c:v>0.55763888888888891</c:v>
              </c:pt>
              <c:pt idx="13">
                <c:v>0.61250000000000004</c:v>
              </c:pt>
              <c:pt idx="14">
                <c:v>0.59513888888888888</c:v>
              </c:pt>
              <c:pt idx="15">
                <c:v>0.6743055555555556</c:v>
              </c:pt>
              <c:pt idx="16">
                <c:v>0.63541666666666663</c:v>
              </c:pt>
              <c:pt idx="17">
                <c:v>0.55208333333333337</c:v>
              </c:pt>
              <c:pt idx="18">
                <c:v>0.72083333333333333</c:v>
              </c:pt>
              <c:pt idx="19">
                <c:v>0.5131944444444444</c:v>
              </c:pt>
              <c:pt idx="20">
                <c:v>0.73263888888888884</c:v>
              </c:pt>
              <c:pt idx="21">
                <c:v>0.58333333333333337</c:v>
              </c:pt>
              <c:pt idx="22">
                <c:v>0.61805555555555558</c:v>
              </c:pt>
              <c:pt idx="23">
                <c:v>0.71527777777777779</c:v>
              </c:pt>
              <c:pt idx="24">
                <c:v>0.72916666666666663</c:v>
              </c:pt>
              <c:pt idx="25">
                <c:v>0.69444444444444453</c:v>
              </c:pt>
              <c:pt idx="26">
                <c:v>0.50347222222222221</c:v>
              </c:pt>
              <c:pt idx="27">
                <c:v>0.62847222222222221</c:v>
              </c:pt>
              <c:pt idx="28">
                <c:v>0.54583333333333328</c:v>
              </c:pt>
              <c:pt idx="29">
                <c:v>0.67013888888888884</c:v>
              </c:pt>
              <c:pt idx="30">
                <c:v>0.69652777777777775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0484864"/>
        <c:axId val="110487040"/>
      </c:lineChart>
      <c:catAx>
        <c:axId val="110484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04870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0487040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hh:mm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0484864"/>
        <c:crosses val="autoZero"/>
        <c:crossBetween val="between"/>
        <c:majorUnit val="8.3333333300000006E-2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0.63288029354797892"/>
          <c:y val="0.17038777908343125"/>
          <c:w val="0.79542671195766779"/>
          <c:h val="0.2220916568742655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Time of Humidity Extremes</a:t>
            </a:r>
          </a:p>
        </c:rich>
      </c:tx>
      <c:layout>
        <c:manualLayout>
          <c:xMode val="edge"/>
          <c:yMode val="edge"/>
          <c:x val="0.42433600988264358"/>
          <c:y val="1.9953051643192488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891290920321186E-2"/>
          <c:y val="8.4507139115613902E-2"/>
          <c:w val="0.95861642989499696"/>
          <c:h val="0.86502446566954783"/>
        </c:manualLayout>
      </c:layout>
      <c:lineChart>
        <c:grouping val="standard"/>
        <c:varyColors val="0"/>
        <c:ser>
          <c:idx val="0"/>
          <c:order val="0"/>
          <c:tx>
            <c:v>H Min</c:v>
          </c:tx>
          <c:spPr>
            <a:ln w="28575">
              <a:noFill/>
            </a:ln>
          </c:spPr>
          <c:marker>
            <c:symbol val="circle"/>
            <c:size val="10"/>
            <c:spPr>
              <a:solidFill>
                <a:srgbClr val="FF9900"/>
              </a:solidFill>
              <a:ln>
                <a:solidFill>
                  <a:srgbClr val="FF9900"/>
                </a:solidFill>
                <a:prstDash val="solid"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0.78055555555555556</c:v>
              </c:pt>
              <c:pt idx="1">
                <c:v>0.7729166666666667</c:v>
              </c:pt>
              <c:pt idx="2">
                <c:v>0.6381944444444444</c:v>
              </c:pt>
              <c:pt idx="3">
                <c:v>#N/A</c:v>
              </c:pt>
              <c:pt idx="4">
                <c:v>0.7583333333333333</c:v>
              </c:pt>
              <c:pt idx="5">
                <c:v>0.6381944444444444</c:v>
              </c:pt>
              <c:pt idx="6">
                <c:v>0.57013888888888886</c:v>
              </c:pt>
              <c:pt idx="7">
                <c:v>0.6875</c:v>
              </c:pt>
              <c:pt idx="8">
                <c:v>0.78472222222222221</c:v>
              </c:pt>
              <c:pt idx="9">
                <c:v>0.60486111111111118</c:v>
              </c:pt>
              <c:pt idx="10">
                <c:v>0.80069444444444438</c:v>
              </c:pt>
              <c:pt idx="11">
                <c:v>0.7284722222222223</c:v>
              </c:pt>
              <c:pt idx="12">
                <c:v>0.63402777777777775</c:v>
              </c:pt>
              <c:pt idx="13">
                <c:v>0.77083333333333337</c:v>
              </c:pt>
              <c:pt idx="14">
                <c:v>0.62916666666666665</c:v>
              </c:pt>
              <c:pt idx="15">
                <c:v>0.65277777777777779</c:v>
              </c:pt>
              <c:pt idx="16">
                <c:v>0.6875</c:v>
              </c:pt>
              <c:pt idx="17">
                <c:v>0.56527777777777777</c:v>
              </c:pt>
              <c:pt idx="18">
                <c:v>0.72083333333333333</c:v>
              </c:pt>
              <c:pt idx="19">
                <c:v>0.51111111111111118</c:v>
              </c:pt>
              <c:pt idx="20">
                <c:v>0.81805555555555554</c:v>
              </c:pt>
              <c:pt idx="21">
                <c:v>0.78402777777777777</c:v>
              </c:pt>
              <c:pt idx="22">
                <c:v>#N/A</c:v>
              </c:pt>
              <c:pt idx="23">
                <c:v>0.69791666666666663</c:v>
              </c:pt>
              <c:pt idx="24">
                <c:v>0.72916666666666663</c:v>
              </c:pt>
              <c:pt idx="25">
                <c:v>#N/A</c:v>
              </c:pt>
              <c:pt idx="26">
                <c:v>0.64375000000000004</c:v>
              </c:pt>
              <c:pt idx="27">
                <c:v>0.62152777777777779</c:v>
              </c:pt>
              <c:pt idx="28">
                <c:v>0.56180555555555556</c:v>
              </c:pt>
              <c:pt idx="29">
                <c:v>0.67152777777777783</c:v>
              </c:pt>
              <c:pt idx="30">
                <c:v>0.76111111111111107</c:v>
              </c:pt>
            </c:numLit>
          </c:val>
          <c:smooth val="0"/>
        </c:ser>
        <c:ser>
          <c:idx val="3"/>
          <c:order val="1"/>
          <c:tx>
            <c:v>H Max</c:v>
          </c:tx>
          <c:spPr>
            <a:ln w="28575">
              <a:noFill/>
            </a:ln>
          </c:spPr>
          <c:marker>
            <c:symbol val="circle"/>
            <c:size val="10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0.26666666666666666</c:v>
              </c:pt>
              <c:pt idx="1">
                <c:v>0.37152777777777773</c:v>
              </c:pt>
              <c:pt idx="2">
                <c:v>0.32430555555555557</c:v>
              </c:pt>
              <c:pt idx="3">
                <c:v>#N/A</c:v>
              </c:pt>
              <c:pt idx="4">
                <c:v>0.30555555555555552</c:v>
              </c:pt>
              <c:pt idx="5">
                <c:v>0.27430555555555552</c:v>
              </c:pt>
              <c:pt idx="6">
                <c:v>0.22569444444444445</c:v>
              </c:pt>
              <c:pt idx="7">
                <c:v>0.2590277777777778</c:v>
              </c:pt>
              <c:pt idx="8">
                <c:v>0.29166666666666669</c:v>
              </c:pt>
              <c:pt idx="9">
                <c:v>0.26944444444444443</c:v>
              </c:pt>
              <c:pt idx="10">
                <c:v>#N/A</c:v>
              </c:pt>
              <c:pt idx="11">
                <c:v>0.24930555555555556</c:v>
              </c:pt>
              <c:pt idx="12">
                <c:v>0.37916666666666665</c:v>
              </c:pt>
              <c:pt idx="13">
                <c:v>0.16250000000000001</c:v>
              </c:pt>
              <c:pt idx="14">
                <c:v>#N/A</c:v>
              </c:pt>
              <c:pt idx="15">
                <c:v>0.2638888888888889</c:v>
              </c:pt>
              <c:pt idx="16">
                <c:v>0.20624999999999999</c:v>
              </c:pt>
              <c:pt idx="17">
                <c:v>#N/A</c:v>
              </c:pt>
              <c:pt idx="18">
                <c:v>0.31458333333333333</c:v>
              </c:pt>
              <c:pt idx="19">
                <c:v>#N/A</c:v>
              </c:pt>
              <c:pt idx="20">
                <c:v>6.9444444444444434E-2</c:v>
              </c:pt>
              <c:pt idx="21">
                <c:v>0.27708333333333335</c:v>
              </c:pt>
              <c:pt idx="22">
                <c:v>#N/A</c:v>
              </c:pt>
              <c:pt idx="23">
                <c:v>0.36805555555555558</c:v>
              </c:pt>
              <c:pt idx="24">
                <c:v>#N/A</c:v>
              </c:pt>
              <c:pt idx="25">
                <c:v>#N/A</c:v>
              </c:pt>
              <c:pt idx="26">
                <c:v>0.125</c:v>
              </c:pt>
              <c:pt idx="27">
                <c:v>0.33333333333333331</c:v>
              </c:pt>
              <c:pt idx="28">
                <c:v>0.30277777777777776</c:v>
              </c:pt>
              <c:pt idx="29">
                <c:v>0.3430555555555555</c:v>
              </c:pt>
              <c:pt idx="30">
                <c:v>0.31111111111111112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0700800"/>
        <c:axId val="110731648"/>
      </c:lineChart>
      <c:catAx>
        <c:axId val="1107008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07316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0731648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hh:mm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0700800"/>
        <c:crosses val="autoZero"/>
        <c:crossBetween val="between"/>
        <c:majorUnit val="8.3333333300000006E-2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0.46263125386040765"/>
          <c:y val="0.10328650820055943"/>
          <c:w val="0.66213712168004946"/>
          <c:h val="0.1455400293273199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Time of Max Gust</a:t>
            </a:r>
          </a:p>
        </c:rich>
      </c:tx>
      <c:layout>
        <c:manualLayout>
          <c:xMode val="edge"/>
          <c:yMode val="edge"/>
          <c:x val="0.44814840737500405"/>
          <c:y val="1.99296600234466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8888912331761387E-2"/>
          <c:y val="8.4408020181539978E-2"/>
          <c:w val="0.95864255319405456"/>
          <c:h val="0.86518220686078484"/>
        </c:manualLayout>
      </c:layout>
      <c:lineChart>
        <c:grouping val="standard"/>
        <c:varyColors val="0"/>
        <c:ser>
          <c:idx val="4"/>
          <c:order val="0"/>
          <c:tx>
            <c:v>Gust</c:v>
          </c:tx>
          <c:spPr>
            <a:ln w="28575">
              <a:noFill/>
            </a:ln>
          </c:spPr>
          <c:marker>
            <c:symbol val="circle"/>
            <c:size val="1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0.60069444444444442</c:v>
              </c:pt>
              <c:pt idx="1">
                <c:v>0.7895833333333333</c:v>
              </c:pt>
              <c:pt idx="2">
                <c:v>0.7402777777777777</c:v>
              </c:pt>
              <c:pt idx="3">
                <c:v>0.19513888888888889</c:v>
              </c:pt>
              <c:pt idx="4">
                <c:v>0.79583333333333339</c:v>
              </c:pt>
              <c:pt idx="5">
                <c:v>0.83888888888888891</c:v>
              </c:pt>
              <c:pt idx="6">
                <c:v>0.5493055555555556</c:v>
              </c:pt>
              <c:pt idx="7">
                <c:v>0.64236111111111105</c:v>
              </c:pt>
              <c:pt idx="8">
                <c:v>2.0833333333333332E-2</c:v>
              </c:pt>
              <c:pt idx="9">
                <c:v>0.82708333333333339</c:v>
              </c:pt>
              <c:pt idx="10">
                <c:v>0.70486111111111116</c:v>
              </c:pt>
              <c:pt idx="11">
                <c:v>0.73888888888888893</c:v>
              </c:pt>
              <c:pt idx="12">
                <c:v>0.61805555555555558</c:v>
              </c:pt>
              <c:pt idx="13">
                <c:v>0.52777777777777779</c:v>
              </c:pt>
              <c:pt idx="14">
                <c:v>0.5131944444444444</c:v>
              </c:pt>
              <c:pt idx="15">
                <c:v>0.59375</c:v>
              </c:pt>
              <c:pt idx="16">
                <c:v>0.37222222222222223</c:v>
              </c:pt>
              <c:pt idx="17">
                <c:v>0.40138888888888885</c:v>
              </c:pt>
              <c:pt idx="18">
                <c:v>0.68819444444444444</c:v>
              </c:pt>
              <c:pt idx="19">
                <c:v>0.56597222222222221</c:v>
              </c:pt>
              <c:pt idx="20">
                <c:v>0.81180555555555556</c:v>
              </c:pt>
              <c:pt idx="21">
                <c:v>0.72361111111111109</c:v>
              </c:pt>
              <c:pt idx="22">
                <c:v>8.9583333333333334E-2</c:v>
              </c:pt>
              <c:pt idx="23">
                <c:v>0.86736111111111114</c:v>
              </c:pt>
              <c:pt idx="24">
                <c:v>0.61319444444444449</c:v>
              </c:pt>
              <c:pt idx="25">
                <c:v>0.84791666666666676</c:v>
              </c:pt>
              <c:pt idx="26">
                <c:v>0.63263888888888886</c:v>
              </c:pt>
              <c:pt idx="27">
                <c:v>0.58194444444444449</c:v>
              </c:pt>
              <c:pt idx="28">
                <c:v>0.48541666666666666</c:v>
              </c:pt>
              <c:pt idx="29">
                <c:v>9.930555555555555E-2</c:v>
              </c:pt>
              <c:pt idx="30">
                <c:v>0.75902777777777775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0952448"/>
        <c:axId val="110954368"/>
      </c:lineChart>
      <c:catAx>
        <c:axId val="1109524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09543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0954368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hh:mm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0952448"/>
        <c:crosses val="autoZero"/>
        <c:crossBetween val="between"/>
        <c:majorUnit val="8.3333333300000006E-2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 sz="14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Rain Rate / mmh</a:t>
            </a:r>
            <a:r>
              <a:rPr lang="en-GB" sz="1400" b="1" i="0" u="none" strike="noStrike" baseline="30000">
                <a:solidFill>
                  <a:srgbClr val="000000"/>
                </a:solidFill>
                <a:latin typeface="Arial"/>
                <a:cs typeface="Arial"/>
              </a:rPr>
              <a:t>-1</a:t>
            </a:r>
          </a:p>
        </c:rich>
      </c:tx>
      <c:layout>
        <c:manualLayout>
          <c:xMode val="edge"/>
          <c:yMode val="edge"/>
          <c:x val="0.44963144963144963"/>
          <c:y val="1.954022988505747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1.8427518427518427E-2"/>
          <c:y val="9.3103552783262378E-2"/>
          <c:w val="0.96314496314496312"/>
          <c:h val="0.85747222686807079"/>
        </c:manualLayout>
      </c:layout>
      <c:barChart>
        <c:barDir val="col"/>
        <c:grouping val="clustered"/>
        <c:varyColors val="0"/>
        <c:ser>
          <c:idx val="1"/>
          <c:order val="0"/>
          <c:tx>
            <c:v>Mean</c:v>
          </c:tx>
          <c:spPr>
            <a:solidFill>
              <a:srgbClr val="CCFFFF"/>
            </a:solidFill>
            <a:ln w="3175">
              <a:solidFill>
                <a:srgbClr val="333399"/>
              </a:solidFill>
              <a:prstDash val="solid"/>
            </a:ln>
          </c:spPr>
          <c:invertIfNegative val="0"/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0</c:v>
              </c:pt>
              <c:pt idx="1">
                <c:v>0.6</c:v>
              </c:pt>
              <c:pt idx="2">
                <c:v>0</c:v>
              </c:pt>
              <c:pt idx="3">
                <c:v>1.9333333333333333</c:v>
              </c:pt>
              <c:pt idx="4">
                <c:v>0</c:v>
              </c:pt>
              <c:pt idx="5">
                <c:v>0</c:v>
              </c:pt>
              <c:pt idx="6">
                <c:v>2.2000000000000002</c:v>
              </c:pt>
              <c:pt idx="7">
                <c:v>0.8</c:v>
              </c:pt>
              <c:pt idx="8">
                <c:v>0</c:v>
              </c:pt>
              <c:pt idx="9">
                <c:v>0</c:v>
              </c:pt>
              <c:pt idx="10">
                <c:v>2.2999999999999998</c:v>
              </c:pt>
              <c:pt idx="11">
                <c:v>0</c:v>
              </c:pt>
              <c:pt idx="12">
                <c:v>1.9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0.53333333333333333</c:v>
              </c:pt>
              <c:pt idx="17">
                <c:v>5.84</c:v>
              </c:pt>
              <c:pt idx="18">
                <c:v>0</c:v>
              </c:pt>
              <c:pt idx="19">
                <c:v>2.2999999999999998</c:v>
              </c:pt>
              <c:pt idx="20">
                <c:v>0</c:v>
              </c:pt>
              <c:pt idx="21">
                <c:v>0</c:v>
              </c:pt>
              <c:pt idx="22">
                <c:v>1.9600000000000002</c:v>
              </c:pt>
              <c:pt idx="23">
                <c:v>0.5</c:v>
              </c:pt>
              <c:pt idx="24">
                <c:v>3.1</c:v>
              </c:pt>
              <c:pt idx="25">
                <c:v>1.0874999999999999</c:v>
              </c:pt>
              <c:pt idx="26">
                <c:v>1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-80"/>
        <c:axId val="110980480"/>
        <c:axId val="110986368"/>
      </c:barChart>
      <c:barChart>
        <c:barDir val="col"/>
        <c:grouping val="clustered"/>
        <c:varyColors val="0"/>
        <c:ser>
          <c:idx val="0"/>
          <c:order val="1"/>
          <c:tx>
            <c:v>Max</c:v>
          </c:tx>
          <c:spPr>
            <a:solidFill>
              <a:srgbClr val="9999FF"/>
            </a:solidFill>
            <a:ln w="12700">
              <a:solidFill>
                <a:srgbClr val="000080"/>
              </a:solidFill>
              <a:prstDash val="solid"/>
            </a:ln>
          </c:spPr>
          <c:invertIfNegative val="0"/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15</c:v>
              </c:pt>
              <c:pt idx="4">
                <c:v>0</c:v>
              </c:pt>
              <c:pt idx="5">
                <c:v>0</c:v>
              </c:pt>
              <c:pt idx="6">
                <c:v>20</c:v>
              </c:pt>
              <c:pt idx="7">
                <c:v>4</c:v>
              </c:pt>
              <c:pt idx="8">
                <c:v>0</c:v>
              </c:pt>
              <c:pt idx="9">
                <c:v>0</c:v>
              </c:pt>
              <c:pt idx="10">
                <c:v>40</c:v>
              </c:pt>
              <c:pt idx="11">
                <c:v>0</c:v>
              </c:pt>
              <c:pt idx="12">
                <c:v>5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1.1000000000000001</c:v>
              </c:pt>
              <c:pt idx="17">
                <c:v>60</c:v>
              </c:pt>
              <c:pt idx="18">
                <c:v>0</c:v>
              </c:pt>
              <c:pt idx="19">
                <c:v>15</c:v>
              </c:pt>
              <c:pt idx="20">
                <c:v>0</c:v>
              </c:pt>
              <c:pt idx="21">
                <c:v>0</c:v>
              </c:pt>
              <c:pt idx="22">
                <c:v>30</c:v>
              </c:pt>
              <c:pt idx="23">
                <c:v>0.9</c:v>
              </c:pt>
              <c:pt idx="24">
                <c:v>15</c:v>
              </c:pt>
              <c:pt idx="25">
                <c:v>40</c:v>
              </c:pt>
              <c:pt idx="26">
                <c:v>10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0"/>
        <c:overlap val="-100"/>
        <c:axId val="110987904"/>
        <c:axId val="110997888"/>
      </c:barChart>
      <c:catAx>
        <c:axId val="110980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09863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0986368"/>
        <c:scaling>
          <c:orientation val="minMax"/>
          <c:max val="6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0980480"/>
        <c:crosses val="autoZero"/>
        <c:crossBetween val="between"/>
        <c:majorUnit val="1"/>
      </c:valAx>
      <c:catAx>
        <c:axId val="1109879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0997888"/>
        <c:crosses val="autoZero"/>
        <c:auto val="1"/>
        <c:lblAlgn val="ctr"/>
        <c:lblOffset val="100"/>
        <c:noMultiLvlLbl val="0"/>
      </c:catAx>
      <c:valAx>
        <c:axId val="110997888"/>
        <c:scaling>
          <c:orientation val="minMax"/>
          <c:max val="90"/>
          <c:min val="0"/>
        </c:scaling>
        <c:delete val="0"/>
        <c:axPos val="r"/>
        <c:numFmt formatCode="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0987904"/>
        <c:crosses val="max"/>
        <c:crossBetween val="between"/>
        <c:majorUnit val="15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9.5823095823095825E-2"/>
          <c:y val="0.11264379883549039"/>
          <c:w val="0.24262899262899262"/>
          <c:h val="0.1586208103297432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01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Rainfall / mm</a:t>
            </a:r>
          </a:p>
        </c:rich>
      </c:tx>
      <c:layout>
        <c:manualLayout>
          <c:xMode val="edge"/>
          <c:yMode val="edge"/>
          <c:x val="0.47051597051597049"/>
          <c:y val="1.509872241579558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955773955773956E-2"/>
          <c:y val="8.8269554240112152E-2"/>
          <c:w val="0.97297297297297303"/>
          <c:h val="0.85133662181581848"/>
        </c:manualLayout>
      </c:layout>
      <c:barChart>
        <c:barDir val="col"/>
        <c:grouping val="clustered"/>
        <c:varyColors val="0"/>
        <c:ser>
          <c:idx val="0"/>
          <c:order val="0"/>
          <c:tx>
            <c:v>Rainfall</c:v>
          </c:tx>
          <c:spPr>
            <a:solidFill>
              <a:srgbClr val="3366FF"/>
            </a:solidFill>
            <a:ln w="12700">
              <a:solidFill>
                <a:srgbClr val="000080"/>
              </a:solidFill>
              <a:prstDash val="solid"/>
            </a:ln>
          </c:spPr>
          <c:invertIfNegative val="0"/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0</c:v>
              </c:pt>
              <c:pt idx="1">
                <c:v>0.3</c:v>
              </c:pt>
              <c:pt idx="2">
                <c:v>0</c:v>
              </c:pt>
              <c:pt idx="3">
                <c:v>11.6</c:v>
              </c:pt>
              <c:pt idx="4">
                <c:v>0</c:v>
              </c:pt>
              <c:pt idx="5">
                <c:v>0.1</c:v>
              </c:pt>
              <c:pt idx="6">
                <c:v>4.4000000000000004</c:v>
              </c:pt>
              <c:pt idx="7">
                <c:v>0.8</c:v>
              </c:pt>
              <c:pt idx="8">
                <c:v>0</c:v>
              </c:pt>
              <c:pt idx="9">
                <c:v>0</c:v>
              </c:pt>
              <c:pt idx="10">
                <c:v>4.5999999999999996</c:v>
              </c:pt>
              <c:pt idx="11">
                <c:v>0</c:v>
              </c:pt>
              <c:pt idx="12">
                <c:v>1.9</c:v>
              </c:pt>
              <c:pt idx="13">
                <c:v>0</c:v>
              </c:pt>
              <c:pt idx="14">
                <c:v>0.1</c:v>
              </c:pt>
              <c:pt idx="15">
                <c:v>0</c:v>
              </c:pt>
              <c:pt idx="16">
                <c:v>0.8</c:v>
              </c:pt>
              <c:pt idx="17">
                <c:v>14.6</c:v>
              </c:pt>
              <c:pt idx="18">
                <c:v>0</c:v>
              </c:pt>
              <c:pt idx="19">
                <c:v>4.5999999999999996</c:v>
              </c:pt>
              <c:pt idx="20">
                <c:v>0</c:v>
              </c:pt>
              <c:pt idx="21">
                <c:v>0</c:v>
              </c:pt>
              <c:pt idx="22">
                <c:v>9.8000000000000007</c:v>
              </c:pt>
              <c:pt idx="23">
                <c:v>0.5</c:v>
              </c:pt>
              <c:pt idx="24">
                <c:v>9.3000000000000007</c:v>
              </c:pt>
              <c:pt idx="25">
                <c:v>8.6999999999999993</c:v>
              </c:pt>
              <c:pt idx="26">
                <c:v>0.8</c:v>
              </c:pt>
              <c:pt idx="27">
                <c:v>0.1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</c:numLit>
          </c:val>
        </c:ser>
        <c:ser>
          <c:idx val="1"/>
          <c:order val="1"/>
          <c:tx>
            <c:v>Max In Hour</c:v>
          </c:tx>
          <c:spPr>
            <a:solidFill>
              <a:srgbClr val="00CCFF"/>
            </a:solidFill>
            <a:ln w="12700">
              <a:solidFill>
                <a:srgbClr val="0000FF"/>
              </a:solidFill>
              <a:prstDash val="solid"/>
            </a:ln>
          </c:spPr>
          <c:invertIfNegative val="0"/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0</c:v>
              </c:pt>
              <c:pt idx="1">
                <c:v>0.3</c:v>
              </c:pt>
              <c:pt idx="2">
                <c:v>0</c:v>
              </c:pt>
              <c:pt idx="3">
                <c:v>3.1</c:v>
              </c:pt>
              <c:pt idx="5">
                <c:v>0</c:v>
              </c:pt>
              <c:pt idx="6">
                <c:v>3.6</c:v>
              </c:pt>
              <c:pt idx="7">
                <c:v>0.5</c:v>
              </c:pt>
              <c:pt idx="8">
                <c:v>0</c:v>
              </c:pt>
              <c:pt idx="9">
                <c:v>0</c:v>
              </c:pt>
              <c:pt idx="10">
                <c:v>3</c:v>
              </c:pt>
              <c:pt idx="11">
                <c:v>0</c:v>
              </c:pt>
              <c:pt idx="12">
                <c:v>1.7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0.8</c:v>
              </c:pt>
              <c:pt idx="17">
                <c:v>9.3000000000000007</c:v>
              </c:pt>
              <c:pt idx="18">
                <c:v>0</c:v>
              </c:pt>
              <c:pt idx="19">
                <c:v>3.6</c:v>
              </c:pt>
              <c:pt idx="20">
                <c:v>0</c:v>
              </c:pt>
              <c:pt idx="21">
                <c:v>0</c:v>
              </c:pt>
              <c:pt idx="22">
                <c:v>5.5</c:v>
              </c:pt>
              <c:pt idx="23">
                <c:v>0.5</c:v>
              </c:pt>
              <c:pt idx="24">
                <c:v>5.7</c:v>
              </c:pt>
              <c:pt idx="25">
                <c:v>2.2000000000000002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</c:numLit>
          </c:val>
        </c:ser>
        <c:ser>
          <c:idx val="2"/>
          <c:order val="2"/>
          <c:tx>
            <c:v>Max in 10 Minutes</c:v>
          </c:tx>
          <c:spPr>
            <a:solidFill>
              <a:srgbClr val="99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1">
                <c:v>0</c:v>
              </c:pt>
              <c:pt idx="3">
                <c:v>1.1000000000000001</c:v>
              </c:pt>
              <c:pt idx="6">
                <c:v>1.4</c:v>
              </c:pt>
              <c:pt idx="7">
                <c:v>0.5</c:v>
              </c:pt>
              <c:pt idx="12">
                <c:v>0.8</c:v>
              </c:pt>
              <c:pt idx="16">
                <c:v>0.3</c:v>
              </c:pt>
              <c:pt idx="17">
                <c:v>3.3</c:v>
              </c:pt>
              <c:pt idx="19">
                <c:v>1.4</c:v>
              </c:pt>
              <c:pt idx="22">
                <c:v>1.9</c:v>
              </c:pt>
              <c:pt idx="23">
                <c:v>0.3</c:v>
              </c:pt>
              <c:pt idx="24">
                <c:v>1.1000000000000001</c:v>
              </c:pt>
              <c:pt idx="25">
                <c:v>1.6</c:v>
              </c:pt>
              <c:pt idx="26">
                <c:v>0.5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overlap val="100"/>
        <c:axId val="111028096"/>
        <c:axId val="111029632"/>
      </c:barChart>
      <c:catAx>
        <c:axId val="111028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10296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1029632"/>
        <c:scaling>
          <c:orientation val="minMax"/>
          <c:max val="20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1028096"/>
        <c:crosses val="autoZero"/>
        <c:crossBetween val="between"/>
        <c:majorUnit val="2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3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 horizontalDpi="-3" verticalDpi="0"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Wet Hours / h</a:t>
            </a:r>
          </a:p>
        </c:rich>
      </c:tx>
      <c:layout>
        <c:manualLayout>
          <c:xMode val="edge"/>
          <c:yMode val="edge"/>
          <c:x val="0.47116577299003271"/>
          <c:y val="2.2016222479721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926387535464059E-2"/>
          <c:y val="8.3429895712630361E-2"/>
          <c:w val="0.97361992355849891"/>
          <c:h val="0.8667439165701043"/>
        </c:manualLayout>
      </c:layout>
      <c:barChart>
        <c:barDir val="col"/>
        <c:grouping val="clustered"/>
        <c:varyColors val="0"/>
        <c:ser>
          <c:idx val="2"/>
          <c:order val="0"/>
          <c:tx>
            <c:v>Wet</c:v>
          </c:tx>
          <c:spPr>
            <a:solidFill>
              <a:srgbClr val="00FFFF"/>
            </a:solidFill>
            <a:ln w="12700">
              <a:solidFill>
                <a:srgbClr val="3366FF"/>
              </a:solidFill>
              <a:prstDash val="solid"/>
            </a:ln>
          </c:spPr>
          <c:invertIfNegative val="0"/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0</c:v>
              </c:pt>
              <c:pt idx="1">
                <c:v>0.5</c:v>
              </c:pt>
              <c:pt idx="2">
                <c:v>0</c:v>
              </c:pt>
              <c:pt idx="3">
                <c:v>6</c:v>
              </c:pt>
              <c:pt idx="4">
                <c:v>0</c:v>
              </c:pt>
              <c:pt idx="5">
                <c:v>0.2</c:v>
              </c:pt>
              <c:pt idx="6">
                <c:v>2</c:v>
              </c:pt>
              <c:pt idx="7">
                <c:v>1</c:v>
              </c:pt>
              <c:pt idx="8">
                <c:v>0</c:v>
              </c:pt>
              <c:pt idx="9">
                <c:v>0</c:v>
              </c:pt>
              <c:pt idx="10">
                <c:v>2</c:v>
              </c:pt>
              <c:pt idx="11">
                <c:v>0</c:v>
              </c:pt>
              <c:pt idx="12">
                <c:v>1</c:v>
              </c:pt>
              <c:pt idx="13">
                <c:v>0</c:v>
              </c:pt>
              <c:pt idx="14">
                <c:v>2</c:v>
              </c:pt>
              <c:pt idx="15">
                <c:v>0</c:v>
              </c:pt>
              <c:pt idx="16">
                <c:v>1.5</c:v>
              </c:pt>
              <c:pt idx="17">
                <c:v>2.5</c:v>
              </c:pt>
              <c:pt idx="18">
                <c:v>0</c:v>
              </c:pt>
              <c:pt idx="19">
                <c:v>2</c:v>
              </c:pt>
              <c:pt idx="20">
                <c:v>0</c:v>
              </c:pt>
              <c:pt idx="21">
                <c:v>0</c:v>
              </c:pt>
              <c:pt idx="22">
                <c:v>5</c:v>
              </c:pt>
              <c:pt idx="23">
                <c:v>1</c:v>
              </c:pt>
              <c:pt idx="24">
                <c:v>3</c:v>
              </c:pt>
              <c:pt idx="25">
                <c:v>8</c:v>
              </c:pt>
              <c:pt idx="26">
                <c:v>0.8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overlap val="-10"/>
        <c:axId val="111062016"/>
        <c:axId val="111067904"/>
      </c:barChart>
      <c:catAx>
        <c:axId val="111062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10679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1067904"/>
        <c:scaling>
          <c:orientation val="minMax"/>
          <c:max val="1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1062016"/>
        <c:crosses val="autoZero"/>
        <c:crossBetween val="between"/>
        <c:majorUnit val="2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Wind Direction Frequency</a:t>
            </a:r>
          </a:p>
        </c:rich>
      </c:tx>
      <c:layout>
        <c:manualLayout>
          <c:xMode val="edge"/>
          <c:yMode val="edge"/>
          <c:x val="0.41263028816676883"/>
          <c:y val="2.243211334120424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9613733905579398"/>
          <c:y val="0.17119254260933731"/>
          <c:w val="0.38197424892703863"/>
          <c:h val="0.73553761410770446"/>
        </c:manualLayout>
      </c:layout>
      <c:radarChart>
        <c:radarStyle val="filled"/>
        <c:varyColors val="1"/>
        <c:ser>
          <c:idx val="0"/>
          <c:order val="0"/>
          <c:tx>
            <c:v>Mean Wind Direction</c:v>
          </c:tx>
          <c:spPr>
            <a:solidFill>
              <a:srgbClr val="FF99CC"/>
            </a:solidFill>
            <a:ln w="38100">
              <a:solidFill>
                <a:srgbClr val="FF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</c:dPt>
          <c:dPt>
            <c:idx val="2"/>
            <c:bubble3D val="0"/>
          </c:dPt>
          <c:dPt>
            <c:idx val="3"/>
            <c:bubble3D val="0"/>
          </c:dPt>
          <c:dPt>
            <c:idx val="4"/>
            <c:bubble3D val="0"/>
          </c:dPt>
          <c:dPt>
            <c:idx val="5"/>
            <c:bubble3D val="0"/>
          </c:dPt>
          <c:dPt>
            <c:idx val="6"/>
            <c:bubble3D val="0"/>
          </c:dPt>
          <c:dPt>
            <c:idx val="7"/>
            <c:bubble3D val="0"/>
          </c:dPt>
          <c:dPt>
            <c:idx val="8"/>
            <c:bubble3D val="0"/>
          </c:dPt>
          <c:dPt>
            <c:idx val="9"/>
            <c:bubble3D val="0"/>
          </c:dPt>
          <c:dPt>
            <c:idx val="10"/>
            <c:bubble3D val="0"/>
          </c:dPt>
          <c:dPt>
            <c:idx val="11"/>
            <c:bubble3D val="0"/>
          </c:dPt>
          <c:dPt>
            <c:idx val="12"/>
            <c:bubble3D val="0"/>
          </c:dPt>
          <c:dPt>
            <c:idx val="13"/>
            <c:bubble3D val="0"/>
          </c:dPt>
          <c:dPt>
            <c:idx val="14"/>
            <c:bubble3D val="0"/>
          </c:dPt>
          <c:dPt>
            <c:idx val="15"/>
            <c:bubble3D val="0"/>
          </c:dPt>
          <c:dLbls>
            <c:dLbl>
              <c:idx val="0"/>
              <c:layout>
                <c:manualLayout>
                  <c:x val="-2.9223814834303187E-4"/>
                  <c:y val="-0.25789928178497445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 val="7.197465123726482E-2"/>
                  <c:y val="-0.23517684828855748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layout>
                <c:manualLayout>
                  <c:x val="0.11973511894704143"/>
                  <c:y val="-0.2102259993212483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layout>
                <c:manualLayout>
                  <c:x val="0.14872385586994766"/>
                  <c:y val="-0.12001666001771628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4"/>
              <c:layout>
                <c:manualLayout>
                  <c:x val="0.18572287906071822"/>
                  <c:y val="-6.253422944976983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5"/>
              <c:layout>
                <c:manualLayout>
                  <c:x val="0.17519329397130071"/>
                  <c:y val="0.1212123920191556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6"/>
              <c:layout>
                <c:manualLayout>
                  <c:x val="0.14620320528603445"/>
                  <c:y val="0.2191706739339048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7"/>
              <c:layout>
                <c:manualLayout>
                  <c:x val="8.7385965166371385E-2"/>
                  <c:y val="0.2703316886352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8"/>
              <c:layout>
                <c:manualLayout>
                  <c:x val="9.3400342124619405E-4"/>
                  <c:y val="0.23533117901730161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9"/>
              <c:layout>
                <c:manualLayout>
                  <c:x val="-4.2808382857722156E-2"/>
                  <c:y val="5.65861152455109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0"/>
              <c:layout>
                <c:manualLayout>
                  <c:x val="-3.6368200756021339E-2"/>
                  <c:y val="2.42543069307840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1"/>
              <c:layout>
                <c:manualLayout>
                  <c:x val="-4.8627848557556932E-2"/>
                  <c:y val="1.54509502656219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2"/>
              <c:layout>
                <c:manualLayout>
                  <c:x val="-7.9440048534705709E-2"/>
                  <c:y val="-5.072784720084978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3"/>
              <c:layout>
                <c:manualLayout>
                  <c:x val="-9.322982695832549E-2"/>
                  <c:y val="-6.52027279966582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4"/>
              <c:layout>
                <c:manualLayout>
                  <c:x val="-0.11309725769257384"/>
                  <c:y val="-0.1951377695514652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5"/>
              <c:layout>
                <c:manualLayout>
                  <c:x val="-7.4843155335196809E-2"/>
                  <c:y val="-0.278852647542760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1" i="0" u="none" strike="noStrike" baseline="0">
                    <a:solidFill>
                      <a:srgbClr val="FF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Lit>
              <c:ptCount val="16"/>
              <c:pt idx="0">
                <c:v>N</c:v>
              </c:pt>
              <c:pt idx="1">
                <c:v>NNE</c:v>
              </c:pt>
              <c:pt idx="2">
                <c:v>NE</c:v>
              </c:pt>
              <c:pt idx="3">
                <c:v>ENE</c:v>
              </c:pt>
              <c:pt idx="4">
                <c:v>E</c:v>
              </c:pt>
              <c:pt idx="5">
                <c:v>ESE</c:v>
              </c:pt>
              <c:pt idx="6">
                <c:v>SE</c:v>
              </c:pt>
              <c:pt idx="7">
                <c:v>SSE</c:v>
              </c:pt>
              <c:pt idx="8">
                <c:v>S</c:v>
              </c:pt>
              <c:pt idx="9">
                <c:v>SSW</c:v>
              </c:pt>
              <c:pt idx="10">
                <c:v>SW</c:v>
              </c:pt>
              <c:pt idx="11">
                <c:v>WSW</c:v>
              </c:pt>
              <c:pt idx="12">
                <c:v>W</c:v>
              </c:pt>
              <c:pt idx="13">
                <c:v>WNW</c:v>
              </c:pt>
              <c:pt idx="14">
                <c:v>NW</c:v>
              </c:pt>
              <c:pt idx="15">
                <c:v>NNW</c:v>
              </c:pt>
            </c:strLit>
          </c:cat>
          <c:val>
            <c:numLit>
              <c:formatCode>General</c:formatCode>
              <c:ptCount val="16"/>
              <c:pt idx="0">
                <c:v>4.5999999999999999E-2</c:v>
              </c:pt>
              <c:pt idx="1">
                <c:v>4.2000000000000003E-2</c:v>
              </c:pt>
              <c:pt idx="2">
                <c:v>3.5000000000000003E-2</c:v>
              </c:pt>
              <c:pt idx="3">
                <c:v>0.04</c:v>
              </c:pt>
              <c:pt idx="4">
                <c:v>1.2999999999999999E-2</c:v>
              </c:pt>
              <c:pt idx="5">
                <c:v>1.0999999999999999E-2</c:v>
              </c:pt>
              <c:pt idx="6">
                <c:v>8.0000000000000002E-3</c:v>
              </c:pt>
              <c:pt idx="7">
                <c:v>1.9E-2</c:v>
              </c:pt>
              <c:pt idx="8">
                <c:v>5.5E-2</c:v>
              </c:pt>
              <c:pt idx="9">
                <c:v>0.13800000000000001</c:v>
              </c:pt>
              <c:pt idx="10">
                <c:v>0.14099999999999999</c:v>
              </c:pt>
              <c:pt idx="11">
                <c:v>0.14599999999999999</c:v>
              </c:pt>
              <c:pt idx="12">
                <c:v>0.112</c:v>
              </c:pt>
              <c:pt idx="13">
                <c:v>0.105</c:v>
              </c:pt>
              <c:pt idx="14">
                <c:v>5.2999999999999999E-2</c:v>
              </c:pt>
              <c:pt idx="15">
                <c:v>3.6999999999999998E-2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203840"/>
        <c:axId val="111205376"/>
      </c:radarChart>
      <c:catAx>
        <c:axId val="111203840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1205376"/>
        <c:crosses val="autoZero"/>
        <c:auto val="0"/>
        <c:lblAlgn val="ctr"/>
        <c:lblOffset val="100"/>
        <c:noMultiLvlLbl val="0"/>
      </c:catAx>
      <c:valAx>
        <c:axId val="111205376"/>
        <c:scaling>
          <c:orientation val="minMax"/>
          <c:max val="0.16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General" sourceLinked="1"/>
        <c:majorTickMark val="cross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1203840"/>
        <c:crosses val="autoZero"/>
        <c:crossBetween val="between"/>
        <c:majorUnit val="0.05"/>
      </c:valAx>
      <c:spPr>
        <a:solidFill>
          <a:srgbClr val="C0C0C0"/>
        </a:solidFill>
        <a:ln w="25400">
          <a:noFill/>
        </a:ln>
      </c:spPr>
    </c:plotArea>
    <c:plotVisOnly val="1"/>
    <c:dispBlanksAs val="gap"/>
    <c:showDLblsOverMax val="0"/>
  </c:chart>
  <c:spPr>
    <a:solidFill>
      <a:srgbClr val="C0C0C0"/>
    </a:solidFill>
    <a:ln w="3175">
      <a:solidFill>
        <a:srgbClr val="000000"/>
      </a:solidFill>
      <a:prstDash val="solid"/>
    </a:ln>
  </c:spPr>
  <c:txPr>
    <a:bodyPr/>
    <a:lstStyle/>
    <a:p>
      <a:pPr>
        <a:defRPr sz="23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 horizontalDpi="-3" verticalDpi="0"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7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 sz="14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Temperature / °C   </a:t>
            </a:r>
          </a:p>
        </c:rich>
      </c:tx>
      <c:layout>
        <c:manualLayout>
          <c:xMode val="edge"/>
          <c:yMode val="edge"/>
          <c:x val="0.450704353933713"/>
          <c:y val="2.095459837019790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882432125746363E-2"/>
          <c:y val="8.149015109442706E-2"/>
          <c:w val="0.95774676524787983"/>
          <c:h val="0.86845218166346549"/>
        </c:manualLayout>
      </c:layout>
      <c:lineChart>
        <c:grouping val="standard"/>
        <c:varyColors val="0"/>
        <c:ser>
          <c:idx val="0"/>
          <c:order val="0"/>
          <c:tx>
            <c:v>Min</c:v>
          </c:tx>
          <c:spPr>
            <a:ln w="38100">
              <a:solidFill>
                <a:srgbClr val="0000FF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10.199999999999999</c:v>
              </c:pt>
              <c:pt idx="1">
                <c:v>13.1</c:v>
              </c:pt>
              <c:pt idx="2">
                <c:v>15.3</c:v>
              </c:pt>
              <c:pt idx="3">
                <c:v>14.4</c:v>
              </c:pt>
              <c:pt idx="4">
                <c:v>11.6</c:v>
              </c:pt>
              <c:pt idx="5">
                <c:v>13</c:v>
              </c:pt>
              <c:pt idx="6">
                <c:v>11.8</c:v>
              </c:pt>
              <c:pt idx="7">
                <c:v>12.6</c:v>
              </c:pt>
              <c:pt idx="8">
                <c:v>15.7</c:v>
              </c:pt>
              <c:pt idx="9">
                <c:v>16.2</c:v>
              </c:pt>
              <c:pt idx="10">
                <c:v>15.1</c:v>
              </c:pt>
              <c:pt idx="11">
                <c:v>14.6</c:v>
              </c:pt>
              <c:pt idx="12">
                <c:v>12.4</c:v>
              </c:pt>
              <c:pt idx="13">
                <c:v>10.199999999999999</c:v>
              </c:pt>
              <c:pt idx="14">
                <c:v>7.2</c:v>
              </c:pt>
              <c:pt idx="15">
                <c:v>12.5</c:v>
              </c:pt>
              <c:pt idx="16">
                <c:v>10.1</c:v>
              </c:pt>
              <c:pt idx="17">
                <c:v>8</c:v>
              </c:pt>
              <c:pt idx="18">
                <c:v>9.6</c:v>
              </c:pt>
              <c:pt idx="19">
                <c:v>14.8</c:v>
              </c:pt>
              <c:pt idx="20">
                <c:v>13.4</c:v>
              </c:pt>
              <c:pt idx="21">
                <c:v>12.5</c:v>
              </c:pt>
              <c:pt idx="22">
                <c:v>9.9</c:v>
              </c:pt>
              <c:pt idx="23">
                <c:v>8</c:v>
              </c:pt>
              <c:pt idx="24">
                <c:v>11.4</c:v>
              </c:pt>
              <c:pt idx="25">
                <c:v>15</c:v>
              </c:pt>
              <c:pt idx="26">
                <c:v>12.8</c:v>
              </c:pt>
              <c:pt idx="27">
                <c:v>12.6</c:v>
              </c:pt>
              <c:pt idx="28">
                <c:v>14</c:v>
              </c:pt>
              <c:pt idx="29">
                <c:v>13.5</c:v>
              </c:pt>
            </c:numLit>
          </c:val>
          <c:smooth val="0"/>
        </c:ser>
        <c:ser>
          <c:idx val="1"/>
          <c:order val="1"/>
          <c:tx>
            <c:v>Max</c:v>
          </c:tx>
          <c:spPr>
            <a:ln w="38100">
              <a:solidFill>
                <a:srgbClr val="FF6600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993300"/>
              </a:solidFill>
              <a:ln>
                <a:solidFill>
                  <a:srgbClr val="993300"/>
                </a:solidFill>
                <a:prstDash val="solid"/>
              </a:ln>
            </c:spPr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19.899999999999999</c:v>
              </c:pt>
              <c:pt idx="1">
                <c:v>25.8</c:v>
              </c:pt>
              <c:pt idx="2">
                <c:v>23.1</c:v>
              </c:pt>
              <c:pt idx="3">
                <c:v>19.2</c:v>
              </c:pt>
              <c:pt idx="4">
                <c:v>19.100000000000001</c:v>
              </c:pt>
              <c:pt idx="5">
                <c:v>17.899999999999999</c:v>
              </c:pt>
              <c:pt idx="6">
                <c:v>17</c:v>
              </c:pt>
              <c:pt idx="7">
                <c:v>19.399999999999999</c:v>
              </c:pt>
              <c:pt idx="8">
                <c:v>21.7</c:v>
              </c:pt>
              <c:pt idx="9">
                <c:v>22.7</c:v>
              </c:pt>
              <c:pt idx="10">
                <c:v>20.2</c:v>
              </c:pt>
              <c:pt idx="11">
                <c:v>20.6</c:v>
              </c:pt>
              <c:pt idx="12">
                <c:v>18.5</c:v>
              </c:pt>
              <c:pt idx="13">
                <c:v>18.7</c:v>
              </c:pt>
              <c:pt idx="14">
                <c:v>20</c:v>
              </c:pt>
              <c:pt idx="15">
                <c:v>21.8</c:v>
              </c:pt>
              <c:pt idx="16">
                <c:v>18.399999999999999</c:v>
              </c:pt>
              <c:pt idx="17">
                <c:v>16.3</c:v>
              </c:pt>
              <c:pt idx="18">
                <c:v>18.5</c:v>
              </c:pt>
              <c:pt idx="19">
                <c:v>18.600000000000001</c:v>
              </c:pt>
              <c:pt idx="20">
                <c:v>17.3</c:v>
              </c:pt>
              <c:pt idx="21">
                <c:v>18.600000000000001</c:v>
              </c:pt>
              <c:pt idx="22">
                <c:v>18.3</c:v>
              </c:pt>
              <c:pt idx="23">
                <c:v>20.100000000000001</c:v>
              </c:pt>
              <c:pt idx="24">
                <c:v>20.9</c:v>
              </c:pt>
              <c:pt idx="25">
                <c:v>21.1</c:v>
              </c:pt>
              <c:pt idx="26">
                <c:v>20.399999999999999</c:v>
              </c:pt>
              <c:pt idx="27">
                <c:v>24.9</c:v>
              </c:pt>
              <c:pt idx="28">
                <c:v>26.9</c:v>
              </c:pt>
              <c:pt idx="29">
                <c:v>27.4</c:v>
              </c:pt>
            </c:numLit>
          </c:val>
          <c:smooth val="0"/>
        </c:ser>
        <c:ser>
          <c:idx val="7"/>
          <c:order val="2"/>
          <c:tx>
            <c:v>Cumulative Min</c:v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x"/>
            <c:size val="2"/>
            <c:spPr>
              <a:noFill/>
              <a:ln>
                <a:solidFill>
                  <a:srgbClr val="0000FF"/>
                </a:solidFill>
                <a:prstDash val="solid"/>
              </a:ln>
            </c:spPr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10.199999999999999</c:v>
              </c:pt>
              <c:pt idx="1">
                <c:v>11.649999999999999</c:v>
              </c:pt>
              <c:pt idx="2">
                <c:v>12.866666666666665</c:v>
              </c:pt>
              <c:pt idx="3">
                <c:v>13.249999999999998</c:v>
              </c:pt>
              <c:pt idx="4">
                <c:v>12.919999999999998</c:v>
              </c:pt>
              <c:pt idx="5">
                <c:v>12.933333333333332</c:v>
              </c:pt>
              <c:pt idx="6">
                <c:v>12.77142857142857</c:v>
              </c:pt>
              <c:pt idx="7">
                <c:v>12.749999999999998</c:v>
              </c:pt>
              <c:pt idx="8">
                <c:v>13.077777777777776</c:v>
              </c:pt>
              <c:pt idx="9">
                <c:v>13.389999999999997</c:v>
              </c:pt>
              <c:pt idx="10">
                <c:v>13.545454545454543</c:v>
              </c:pt>
              <c:pt idx="11">
                <c:v>13.633333333333331</c:v>
              </c:pt>
              <c:pt idx="12">
                <c:v>13.538461538461537</c:v>
              </c:pt>
              <c:pt idx="13">
                <c:v>13.299999999999997</c:v>
              </c:pt>
              <c:pt idx="14">
                <c:v>12.893333333333329</c:v>
              </c:pt>
              <c:pt idx="15">
                <c:v>12.868749999999997</c:v>
              </c:pt>
              <c:pt idx="16">
                <c:v>12.705882352941174</c:v>
              </c:pt>
              <c:pt idx="17">
                <c:v>12.444444444444441</c:v>
              </c:pt>
              <c:pt idx="18">
                <c:v>12.294736842105261</c:v>
              </c:pt>
              <c:pt idx="19">
                <c:v>12.419999999999998</c:v>
              </c:pt>
              <c:pt idx="20">
                <c:v>12.466666666666665</c:v>
              </c:pt>
              <c:pt idx="21">
                <c:v>12.468181818181817</c:v>
              </c:pt>
              <c:pt idx="22">
                <c:v>12.356521739130432</c:v>
              </c:pt>
              <c:pt idx="23">
                <c:v>12.174999999999997</c:v>
              </c:pt>
              <c:pt idx="24">
                <c:v>12.143999999999997</c:v>
              </c:pt>
              <c:pt idx="25">
                <c:v>12.253846153846151</c:v>
              </c:pt>
              <c:pt idx="26">
                <c:v>12.274074074074072</c:v>
              </c:pt>
              <c:pt idx="27">
                <c:v>12.285714285714283</c:v>
              </c:pt>
              <c:pt idx="28">
                <c:v>12.344827586206895</c:v>
              </c:pt>
              <c:pt idx="29">
                <c:v>12.383333333333331</c:v>
              </c:pt>
            </c:numLit>
          </c:val>
          <c:smooth val="0"/>
        </c:ser>
        <c:ser>
          <c:idx val="6"/>
          <c:order val="3"/>
          <c:tx>
            <c:v>Cumulative Max</c:v>
          </c:tx>
          <c:spPr>
            <a:ln w="12700">
              <a:solidFill>
                <a:srgbClr val="FF9900"/>
              </a:solidFill>
              <a:prstDash val="solid"/>
            </a:ln>
          </c:spPr>
          <c:marker>
            <c:symbol val="plus"/>
            <c:size val="2"/>
            <c:spPr>
              <a:noFill/>
              <a:ln>
                <a:solidFill>
                  <a:srgbClr val="FF6600"/>
                </a:solidFill>
                <a:prstDash val="solid"/>
              </a:ln>
            </c:spPr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19.899999999999999</c:v>
              </c:pt>
              <c:pt idx="1">
                <c:v>22.85</c:v>
              </c:pt>
              <c:pt idx="2">
                <c:v>22.933333333333337</c:v>
              </c:pt>
              <c:pt idx="3">
                <c:v>22.000000000000004</c:v>
              </c:pt>
              <c:pt idx="4">
                <c:v>21.420000000000005</c:v>
              </c:pt>
              <c:pt idx="5">
                <c:v>20.833333333333339</c:v>
              </c:pt>
              <c:pt idx="6">
                <c:v>20.285714285714288</c:v>
              </c:pt>
              <c:pt idx="7">
                <c:v>20.175000000000004</c:v>
              </c:pt>
              <c:pt idx="8">
                <c:v>20.344444444444449</c:v>
              </c:pt>
              <c:pt idx="9">
                <c:v>20.580000000000002</c:v>
              </c:pt>
              <c:pt idx="10">
                <c:v>20.545454545454547</c:v>
              </c:pt>
              <c:pt idx="11">
                <c:v>20.55</c:v>
              </c:pt>
              <c:pt idx="12">
                <c:v>20.392307692307693</c:v>
              </c:pt>
              <c:pt idx="13">
                <c:v>20.271428571428572</c:v>
              </c:pt>
              <c:pt idx="14">
                <c:v>20.253333333333334</c:v>
              </c:pt>
              <c:pt idx="15">
                <c:v>20.350000000000001</c:v>
              </c:pt>
              <c:pt idx="16">
                <c:v>20.235294117647058</c:v>
              </c:pt>
              <c:pt idx="17">
                <c:v>20.016666666666666</c:v>
              </c:pt>
              <c:pt idx="18">
                <c:v>19.936842105263157</c:v>
              </c:pt>
              <c:pt idx="19">
                <c:v>19.87</c:v>
              </c:pt>
              <c:pt idx="20">
                <c:v>19.74761904761905</c:v>
              </c:pt>
              <c:pt idx="21">
                <c:v>19.695454545454549</c:v>
              </c:pt>
              <c:pt idx="22">
                <c:v>19.634782608695655</c:v>
              </c:pt>
              <c:pt idx="23">
                <c:v>19.654166666666672</c:v>
              </c:pt>
              <c:pt idx="24">
                <c:v>19.704000000000004</c:v>
              </c:pt>
              <c:pt idx="25">
                <c:v>19.757692307692309</c:v>
              </c:pt>
              <c:pt idx="26">
                <c:v>19.781481481481482</c:v>
              </c:pt>
              <c:pt idx="27">
                <c:v>19.964285714285715</c:v>
              </c:pt>
              <c:pt idx="28">
                <c:v>20.203448275862069</c:v>
              </c:pt>
              <c:pt idx="29">
                <c:v>20.443333333333332</c:v>
              </c:pt>
            </c:numLit>
          </c:val>
          <c:smooth val="0"/>
        </c:ser>
        <c:ser>
          <c:idx val="9"/>
          <c:order val="6"/>
          <c:tx>
            <c:v>E (Min)</c:v>
          </c:tx>
          <c:spPr>
            <a:ln w="25400">
              <a:solidFill>
                <a:srgbClr val="00CCFF"/>
              </a:solidFill>
              <a:prstDash val="lgDash"/>
            </a:ln>
          </c:spPr>
          <c:marker>
            <c:symbol val="star"/>
            <c:size val="2"/>
            <c:spPr>
              <a:noFill/>
              <a:ln>
                <a:solidFill>
                  <a:srgbClr val="000080"/>
                </a:solidFill>
                <a:prstDash val="solid"/>
              </a:ln>
            </c:spPr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12.218076923076923</c:v>
              </c:pt>
              <c:pt idx="1">
                <c:v>12.142307692307693</c:v>
              </c:pt>
              <c:pt idx="2">
                <c:v>12.066538461538462</c:v>
              </c:pt>
              <c:pt idx="3">
                <c:v>11.990769230769232</c:v>
              </c:pt>
              <c:pt idx="4">
                <c:v>11.915000000000001</c:v>
              </c:pt>
              <c:pt idx="5">
                <c:v>11.83923076923077</c:v>
              </c:pt>
              <c:pt idx="6">
                <c:v>11.76346153846154</c:v>
              </c:pt>
              <c:pt idx="7">
                <c:v>11.687692307692309</c:v>
              </c:pt>
              <c:pt idx="8">
                <c:v>11.611923076923079</c:v>
              </c:pt>
              <c:pt idx="9">
                <c:v>11.536153846153848</c:v>
              </c:pt>
              <c:pt idx="10">
                <c:v>11.460384615384617</c:v>
              </c:pt>
              <c:pt idx="11">
                <c:v>11.384615384615387</c:v>
              </c:pt>
              <c:pt idx="12">
                <c:v>11.308846153846156</c:v>
              </c:pt>
              <c:pt idx="13">
                <c:v>11.233076923076926</c:v>
              </c:pt>
              <c:pt idx="14">
                <c:v>11.157307692307695</c:v>
              </c:pt>
              <c:pt idx="15">
                <c:v>11.081538461538464</c:v>
              </c:pt>
              <c:pt idx="16">
                <c:v>11.005769230769234</c:v>
              </c:pt>
              <c:pt idx="17">
                <c:v>10.93</c:v>
              </c:pt>
              <c:pt idx="18">
                <c:v>10.859</c:v>
              </c:pt>
              <c:pt idx="19">
                <c:v>10.788</c:v>
              </c:pt>
              <c:pt idx="20">
                <c:v>10.717000000000001</c:v>
              </c:pt>
              <c:pt idx="21">
                <c:v>10.646000000000001</c:v>
              </c:pt>
              <c:pt idx="22">
                <c:v>10.575000000000001</c:v>
              </c:pt>
              <c:pt idx="23">
                <c:v>10.504000000000001</c:v>
              </c:pt>
              <c:pt idx="24">
                <c:v>10.433000000000002</c:v>
              </c:pt>
              <c:pt idx="25">
                <c:v>10.362000000000002</c:v>
              </c:pt>
              <c:pt idx="26">
                <c:v>10.291000000000002</c:v>
              </c:pt>
              <c:pt idx="27">
                <c:v>10.220000000000002</c:v>
              </c:pt>
              <c:pt idx="28">
                <c:v>10.149000000000003</c:v>
              </c:pt>
              <c:pt idx="29">
                <c:v>10.078000000000003</c:v>
              </c:pt>
            </c:numLit>
          </c:val>
          <c:smooth val="0"/>
        </c:ser>
        <c:ser>
          <c:idx val="8"/>
          <c:order val="7"/>
          <c:tx>
            <c:v>E (Max)</c:v>
          </c:tx>
          <c:spPr>
            <a:ln w="25400">
              <a:solidFill>
                <a:srgbClr val="FFCC00"/>
              </a:solidFill>
              <a:prstDash val="lgDash"/>
            </a:ln>
          </c:spPr>
          <c:marker>
            <c:symbol val="diamond"/>
            <c:size val="2"/>
            <c:spPr>
              <a:noFill/>
              <a:ln>
                <a:solidFill>
                  <a:srgbClr val="FFCC00"/>
                </a:solidFill>
                <a:prstDash val="solid"/>
              </a:ln>
            </c:spPr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20.992499999999989</c:v>
              </c:pt>
              <c:pt idx="1">
                <c:v>20.891874999999988</c:v>
              </c:pt>
              <c:pt idx="2">
                <c:v>20.791249999999987</c:v>
              </c:pt>
              <c:pt idx="3">
                <c:v>20.690624999999986</c:v>
              </c:pt>
              <c:pt idx="4">
                <c:v>20.59</c:v>
              </c:pt>
              <c:pt idx="5">
                <c:v>20.397692307692306</c:v>
              </c:pt>
              <c:pt idx="6">
                <c:v>20.205384615384613</c:v>
              </c:pt>
              <c:pt idx="7">
                <c:v>20.01307692307692</c:v>
              </c:pt>
              <c:pt idx="8">
                <c:v>19.820769230769226</c:v>
              </c:pt>
              <c:pt idx="9">
                <c:v>19.628461538461533</c:v>
              </c:pt>
              <c:pt idx="10">
                <c:v>19.436153846153839</c:v>
              </c:pt>
              <c:pt idx="11">
                <c:v>19.243846153846146</c:v>
              </c:pt>
              <c:pt idx="12">
                <c:v>19.051538461538453</c:v>
              </c:pt>
              <c:pt idx="13">
                <c:v>18.859230769230759</c:v>
              </c:pt>
              <c:pt idx="14">
                <c:v>18.666923076923066</c:v>
              </c:pt>
              <c:pt idx="15">
                <c:v>18.474615384615372</c:v>
              </c:pt>
              <c:pt idx="16">
                <c:v>18.282307692307679</c:v>
              </c:pt>
              <c:pt idx="17">
                <c:v>18.09</c:v>
              </c:pt>
              <c:pt idx="18">
                <c:v>17.970333333333333</c:v>
              </c:pt>
              <c:pt idx="19">
                <c:v>17.850666666666665</c:v>
              </c:pt>
              <c:pt idx="20">
                <c:v>17.730999999999998</c:v>
              </c:pt>
              <c:pt idx="21">
                <c:v>17.611333333333331</c:v>
              </c:pt>
              <c:pt idx="22">
                <c:v>17.491666666666664</c:v>
              </c:pt>
              <c:pt idx="23">
                <c:v>17.371999999999996</c:v>
              </c:pt>
              <c:pt idx="24">
                <c:v>17.252333333333329</c:v>
              </c:pt>
              <c:pt idx="25">
                <c:v>17.132666666666662</c:v>
              </c:pt>
              <c:pt idx="26">
                <c:v>17.012999999999995</c:v>
              </c:pt>
              <c:pt idx="27">
                <c:v>16.893333333333327</c:v>
              </c:pt>
              <c:pt idx="28">
                <c:v>16.77366666666666</c:v>
              </c:pt>
              <c:pt idx="29">
                <c:v>16.653999999999993</c:v>
              </c:pt>
            </c:numLit>
          </c:val>
          <c:smooth val="0"/>
        </c:ser>
        <c:ser>
          <c:idx val="4"/>
          <c:order val="8"/>
          <c:tx>
            <c:v>E (Mean)</c:v>
          </c:tx>
          <c:spPr>
            <a:ln w="25400">
              <a:solidFill>
                <a:srgbClr val="CC99FF"/>
              </a:solidFill>
              <a:prstDash val="lgDash"/>
            </a:ln>
          </c:spPr>
          <c:marker>
            <c:symbol val="square"/>
            <c:size val="2"/>
            <c:spPr>
              <a:noFill/>
              <a:ln w="9525">
                <a:noFill/>
              </a:ln>
            </c:spPr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16.605288461538457</c:v>
              </c:pt>
              <c:pt idx="1">
                <c:v>16.51709134615384</c:v>
              </c:pt>
              <c:pt idx="2">
                <c:v>16.428894230769224</c:v>
              </c:pt>
              <c:pt idx="3">
                <c:v>16.340697115384607</c:v>
              </c:pt>
              <c:pt idx="4">
                <c:v>16.252500000000001</c:v>
              </c:pt>
              <c:pt idx="5">
                <c:v>16.118461538461538</c:v>
              </c:pt>
              <c:pt idx="6">
                <c:v>15.984423076923076</c:v>
              </c:pt>
              <c:pt idx="7">
                <c:v>15.850384615384614</c:v>
              </c:pt>
              <c:pt idx="8">
                <c:v>15.716346153846153</c:v>
              </c:pt>
              <c:pt idx="9">
                <c:v>15.58230769230769</c:v>
              </c:pt>
              <c:pt idx="10">
                <c:v>15.448269230769228</c:v>
              </c:pt>
              <c:pt idx="11">
                <c:v>15.314230769230766</c:v>
              </c:pt>
              <c:pt idx="12">
                <c:v>15.180192307692305</c:v>
              </c:pt>
              <c:pt idx="13">
                <c:v>15.046153846153842</c:v>
              </c:pt>
              <c:pt idx="14">
                <c:v>14.91211538461538</c:v>
              </c:pt>
              <c:pt idx="15">
                <c:v>14.778076923076918</c:v>
              </c:pt>
              <c:pt idx="16">
                <c:v>14.644038461538457</c:v>
              </c:pt>
              <c:pt idx="17">
                <c:v>14.51</c:v>
              </c:pt>
              <c:pt idx="18">
                <c:v>14.414666666666665</c:v>
              </c:pt>
              <c:pt idx="19">
                <c:v>14.319333333333333</c:v>
              </c:pt>
              <c:pt idx="20">
                <c:v>14.224</c:v>
              </c:pt>
              <c:pt idx="21">
                <c:v>14.128666666666666</c:v>
              </c:pt>
              <c:pt idx="22">
                <c:v>14.033333333333331</c:v>
              </c:pt>
              <c:pt idx="23">
                <c:v>13.937999999999999</c:v>
              </c:pt>
              <c:pt idx="24">
                <c:v>13.842666666666666</c:v>
              </c:pt>
              <c:pt idx="25">
                <c:v>13.747333333333332</c:v>
              </c:pt>
              <c:pt idx="26">
                <c:v>13.651999999999997</c:v>
              </c:pt>
              <c:pt idx="27">
                <c:v>13.556666666666665</c:v>
              </c:pt>
              <c:pt idx="28">
                <c:v>13.461333333333332</c:v>
              </c:pt>
              <c:pt idx="29">
                <c:v>13.365999999999998</c:v>
              </c:pt>
            </c:numLit>
          </c:val>
          <c:smooth val="1"/>
        </c:ser>
        <c:ser>
          <c:idx val="14"/>
          <c:order val="10"/>
          <c:tx>
            <c:v>Freezing Level</c:v>
          </c:tx>
          <c:spPr>
            <a:ln w="38100">
              <a:solidFill>
                <a:srgbClr val="000080"/>
              </a:solidFill>
              <a:prstDash val="sysDash"/>
            </a:ln>
          </c:spPr>
          <c:marker>
            <c:symbol val="none"/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565120"/>
        <c:axId val="76583296"/>
      </c:lineChart>
      <c:lineChart>
        <c:grouping val="standard"/>
        <c:varyColors val="0"/>
        <c:ser>
          <c:idx val="3"/>
          <c:order val="4"/>
          <c:tx>
            <c:v>Range</c:v>
          </c:tx>
          <c:spPr>
            <a:ln w="38100">
              <a:solidFill>
                <a:srgbClr val="339966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9.6999999999999993</c:v>
              </c:pt>
              <c:pt idx="1">
                <c:v>12.7</c:v>
              </c:pt>
              <c:pt idx="2">
                <c:v>7.8</c:v>
              </c:pt>
              <c:pt idx="3">
                <c:v>4.8</c:v>
              </c:pt>
              <c:pt idx="4">
                <c:v>7.5</c:v>
              </c:pt>
              <c:pt idx="5">
                <c:v>4.9000000000000004</c:v>
              </c:pt>
              <c:pt idx="6">
                <c:v>5.2</c:v>
              </c:pt>
              <c:pt idx="7">
                <c:v>6.8</c:v>
              </c:pt>
              <c:pt idx="8">
                <c:v>6</c:v>
              </c:pt>
              <c:pt idx="9">
                <c:v>6.5</c:v>
              </c:pt>
              <c:pt idx="10">
                <c:v>5.0999999999999996</c:v>
              </c:pt>
              <c:pt idx="11">
                <c:v>6</c:v>
              </c:pt>
              <c:pt idx="12">
                <c:v>6.1</c:v>
              </c:pt>
              <c:pt idx="13">
                <c:v>8.5</c:v>
              </c:pt>
              <c:pt idx="14">
                <c:v>12.8</c:v>
              </c:pt>
              <c:pt idx="15">
                <c:v>9.3000000000000007</c:v>
              </c:pt>
              <c:pt idx="16">
                <c:v>8.3000000000000007</c:v>
              </c:pt>
              <c:pt idx="17">
                <c:v>8.3000000000000007</c:v>
              </c:pt>
              <c:pt idx="18">
                <c:v>8.9</c:v>
              </c:pt>
              <c:pt idx="19">
                <c:v>3.8</c:v>
              </c:pt>
              <c:pt idx="20">
                <c:v>3.9</c:v>
              </c:pt>
              <c:pt idx="21">
                <c:v>6.1</c:v>
              </c:pt>
              <c:pt idx="22">
                <c:v>8.4</c:v>
              </c:pt>
              <c:pt idx="23">
                <c:v>12.1</c:v>
              </c:pt>
              <c:pt idx="24">
                <c:v>9.5</c:v>
              </c:pt>
              <c:pt idx="25">
                <c:v>6.1</c:v>
              </c:pt>
              <c:pt idx="26">
                <c:v>7.6</c:v>
              </c:pt>
              <c:pt idx="27">
                <c:v>12.3</c:v>
              </c:pt>
              <c:pt idx="28">
                <c:v>12.9</c:v>
              </c:pt>
              <c:pt idx="29">
                <c:v>13.9</c:v>
              </c:pt>
            </c:numLit>
          </c:val>
          <c:smooth val="0"/>
        </c:ser>
        <c:ser>
          <c:idx val="12"/>
          <c:order val="5"/>
          <c:tx>
            <c:v>Cumulative Range</c:v>
          </c:tx>
          <c:spPr>
            <a:ln w="12700">
              <a:solidFill>
                <a:srgbClr val="008000"/>
              </a:solidFill>
              <a:prstDash val="solid"/>
            </a:ln>
          </c:spPr>
          <c:marker>
            <c:symbol val="none"/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9.6999999999999993</c:v>
              </c:pt>
              <c:pt idx="1">
                <c:v>11.2</c:v>
              </c:pt>
              <c:pt idx="2">
                <c:v>10.066666666666666</c:v>
              </c:pt>
              <c:pt idx="3">
                <c:v>8.75</c:v>
              </c:pt>
              <c:pt idx="4">
                <c:v>8.5</c:v>
              </c:pt>
              <c:pt idx="5">
                <c:v>7.8999999999999995</c:v>
              </c:pt>
              <c:pt idx="6">
                <c:v>7.5142857142857142</c:v>
              </c:pt>
              <c:pt idx="7">
                <c:v>7.4249999999999998</c:v>
              </c:pt>
              <c:pt idx="8">
                <c:v>7.2666666666666675</c:v>
              </c:pt>
              <c:pt idx="9">
                <c:v>7.19</c:v>
              </c:pt>
              <c:pt idx="10">
                <c:v>7</c:v>
              </c:pt>
              <c:pt idx="11">
                <c:v>6.916666666666667</c:v>
              </c:pt>
              <c:pt idx="12">
                <c:v>6.8538461538461535</c:v>
              </c:pt>
              <c:pt idx="13">
                <c:v>6.9714285714285706</c:v>
              </c:pt>
              <c:pt idx="14">
                <c:v>7.3599999999999994</c:v>
              </c:pt>
              <c:pt idx="15">
                <c:v>7.4812499999999993</c:v>
              </c:pt>
              <c:pt idx="16">
                <c:v>7.5294117647058814</c:v>
              </c:pt>
              <c:pt idx="17">
                <c:v>7.5722222222222211</c:v>
              </c:pt>
              <c:pt idx="18">
                <c:v>7.6421052631578945</c:v>
              </c:pt>
              <c:pt idx="19">
                <c:v>7.45</c:v>
              </c:pt>
              <c:pt idx="20">
                <c:v>7.2809523809523808</c:v>
              </c:pt>
              <c:pt idx="21">
                <c:v>7.2272727272727275</c:v>
              </c:pt>
              <c:pt idx="22">
                <c:v>7.2782608695652176</c:v>
              </c:pt>
              <c:pt idx="23">
                <c:v>7.479166666666667</c:v>
              </c:pt>
              <c:pt idx="24">
                <c:v>7.56</c:v>
              </c:pt>
              <c:pt idx="25">
                <c:v>7.5038461538461538</c:v>
              </c:pt>
              <c:pt idx="26">
                <c:v>7.5074074074074071</c:v>
              </c:pt>
              <c:pt idx="27">
                <c:v>7.6785714285714288</c:v>
              </c:pt>
              <c:pt idx="28">
                <c:v>7.8586206896551722</c:v>
              </c:pt>
              <c:pt idx="29">
                <c:v>8.06</c:v>
              </c:pt>
            </c:numLit>
          </c:val>
          <c:smooth val="0"/>
        </c:ser>
        <c:ser>
          <c:idx val="11"/>
          <c:order val="9"/>
          <c:tx>
            <c:v>E (Range)</c:v>
          </c:tx>
          <c:spPr>
            <a:ln w="25400">
              <a:solidFill>
                <a:srgbClr val="00FF00"/>
              </a:solidFill>
              <a:prstDash val="lgDash"/>
            </a:ln>
          </c:spPr>
          <c:marker>
            <c:symbol val="none"/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8.7744230769230658</c:v>
              </c:pt>
              <c:pt idx="1">
                <c:v>8.7495673076922955</c:v>
              </c:pt>
              <c:pt idx="2">
                <c:v>8.7247115384615253</c:v>
              </c:pt>
              <c:pt idx="3">
                <c:v>8.699855769230755</c:v>
              </c:pt>
              <c:pt idx="4">
                <c:v>8.6749999999999989</c:v>
              </c:pt>
              <c:pt idx="5">
                <c:v>8.5584615384615361</c:v>
              </c:pt>
              <c:pt idx="6">
                <c:v>8.4419230769230733</c:v>
              </c:pt>
              <c:pt idx="7">
                <c:v>8.3253846153846105</c:v>
              </c:pt>
              <c:pt idx="8">
                <c:v>8.2088461538461477</c:v>
              </c:pt>
              <c:pt idx="9">
                <c:v>8.0923076923076849</c:v>
              </c:pt>
              <c:pt idx="10">
                <c:v>7.9757692307692221</c:v>
              </c:pt>
              <c:pt idx="11">
                <c:v>7.8592307692307593</c:v>
              </c:pt>
              <c:pt idx="12">
                <c:v>7.7426923076922964</c:v>
              </c:pt>
              <c:pt idx="13">
                <c:v>7.6261538461538336</c:v>
              </c:pt>
              <c:pt idx="14">
                <c:v>7.5096153846153708</c:v>
              </c:pt>
              <c:pt idx="15">
                <c:v>7.393076923076908</c:v>
              </c:pt>
              <c:pt idx="16">
                <c:v>7.2765384615384452</c:v>
              </c:pt>
              <c:pt idx="17">
                <c:v>7.16</c:v>
              </c:pt>
              <c:pt idx="18">
                <c:v>7.1113333333333326</c:v>
              </c:pt>
              <c:pt idx="19">
                <c:v>7.0626666666666651</c:v>
              </c:pt>
              <c:pt idx="20">
                <c:v>7.0139999999999976</c:v>
              </c:pt>
              <c:pt idx="21">
                <c:v>6.96533333333333</c:v>
              </c:pt>
              <c:pt idx="22">
                <c:v>6.9166666666666625</c:v>
              </c:pt>
              <c:pt idx="23">
                <c:v>6.867999999999995</c:v>
              </c:pt>
              <c:pt idx="24">
                <c:v>6.8193333333333275</c:v>
              </c:pt>
              <c:pt idx="25">
                <c:v>6.7706666666666599</c:v>
              </c:pt>
              <c:pt idx="26">
                <c:v>6.7219999999999924</c:v>
              </c:pt>
              <c:pt idx="27">
                <c:v>6.6733333333333249</c:v>
              </c:pt>
              <c:pt idx="28">
                <c:v>6.6246666666666574</c:v>
              </c:pt>
              <c:pt idx="29">
                <c:v>6.5759999999999899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584832"/>
        <c:axId val="76586368"/>
      </c:lineChart>
      <c:catAx>
        <c:axId val="76565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6583296"/>
        <c:crossesAt val="-10"/>
        <c:auto val="1"/>
        <c:lblAlgn val="ctr"/>
        <c:lblOffset val="100"/>
        <c:tickLblSkip val="1"/>
        <c:tickMarkSkip val="1"/>
        <c:noMultiLvlLbl val="0"/>
      </c:catAx>
      <c:valAx>
        <c:axId val="76583296"/>
        <c:scaling>
          <c:orientation val="minMax"/>
          <c:max val="30"/>
          <c:min val="0"/>
        </c:scaling>
        <c:delete val="0"/>
        <c:axPos val="l"/>
        <c:majorGridlines>
          <c:spPr>
            <a:ln w="12700">
              <a:solidFill>
                <a:srgbClr val="333333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6565120"/>
        <c:crosses val="autoZero"/>
        <c:crossBetween val="between"/>
        <c:majorUnit val="5"/>
      </c:valAx>
      <c:catAx>
        <c:axId val="765848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6586368"/>
        <c:crosses val="autoZero"/>
        <c:auto val="1"/>
        <c:lblAlgn val="ctr"/>
        <c:lblOffset val="100"/>
        <c:noMultiLvlLbl val="0"/>
      </c:catAx>
      <c:valAx>
        <c:axId val="76586368"/>
        <c:scaling>
          <c:orientation val="minMax"/>
          <c:max val="60"/>
          <c:min val="0"/>
        </c:scaling>
        <c:delete val="0"/>
        <c:axPos val="r"/>
        <c:numFmt formatCode="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6584832"/>
        <c:crosses val="max"/>
        <c:crossBetween val="between"/>
        <c:majorUnit val="10"/>
      </c:valAx>
      <c:spPr>
        <a:solidFill>
          <a:srgbClr val="969696"/>
        </a:solidFill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7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 horizontalDpi="-3"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Relative Humidity / %</a:t>
            </a:r>
          </a:p>
        </c:rich>
      </c:tx>
      <c:layout>
        <c:manualLayout>
          <c:xMode val="edge"/>
          <c:yMode val="edge"/>
          <c:x val="0.44022072348252606"/>
          <c:y val="2.555168408826945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429797670141016E-2"/>
          <c:y val="9.6399644762227746E-2"/>
          <c:w val="0.94788473329245859"/>
          <c:h val="0.85365950482213726"/>
        </c:manualLayout>
      </c:layout>
      <c:lineChart>
        <c:grouping val="standard"/>
        <c:varyColors val="0"/>
        <c:ser>
          <c:idx val="2"/>
          <c:order val="0"/>
          <c:tx>
            <c:v>Max</c:v>
          </c:tx>
          <c:spPr>
            <a:ln w="38100">
              <a:solidFill>
                <a:srgbClr val="008000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003300"/>
              </a:solidFill>
              <a:ln>
                <a:solidFill>
                  <a:srgbClr val="003300"/>
                </a:solidFill>
                <a:prstDash val="solid"/>
              </a:ln>
            </c:spPr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93</c:v>
              </c:pt>
              <c:pt idx="1">
                <c:v>91</c:v>
              </c:pt>
              <c:pt idx="2">
                <c:v>89</c:v>
              </c:pt>
              <c:pt idx="3">
                <c:v>90</c:v>
              </c:pt>
              <c:pt idx="4">
                <c:v>84</c:v>
              </c:pt>
              <c:pt idx="5">
                <c:v>94</c:v>
              </c:pt>
              <c:pt idx="6">
                <c:v>85</c:v>
              </c:pt>
              <c:pt idx="7">
                <c:v>89</c:v>
              </c:pt>
              <c:pt idx="8">
                <c:v>96</c:v>
              </c:pt>
              <c:pt idx="9">
                <c:v>92</c:v>
              </c:pt>
              <c:pt idx="10">
                <c:v>91</c:v>
              </c:pt>
              <c:pt idx="11">
                <c:v>92</c:v>
              </c:pt>
              <c:pt idx="12">
                <c:v>78</c:v>
              </c:pt>
              <c:pt idx="13">
                <c:v>84</c:v>
              </c:pt>
              <c:pt idx="14">
                <c:v>93</c:v>
              </c:pt>
              <c:pt idx="15">
                <c:v>90</c:v>
              </c:pt>
              <c:pt idx="16">
                <c:v>86</c:v>
              </c:pt>
              <c:pt idx="17">
                <c:v>94</c:v>
              </c:pt>
              <c:pt idx="18">
                <c:v>90</c:v>
              </c:pt>
              <c:pt idx="19">
                <c:v>90</c:v>
              </c:pt>
              <c:pt idx="20">
                <c:v>95</c:v>
              </c:pt>
              <c:pt idx="21">
                <c:v>86</c:v>
              </c:pt>
              <c:pt idx="22">
                <c:v>90</c:v>
              </c:pt>
              <c:pt idx="23">
                <c:v>95</c:v>
              </c:pt>
              <c:pt idx="24">
                <c:v>91</c:v>
              </c:pt>
              <c:pt idx="25">
                <c:v>91</c:v>
              </c:pt>
              <c:pt idx="26">
                <c:v>97</c:v>
              </c:pt>
              <c:pt idx="27">
                <c:v>98</c:v>
              </c:pt>
              <c:pt idx="28">
                <c:v>96</c:v>
              </c:pt>
              <c:pt idx="29">
                <c:v>95</c:v>
              </c:pt>
            </c:numLit>
          </c:val>
          <c:smooth val="0"/>
        </c:ser>
        <c:ser>
          <c:idx val="1"/>
          <c:order val="1"/>
          <c:tx>
            <c:v>Min</c:v>
          </c:tx>
          <c:spPr>
            <a:ln w="38100">
              <a:solidFill>
                <a:srgbClr val="FF9900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FF6600"/>
              </a:solidFill>
              <a:ln>
                <a:solidFill>
                  <a:srgbClr val="FF6600"/>
                </a:solidFill>
                <a:prstDash val="solid"/>
              </a:ln>
            </c:spPr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49</c:v>
              </c:pt>
              <c:pt idx="1">
                <c:v>46</c:v>
              </c:pt>
              <c:pt idx="2">
                <c:v>58</c:v>
              </c:pt>
              <c:pt idx="3">
                <c:v>72</c:v>
              </c:pt>
              <c:pt idx="4">
                <c:v>48</c:v>
              </c:pt>
              <c:pt idx="5">
                <c:v>77</c:v>
              </c:pt>
              <c:pt idx="6">
                <c:v>63</c:v>
              </c:pt>
              <c:pt idx="7">
                <c:v>70</c:v>
              </c:pt>
              <c:pt idx="8">
                <c:v>73</c:v>
              </c:pt>
              <c:pt idx="9">
                <c:v>67</c:v>
              </c:pt>
              <c:pt idx="10">
                <c:v>51</c:v>
              </c:pt>
              <c:pt idx="11">
                <c:v>48</c:v>
              </c:pt>
              <c:pt idx="12">
                <c:v>46</c:v>
              </c:pt>
              <c:pt idx="13">
                <c:v>43</c:v>
              </c:pt>
              <c:pt idx="14">
                <c:v>46</c:v>
              </c:pt>
              <c:pt idx="15">
                <c:v>48</c:v>
              </c:pt>
              <c:pt idx="16">
                <c:v>48</c:v>
              </c:pt>
              <c:pt idx="17">
                <c:v>62</c:v>
              </c:pt>
              <c:pt idx="18">
                <c:v>55</c:v>
              </c:pt>
              <c:pt idx="19">
                <c:v>74</c:v>
              </c:pt>
              <c:pt idx="20">
                <c:v>52</c:v>
              </c:pt>
              <c:pt idx="21">
                <c:v>47</c:v>
              </c:pt>
              <c:pt idx="22">
                <c:v>55</c:v>
              </c:pt>
              <c:pt idx="23">
                <c:v>54</c:v>
              </c:pt>
              <c:pt idx="24">
                <c:v>56</c:v>
              </c:pt>
              <c:pt idx="25">
                <c:v>66</c:v>
              </c:pt>
              <c:pt idx="26">
                <c:v>70</c:v>
              </c:pt>
              <c:pt idx="27">
                <c:v>51</c:v>
              </c:pt>
              <c:pt idx="28">
                <c:v>42</c:v>
              </c:pt>
              <c:pt idx="29">
                <c:v>40</c:v>
              </c:pt>
            </c:numLit>
          </c:val>
          <c:smooth val="0"/>
        </c:ser>
        <c:ser>
          <c:idx val="3"/>
          <c:order val="2"/>
          <c:tx>
            <c:v>Mean</c:v>
          </c:tx>
          <c:spPr>
            <a:ln w="38100">
              <a:solidFill>
                <a:srgbClr val="993366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800080"/>
              </a:solidFill>
              <a:ln>
                <a:solidFill>
                  <a:srgbClr val="800080"/>
                </a:solidFill>
                <a:prstDash val="solid"/>
              </a:ln>
            </c:spPr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71</c:v>
              </c:pt>
              <c:pt idx="1">
                <c:v>71</c:v>
              </c:pt>
              <c:pt idx="2">
                <c:v>72</c:v>
              </c:pt>
              <c:pt idx="3">
                <c:v>82</c:v>
              </c:pt>
              <c:pt idx="4">
                <c:v>70</c:v>
              </c:pt>
              <c:pt idx="5">
                <c:v>85</c:v>
              </c:pt>
              <c:pt idx="6">
                <c:v>76</c:v>
              </c:pt>
              <c:pt idx="7">
                <c:v>80</c:v>
              </c:pt>
              <c:pt idx="8">
                <c:v>85</c:v>
              </c:pt>
              <c:pt idx="9">
                <c:v>82</c:v>
              </c:pt>
              <c:pt idx="10">
                <c:v>75</c:v>
              </c:pt>
              <c:pt idx="11">
                <c:v>71</c:v>
              </c:pt>
              <c:pt idx="12">
                <c:v>65</c:v>
              </c:pt>
              <c:pt idx="13">
                <c:v>64</c:v>
              </c:pt>
              <c:pt idx="14">
                <c:v>69</c:v>
              </c:pt>
              <c:pt idx="15">
                <c:v>70</c:v>
              </c:pt>
              <c:pt idx="16">
                <c:v>74</c:v>
              </c:pt>
              <c:pt idx="17">
                <c:v>82</c:v>
              </c:pt>
              <c:pt idx="18">
                <c:v>76</c:v>
              </c:pt>
              <c:pt idx="19">
                <c:v>79</c:v>
              </c:pt>
              <c:pt idx="20">
                <c:v>79</c:v>
              </c:pt>
              <c:pt idx="21">
                <c:v>69</c:v>
              </c:pt>
              <c:pt idx="22">
                <c:v>73</c:v>
              </c:pt>
              <c:pt idx="23">
                <c:v>76</c:v>
              </c:pt>
              <c:pt idx="24">
                <c:v>77</c:v>
              </c:pt>
              <c:pt idx="25">
                <c:v>82</c:v>
              </c:pt>
              <c:pt idx="26">
                <c:v>88</c:v>
              </c:pt>
              <c:pt idx="27">
                <c:v>77</c:v>
              </c:pt>
              <c:pt idx="28">
                <c:v>72</c:v>
              </c:pt>
              <c:pt idx="29">
                <c:v>69</c:v>
              </c:pt>
            </c:numLit>
          </c:val>
          <c:smooth val="0"/>
        </c:ser>
        <c:ser>
          <c:idx val="5"/>
          <c:order val="5"/>
          <c:tx>
            <c:v>Cumulative Mean</c:v>
          </c:tx>
          <c:spPr>
            <a:ln w="12700">
              <a:solidFill>
                <a:srgbClr val="CC99FF"/>
              </a:solidFill>
              <a:prstDash val="solid"/>
            </a:ln>
          </c:spPr>
          <c:marker>
            <c:symbol val="none"/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71</c:v>
              </c:pt>
              <c:pt idx="1">
                <c:v>71</c:v>
              </c:pt>
              <c:pt idx="2">
                <c:v>71.333333333333329</c:v>
              </c:pt>
              <c:pt idx="3">
                <c:v>74</c:v>
              </c:pt>
              <c:pt idx="4">
                <c:v>73.2</c:v>
              </c:pt>
              <c:pt idx="5">
                <c:v>75.166666666666671</c:v>
              </c:pt>
              <c:pt idx="6">
                <c:v>75.285714285714292</c:v>
              </c:pt>
              <c:pt idx="7">
                <c:v>75.875</c:v>
              </c:pt>
              <c:pt idx="8">
                <c:v>76.888888888888886</c:v>
              </c:pt>
              <c:pt idx="9">
                <c:v>77.400000000000006</c:v>
              </c:pt>
              <c:pt idx="10">
                <c:v>77.181818181818187</c:v>
              </c:pt>
              <c:pt idx="11">
                <c:v>76.666666666666671</c:v>
              </c:pt>
              <c:pt idx="12">
                <c:v>75.769230769230774</c:v>
              </c:pt>
              <c:pt idx="13">
                <c:v>74.928571428571431</c:v>
              </c:pt>
              <c:pt idx="14">
                <c:v>74.533333333333331</c:v>
              </c:pt>
              <c:pt idx="15">
                <c:v>74.25</c:v>
              </c:pt>
              <c:pt idx="16">
                <c:v>74.235294117647058</c:v>
              </c:pt>
              <c:pt idx="17">
                <c:v>74.666666666666671</c:v>
              </c:pt>
              <c:pt idx="18">
                <c:v>74.736842105263165</c:v>
              </c:pt>
              <c:pt idx="19">
                <c:v>74.95</c:v>
              </c:pt>
              <c:pt idx="20">
                <c:v>75.142857142857139</c:v>
              </c:pt>
              <c:pt idx="21">
                <c:v>74.86363636363636</c:v>
              </c:pt>
              <c:pt idx="22">
                <c:v>74.782608695652172</c:v>
              </c:pt>
              <c:pt idx="23">
                <c:v>74.833333333333329</c:v>
              </c:pt>
              <c:pt idx="24">
                <c:v>74.92</c:v>
              </c:pt>
              <c:pt idx="25">
                <c:v>75.192307692307693</c:v>
              </c:pt>
              <c:pt idx="26">
                <c:v>75.666666666666671</c:v>
              </c:pt>
              <c:pt idx="27">
                <c:v>75.714285714285708</c:v>
              </c:pt>
              <c:pt idx="28">
                <c:v>75.58620689655173</c:v>
              </c:pt>
              <c:pt idx="29">
                <c:v>75.36666666666666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2104576"/>
        <c:axId val="132106112"/>
      </c:lineChart>
      <c:lineChart>
        <c:grouping val="standard"/>
        <c:varyColors val="0"/>
        <c:ser>
          <c:idx val="0"/>
          <c:order val="3"/>
          <c:tx>
            <c:v>Range</c:v>
          </c:tx>
          <c:spPr>
            <a:ln w="25400">
              <a:solidFill>
                <a:srgbClr val="00FF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339966"/>
              </a:solidFill>
              <a:ln>
                <a:solidFill>
                  <a:srgbClr val="339966"/>
                </a:solidFill>
                <a:prstDash val="solid"/>
              </a:ln>
            </c:spPr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44</c:v>
              </c:pt>
              <c:pt idx="1">
                <c:v>45</c:v>
              </c:pt>
              <c:pt idx="2">
                <c:v>31</c:v>
              </c:pt>
              <c:pt idx="3">
                <c:v>18</c:v>
              </c:pt>
              <c:pt idx="4">
                <c:v>36</c:v>
              </c:pt>
              <c:pt idx="5">
                <c:v>17</c:v>
              </c:pt>
              <c:pt idx="6">
                <c:v>22</c:v>
              </c:pt>
              <c:pt idx="7">
                <c:v>19</c:v>
              </c:pt>
              <c:pt idx="8">
                <c:v>23</c:v>
              </c:pt>
              <c:pt idx="9">
                <c:v>25</c:v>
              </c:pt>
              <c:pt idx="10">
                <c:v>40</c:v>
              </c:pt>
              <c:pt idx="11">
                <c:v>44</c:v>
              </c:pt>
              <c:pt idx="12">
                <c:v>32</c:v>
              </c:pt>
              <c:pt idx="13">
                <c:v>41</c:v>
              </c:pt>
              <c:pt idx="14">
                <c:v>47</c:v>
              </c:pt>
              <c:pt idx="15">
                <c:v>42</c:v>
              </c:pt>
              <c:pt idx="16">
                <c:v>38</c:v>
              </c:pt>
              <c:pt idx="17">
                <c:v>32</c:v>
              </c:pt>
              <c:pt idx="18">
                <c:v>35</c:v>
              </c:pt>
              <c:pt idx="19">
                <c:v>16</c:v>
              </c:pt>
              <c:pt idx="20">
                <c:v>43</c:v>
              </c:pt>
              <c:pt idx="21">
                <c:v>39</c:v>
              </c:pt>
              <c:pt idx="22">
                <c:v>35</c:v>
              </c:pt>
              <c:pt idx="23">
                <c:v>41</c:v>
              </c:pt>
              <c:pt idx="24">
                <c:v>35</c:v>
              </c:pt>
              <c:pt idx="25">
                <c:v>25</c:v>
              </c:pt>
              <c:pt idx="26">
                <c:v>27</c:v>
              </c:pt>
              <c:pt idx="27">
                <c:v>47</c:v>
              </c:pt>
              <c:pt idx="28">
                <c:v>54</c:v>
              </c:pt>
              <c:pt idx="29">
                <c:v>55</c:v>
              </c:pt>
            </c:numLit>
          </c:val>
          <c:smooth val="0"/>
        </c:ser>
        <c:ser>
          <c:idx val="4"/>
          <c:order val="4"/>
          <c:tx>
            <c:v>Rainfall</c:v>
          </c:tx>
          <c:spPr>
            <a:ln w="25400">
              <a:solidFill>
                <a:srgbClr val="33CCCC"/>
              </a:solidFill>
              <a:prstDash val="solid"/>
            </a:ln>
          </c:spPr>
          <c:marker>
            <c:symbol val="none"/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3.8</c:v>
              </c:pt>
              <c:pt idx="4">
                <c:v>0.3</c:v>
              </c:pt>
              <c:pt idx="5">
                <c:v>21.7</c:v>
              </c:pt>
              <c:pt idx="6">
                <c:v>0.5</c:v>
              </c:pt>
              <c:pt idx="7">
                <c:v>0.3</c:v>
              </c:pt>
              <c:pt idx="8">
                <c:v>3.8</c:v>
              </c:pt>
              <c:pt idx="9">
                <c:v>0.3</c:v>
              </c:pt>
              <c:pt idx="10">
                <c:v>3.6</c:v>
              </c:pt>
              <c:pt idx="11">
                <c:v>0.3</c:v>
              </c:pt>
              <c:pt idx="12">
                <c:v>0.3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1.4</c:v>
              </c:pt>
              <c:pt idx="17">
                <c:v>0.1</c:v>
              </c:pt>
              <c:pt idx="18">
                <c:v>0</c:v>
              </c:pt>
              <c:pt idx="19">
                <c:v>1.6</c:v>
              </c:pt>
              <c:pt idx="20">
                <c:v>0.8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3</c:v>
              </c:pt>
              <c:pt idx="26">
                <c:v>0.3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2107648"/>
        <c:axId val="132711552"/>
      </c:lineChart>
      <c:catAx>
        <c:axId val="1321045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21061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32106112"/>
        <c:scaling>
          <c:orientation val="minMax"/>
          <c:max val="100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2104576"/>
        <c:crosses val="autoZero"/>
        <c:crossBetween val="between"/>
        <c:majorUnit val="20"/>
      </c:valAx>
      <c:catAx>
        <c:axId val="1321076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2711552"/>
        <c:crosses val="autoZero"/>
        <c:auto val="1"/>
        <c:lblAlgn val="ctr"/>
        <c:lblOffset val="100"/>
        <c:noMultiLvlLbl val="0"/>
      </c:catAx>
      <c:valAx>
        <c:axId val="132711552"/>
        <c:scaling>
          <c:orientation val="minMax"/>
          <c:max val="200"/>
          <c:min val="0"/>
        </c:scaling>
        <c:delete val="0"/>
        <c:axPos val="r"/>
        <c:numFmt formatCode="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2107648"/>
        <c:crosses val="max"/>
        <c:crossBetween val="between"/>
        <c:majorUnit val="40"/>
      </c:valAx>
      <c:spPr>
        <a:solidFill>
          <a:srgbClr val="969696"/>
        </a:solidFill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6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Pressure / hPa</a:t>
            </a:r>
          </a:p>
        </c:rich>
      </c:tx>
      <c:layout>
        <c:manualLayout>
          <c:xMode val="edge"/>
          <c:yMode val="edge"/>
          <c:x val="0.45677498467198036"/>
          <c:y val="1.858304297328687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94788473329246E-2"/>
          <c:y val="8.5946671233793417E-2"/>
          <c:w val="0.94665849172286942"/>
          <c:h val="0.86411247835057159"/>
        </c:manualLayout>
      </c:layout>
      <c:lineChart>
        <c:grouping val="standard"/>
        <c:varyColors val="0"/>
        <c:ser>
          <c:idx val="5"/>
          <c:order val="0"/>
          <c:tx>
            <c:v>Cum. Mean</c:v>
          </c:tx>
          <c:spPr>
            <a:ln w="12700">
              <a:solidFill>
                <a:srgbClr val="993366"/>
              </a:solidFill>
              <a:prstDash val="solid"/>
            </a:ln>
          </c:spPr>
          <c:marker>
            <c:symbol val="square"/>
            <c:size val="2"/>
            <c:spPr>
              <a:noFill/>
              <a:ln>
                <a:solidFill>
                  <a:srgbClr val="808080"/>
                </a:solidFill>
                <a:prstDash val="solid"/>
              </a:ln>
            </c:spPr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1014</c:v>
              </c:pt>
              <c:pt idx="1">
                <c:v>1012.5</c:v>
              </c:pt>
              <c:pt idx="2">
                <c:v>1011.1666666666666</c:v>
              </c:pt>
              <c:pt idx="3">
                <c:v>1009.875</c:v>
              </c:pt>
              <c:pt idx="4">
                <c:v>1010.2</c:v>
              </c:pt>
              <c:pt idx="5">
                <c:v>1009.8333333333334</c:v>
              </c:pt>
              <c:pt idx="6">
                <c:v>1009.7857142857143</c:v>
              </c:pt>
              <c:pt idx="7">
                <c:v>1009.75</c:v>
              </c:pt>
              <c:pt idx="8">
                <c:v>1009.6666666666666</c:v>
              </c:pt>
              <c:pt idx="9">
                <c:v>1009.3</c:v>
              </c:pt>
              <c:pt idx="10">
                <c:v>1008.9090909090909</c:v>
              </c:pt>
              <c:pt idx="11">
                <c:v>1008.5833333333334</c:v>
              </c:pt>
              <c:pt idx="12">
                <c:v>1008.8846153846154</c:v>
              </c:pt>
              <c:pt idx="13">
                <c:v>1009.5357142857143</c:v>
              </c:pt>
              <c:pt idx="14">
                <c:v>1010.2333333333333</c:v>
              </c:pt>
              <c:pt idx="15">
                <c:v>1010.46875</c:v>
              </c:pt>
              <c:pt idx="16">
                <c:v>1010.2352941176471</c:v>
              </c:pt>
              <c:pt idx="17">
                <c:v>1009.9722222222222</c:v>
              </c:pt>
              <c:pt idx="18">
                <c:v>1010.1052631578947</c:v>
              </c:pt>
              <c:pt idx="19">
                <c:v>1010.45</c:v>
              </c:pt>
              <c:pt idx="20">
                <c:v>1010.7619047619048</c:v>
              </c:pt>
              <c:pt idx="21">
                <c:v>1011.1590909090909</c:v>
              </c:pt>
              <c:pt idx="22">
                <c:v>1011.4565217391304</c:v>
              </c:pt>
              <c:pt idx="23">
                <c:v>1011.6041666666666</c:v>
              </c:pt>
              <c:pt idx="24">
                <c:v>1011.8</c:v>
              </c:pt>
              <c:pt idx="25">
                <c:v>1012.1538461538462</c:v>
              </c:pt>
              <c:pt idx="26">
                <c:v>1012.7407407407408</c:v>
              </c:pt>
              <c:pt idx="27">
                <c:v>1013.2321428571429</c:v>
              </c:pt>
              <c:pt idx="28">
                <c:v>1013.6034482758621</c:v>
              </c:pt>
              <c:pt idx="29">
                <c:v>1013.9166666666666</c:v>
              </c:pt>
            </c:numLit>
          </c:val>
          <c:smooth val="0"/>
        </c:ser>
        <c:ser>
          <c:idx val="1"/>
          <c:order val="1"/>
          <c:tx>
            <c:v>Max</c:v>
          </c:tx>
          <c:spPr>
            <a:ln w="38100">
              <a:solidFill>
                <a:srgbClr val="00CCFF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1016</c:v>
              </c:pt>
              <c:pt idx="1">
                <c:v>1012</c:v>
              </c:pt>
              <c:pt idx="2">
                <c:v>1010</c:v>
              </c:pt>
              <c:pt idx="3">
                <c:v>1007</c:v>
              </c:pt>
              <c:pt idx="4">
                <c:v>1015</c:v>
              </c:pt>
              <c:pt idx="5">
                <c:v>1012</c:v>
              </c:pt>
              <c:pt idx="6">
                <c:v>1012</c:v>
              </c:pt>
              <c:pt idx="7">
                <c:v>1011</c:v>
              </c:pt>
              <c:pt idx="8">
                <c:v>1010</c:v>
              </c:pt>
              <c:pt idx="9">
                <c:v>1009</c:v>
              </c:pt>
              <c:pt idx="10">
                <c:v>1007</c:v>
              </c:pt>
              <c:pt idx="11">
                <c:v>1010</c:v>
              </c:pt>
              <c:pt idx="12">
                <c:v>1015</c:v>
              </c:pt>
              <c:pt idx="13">
                <c:v>1020</c:v>
              </c:pt>
              <c:pt idx="14">
                <c:v>1021</c:v>
              </c:pt>
              <c:pt idx="15">
                <c:v>1019</c:v>
              </c:pt>
              <c:pt idx="16">
                <c:v>1009</c:v>
              </c:pt>
              <c:pt idx="17">
                <c:v>1008</c:v>
              </c:pt>
              <c:pt idx="18">
                <c:v>1017</c:v>
              </c:pt>
              <c:pt idx="19">
                <c:v>1018</c:v>
              </c:pt>
              <c:pt idx="20">
                <c:v>1018</c:v>
              </c:pt>
              <c:pt idx="21">
                <c:v>1021</c:v>
              </c:pt>
              <c:pt idx="22">
                <c:v>1020</c:v>
              </c:pt>
              <c:pt idx="23">
                <c:v>1016</c:v>
              </c:pt>
              <c:pt idx="24">
                <c:v>1017</c:v>
              </c:pt>
              <c:pt idx="25">
                <c:v>1026</c:v>
              </c:pt>
              <c:pt idx="26">
                <c:v>1030</c:v>
              </c:pt>
              <c:pt idx="27">
                <c:v>1029</c:v>
              </c:pt>
              <c:pt idx="28">
                <c:v>1025</c:v>
              </c:pt>
              <c:pt idx="29">
                <c:v>1024</c:v>
              </c:pt>
            </c:numLit>
          </c:val>
          <c:smooth val="0"/>
        </c:ser>
        <c:ser>
          <c:idx val="0"/>
          <c:order val="3"/>
          <c:tx>
            <c:v>Min</c:v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1012</c:v>
              </c:pt>
              <c:pt idx="1">
                <c:v>1010</c:v>
              </c:pt>
              <c:pt idx="2">
                <c:v>1007</c:v>
              </c:pt>
              <c:pt idx="3">
                <c:v>1005</c:v>
              </c:pt>
              <c:pt idx="4">
                <c:v>1008</c:v>
              </c:pt>
              <c:pt idx="5">
                <c:v>1004</c:v>
              </c:pt>
              <c:pt idx="6">
                <c:v>1007</c:v>
              </c:pt>
              <c:pt idx="7">
                <c:v>1008</c:v>
              </c:pt>
              <c:pt idx="8">
                <c:v>1008</c:v>
              </c:pt>
              <c:pt idx="9">
                <c:v>1003</c:v>
              </c:pt>
              <c:pt idx="10">
                <c:v>1003</c:v>
              </c:pt>
              <c:pt idx="11">
                <c:v>1000</c:v>
              </c:pt>
              <c:pt idx="12">
                <c:v>1010</c:v>
              </c:pt>
              <c:pt idx="13">
                <c:v>1016</c:v>
              </c:pt>
              <c:pt idx="14">
                <c:v>1019</c:v>
              </c:pt>
              <c:pt idx="15">
                <c:v>1009</c:v>
              </c:pt>
              <c:pt idx="16">
                <c:v>1004</c:v>
              </c:pt>
              <c:pt idx="17">
                <c:v>1003</c:v>
              </c:pt>
              <c:pt idx="18">
                <c:v>1008</c:v>
              </c:pt>
              <c:pt idx="19">
                <c:v>1016</c:v>
              </c:pt>
              <c:pt idx="20">
                <c:v>1016</c:v>
              </c:pt>
              <c:pt idx="21">
                <c:v>1018</c:v>
              </c:pt>
              <c:pt idx="22">
                <c:v>1016</c:v>
              </c:pt>
              <c:pt idx="23">
                <c:v>1014</c:v>
              </c:pt>
              <c:pt idx="24">
                <c:v>1016</c:v>
              </c:pt>
              <c:pt idx="25">
                <c:v>1016</c:v>
              </c:pt>
              <c:pt idx="26">
                <c:v>1026</c:v>
              </c:pt>
              <c:pt idx="27">
                <c:v>1024</c:v>
              </c:pt>
              <c:pt idx="28">
                <c:v>1023</c:v>
              </c:pt>
              <c:pt idx="29">
                <c:v>1022</c:v>
              </c:pt>
            </c:numLit>
          </c:val>
          <c:smooth val="0"/>
        </c:ser>
        <c:ser>
          <c:idx val="4"/>
          <c:order val="4"/>
          <c:tx>
            <c:v>MSLP</c:v>
          </c:tx>
          <c:spPr>
            <a:ln w="25400">
              <a:solidFill>
                <a:srgbClr val="CC99FF"/>
              </a:solidFill>
              <a:prstDash val="lgDash"/>
            </a:ln>
          </c:spPr>
          <c:marker>
            <c:symbol val="none"/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1013.25</c:v>
              </c:pt>
              <c:pt idx="1">
                <c:v>1013.25</c:v>
              </c:pt>
              <c:pt idx="2">
                <c:v>1013.25</c:v>
              </c:pt>
              <c:pt idx="3">
                <c:v>1013.25</c:v>
              </c:pt>
              <c:pt idx="4">
                <c:v>1013.25</c:v>
              </c:pt>
              <c:pt idx="5">
                <c:v>1013.25</c:v>
              </c:pt>
              <c:pt idx="6">
                <c:v>1013.25</c:v>
              </c:pt>
              <c:pt idx="7">
                <c:v>1013.25</c:v>
              </c:pt>
              <c:pt idx="8">
                <c:v>1013.25</c:v>
              </c:pt>
              <c:pt idx="9">
                <c:v>1013.25</c:v>
              </c:pt>
              <c:pt idx="10">
                <c:v>1013.25</c:v>
              </c:pt>
              <c:pt idx="11">
                <c:v>1013.25</c:v>
              </c:pt>
              <c:pt idx="12">
                <c:v>1013.25</c:v>
              </c:pt>
              <c:pt idx="13">
                <c:v>1013.25</c:v>
              </c:pt>
              <c:pt idx="14">
                <c:v>1013.25</c:v>
              </c:pt>
              <c:pt idx="15">
                <c:v>1013.25</c:v>
              </c:pt>
              <c:pt idx="16">
                <c:v>1013.25</c:v>
              </c:pt>
              <c:pt idx="17">
                <c:v>1013.25</c:v>
              </c:pt>
              <c:pt idx="18">
                <c:v>1013.25</c:v>
              </c:pt>
              <c:pt idx="19">
                <c:v>1013.25</c:v>
              </c:pt>
              <c:pt idx="20">
                <c:v>1013.25</c:v>
              </c:pt>
              <c:pt idx="21">
                <c:v>1013.25</c:v>
              </c:pt>
              <c:pt idx="22">
                <c:v>1013.25</c:v>
              </c:pt>
              <c:pt idx="23">
                <c:v>1013.25</c:v>
              </c:pt>
              <c:pt idx="24">
                <c:v>1013.25</c:v>
              </c:pt>
              <c:pt idx="25">
                <c:v>1013.25</c:v>
              </c:pt>
              <c:pt idx="26">
                <c:v>1013.25</c:v>
              </c:pt>
              <c:pt idx="27">
                <c:v>1013.25</c:v>
              </c:pt>
              <c:pt idx="28">
                <c:v>1013.25</c:v>
              </c:pt>
              <c:pt idx="29">
                <c:v>1013.25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2769664"/>
        <c:axId val="132771200"/>
      </c:lineChart>
      <c:lineChart>
        <c:grouping val="standard"/>
        <c:varyColors val="0"/>
        <c:ser>
          <c:idx val="3"/>
          <c:order val="2"/>
          <c:tx>
            <c:v>Range</c:v>
          </c:tx>
          <c:spPr>
            <a:ln w="25400">
              <a:solidFill>
                <a:srgbClr val="00FF00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4</c:v>
              </c:pt>
              <c:pt idx="1">
                <c:v>2</c:v>
              </c:pt>
              <c:pt idx="2">
                <c:v>3</c:v>
              </c:pt>
              <c:pt idx="3">
                <c:v>2</c:v>
              </c:pt>
              <c:pt idx="4">
                <c:v>7</c:v>
              </c:pt>
              <c:pt idx="5">
                <c:v>8</c:v>
              </c:pt>
              <c:pt idx="6">
                <c:v>5</c:v>
              </c:pt>
              <c:pt idx="7">
                <c:v>3</c:v>
              </c:pt>
              <c:pt idx="8">
                <c:v>2</c:v>
              </c:pt>
              <c:pt idx="9">
                <c:v>6</c:v>
              </c:pt>
              <c:pt idx="10">
                <c:v>4</c:v>
              </c:pt>
              <c:pt idx="11">
                <c:v>10</c:v>
              </c:pt>
              <c:pt idx="12">
                <c:v>5</c:v>
              </c:pt>
              <c:pt idx="13">
                <c:v>4</c:v>
              </c:pt>
              <c:pt idx="14">
                <c:v>2</c:v>
              </c:pt>
              <c:pt idx="15">
                <c:v>10</c:v>
              </c:pt>
              <c:pt idx="16">
                <c:v>5</c:v>
              </c:pt>
              <c:pt idx="17">
                <c:v>5</c:v>
              </c:pt>
              <c:pt idx="18">
                <c:v>9</c:v>
              </c:pt>
              <c:pt idx="19">
                <c:v>2</c:v>
              </c:pt>
              <c:pt idx="20">
                <c:v>2</c:v>
              </c:pt>
              <c:pt idx="21">
                <c:v>3</c:v>
              </c:pt>
              <c:pt idx="22">
                <c:v>4</c:v>
              </c:pt>
              <c:pt idx="23">
                <c:v>2</c:v>
              </c:pt>
              <c:pt idx="24">
                <c:v>1</c:v>
              </c:pt>
              <c:pt idx="25">
                <c:v>10</c:v>
              </c:pt>
              <c:pt idx="26">
                <c:v>4</c:v>
              </c:pt>
              <c:pt idx="27">
                <c:v>5</c:v>
              </c:pt>
              <c:pt idx="28">
                <c:v>2</c:v>
              </c:pt>
              <c:pt idx="29">
                <c:v>2</c:v>
              </c:pt>
            </c:numLit>
          </c:val>
          <c:smooth val="0"/>
        </c:ser>
        <c:ser>
          <c:idx val="6"/>
          <c:order val="5"/>
          <c:tx>
            <c:v>Rainfall/3</c:v>
          </c:tx>
          <c:spPr>
            <a:ln w="12700">
              <a:solidFill>
                <a:srgbClr val="33CCCC"/>
              </a:solidFill>
              <a:prstDash val="solid"/>
            </a:ln>
          </c:spPr>
          <c:marker>
            <c:symbol val="none"/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1.2666666666666666</c:v>
              </c:pt>
              <c:pt idx="4">
                <c:v>9.9999999999999992E-2</c:v>
              </c:pt>
              <c:pt idx="5">
                <c:v>7.2333333333333334</c:v>
              </c:pt>
              <c:pt idx="6">
                <c:v>0.16666666666666666</c:v>
              </c:pt>
              <c:pt idx="7">
                <c:v>9.9999999999999992E-2</c:v>
              </c:pt>
              <c:pt idx="8">
                <c:v>1.2666666666666666</c:v>
              </c:pt>
              <c:pt idx="9">
                <c:v>9.9999999999999992E-2</c:v>
              </c:pt>
              <c:pt idx="10">
                <c:v>1.2</c:v>
              </c:pt>
              <c:pt idx="11">
                <c:v>9.9999999999999992E-2</c:v>
              </c:pt>
              <c:pt idx="12">
                <c:v>9.9999999999999992E-2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0.46666666666666662</c:v>
              </c:pt>
              <c:pt idx="17">
                <c:v>3.3333333333333333E-2</c:v>
              </c:pt>
              <c:pt idx="18">
                <c:v>0</c:v>
              </c:pt>
              <c:pt idx="19">
                <c:v>0.53333333333333333</c:v>
              </c:pt>
              <c:pt idx="20">
                <c:v>0.26666666666666666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1</c:v>
              </c:pt>
              <c:pt idx="26">
                <c:v>9.9999999999999992E-2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2772992"/>
        <c:axId val="132774528"/>
      </c:lineChart>
      <c:catAx>
        <c:axId val="1327696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27712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32771200"/>
        <c:scaling>
          <c:orientation val="minMax"/>
          <c:max val="1030"/>
          <c:min val="990"/>
        </c:scaling>
        <c:delete val="0"/>
        <c:axPos val="l"/>
        <c:majorGridlines>
          <c:spPr>
            <a:ln w="3175">
              <a:solidFill>
                <a:srgbClr val="333333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2769664"/>
        <c:crosses val="autoZero"/>
        <c:crossBetween val="between"/>
        <c:majorUnit val="10"/>
      </c:valAx>
      <c:catAx>
        <c:axId val="1327729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2774528"/>
        <c:crosses val="autoZero"/>
        <c:auto val="1"/>
        <c:lblAlgn val="ctr"/>
        <c:lblOffset val="100"/>
        <c:noMultiLvlLbl val="0"/>
      </c:catAx>
      <c:valAx>
        <c:axId val="132774528"/>
        <c:scaling>
          <c:orientation val="minMax"/>
          <c:max val="80"/>
          <c:min val="0"/>
        </c:scaling>
        <c:delete val="0"/>
        <c:axPos val="r"/>
        <c:numFmt formatCode="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2772992"/>
        <c:crosses val="max"/>
        <c:crossBetween val="between"/>
        <c:majorUnit val="20"/>
      </c:valAx>
      <c:spPr>
        <a:solidFill>
          <a:srgbClr val="969696"/>
        </a:solidFill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 sz="14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Wind Speed / mh</a:t>
            </a:r>
            <a:r>
              <a:rPr lang="en-GB" sz="1400" b="1" i="0" u="none" strike="noStrike" baseline="30000">
                <a:solidFill>
                  <a:srgbClr val="000000"/>
                </a:solidFill>
                <a:latin typeface="Arial"/>
                <a:cs typeface="Arial"/>
              </a:rPr>
              <a:t>-1</a:t>
            </a:r>
          </a:p>
        </c:rich>
      </c:tx>
      <c:layout>
        <c:manualLayout>
          <c:xMode val="edge"/>
          <c:yMode val="edge"/>
          <c:x val="0.44800000000000001"/>
          <c:y val="1.990632318501171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4E-2"/>
          <c:y val="8.6651053864168617E-2"/>
          <c:w val="0.95753846153846156"/>
          <c:h val="0.86299765807962525"/>
        </c:manualLayout>
      </c:layout>
      <c:lineChart>
        <c:grouping val="standard"/>
        <c:varyColors val="0"/>
        <c:ser>
          <c:idx val="1"/>
          <c:order val="0"/>
          <c:tx>
            <c:v>Mean</c:v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800000"/>
              </a:solidFill>
              <a:ln>
                <a:solidFill>
                  <a:srgbClr val="800000"/>
                </a:solidFill>
                <a:prstDash val="solid"/>
              </a:ln>
            </c:spPr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4.3</c:v>
              </c:pt>
              <c:pt idx="1">
                <c:v>3.4</c:v>
              </c:pt>
              <c:pt idx="2">
                <c:v>5.5</c:v>
              </c:pt>
              <c:pt idx="3">
                <c:v>5.4</c:v>
              </c:pt>
              <c:pt idx="4">
                <c:v>8</c:v>
              </c:pt>
              <c:pt idx="5">
                <c:v>9.8000000000000007</c:v>
              </c:pt>
              <c:pt idx="6">
                <c:v>7.6</c:v>
              </c:pt>
              <c:pt idx="7">
                <c:v>5.9</c:v>
              </c:pt>
              <c:pt idx="8">
                <c:v>4.4000000000000004</c:v>
              </c:pt>
              <c:pt idx="9">
                <c:v>6.4</c:v>
              </c:pt>
              <c:pt idx="10">
                <c:v>7.8</c:v>
              </c:pt>
              <c:pt idx="11">
                <c:v>10.8</c:v>
              </c:pt>
              <c:pt idx="12">
                <c:v>7.5</c:v>
              </c:pt>
              <c:pt idx="13">
                <c:v>5</c:v>
              </c:pt>
              <c:pt idx="14">
                <c:v>2.1</c:v>
              </c:pt>
              <c:pt idx="15">
                <c:v>4.7</c:v>
              </c:pt>
              <c:pt idx="16">
                <c:v>6.2</c:v>
              </c:pt>
              <c:pt idx="17">
                <c:v>3.5</c:v>
              </c:pt>
              <c:pt idx="18">
                <c:v>5.3</c:v>
              </c:pt>
              <c:pt idx="19">
                <c:v>7.4</c:v>
              </c:pt>
              <c:pt idx="20">
                <c:v>4.2</c:v>
              </c:pt>
              <c:pt idx="21">
                <c:v>4.7</c:v>
              </c:pt>
              <c:pt idx="22">
                <c:v>4.5</c:v>
              </c:pt>
              <c:pt idx="23">
                <c:v>2.5</c:v>
              </c:pt>
              <c:pt idx="24">
                <c:v>5.3</c:v>
              </c:pt>
              <c:pt idx="25">
                <c:v>3.8</c:v>
              </c:pt>
              <c:pt idx="26">
                <c:v>2</c:v>
              </c:pt>
              <c:pt idx="27">
                <c:v>2.2999999999999998</c:v>
              </c:pt>
              <c:pt idx="28">
                <c:v>1.8</c:v>
              </c:pt>
              <c:pt idx="29">
                <c:v>2.2000000000000002</c:v>
              </c:pt>
            </c:numLit>
          </c:val>
          <c:smooth val="0"/>
        </c:ser>
        <c:ser>
          <c:idx val="0"/>
          <c:order val="1"/>
          <c:tx>
            <c:v>E (Mean)</c:v>
          </c:tx>
          <c:spPr>
            <a:ln w="25400">
              <a:solidFill>
                <a:srgbClr val="FF99CC"/>
              </a:solidFill>
              <a:prstDash val="lgDash"/>
            </a:ln>
          </c:spPr>
          <c:marker>
            <c:symbol val="none"/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3.8730000000000002</c:v>
              </c:pt>
              <c:pt idx="1">
                <c:v>3.8730000000000002</c:v>
              </c:pt>
              <c:pt idx="2">
                <c:v>3.8730000000000002</c:v>
              </c:pt>
              <c:pt idx="3">
                <c:v>3.8730000000000002</c:v>
              </c:pt>
              <c:pt idx="4">
                <c:v>3.8730000000000002</c:v>
              </c:pt>
              <c:pt idx="5">
                <c:v>3.8730000000000002</c:v>
              </c:pt>
              <c:pt idx="6">
                <c:v>3.8730000000000002</c:v>
              </c:pt>
              <c:pt idx="7">
                <c:v>3.8730000000000002</c:v>
              </c:pt>
              <c:pt idx="8">
                <c:v>3.8730000000000002</c:v>
              </c:pt>
              <c:pt idx="9">
                <c:v>3.8730000000000002</c:v>
              </c:pt>
              <c:pt idx="10">
                <c:v>3.8730000000000002</c:v>
              </c:pt>
              <c:pt idx="11">
                <c:v>3.8730000000000002</c:v>
              </c:pt>
              <c:pt idx="12">
                <c:v>3.8730000000000002</c:v>
              </c:pt>
              <c:pt idx="13">
                <c:v>3.8730000000000002</c:v>
              </c:pt>
              <c:pt idx="14">
                <c:v>3.8730000000000002</c:v>
              </c:pt>
              <c:pt idx="15">
                <c:v>3.8730000000000002</c:v>
              </c:pt>
              <c:pt idx="16">
                <c:v>3.8730000000000002</c:v>
              </c:pt>
              <c:pt idx="17">
                <c:v>3.8730000000000002</c:v>
              </c:pt>
              <c:pt idx="18">
                <c:v>3.8730000000000002</c:v>
              </c:pt>
              <c:pt idx="19">
                <c:v>3.8730000000000002</c:v>
              </c:pt>
              <c:pt idx="20">
                <c:v>3.8730000000000002</c:v>
              </c:pt>
              <c:pt idx="21">
                <c:v>3.8730000000000002</c:v>
              </c:pt>
              <c:pt idx="22">
                <c:v>3.8730000000000002</c:v>
              </c:pt>
              <c:pt idx="23">
                <c:v>3.8730000000000002</c:v>
              </c:pt>
              <c:pt idx="24">
                <c:v>3.8730000000000002</c:v>
              </c:pt>
              <c:pt idx="25">
                <c:v>3.8730000000000002</c:v>
              </c:pt>
              <c:pt idx="26">
                <c:v>3.8730000000000002</c:v>
              </c:pt>
              <c:pt idx="27">
                <c:v>3.8730000000000002</c:v>
              </c:pt>
              <c:pt idx="28">
                <c:v>3.8730000000000002</c:v>
              </c:pt>
              <c:pt idx="29">
                <c:v>3.8730000000000002</c:v>
              </c:pt>
            </c:numLit>
          </c:val>
          <c:smooth val="0"/>
        </c:ser>
        <c:ser>
          <c:idx val="2"/>
          <c:order val="4"/>
          <c:tx>
            <c:v>Cumulative Mean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4.3</c:v>
              </c:pt>
              <c:pt idx="1">
                <c:v>3.8499999999999996</c:v>
              </c:pt>
              <c:pt idx="2">
                <c:v>4.3999999999999995</c:v>
              </c:pt>
              <c:pt idx="3">
                <c:v>4.6500000000000004</c:v>
              </c:pt>
              <c:pt idx="4">
                <c:v>5.32</c:v>
              </c:pt>
              <c:pt idx="5">
                <c:v>6.0666666666666673</c:v>
              </c:pt>
              <c:pt idx="6">
                <c:v>6.2857142857142865</c:v>
              </c:pt>
              <c:pt idx="7">
                <c:v>6.2375000000000007</c:v>
              </c:pt>
              <c:pt idx="8">
                <c:v>6.0333333333333341</c:v>
              </c:pt>
              <c:pt idx="9">
                <c:v>6.07</c:v>
              </c:pt>
              <c:pt idx="10">
                <c:v>6.2272727272727275</c:v>
              </c:pt>
              <c:pt idx="11">
                <c:v>6.6083333333333334</c:v>
              </c:pt>
              <c:pt idx="12">
                <c:v>6.6769230769230763</c:v>
              </c:pt>
              <c:pt idx="13">
                <c:v>6.5571428571428569</c:v>
              </c:pt>
              <c:pt idx="14">
                <c:v>6.26</c:v>
              </c:pt>
              <c:pt idx="15">
                <c:v>6.1624999999999996</c:v>
              </c:pt>
              <c:pt idx="16">
                <c:v>6.1647058823529406</c:v>
              </c:pt>
              <c:pt idx="17">
                <c:v>6.0166666666666666</c:v>
              </c:pt>
              <c:pt idx="18">
                <c:v>5.9789473684210526</c:v>
              </c:pt>
              <c:pt idx="19">
                <c:v>6.05</c:v>
              </c:pt>
              <c:pt idx="20">
                <c:v>5.961904761904762</c:v>
              </c:pt>
              <c:pt idx="21">
                <c:v>5.9045454545454552</c:v>
              </c:pt>
              <c:pt idx="22">
                <c:v>5.8434782608695652</c:v>
              </c:pt>
              <c:pt idx="23">
                <c:v>5.7041666666666666</c:v>
              </c:pt>
              <c:pt idx="24">
                <c:v>5.6880000000000006</c:v>
              </c:pt>
              <c:pt idx="25">
                <c:v>5.6153846153846168</c:v>
              </c:pt>
              <c:pt idx="26">
                <c:v>5.4814814814814827</c:v>
              </c:pt>
              <c:pt idx="27">
                <c:v>5.3678571428571447</c:v>
              </c:pt>
              <c:pt idx="28">
                <c:v>5.244827586206898</c:v>
              </c:pt>
              <c:pt idx="29">
                <c:v>5.1433333333333344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3466368"/>
        <c:axId val="133484928"/>
      </c:lineChart>
      <c:lineChart>
        <c:grouping val="standard"/>
        <c:varyColors val="0"/>
        <c:ser>
          <c:idx val="3"/>
          <c:order val="2"/>
          <c:tx>
            <c:v>Max Gust</c:v>
          </c:tx>
          <c:spPr>
            <a:ln w="28575">
              <a:noFill/>
            </a:ln>
          </c:spPr>
          <c:marker>
            <c:symbol val="circle"/>
            <c:size val="9"/>
            <c:spPr>
              <a:solidFill>
                <a:srgbClr val="FFCC00"/>
              </a:solidFill>
              <a:ln>
                <a:solidFill>
                  <a:srgbClr val="FFCC00"/>
                </a:solidFill>
                <a:prstDash val="solid"/>
              </a:ln>
            </c:spPr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16.600000000000001</c:v>
              </c:pt>
              <c:pt idx="1">
                <c:v>13</c:v>
              </c:pt>
              <c:pt idx="2">
                <c:v>16.3</c:v>
              </c:pt>
              <c:pt idx="3">
                <c:v>17</c:v>
              </c:pt>
              <c:pt idx="4">
                <c:v>29.9</c:v>
              </c:pt>
              <c:pt idx="5">
                <c:v>33.9</c:v>
              </c:pt>
              <c:pt idx="6">
                <c:v>23.7</c:v>
              </c:pt>
              <c:pt idx="7">
                <c:v>20.6</c:v>
              </c:pt>
              <c:pt idx="8">
                <c:v>15.2</c:v>
              </c:pt>
              <c:pt idx="9">
                <c:v>24.4</c:v>
              </c:pt>
              <c:pt idx="10">
                <c:v>31.7</c:v>
              </c:pt>
              <c:pt idx="11">
                <c:v>37.4</c:v>
              </c:pt>
              <c:pt idx="12">
                <c:v>27.7</c:v>
              </c:pt>
              <c:pt idx="13">
                <c:v>17.3</c:v>
              </c:pt>
              <c:pt idx="14">
                <c:v>10.9</c:v>
              </c:pt>
              <c:pt idx="15">
                <c:v>17.5</c:v>
              </c:pt>
              <c:pt idx="16">
                <c:v>19.899999999999999</c:v>
              </c:pt>
              <c:pt idx="17">
                <c:v>10</c:v>
              </c:pt>
              <c:pt idx="18">
                <c:v>17.600000000000001</c:v>
              </c:pt>
              <c:pt idx="19">
                <c:v>22.1</c:v>
              </c:pt>
              <c:pt idx="20">
                <c:v>22.5</c:v>
              </c:pt>
              <c:pt idx="21">
                <c:v>17</c:v>
              </c:pt>
              <c:pt idx="22">
                <c:v>13</c:v>
              </c:pt>
              <c:pt idx="23">
                <c:v>10.9</c:v>
              </c:pt>
              <c:pt idx="24">
                <c:v>25.3</c:v>
              </c:pt>
              <c:pt idx="25">
                <c:v>15.4</c:v>
              </c:pt>
              <c:pt idx="26">
                <c:v>9.8000000000000007</c:v>
              </c:pt>
              <c:pt idx="27">
                <c:v>14.5</c:v>
              </c:pt>
              <c:pt idx="28">
                <c:v>12.5</c:v>
              </c:pt>
              <c:pt idx="29">
                <c:v>14.5</c:v>
              </c:pt>
            </c:numLit>
          </c:val>
          <c:smooth val="0"/>
        </c:ser>
        <c:ser>
          <c:idx val="4"/>
          <c:order val="3"/>
          <c:tx>
            <c:v>Max Average</c:v>
          </c:tx>
          <c:spPr>
            <a:ln w="28575">
              <a:noFill/>
            </a:ln>
          </c:spPr>
          <c:marker>
            <c:symbol val="circle"/>
            <c:size val="6"/>
            <c:spPr>
              <a:solidFill>
                <a:srgbClr val="800000"/>
              </a:solidFill>
              <a:ln>
                <a:solidFill>
                  <a:srgbClr val="800000"/>
                </a:solidFill>
                <a:prstDash val="solid"/>
              </a:ln>
            </c:spPr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11.2</c:v>
              </c:pt>
              <c:pt idx="1">
                <c:v>9.6999999999999993</c:v>
              </c:pt>
              <c:pt idx="2">
                <c:v>13.2</c:v>
              </c:pt>
              <c:pt idx="3">
                <c:v>12.1</c:v>
              </c:pt>
              <c:pt idx="4">
                <c:v>20.7</c:v>
              </c:pt>
              <c:pt idx="5">
                <c:v>21</c:v>
              </c:pt>
              <c:pt idx="6">
                <c:v>16.100000000000001</c:v>
              </c:pt>
              <c:pt idx="7">
                <c:v>13</c:v>
              </c:pt>
              <c:pt idx="8">
                <c:v>11.2</c:v>
              </c:pt>
              <c:pt idx="9">
                <c:v>16.100000000000001</c:v>
              </c:pt>
              <c:pt idx="10">
                <c:v>21.5</c:v>
              </c:pt>
              <c:pt idx="11">
                <c:v>22.1</c:v>
              </c:pt>
              <c:pt idx="12">
                <c:v>20.8</c:v>
              </c:pt>
              <c:pt idx="13">
                <c:v>11.4</c:v>
              </c:pt>
              <c:pt idx="14">
                <c:v>8.1</c:v>
              </c:pt>
              <c:pt idx="15">
                <c:v>13</c:v>
              </c:pt>
              <c:pt idx="16">
                <c:v>15.4</c:v>
              </c:pt>
              <c:pt idx="17">
                <c:v>7.8</c:v>
              </c:pt>
              <c:pt idx="18">
                <c:v>12.1</c:v>
              </c:pt>
              <c:pt idx="19">
                <c:v>14.5</c:v>
              </c:pt>
              <c:pt idx="20">
                <c:v>15.2</c:v>
              </c:pt>
              <c:pt idx="21">
                <c:v>11.8</c:v>
              </c:pt>
              <c:pt idx="22">
                <c:v>11.4</c:v>
              </c:pt>
              <c:pt idx="23">
                <c:v>9.1999999999999993</c:v>
              </c:pt>
              <c:pt idx="24">
                <c:v>17.3</c:v>
              </c:pt>
              <c:pt idx="25">
                <c:v>11.2</c:v>
              </c:pt>
              <c:pt idx="26">
                <c:v>7.1</c:v>
              </c:pt>
              <c:pt idx="27">
                <c:v>10.199999999999999</c:v>
              </c:pt>
              <c:pt idx="28">
                <c:v>9.8000000000000007</c:v>
              </c:pt>
              <c:pt idx="29">
                <c:v>10.7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3486464"/>
        <c:axId val="133488000"/>
      </c:lineChart>
      <c:catAx>
        <c:axId val="133466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34849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33484928"/>
        <c:scaling>
          <c:orientation val="minMax"/>
          <c:max val="10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3466368"/>
        <c:crosses val="autoZero"/>
        <c:crossBetween val="between"/>
        <c:majorUnit val="2"/>
      </c:valAx>
      <c:catAx>
        <c:axId val="1334864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3488000"/>
        <c:crosses val="autoZero"/>
        <c:auto val="1"/>
        <c:lblAlgn val="ctr"/>
        <c:lblOffset val="100"/>
        <c:noMultiLvlLbl val="0"/>
      </c:catAx>
      <c:valAx>
        <c:axId val="133488000"/>
        <c:scaling>
          <c:orientation val="minMax"/>
          <c:max val="50"/>
          <c:min val="0"/>
        </c:scaling>
        <c:delete val="0"/>
        <c:axPos val="r"/>
        <c:numFmt formatCode="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3486464"/>
        <c:crosses val="max"/>
        <c:crossBetween val="between"/>
        <c:majorUnit val="10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Sun Hours / h</a:t>
            </a:r>
          </a:p>
        </c:rich>
      </c:tx>
      <c:layout>
        <c:manualLayout>
          <c:xMode val="edge"/>
          <c:yMode val="edge"/>
          <c:x val="0.46040541433241655"/>
          <c:y val="2.803738317757009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941082492304096E-2"/>
          <c:y val="9.2289772270286646E-2"/>
          <c:w val="0.97360402135369983"/>
          <c:h val="0.85747712463785308"/>
        </c:manualLayout>
      </c:layout>
      <c:barChart>
        <c:barDir val="col"/>
        <c:grouping val="clustered"/>
        <c:varyColors val="0"/>
        <c:ser>
          <c:idx val="1"/>
          <c:order val="0"/>
          <c:tx>
            <c:v>Sun</c:v>
          </c:tx>
          <c:spPr>
            <a:solidFill>
              <a:srgbClr val="FFFF00"/>
            </a:solidFill>
            <a:ln w="12700">
              <a:solidFill>
                <a:srgbClr val="C0C0C0"/>
              </a:solidFill>
              <a:prstDash val="solid"/>
            </a:ln>
          </c:spPr>
          <c:invertIfNegative val="0"/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8</c:v>
              </c:pt>
              <c:pt idx="1">
                <c:v>8</c:v>
              </c:pt>
              <c:pt idx="2">
                <c:v>6</c:v>
              </c:pt>
              <c:pt idx="3">
                <c:v>1.5</c:v>
              </c:pt>
              <c:pt idx="4">
                <c:v>6</c:v>
              </c:pt>
              <c:pt idx="5">
                <c:v>0</c:v>
              </c:pt>
              <c:pt idx="6">
                <c:v>1.5</c:v>
              </c:pt>
              <c:pt idx="7">
                <c:v>2</c:v>
              </c:pt>
              <c:pt idx="8">
                <c:v>0.5</c:v>
              </c:pt>
              <c:pt idx="9">
                <c:v>2</c:v>
              </c:pt>
              <c:pt idx="10">
                <c:v>6</c:v>
              </c:pt>
              <c:pt idx="11">
                <c:v>6</c:v>
              </c:pt>
              <c:pt idx="12">
                <c:v>7</c:v>
              </c:pt>
              <c:pt idx="13">
                <c:v>9</c:v>
              </c:pt>
              <c:pt idx="14">
                <c:v>8</c:v>
              </c:pt>
              <c:pt idx="15">
                <c:v>6</c:v>
              </c:pt>
              <c:pt idx="16">
                <c:v>4</c:v>
              </c:pt>
              <c:pt idx="17">
                <c:v>4</c:v>
              </c:pt>
              <c:pt idx="18">
                <c:v>6</c:v>
              </c:pt>
              <c:pt idx="19">
                <c:v>0.5</c:v>
              </c:pt>
              <c:pt idx="20">
                <c:v>3.5</c:v>
              </c:pt>
              <c:pt idx="21">
                <c:v>4.5</c:v>
              </c:pt>
              <c:pt idx="22">
                <c:v>9</c:v>
              </c:pt>
              <c:pt idx="23">
                <c:v>6</c:v>
              </c:pt>
              <c:pt idx="24">
                <c:v>7.5</c:v>
              </c:pt>
              <c:pt idx="25">
                <c:v>1</c:v>
              </c:pt>
              <c:pt idx="26">
                <c:v>5</c:v>
              </c:pt>
              <c:pt idx="27">
                <c:v>10.6</c:v>
              </c:pt>
              <c:pt idx="28">
                <c:v>10.61</c:v>
              </c:pt>
              <c:pt idx="29">
                <c:v>10.6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overlap val="100"/>
        <c:axId val="75914240"/>
        <c:axId val="133645056"/>
      </c:barChart>
      <c:catAx>
        <c:axId val="75914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36450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33645056"/>
        <c:scaling>
          <c:orientation val="minMax"/>
          <c:max val="12.3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5914240"/>
        <c:crosses val="autoZero"/>
        <c:crossBetween val="between"/>
        <c:majorUnit val="2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Cumulative Rain / mm</a:t>
            </a:r>
          </a:p>
        </c:rich>
      </c:tx>
      <c:layout>
        <c:manualLayout>
          <c:xMode val="edge"/>
          <c:yMode val="edge"/>
          <c:x val="0.43726963096402616"/>
          <c:y val="1.97444831591173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985254257748993E-2"/>
          <c:y val="9.2915320252749636E-2"/>
          <c:w val="0.94649503340194097"/>
          <c:h val="0.85714382933161537"/>
        </c:manualLayout>
      </c:layout>
      <c:lineChart>
        <c:grouping val="standard"/>
        <c:varyColors val="0"/>
        <c:ser>
          <c:idx val="1"/>
          <c:order val="0"/>
          <c:tx>
            <c:v>Cumulative Rain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3.8</c:v>
              </c:pt>
              <c:pt idx="4">
                <c:v>4.0999999999999996</c:v>
              </c:pt>
              <c:pt idx="5">
                <c:v>25.799999999999997</c:v>
              </c:pt>
              <c:pt idx="6">
                <c:v>26.299999999999997</c:v>
              </c:pt>
              <c:pt idx="7">
                <c:v>26.599999999999998</c:v>
              </c:pt>
              <c:pt idx="8">
                <c:v>30.4</c:v>
              </c:pt>
              <c:pt idx="9">
                <c:v>30.7</c:v>
              </c:pt>
              <c:pt idx="10">
                <c:v>34.299999999999997</c:v>
              </c:pt>
              <c:pt idx="11">
                <c:v>34.599999999999994</c:v>
              </c:pt>
              <c:pt idx="12">
                <c:v>34.899999999999991</c:v>
              </c:pt>
              <c:pt idx="13">
                <c:v>34.899999999999991</c:v>
              </c:pt>
              <c:pt idx="14">
                <c:v>34.899999999999991</c:v>
              </c:pt>
              <c:pt idx="15">
                <c:v>34.899999999999991</c:v>
              </c:pt>
              <c:pt idx="16">
                <c:v>36.29999999999999</c:v>
              </c:pt>
              <c:pt idx="17">
                <c:v>36.399999999999991</c:v>
              </c:pt>
              <c:pt idx="18">
                <c:v>36.399999999999991</c:v>
              </c:pt>
              <c:pt idx="19">
                <c:v>37.999999999999993</c:v>
              </c:pt>
              <c:pt idx="20">
                <c:v>38.79999999999999</c:v>
              </c:pt>
              <c:pt idx="21">
                <c:v>38.79999999999999</c:v>
              </c:pt>
              <c:pt idx="22">
                <c:v>38.79999999999999</c:v>
              </c:pt>
              <c:pt idx="23">
                <c:v>38.79999999999999</c:v>
              </c:pt>
              <c:pt idx="24">
                <c:v>38.79999999999999</c:v>
              </c:pt>
              <c:pt idx="25">
                <c:v>41.79999999999999</c:v>
              </c:pt>
              <c:pt idx="26">
                <c:v>42.099999999999987</c:v>
              </c:pt>
              <c:pt idx="27">
                <c:v>42.099999999999987</c:v>
              </c:pt>
              <c:pt idx="28">
                <c:v>42.099999999999987</c:v>
              </c:pt>
              <c:pt idx="29">
                <c:v>42.099999999999987</c:v>
              </c:pt>
            </c:numLit>
          </c:val>
          <c:smooth val="0"/>
        </c:ser>
        <c:ser>
          <c:idx val="2"/>
          <c:order val="1"/>
          <c:tx>
            <c:v>E (Cumulative Rain)</c:v>
          </c:tx>
          <c:spPr>
            <a:ln w="25400">
              <a:solidFill>
                <a:srgbClr val="00CCFF"/>
              </a:solidFill>
              <a:prstDash val="lgDash"/>
            </a:ln>
          </c:spPr>
          <c:marker>
            <c:symbol val="none"/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2.2000000000000002</c:v>
              </c:pt>
              <c:pt idx="1">
                <c:v>4.4000000000000004</c:v>
              </c:pt>
              <c:pt idx="2">
                <c:v>6.6000000000000005</c:v>
              </c:pt>
              <c:pt idx="3">
                <c:v>8.8000000000000007</c:v>
              </c:pt>
              <c:pt idx="4">
                <c:v>11</c:v>
              </c:pt>
              <c:pt idx="5">
                <c:v>13.200000000000001</c:v>
              </c:pt>
              <c:pt idx="6">
                <c:v>15.400000000000002</c:v>
              </c:pt>
              <c:pt idx="7">
                <c:v>17.600000000000001</c:v>
              </c:pt>
              <c:pt idx="8">
                <c:v>19.8</c:v>
              </c:pt>
              <c:pt idx="9">
                <c:v>22</c:v>
              </c:pt>
              <c:pt idx="10">
                <c:v>24.200000000000003</c:v>
              </c:pt>
              <c:pt idx="11">
                <c:v>26.400000000000002</c:v>
              </c:pt>
              <c:pt idx="12">
                <c:v>28.6</c:v>
              </c:pt>
              <c:pt idx="13">
                <c:v>30.800000000000004</c:v>
              </c:pt>
              <c:pt idx="14">
                <c:v>33</c:v>
              </c:pt>
              <c:pt idx="15">
                <c:v>35.200000000000003</c:v>
              </c:pt>
              <c:pt idx="16">
                <c:v>37.400000000000006</c:v>
              </c:pt>
              <c:pt idx="17">
                <c:v>39.6</c:v>
              </c:pt>
              <c:pt idx="18">
                <c:v>41.800000000000004</c:v>
              </c:pt>
              <c:pt idx="19">
                <c:v>44</c:v>
              </c:pt>
              <c:pt idx="20">
                <c:v>46.2</c:v>
              </c:pt>
              <c:pt idx="21">
                <c:v>48.400000000000006</c:v>
              </c:pt>
              <c:pt idx="22">
                <c:v>50.6</c:v>
              </c:pt>
              <c:pt idx="23">
                <c:v>52.800000000000004</c:v>
              </c:pt>
              <c:pt idx="24">
                <c:v>55.000000000000007</c:v>
              </c:pt>
              <c:pt idx="25">
                <c:v>57.2</c:v>
              </c:pt>
              <c:pt idx="26">
                <c:v>59.400000000000006</c:v>
              </c:pt>
              <c:pt idx="27">
                <c:v>61.600000000000009</c:v>
              </c:pt>
              <c:pt idx="28">
                <c:v>63.800000000000004</c:v>
              </c:pt>
              <c:pt idx="29">
                <c:v>66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3758976"/>
        <c:axId val="133760512"/>
      </c:lineChart>
      <c:lineChart>
        <c:grouping val="standard"/>
        <c:varyColors val="0"/>
        <c:ser>
          <c:idx val="0"/>
          <c:order val="2"/>
          <c:tx>
            <c:v>Cumulative Anomaly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circle"/>
            <c:size val="2"/>
            <c:spPr>
              <a:solidFill>
                <a:srgbClr val="333399"/>
              </a:solidFill>
              <a:ln>
                <a:solidFill>
                  <a:srgbClr val="333399"/>
                </a:solidFill>
                <a:prstDash val="solid"/>
              </a:ln>
            </c:spPr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0.43181818181818177</c:v>
              </c:pt>
              <c:pt idx="4">
                <c:v>0.37272727272727268</c:v>
              </c:pt>
              <c:pt idx="5">
                <c:v>1.9545454545454541</c:v>
              </c:pt>
              <c:pt idx="6">
                <c:v>1.7077922077922074</c:v>
              </c:pt>
              <c:pt idx="7">
                <c:v>1.511363636363636</c:v>
              </c:pt>
              <c:pt idx="8">
                <c:v>1.5353535353535352</c:v>
              </c:pt>
              <c:pt idx="9">
                <c:v>1.3954545454545455</c:v>
              </c:pt>
              <c:pt idx="10">
                <c:v>1.4173553719008261</c:v>
              </c:pt>
              <c:pt idx="11">
                <c:v>1.3106060606060603</c:v>
              </c:pt>
              <c:pt idx="12">
                <c:v>1.22027972027972</c:v>
              </c:pt>
              <c:pt idx="13">
                <c:v>1.1331168831168827</c:v>
              </c:pt>
              <c:pt idx="14">
                <c:v>1.0575757575757574</c:v>
              </c:pt>
              <c:pt idx="15">
                <c:v>0.99147727272727237</c:v>
              </c:pt>
              <c:pt idx="16">
                <c:v>0.9705882352941172</c:v>
              </c:pt>
              <c:pt idx="17">
                <c:v>0.91919191919191889</c:v>
              </c:pt>
              <c:pt idx="18">
                <c:v>0.87081339712918626</c:v>
              </c:pt>
              <c:pt idx="19">
                <c:v>0.86363636363636342</c:v>
              </c:pt>
              <c:pt idx="20">
                <c:v>0.83982683982683959</c:v>
              </c:pt>
              <c:pt idx="21">
                <c:v>0.80165289256198313</c:v>
              </c:pt>
              <c:pt idx="22">
                <c:v>0.76679841897233181</c:v>
              </c:pt>
              <c:pt idx="23">
                <c:v>0.73484848484848464</c:v>
              </c:pt>
              <c:pt idx="24">
                <c:v>0.70545454545454522</c:v>
              </c:pt>
              <c:pt idx="25">
                <c:v>0.7307692307692305</c:v>
              </c:pt>
              <c:pt idx="26">
                <c:v>0.70875420875420847</c:v>
              </c:pt>
              <c:pt idx="27">
                <c:v>0.68344155844155818</c:v>
              </c:pt>
              <c:pt idx="28">
                <c:v>0.65987460815046994</c:v>
              </c:pt>
              <c:pt idx="29">
                <c:v>0.63787878787878771</c:v>
              </c:pt>
            </c:numLit>
          </c:val>
          <c:smooth val="0"/>
        </c:ser>
        <c:ser>
          <c:idx val="3"/>
          <c:order val="3"/>
          <c:tx>
            <c:v>E (Cumulative Anomaly)</c:v>
          </c:tx>
          <c:spPr>
            <a:ln w="3175">
              <a:solidFill>
                <a:srgbClr val="0000FF"/>
              </a:solidFill>
              <a:prstDash val="lgDash"/>
            </a:ln>
          </c:spPr>
          <c:marker>
            <c:symbol val="none"/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1</c:v>
              </c:pt>
              <c:pt idx="1">
                <c:v>1</c:v>
              </c:pt>
              <c:pt idx="2">
                <c:v>1</c:v>
              </c:pt>
              <c:pt idx="3">
                <c:v>1</c:v>
              </c:pt>
              <c:pt idx="4">
                <c:v>1</c:v>
              </c:pt>
              <c:pt idx="5">
                <c:v>1</c:v>
              </c:pt>
              <c:pt idx="6">
                <c:v>1</c:v>
              </c:pt>
              <c:pt idx="7">
                <c:v>1</c:v>
              </c:pt>
              <c:pt idx="8">
                <c:v>1</c:v>
              </c:pt>
              <c:pt idx="9">
                <c:v>1</c:v>
              </c:pt>
              <c:pt idx="10">
                <c:v>1</c:v>
              </c:pt>
              <c:pt idx="11">
                <c:v>1</c:v>
              </c:pt>
              <c:pt idx="12">
                <c:v>1</c:v>
              </c:pt>
              <c:pt idx="13">
                <c:v>1</c:v>
              </c:pt>
              <c:pt idx="14">
                <c:v>1</c:v>
              </c:pt>
              <c:pt idx="15">
                <c:v>1</c:v>
              </c:pt>
              <c:pt idx="16">
                <c:v>1</c:v>
              </c:pt>
              <c:pt idx="17">
                <c:v>1</c:v>
              </c:pt>
              <c:pt idx="18">
                <c:v>1</c:v>
              </c:pt>
              <c:pt idx="19">
                <c:v>1</c:v>
              </c:pt>
              <c:pt idx="20">
                <c:v>1</c:v>
              </c:pt>
              <c:pt idx="21">
                <c:v>1</c:v>
              </c:pt>
              <c:pt idx="22">
                <c:v>1</c:v>
              </c:pt>
              <c:pt idx="23">
                <c:v>1</c:v>
              </c:pt>
              <c:pt idx="24">
                <c:v>1</c:v>
              </c:pt>
              <c:pt idx="25">
                <c:v>1</c:v>
              </c:pt>
              <c:pt idx="26">
                <c:v>1</c:v>
              </c:pt>
              <c:pt idx="27">
                <c:v>1</c:v>
              </c:pt>
              <c:pt idx="28">
                <c:v>1</c:v>
              </c:pt>
              <c:pt idx="29">
                <c:v>1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3762048"/>
        <c:axId val="133763840"/>
      </c:lineChart>
      <c:catAx>
        <c:axId val="133758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37605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33760512"/>
        <c:scaling>
          <c:orientation val="minMax"/>
          <c:max val="7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3758976"/>
        <c:crosses val="autoZero"/>
        <c:crossBetween val="between"/>
        <c:majorUnit val="10"/>
      </c:valAx>
      <c:catAx>
        <c:axId val="1337620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3763840"/>
        <c:crosses val="autoZero"/>
        <c:auto val="1"/>
        <c:lblAlgn val="ctr"/>
        <c:lblOffset val="100"/>
        <c:noMultiLvlLbl val="0"/>
      </c:catAx>
      <c:valAx>
        <c:axId val="133763840"/>
        <c:scaling>
          <c:orientation val="minMax"/>
          <c:max val="1.75"/>
          <c:min val="0"/>
        </c:scaling>
        <c:delete val="0"/>
        <c:axPos val="r"/>
        <c:numFmt formatCode="0%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3762048"/>
        <c:crosses val="max"/>
        <c:crossBetween val="between"/>
        <c:majorUnit val="0.25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 sz="14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Dew Point / </a:t>
            </a:r>
            <a:r>
              <a:rPr lang="en-GB" sz="1400" b="1" i="0" u="none" strike="noStrike" baseline="30000">
                <a:solidFill>
                  <a:srgbClr val="000000"/>
                </a:solidFill>
                <a:latin typeface="Arial"/>
                <a:cs typeface="Arial"/>
              </a:rPr>
              <a:t>o</a:t>
            </a:r>
            <a:r>
              <a:rPr lang="en-GB" sz="14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C</a:t>
            </a:r>
          </a:p>
        </c:rich>
      </c:tx>
      <c:layout>
        <c:manualLayout>
          <c:xMode val="edge"/>
          <c:yMode val="edge"/>
          <c:x val="0.45817984006611717"/>
          <c:y val="1.99296600234466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985254257748993E-2"/>
          <c:y val="8.6752687408804985E-2"/>
          <c:w val="0.97355532025683733"/>
          <c:h val="0.86283753963351983"/>
        </c:manualLayout>
      </c:layout>
      <c:lineChart>
        <c:grouping val="standard"/>
        <c:varyColors val="0"/>
        <c:ser>
          <c:idx val="2"/>
          <c:order val="0"/>
          <c:tx>
            <c:v>Min Dew Point</c:v>
          </c:tx>
          <c:spPr>
            <a:ln w="38100">
              <a:solidFill>
                <a:srgbClr val="99CC00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808000"/>
              </a:solidFill>
              <a:ln>
                <a:solidFill>
                  <a:srgbClr val="808000"/>
                </a:solidFill>
                <a:prstDash val="solid"/>
              </a:ln>
            </c:spPr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8.1999999999999993</c:v>
              </c:pt>
              <c:pt idx="1">
                <c:v>10.199999999999999</c:v>
              </c:pt>
              <c:pt idx="2">
                <c:v>12.1</c:v>
              </c:pt>
              <c:pt idx="3">
                <c:v>9.8000000000000007</c:v>
              </c:pt>
              <c:pt idx="4">
                <c:v>7.3</c:v>
              </c:pt>
              <c:pt idx="5">
                <c:v>9.6</c:v>
              </c:pt>
              <c:pt idx="6">
                <c:v>9</c:v>
              </c:pt>
              <c:pt idx="7">
                <c:v>10.3</c:v>
              </c:pt>
              <c:pt idx="8">
                <c:v>14.6</c:v>
              </c:pt>
              <c:pt idx="9">
                <c:v>12.6</c:v>
              </c:pt>
              <c:pt idx="10">
                <c:v>9.1999999999999993</c:v>
              </c:pt>
              <c:pt idx="11">
                <c:v>7.7</c:v>
              </c:pt>
              <c:pt idx="12">
                <c:v>4.8</c:v>
              </c:pt>
              <c:pt idx="13">
                <c:v>5.6</c:v>
              </c:pt>
              <c:pt idx="14">
                <c:v>5</c:v>
              </c:pt>
              <c:pt idx="15">
                <c:v>9.6</c:v>
              </c:pt>
              <c:pt idx="16">
                <c:v>6.8</c:v>
              </c:pt>
              <c:pt idx="17">
                <c:v>6.8</c:v>
              </c:pt>
              <c:pt idx="18">
                <c:v>7.8</c:v>
              </c:pt>
              <c:pt idx="19">
                <c:v>11.4</c:v>
              </c:pt>
              <c:pt idx="20">
                <c:v>6.5</c:v>
              </c:pt>
              <c:pt idx="21">
                <c:v>6.8</c:v>
              </c:pt>
              <c:pt idx="22">
                <c:v>7.7</c:v>
              </c:pt>
              <c:pt idx="23">
                <c:v>6.3</c:v>
              </c:pt>
              <c:pt idx="24">
                <c:v>9.1999999999999993</c:v>
              </c:pt>
              <c:pt idx="25">
                <c:v>13.3</c:v>
              </c:pt>
              <c:pt idx="26">
                <c:v>12.2</c:v>
              </c:pt>
              <c:pt idx="27">
                <c:v>12.1</c:v>
              </c:pt>
              <c:pt idx="28">
                <c:v>11</c:v>
              </c:pt>
              <c:pt idx="29">
                <c:v>10.5</c:v>
              </c:pt>
            </c:numLit>
          </c:val>
          <c:smooth val="0"/>
        </c:ser>
        <c:ser>
          <c:idx val="3"/>
          <c:order val="1"/>
          <c:tx>
            <c:v>Frost Point</c:v>
          </c:tx>
          <c:spPr>
            <a:ln w="38100">
              <a:solidFill>
                <a:srgbClr val="000080"/>
              </a:solidFill>
              <a:prstDash val="sysDash"/>
            </a:ln>
          </c:spPr>
          <c:marker>
            <c:symbol val="none"/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</c:numLit>
          </c:val>
          <c:smooth val="0"/>
        </c:ser>
        <c:ser>
          <c:idx val="0"/>
          <c:order val="2"/>
          <c:tx>
            <c:v>Mean' Dew Point</c:v>
          </c:tx>
          <c:spPr>
            <a:ln w="38100">
              <a:solidFill>
                <a:srgbClr val="008080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666699"/>
              </a:solidFill>
              <a:ln>
                <a:solidFill>
                  <a:srgbClr val="666699"/>
                </a:solidFill>
                <a:prstDash val="solid"/>
              </a:ln>
            </c:spPr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9.6999999999999993</c:v>
              </c:pt>
              <c:pt idx="1">
                <c:v>13.4</c:v>
              </c:pt>
              <c:pt idx="2">
                <c:v>13.6</c:v>
              </c:pt>
              <c:pt idx="3">
                <c:v>13.6</c:v>
              </c:pt>
              <c:pt idx="4">
                <c:v>9.6999999999999993</c:v>
              </c:pt>
              <c:pt idx="5">
                <c:v>12.9</c:v>
              </c:pt>
              <c:pt idx="6">
                <c:v>9.8000000000000007</c:v>
              </c:pt>
              <c:pt idx="7">
                <c:v>12.3</c:v>
              </c:pt>
              <c:pt idx="8">
                <c:v>15.9</c:v>
              </c:pt>
              <c:pt idx="9">
                <c:v>15.9</c:v>
              </c:pt>
              <c:pt idx="10">
                <c:v>12.3</c:v>
              </c:pt>
              <c:pt idx="11">
                <c:v>12.1</c:v>
              </c:pt>
              <c:pt idx="12">
                <c:v>8.1999999999999993</c:v>
              </c:pt>
              <c:pt idx="13">
                <c:v>7.3</c:v>
              </c:pt>
              <c:pt idx="14">
                <c:v>8.1999999999999993</c:v>
              </c:pt>
              <c:pt idx="15">
                <c:v>11</c:v>
              </c:pt>
              <c:pt idx="16">
                <c:v>9.8000000000000007</c:v>
              </c:pt>
              <c:pt idx="17">
                <c:v>8.6999999999999993</c:v>
              </c:pt>
              <c:pt idx="18">
                <c:v>9.9</c:v>
              </c:pt>
              <c:pt idx="19">
                <c:v>12.9</c:v>
              </c:pt>
              <c:pt idx="20">
                <c:v>11</c:v>
              </c:pt>
              <c:pt idx="21">
                <c:v>9.4</c:v>
              </c:pt>
              <c:pt idx="22">
                <c:v>9.1</c:v>
              </c:pt>
              <c:pt idx="23">
                <c:v>10</c:v>
              </c:pt>
              <c:pt idx="24">
                <c:v>12.4</c:v>
              </c:pt>
              <c:pt idx="25">
                <c:v>14.5</c:v>
              </c:pt>
              <c:pt idx="26">
                <c:v>13.6</c:v>
              </c:pt>
              <c:pt idx="27">
                <c:v>13.9</c:v>
              </c:pt>
              <c:pt idx="28">
                <c:v>13.7</c:v>
              </c:pt>
              <c:pt idx="29">
                <c:v>12.7</c:v>
              </c:pt>
            </c:numLit>
          </c:val>
          <c:smooth val="0"/>
        </c:ser>
        <c:ser>
          <c:idx val="4"/>
          <c:order val="3"/>
          <c:tx>
            <c:v>Max Dew Point</c:v>
          </c:tx>
          <c:spPr>
            <a:ln w="38100">
              <a:solidFill>
                <a:srgbClr val="003300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003366"/>
              </a:solidFill>
              <a:ln>
                <a:solidFill>
                  <a:srgbClr val="003366"/>
                </a:solidFill>
                <a:prstDash val="solid"/>
              </a:ln>
            </c:spPr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12.6</c:v>
              </c:pt>
              <c:pt idx="1">
                <c:v>16</c:v>
              </c:pt>
              <c:pt idx="2">
                <c:v>15.1</c:v>
              </c:pt>
              <c:pt idx="3">
                <c:v>16.399999999999999</c:v>
              </c:pt>
              <c:pt idx="4">
                <c:v>11.8</c:v>
              </c:pt>
              <c:pt idx="5">
                <c:v>15.7</c:v>
              </c:pt>
              <c:pt idx="6">
                <c:v>11.1</c:v>
              </c:pt>
              <c:pt idx="7">
                <c:v>14.8</c:v>
              </c:pt>
              <c:pt idx="8">
                <c:v>17.7</c:v>
              </c:pt>
              <c:pt idx="9">
                <c:v>18.600000000000001</c:v>
              </c:pt>
              <c:pt idx="10">
                <c:v>14.4</c:v>
              </c:pt>
              <c:pt idx="11">
                <c:v>17.2</c:v>
              </c:pt>
              <c:pt idx="12">
                <c:v>11.2</c:v>
              </c:pt>
              <c:pt idx="13">
                <c:v>9.8000000000000007</c:v>
              </c:pt>
              <c:pt idx="14">
                <c:v>11.3</c:v>
              </c:pt>
              <c:pt idx="15">
                <c:v>13</c:v>
              </c:pt>
              <c:pt idx="16">
                <c:v>12.3</c:v>
              </c:pt>
              <c:pt idx="17">
                <c:v>10.9</c:v>
              </c:pt>
              <c:pt idx="18">
                <c:v>12.4</c:v>
              </c:pt>
              <c:pt idx="19">
                <c:v>14.1</c:v>
              </c:pt>
              <c:pt idx="20">
                <c:v>14</c:v>
              </c:pt>
              <c:pt idx="21">
                <c:v>12.2</c:v>
              </c:pt>
              <c:pt idx="22">
                <c:v>11.1</c:v>
              </c:pt>
              <c:pt idx="23">
                <c:v>14.2</c:v>
              </c:pt>
              <c:pt idx="24">
                <c:v>14.7</c:v>
              </c:pt>
              <c:pt idx="25">
                <c:v>16.7</c:v>
              </c:pt>
              <c:pt idx="26">
                <c:v>15.8</c:v>
              </c:pt>
              <c:pt idx="27">
                <c:v>18.100000000000001</c:v>
              </c:pt>
              <c:pt idx="28">
                <c:v>17.399999999999999</c:v>
              </c:pt>
              <c:pt idx="29">
                <c:v>17.2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3798144"/>
        <c:axId val="133804416"/>
      </c:lineChart>
      <c:catAx>
        <c:axId val="1337981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3804416"/>
        <c:crossesAt val="-10"/>
        <c:auto val="1"/>
        <c:lblAlgn val="ctr"/>
        <c:lblOffset val="100"/>
        <c:tickLblSkip val="1"/>
        <c:tickMarkSkip val="1"/>
        <c:noMultiLvlLbl val="0"/>
      </c:catAx>
      <c:valAx>
        <c:axId val="133804416"/>
        <c:scaling>
          <c:orientation val="minMax"/>
          <c:max val="19"/>
          <c:min val="4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3798144"/>
        <c:crosses val="autoZero"/>
        <c:crossBetween val="between"/>
        <c:majorUnit val="2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Mean Wind Direction Frequency</a:t>
            </a:r>
          </a:p>
        </c:rich>
      </c:tx>
      <c:layout>
        <c:manualLayout>
          <c:xMode val="edge"/>
          <c:yMode val="edge"/>
          <c:x val="0.40434296945276205"/>
          <c:y val="2.585193889541715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0809876812071785"/>
          <c:y val="0.15863689776733256"/>
          <c:w val="0.37265279572696353"/>
          <c:h val="0.74618096357226793"/>
        </c:manualLayout>
      </c:layout>
      <c:radarChart>
        <c:radarStyle val="filled"/>
        <c:varyColors val="1"/>
        <c:ser>
          <c:idx val="0"/>
          <c:order val="0"/>
          <c:tx>
            <c:v>Mean Wind Direction</c:v>
          </c:tx>
          <c:spPr>
            <a:solidFill>
              <a:srgbClr val="FF99CC"/>
            </a:solidFill>
            <a:ln w="38100">
              <a:solidFill>
                <a:srgbClr val="FF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</c:dPt>
          <c:dPt>
            <c:idx val="2"/>
            <c:bubble3D val="0"/>
          </c:dPt>
          <c:dPt>
            <c:idx val="3"/>
            <c:bubble3D val="0"/>
          </c:dPt>
          <c:dPt>
            <c:idx val="4"/>
            <c:bubble3D val="0"/>
          </c:dPt>
          <c:dPt>
            <c:idx val="5"/>
            <c:bubble3D val="0"/>
          </c:dPt>
          <c:dPt>
            <c:idx val="6"/>
            <c:bubble3D val="0"/>
          </c:dPt>
          <c:dPt>
            <c:idx val="7"/>
            <c:bubble3D val="0"/>
          </c:dPt>
          <c:dLbls>
            <c:dLbl>
              <c:idx val="0"/>
              <c:layout>
                <c:manualLayout>
                  <c:x val="1.5238847326082999E-3"/>
                  <c:y val="-0.3730394687738063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 val="0.13890589913749488"/>
                  <c:y val="-0.2668100212502814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layout>
                <c:manualLayout>
                  <c:x val="0.16870422074466901"/>
                  <c:y val="-5.824365961305427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layout>
                <c:manualLayout>
                  <c:x val="0.14522908620964167"/>
                  <c:y val="0.2443207466281755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4"/>
              <c:layout>
                <c:manualLayout>
                  <c:x val="1.5238847326082999E-3"/>
                  <c:y val="0.27399354164160739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5"/>
              <c:layout>
                <c:manualLayout>
                  <c:x val="-4.891422877324117E-2"/>
                  <c:y val="5.65058862354308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6"/>
              <c:layout>
                <c:manualLayout>
                  <c:x val="-0.17739354720786049"/>
                  <c:y val="2.4012509599636803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7"/>
              <c:layout>
                <c:manualLayout>
                  <c:x val="-0.14231353243290279"/>
                  <c:y val="-0.26210966872384195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375" b="1" i="0" u="none" strike="noStrike" baseline="0">
                    <a:solidFill>
                      <a:srgbClr val="FF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Lit>
              <c:ptCount val="8"/>
              <c:pt idx="0">
                <c:v>N</c:v>
              </c:pt>
              <c:pt idx="1">
                <c:v>NE</c:v>
              </c:pt>
              <c:pt idx="2">
                <c:v>E</c:v>
              </c:pt>
              <c:pt idx="3">
                <c:v>SE</c:v>
              </c:pt>
              <c:pt idx="4">
                <c:v>S</c:v>
              </c:pt>
              <c:pt idx="5">
                <c:v>SW</c:v>
              </c:pt>
              <c:pt idx="6">
                <c:v>W</c:v>
              </c:pt>
              <c:pt idx="7">
                <c:v>NW</c:v>
              </c:pt>
            </c:strLit>
          </c:cat>
          <c:val>
            <c:numLit>
              <c:formatCode>General</c:formatCode>
              <c:ptCount val="8"/>
              <c:pt idx="0">
                <c:v>0</c:v>
              </c:pt>
              <c:pt idx="1">
                <c:v>0</c:v>
              </c:pt>
              <c:pt idx="2">
                <c:v>3</c:v>
              </c:pt>
              <c:pt idx="3">
                <c:v>1</c:v>
              </c:pt>
              <c:pt idx="4">
                <c:v>5</c:v>
              </c:pt>
              <c:pt idx="5">
                <c:v>18</c:v>
              </c:pt>
              <c:pt idx="6">
                <c:v>3</c:v>
              </c:pt>
              <c:pt idx="7">
                <c:v>0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848064"/>
        <c:axId val="133870336"/>
      </c:radarChart>
      <c:catAx>
        <c:axId val="133848064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3870336"/>
        <c:crosses val="autoZero"/>
        <c:auto val="0"/>
        <c:lblAlgn val="ctr"/>
        <c:lblOffset val="100"/>
        <c:noMultiLvlLbl val="0"/>
      </c:catAx>
      <c:valAx>
        <c:axId val="133870336"/>
        <c:scaling>
          <c:orientation val="minMax"/>
          <c:max val="20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3848064"/>
        <c:crosses val="autoZero"/>
        <c:crossBetween val="between"/>
        <c:majorUnit val="2"/>
      </c:valAx>
      <c:spPr>
        <a:solidFill>
          <a:srgbClr val="C0C0C0"/>
        </a:solidFill>
        <a:ln w="25400">
          <a:noFill/>
        </a:ln>
      </c:spPr>
    </c:plotArea>
    <c:plotVisOnly val="1"/>
    <c:dispBlanksAs val="gap"/>
    <c:showDLblsOverMax val="0"/>
  </c:chart>
  <c:spPr>
    <a:solidFill>
      <a:srgbClr val="C0C0C0"/>
    </a:solidFill>
    <a:ln w="3175">
      <a:solidFill>
        <a:srgbClr val="000000"/>
      </a:solidFill>
      <a:prstDash val="solid"/>
    </a:ln>
  </c:spPr>
  <c:txPr>
    <a:bodyPr/>
    <a:lstStyle/>
    <a:p>
      <a:pPr>
        <a:defRPr sz="23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Cumulative Sun Hours / h</a:t>
            </a:r>
          </a:p>
        </c:rich>
      </c:tx>
      <c:layout>
        <c:manualLayout>
          <c:xMode val="edge"/>
          <c:yMode val="edge"/>
          <c:x val="0.42778132143439052"/>
          <c:y val="2.690058479532163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502160052459488E-2"/>
          <c:y val="8.6549806457655407E-2"/>
          <c:w val="0.9403813516721462"/>
          <c:h val="0.86315888061823898"/>
        </c:manualLayout>
      </c:layout>
      <c:lineChart>
        <c:grouping val="standard"/>
        <c:varyColors val="0"/>
        <c:ser>
          <c:idx val="1"/>
          <c:order val="0"/>
          <c:tx>
            <c:v>Cumulative Sun Hours</c:v>
          </c:tx>
          <c:spPr>
            <a:ln w="38100">
              <a:solidFill>
                <a:srgbClr val="FFFF00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99CC00"/>
              </a:solidFill>
              <a:ln>
                <a:solidFill>
                  <a:srgbClr val="99CC00"/>
                </a:solidFill>
                <a:prstDash val="solid"/>
              </a:ln>
            </c:spPr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8</c:v>
              </c:pt>
              <c:pt idx="1">
                <c:v>16</c:v>
              </c:pt>
              <c:pt idx="2">
                <c:v>22</c:v>
              </c:pt>
              <c:pt idx="3">
                <c:v>23.5</c:v>
              </c:pt>
              <c:pt idx="4">
                <c:v>29.5</c:v>
              </c:pt>
              <c:pt idx="5">
                <c:v>29.5</c:v>
              </c:pt>
              <c:pt idx="6">
                <c:v>31</c:v>
              </c:pt>
              <c:pt idx="7">
                <c:v>33</c:v>
              </c:pt>
              <c:pt idx="8">
                <c:v>33.5</c:v>
              </c:pt>
              <c:pt idx="9">
                <c:v>35.5</c:v>
              </c:pt>
              <c:pt idx="10">
                <c:v>41.5</c:v>
              </c:pt>
              <c:pt idx="11">
                <c:v>47.5</c:v>
              </c:pt>
              <c:pt idx="12">
                <c:v>54.5</c:v>
              </c:pt>
              <c:pt idx="13">
                <c:v>63.5</c:v>
              </c:pt>
              <c:pt idx="14">
                <c:v>71.5</c:v>
              </c:pt>
              <c:pt idx="15">
                <c:v>77.5</c:v>
              </c:pt>
              <c:pt idx="16">
                <c:v>81.5</c:v>
              </c:pt>
              <c:pt idx="17">
                <c:v>85.5</c:v>
              </c:pt>
              <c:pt idx="18">
                <c:v>91.5</c:v>
              </c:pt>
              <c:pt idx="19">
                <c:v>92</c:v>
              </c:pt>
              <c:pt idx="20">
                <c:v>95.5</c:v>
              </c:pt>
              <c:pt idx="21">
                <c:v>100</c:v>
              </c:pt>
              <c:pt idx="22">
                <c:v>109</c:v>
              </c:pt>
              <c:pt idx="23">
                <c:v>115</c:v>
              </c:pt>
              <c:pt idx="24">
                <c:v>122.5</c:v>
              </c:pt>
              <c:pt idx="25">
                <c:v>123.5</c:v>
              </c:pt>
              <c:pt idx="26">
                <c:v>128.5</c:v>
              </c:pt>
              <c:pt idx="27">
                <c:v>139.1</c:v>
              </c:pt>
              <c:pt idx="28">
                <c:v>149.70999999999998</c:v>
              </c:pt>
              <c:pt idx="29">
                <c:v>160.30999999999997</c:v>
              </c:pt>
            </c:numLit>
          </c:val>
          <c:smooth val="0"/>
        </c:ser>
        <c:ser>
          <c:idx val="2"/>
          <c:order val="1"/>
          <c:tx>
            <c:v>E (Cumulative Sun Hours)</c:v>
          </c:tx>
          <c:spPr>
            <a:ln w="25400">
              <a:solidFill>
                <a:srgbClr val="FFFF99"/>
              </a:solidFill>
              <a:prstDash val="lgDash"/>
            </a:ln>
          </c:spPr>
          <c:marker>
            <c:symbol val="diamond"/>
            <c:size val="2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4.9623560016004706</c:v>
              </c:pt>
              <c:pt idx="1">
                <c:v>9.9000899300632845</c:v>
              </c:pt>
              <c:pt idx="2">
                <c:v>14.813137825338689</c:v>
              </c:pt>
              <c:pt idx="3">
                <c:v>19.701439835862526</c:v>
              </c:pt>
              <c:pt idx="4">
                <c:v>24.56494010049046</c:v>
              </c:pt>
              <c:pt idx="5">
                <c:v>29.403586636729816</c:v>
              </c:pt>
              <c:pt idx="6">
                <c:v>34.217331235333148</c:v>
              </c:pt>
              <c:pt idx="7">
                <c:v>39.00612936130932</c:v>
              </c:pt>
              <c:pt idx="8">
                <c:v>43.769940061400376</c:v>
              </c:pt>
              <c:pt idx="9">
                <c:v>48.508725878065896</c:v>
              </c:pt>
              <c:pt idx="10">
                <c:v>53.222452770010499</c:v>
              </c:pt>
              <c:pt idx="11">
                <c:v>57.911090039284929</c:v>
              </c:pt>
              <c:pt idx="12">
                <c:v>62.57461026498644</c:v>
              </c:pt>
              <c:pt idx="13">
                <c:v>67.212989243580253</c:v>
              </c:pt>
              <c:pt idx="14">
                <c:v>71.826205935860031</c:v>
              </c:pt>
              <c:pt idx="15">
                <c:v>76.414242420562445</c:v>
              </c:pt>
              <c:pt idx="16">
                <c:v>80.977083854647944</c:v>
              </c:pt>
              <c:pt idx="17">
                <c:v>85.514718440257639</c:v>
              </c:pt>
              <c:pt idx="18">
                <c:v>90.027137398353929</c:v>
              </c:pt>
              <c:pt idx="19">
                <c:v>94.514334949050792</c:v>
              </c:pt>
              <c:pt idx="20">
                <c:v>98.976308298637989</c:v>
              </c:pt>
              <c:pt idx="21">
                <c:v>103.41305763330182</c:v>
              </c:pt>
              <c:pt idx="22">
                <c:v>107.82458611954374</c:v>
              </c:pt>
              <c:pt idx="23">
                <c:v>112.21089991129681</c:v>
              </c:pt>
              <c:pt idx="24">
                <c:v>116.57200816373836</c:v>
              </c:pt>
              <c:pt idx="25">
                <c:v>120.90792305379621</c:v>
              </c:pt>
              <c:pt idx="26">
                <c:v>125.21865980734383</c:v>
              </c:pt>
              <c:pt idx="27">
                <c:v>129.50423673307847</c:v>
              </c:pt>
              <c:pt idx="28">
                <c:v>133.76467526307422</c:v>
              </c:pt>
              <c:pt idx="29">
                <c:v>137.99999999999997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3976064"/>
        <c:axId val="133977600"/>
      </c:lineChart>
      <c:lineChart>
        <c:grouping val="standard"/>
        <c:varyColors val="0"/>
        <c:ser>
          <c:idx val="0"/>
          <c:order val="2"/>
          <c:tx>
            <c:v>Cumulative Anomaly</c:v>
          </c:tx>
          <c:spPr>
            <a:ln w="12700">
              <a:solidFill>
                <a:srgbClr val="99CC00"/>
              </a:solidFill>
              <a:prstDash val="solid"/>
            </a:ln>
          </c:spPr>
          <c:marker>
            <c:symbol val="circle"/>
            <c:size val="2"/>
            <c:spPr>
              <a:solidFill>
                <a:srgbClr val="808000"/>
              </a:solidFill>
              <a:ln>
                <a:solidFill>
                  <a:srgbClr val="808000"/>
                </a:solidFill>
                <a:prstDash val="solid"/>
              </a:ln>
            </c:spPr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1.6121374599927578</c:v>
              </c:pt>
              <c:pt idx="1">
                <c:v>1.6161469353337201</c:v>
              </c:pt>
              <c:pt idx="2">
                <c:v>1.4851681162628343</c:v>
              </c:pt>
              <c:pt idx="3">
                <c:v>1.1928062210571511</c:v>
              </c:pt>
              <c:pt idx="4">
                <c:v>1.200898511428123</c:v>
              </c:pt>
              <c:pt idx="5">
                <c:v>1.0032789660819728</c:v>
              </c:pt>
              <c:pt idx="6">
                <c:v>0.90597363619022098</c:v>
              </c:pt>
              <c:pt idx="7">
                <c:v>0.8460208828803486</c:v>
              </c:pt>
              <c:pt idx="8">
                <c:v>0.76536545293428027</c:v>
              </c:pt>
              <c:pt idx="9">
                <c:v>0.73182709620604514</c:v>
              </c:pt>
              <c:pt idx="10">
                <c:v>0.77974610037860181</c:v>
              </c:pt>
              <c:pt idx="11">
                <c:v>0.82022286176581383</c:v>
              </c:pt>
              <c:pt idx="12">
                <c:v>0.87096027876493898</c:v>
              </c:pt>
              <c:pt idx="13">
                <c:v>0.94475786175609067</c:v>
              </c:pt>
              <c:pt idx="14">
                <c:v>0.9954583994572771</c:v>
              </c:pt>
              <c:pt idx="15">
                <c:v>1.0142088378428442</c:v>
              </c:pt>
              <c:pt idx="16">
                <c:v>1.0064575818300727</c:v>
              </c:pt>
              <c:pt idx="17">
                <c:v>0.99982788412888335</c:v>
              </c:pt>
              <c:pt idx="18">
                <c:v>1.0163602069799123</c:v>
              </c:pt>
              <c:pt idx="19">
                <c:v>0.97339731639220461</c:v>
              </c:pt>
              <c:pt idx="20">
                <c:v>0.96487736956051107</c:v>
              </c:pt>
              <c:pt idx="21">
                <c:v>0.96699587352494332</c:v>
              </c:pt>
              <c:pt idx="22">
                <c:v>1.0109011675607369</c:v>
              </c:pt>
              <c:pt idx="23">
                <c:v>1.0248558748829926</c:v>
              </c:pt>
              <c:pt idx="24">
                <c:v>1.0508526183055464</c:v>
              </c:pt>
              <c:pt idx="25">
                <c:v>1.0214384374550085</c:v>
              </c:pt>
              <c:pt idx="26">
                <c:v>1.0262048819058174</c:v>
              </c:pt>
              <c:pt idx="27">
                <c:v>1.0740961339102704</c:v>
              </c:pt>
              <c:pt idx="28">
                <c:v>1.1192043019247508</c:v>
              </c:pt>
              <c:pt idx="29">
                <c:v>1.1616666666666666</c:v>
              </c:pt>
            </c:numLit>
          </c:val>
          <c:smooth val="0"/>
        </c:ser>
        <c:ser>
          <c:idx val="3"/>
          <c:order val="3"/>
          <c:tx>
            <c:v>E (Cumulative Anomaly)</c:v>
          </c:tx>
          <c:spPr>
            <a:ln w="12700">
              <a:solidFill>
                <a:srgbClr val="808000"/>
              </a:solidFill>
              <a:prstDash val="lgDash"/>
            </a:ln>
          </c:spPr>
          <c:marker>
            <c:symbol val="none"/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1</c:v>
              </c:pt>
              <c:pt idx="1">
                <c:v>1</c:v>
              </c:pt>
              <c:pt idx="2">
                <c:v>1</c:v>
              </c:pt>
              <c:pt idx="3">
                <c:v>1</c:v>
              </c:pt>
              <c:pt idx="4">
                <c:v>1</c:v>
              </c:pt>
              <c:pt idx="5">
                <c:v>1</c:v>
              </c:pt>
              <c:pt idx="6">
                <c:v>1</c:v>
              </c:pt>
              <c:pt idx="7">
                <c:v>1</c:v>
              </c:pt>
              <c:pt idx="8">
                <c:v>1</c:v>
              </c:pt>
              <c:pt idx="9">
                <c:v>1</c:v>
              </c:pt>
              <c:pt idx="10">
                <c:v>1</c:v>
              </c:pt>
              <c:pt idx="11">
                <c:v>1</c:v>
              </c:pt>
              <c:pt idx="12">
                <c:v>1</c:v>
              </c:pt>
              <c:pt idx="13">
                <c:v>1</c:v>
              </c:pt>
              <c:pt idx="14">
                <c:v>1</c:v>
              </c:pt>
              <c:pt idx="15">
                <c:v>1</c:v>
              </c:pt>
              <c:pt idx="16">
                <c:v>1</c:v>
              </c:pt>
              <c:pt idx="17">
                <c:v>1</c:v>
              </c:pt>
              <c:pt idx="18">
                <c:v>1</c:v>
              </c:pt>
              <c:pt idx="19">
                <c:v>1</c:v>
              </c:pt>
              <c:pt idx="20">
                <c:v>1</c:v>
              </c:pt>
              <c:pt idx="21">
                <c:v>1</c:v>
              </c:pt>
              <c:pt idx="22">
                <c:v>1</c:v>
              </c:pt>
              <c:pt idx="23">
                <c:v>1</c:v>
              </c:pt>
              <c:pt idx="24">
                <c:v>1</c:v>
              </c:pt>
              <c:pt idx="25">
                <c:v>1</c:v>
              </c:pt>
              <c:pt idx="26">
                <c:v>1</c:v>
              </c:pt>
              <c:pt idx="27">
                <c:v>1</c:v>
              </c:pt>
              <c:pt idx="28">
                <c:v>1</c:v>
              </c:pt>
              <c:pt idx="29">
                <c:v>1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3979136"/>
        <c:axId val="133993216"/>
      </c:lineChart>
      <c:catAx>
        <c:axId val="1339760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39776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33977600"/>
        <c:scaling>
          <c:orientation val="minMax"/>
          <c:max val="200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3976064"/>
        <c:crosses val="autoZero"/>
        <c:crossBetween val="between"/>
        <c:majorUnit val="50"/>
      </c:valAx>
      <c:catAx>
        <c:axId val="1339791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3993216"/>
        <c:crosses val="autoZero"/>
        <c:auto val="1"/>
        <c:lblAlgn val="ctr"/>
        <c:lblOffset val="100"/>
        <c:noMultiLvlLbl val="0"/>
      </c:catAx>
      <c:valAx>
        <c:axId val="133993216"/>
        <c:scaling>
          <c:orientation val="minMax"/>
          <c:max val="2"/>
          <c:min val="0"/>
        </c:scaling>
        <c:delete val="0"/>
        <c:axPos val="r"/>
        <c:numFmt formatCode="0%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3979136"/>
        <c:crosses val="max"/>
        <c:crossBetween val="between"/>
        <c:majorUnit val="0.5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 horizontalDpi="-3"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 sz="14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Mean' &amp; Mean Temperature / </a:t>
            </a:r>
            <a:r>
              <a:rPr lang="en-GB" sz="1400" b="1" i="0" u="none" strike="noStrike" baseline="30000">
                <a:solidFill>
                  <a:srgbClr val="000000"/>
                </a:solidFill>
                <a:latin typeface="Arial"/>
                <a:cs typeface="Arial"/>
              </a:rPr>
              <a:t>o</a:t>
            </a:r>
            <a:r>
              <a:rPr lang="en-GB" sz="14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C</a:t>
            </a:r>
          </a:p>
        </c:rich>
      </c:tx>
      <c:layout>
        <c:manualLayout>
          <c:xMode val="edge"/>
          <c:yMode val="edge"/>
          <c:x val="0.40872784878534313"/>
          <c:y val="1.990632318501171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970505042623335E-2"/>
          <c:y val="8.7822014051522249E-2"/>
          <c:w val="0.97357128173116314"/>
          <c:h val="0.86182669789227162"/>
        </c:manualLayout>
      </c:layout>
      <c:lineChart>
        <c:grouping val="standard"/>
        <c:varyColors val="0"/>
        <c:ser>
          <c:idx val="2"/>
          <c:order val="0"/>
          <c:tx>
            <c:v>Mean Temperature</c:v>
          </c:tx>
          <c:spPr>
            <a:ln w="25400">
              <a:solidFill>
                <a:srgbClr val="666699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333399"/>
              </a:solidFill>
              <a:ln>
                <a:solidFill>
                  <a:srgbClr val="333399"/>
                </a:solidFill>
                <a:prstDash val="solid"/>
              </a:ln>
            </c:spPr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15.049999999999999</c:v>
              </c:pt>
              <c:pt idx="1">
                <c:v>19.45</c:v>
              </c:pt>
              <c:pt idx="2">
                <c:v>19.200000000000003</c:v>
              </c:pt>
              <c:pt idx="3">
                <c:v>16.8</c:v>
              </c:pt>
              <c:pt idx="4">
                <c:v>15.350000000000001</c:v>
              </c:pt>
              <c:pt idx="5">
                <c:v>15.45</c:v>
              </c:pt>
              <c:pt idx="6">
                <c:v>14.4</c:v>
              </c:pt>
              <c:pt idx="7">
                <c:v>16</c:v>
              </c:pt>
              <c:pt idx="8">
                <c:v>18.7</c:v>
              </c:pt>
              <c:pt idx="9">
                <c:v>19.45</c:v>
              </c:pt>
              <c:pt idx="10">
                <c:v>17.649999999999999</c:v>
              </c:pt>
              <c:pt idx="11">
                <c:v>17.600000000000001</c:v>
              </c:pt>
              <c:pt idx="12">
                <c:v>15.45</c:v>
              </c:pt>
              <c:pt idx="13">
                <c:v>14.45</c:v>
              </c:pt>
              <c:pt idx="14">
                <c:v>13.6</c:v>
              </c:pt>
              <c:pt idx="15">
                <c:v>17.149999999999999</c:v>
              </c:pt>
              <c:pt idx="16">
                <c:v>14.25</c:v>
              </c:pt>
              <c:pt idx="17">
                <c:v>12.15</c:v>
              </c:pt>
              <c:pt idx="18">
                <c:v>14.05</c:v>
              </c:pt>
              <c:pt idx="19">
                <c:v>16.700000000000003</c:v>
              </c:pt>
              <c:pt idx="20">
                <c:v>15.350000000000001</c:v>
              </c:pt>
              <c:pt idx="21">
                <c:v>15.55</c:v>
              </c:pt>
              <c:pt idx="22">
                <c:v>14.100000000000001</c:v>
              </c:pt>
              <c:pt idx="23">
                <c:v>14.05</c:v>
              </c:pt>
              <c:pt idx="24">
                <c:v>16.149999999999999</c:v>
              </c:pt>
              <c:pt idx="25">
                <c:v>18.05</c:v>
              </c:pt>
              <c:pt idx="26">
                <c:v>16.600000000000001</c:v>
              </c:pt>
              <c:pt idx="27">
                <c:v>18.75</c:v>
              </c:pt>
              <c:pt idx="28">
                <c:v>20.45</c:v>
              </c:pt>
              <c:pt idx="29">
                <c:v>20.45</c:v>
              </c:pt>
            </c:numLit>
          </c:val>
          <c:smooth val="0"/>
        </c:ser>
        <c:ser>
          <c:idx val="0"/>
          <c:order val="1"/>
          <c:tx>
            <c:v>Mean' Temperature</c:v>
          </c:tx>
          <c:spPr>
            <a:ln w="38100">
              <a:solidFill>
                <a:srgbClr val="800080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666699"/>
              </a:solidFill>
              <a:ln>
                <a:solidFill>
                  <a:srgbClr val="666699"/>
                </a:solidFill>
                <a:prstDash val="solid"/>
              </a:ln>
            </c:spPr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15.2</c:v>
              </c:pt>
              <c:pt idx="1">
                <c:v>19.100000000000001</c:v>
              </c:pt>
              <c:pt idx="2">
                <c:v>18.8</c:v>
              </c:pt>
              <c:pt idx="3">
                <c:v>16.7</c:v>
              </c:pt>
              <c:pt idx="4">
                <c:v>15.3</c:v>
              </c:pt>
              <c:pt idx="5">
                <c:v>15.5</c:v>
              </c:pt>
              <c:pt idx="6">
                <c:v>14.2</c:v>
              </c:pt>
              <c:pt idx="7">
                <c:v>15.8</c:v>
              </c:pt>
              <c:pt idx="8">
                <c:v>18.5</c:v>
              </c:pt>
              <c:pt idx="9">
                <c:v>19.2</c:v>
              </c:pt>
              <c:pt idx="10">
                <c:v>16.899999999999999</c:v>
              </c:pt>
              <c:pt idx="11">
                <c:v>17.899999999999999</c:v>
              </c:pt>
              <c:pt idx="12">
                <c:v>15</c:v>
              </c:pt>
              <c:pt idx="13">
                <c:v>14.2</c:v>
              </c:pt>
              <c:pt idx="14">
                <c:v>14.2</c:v>
              </c:pt>
              <c:pt idx="15">
                <c:v>16.8</c:v>
              </c:pt>
              <c:pt idx="16">
                <c:v>14.6</c:v>
              </c:pt>
              <c:pt idx="17">
                <c:v>11.8</c:v>
              </c:pt>
              <c:pt idx="18">
                <c:v>14.2</c:v>
              </c:pt>
              <c:pt idx="19">
                <c:v>16.600000000000001</c:v>
              </c:pt>
              <c:pt idx="20">
                <c:v>14.9</c:v>
              </c:pt>
              <c:pt idx="21">
                <c:v>15.3</c:v>
              </c:pt>
              <c:pt idx="22">
                <c:v>14.1</c:v>
              </c:pt>
              <c:pt idx="23">
                <c:v>14.5</c:v>
              </c:pt>
              <c:pt idx="24">
                <c:v>16.7</c:v>
              </c:pt>
              <c:pt idx="25">
                <c:v>17.7</c:v>
              </c:pt>
              <c:pt idx="26">
                <c:v>15.7</c:v>
              </c:pt>
              <c:pt idx="27">
                <c:v>18.600000000000001</c:v>
              </c:pt>
              <c:pt idx="28">
                <c:v>19.600000000000001</c:v>
              </c:pt>
              <c:pt idx="29">
                <c:v>19.399999999999999</c:v>
              </c:pt>
            </c:numLit>
          </c:val>
          <c:smooth val="0"/>
        </c:ser>
        <c:ser>
          <c:idx val="1"/>
          <c:order val="2"/>
          <c:tx>
            <c:v>E (Mean)</c:v>
          </c:tx>
          <c:spPr>
            <a:ln w="38100">
              <a:solidFill>
                <a:srgbClr val="CC99FF"/>
              </a:solidFill>
              <a:prstDash val="lgDash"/>
            </a:ln>
          </c:spPr>
          <c:marker>
            <c:symbol val="none"/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16.605288461538457</c:v>
              </c:pt>
              <c:pt idx="1">
                <c:v>16.51709134615384</c:v>
              </c:pt>
              <c:pt idx="2">
                <c:v>16.428894230769224</c:v>
              </c:pt>
              <c:pt idx="3">
                <c:v>16.340697115384607</c:v>
              </c:pt>
              <c:pt idx="4">
                <c:v>16.252500000000001</c:v>
              </c:pt>
              <c:pt idx="5">
                <c:v>16.118461538461538</c:v>
              </c:pt>
              <c:pt idx="6">
                <c:v>15.984423076923076</c:v>
              </c:pt>
              <c:pt idx="7">
                <c:v>15.850384615384614</c:v>
              </c:pt>
              <c:pt idx="8">
                <c:v>15.716346153846153</c:v>
              </c:pt>
              <c:pt idx="9">
                <c:v>15.58230769230769</c:v>
              </c:pt>
              <c:pt idx="10">
                <c:v>15.448269230769228</c:v>
              </c:pt>
              <c:pt idx="11">
                <c:v>15.314230769230766</c:v>
              </c:pt>
              <c:pt idx="12">
                <c:v>15.180192307692305</c:v>
              </c:pt>
              <c:pt idx="13">
                <c:v>15.046153846153842</c:v>
              </c:pt>
              <c:pt idx="14">
                <c:v>14.91211538461538</c:v>
              </c:pt>
              <c:pt idx="15">
                <c:v>14.778076923076918</c:v>
              </c:pt>
              <c:pt idx="16">
                <c:v>14.644038461538457</c:v>
              </c:pt>
              <c:pt idx="17">
                <c:v>14.51</c:v>
              </c:pt>
              <c:pt idx="18">
                <c:v>14.414666666666665</c:v>
              </c:pt>
              <c:pt idx="19">
                <c:v>14.319333333333333</c:v>
              </c:pt>
              <c:pt idx="20">
                <c:v>14.224</c:v>
              </c:pt>
              <c:pt idx="21">
                <c:v>14.128666666666666</c:v>
              </c:pt>
              <c:pt idx="22">
                <c:v>14.033333333333331</c:v>
              </c:pt>
              <c:pt idx="23">
                <c:v>13.937999999999999</c:v>
              </c:pt>
              <c:pt idx="24">
                <c:v>13.842666666666666</c:v>
              </c:pt>
              <c:pt idx="25">
                <c:v>13.747333333333332</c:v>
              </c:pt>
              <c:pt idx="26">
                <c:v>13.651999999999997</c:v>
              </c:pt>
              <c:pt idx="27">
                <c:v>13.556666666666665</c:v>
              </c:pt>
              <c:pt idx="28">
                <c:v>13.461333333333332</c:v>
              </c:pt>
              <c:pt idx="29">
                <c:v>13.365999999999998</c:v>
              </c:pt>
            </c:numLit>
          </c:val>
          <c:smooth val="0"/>
        </c:ser>
        <c:ser>
          <c:idx val="3"/>
          <c:order val="3"/>
          <c:tx>
            <c:v>E (Max)</c:v>
          </c:tx>
          <c:spPr>
            <a:ln w="12700">
              <a:solidFill>
                <a:srgbClr val="FFCC99"/>
              </a:solidFill>
              <a:prstDash val="lgDash"/>
            </a:ln>
          </c:spPr>
          <c:marker>
            <c:symbol val="none"/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20.992499999999989</c:v>
              </c:pt>
              <c:pt idx="1">
                <c:v>20.891874999999988</c:v>
              </c:pt>
              <c:pt idx="2">
                <c:v>20.791249999999987</c:v>
              </c:pt>
              <c:pt idx="3">
                <c:v>20.690624999999986</c:v>
              </c:pt>
              <c:pt idx="4">
                <c:v>20.59</c:v>
              </c:pt>
              <c:pt idx="5">
                <c:v>20.397692307692306</c:v>
              </c:pt>
              <c:pt idx="6">
                <c:v>20.205384615384613</c:v>
              </c:pt>
              <c:pt idx="7">
                <c:v>20.01307692307692</c:v>
              </c:pt>
              <c:pt idx="8">
                <c:v>19.820769230769226</c:v>
              </c:pt>
              <c:pt idx="9">
                <c:v>19.628461538461533</c:v>
              </c:pt>
              <c:pt idx="10">
                <c:v>19.436153846153839</c:v>
              </c:pt>
              <c:pt idx="11">
                <c:v>19.243846153846146</c:v>
              </c:pt>
              <c:pt idx="12">
                <c:v>19.051538461538453</c:v>
              </c:pt>
              <c:pt idx="13">
                <c:v>18.859230769230759</c:v>
              </c:pt>
              <c:pt idx="14">
                <c:v>18.666923076923066</c:v>
              </c:pt>
              <c:pt idx="15">
                <c:v>18.474615384615372</c:v>
              </c:pt>
              <c:pt idx="16">
                <c:v>18.282307692307679</c:v>
              </c:pt>
              <c:pt idx="17">
                <c:v>18.09</c:v>
              </c:pt>
              <c:pt idx="18">
                <c:v>17.970333333333333</c:v>
              </c:pt>
              <c:pt idx="19">
                <c:v>17.850666666666665</c:v>
              </c:pt>
              <c:pt idx="20">
                <c:v>17.730999999999998</c:v>
              </c:pt>
              <c:pt idx="21">
                <c:v>17.611333333333331</c:v>
              </c:pt>
              <c:pt idx="22">
                <c:v>17.491666666666664</c:v>
              </c:pt>
              <c:pt idx="23">
                <c:v>17.371999999999996</c:v>
              </c:pt>
              <c:pt idx="24">
                <c:v>17.252333333333329</c:v>
              </c:pt>
              <c:pt idx="25">
                <c:v>17.132666666666662</c:v>
              </c:pt>
              <c:pt idx="26">
                <c:v>17.012999999999995</c:v>
              </c:pt>
              <c:pt idx="27">
                <c:v>16.893333333333327</c:v>
              </c:pt>
              <c:pt idx="28">
                <c:v>16.77366666666666</c:v>
              </c:pt>
              <c:pt idx="29">
                <c:v>16.653999999999993</c:v>
              </c:pt>
            </c:numLit>
          </c:val>
          <c:smooth val="0"/>
        </c:ser>
        <c:ser>
          <c:idx val="4"/>
          <c:order val="4"/>
          <c:tx>
            <c:v>E (Min)</c:v>
          </c:tx>
          <c:spPr>
            <a:ln w="12700">
              <a:solidFill>
                <a:srgbClr val="00CCFF"/>
              </a:solidFill>
              <a:prstDash val="lgDash"/>
            </a:ln>
          </c:spPr>
          <c:marker>
            <c:symbol val="none"/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12.218076923076923</c:v>
              </c:pt>
              <c:pt idx="1">
                <c:v>12.142307692307693</c:v>
              </c:pt>
              <c:pt idx="2">
                <c:v>12.066538461538462</c:v>
              </c:pt>
              <c:pt idx="3">
                <c:v>11.990769230769232</c:v>
              </c:pt>
              <c:pt idx="4">
                <c:v>11.915000000000001</c:v>
              </c:pt>
              <c:pt idx="5">
                <c:v>11.83923076923077</c:v>
              </c:pt>
              <c:pt idx="6">
                <c:v>11.76346153846154</c:v>
              </c:pt>
              <c:pt idx="7">
                <c:v>11.687692307692309</c:v>
              </c:pt>
              <c:pt idx="8">
                <c:v>11.611923076923079</c:v>
              </c:pt>
              <c:pt idx="9">
                <c:v>11.536153846153848</c:v>
              </c:pt>
              <c:pt idx="10">
                <c:v>11.460384615384617</c:v>
              </c:pt>
              <c:pt idx="11">
                <c:v>11.384615384615387</c:v>
              </c:pt>
              <c:pt idx="12">
                <c:v>11.308846153846156</c:v>
              </c:pt>
              <c:pt idx="13">
                <c:v>11.233076923076926</c:v>
              </c:pt>
              <c:pt idx="14">
                <c:v>11.157307692307695</c:v>
              </c:pt>
              <c:pt idx="15">
                <c:v>11.081538461538464</c:v>
              </c:pt>
              <c:pt idx="16">
                <c:v>11.005769230769234</c:v>
              </c:pt>
              <c:pt idx="17">
                <c:v>10.93</c:v>
              </c:pt>
              <c:pt idx="18">
                <c:v>10.859</c:v>
              </c:pt>
              <c:pt idx="19">
                <c:v>10.788</c:v>
              </c:pt>
              <c:pt idx="20">
                <c:v>10.717000000000001</c:v>
              </c:pt>
              <c:pt idx="21">
                <c:v>10.646000000000001</c:v>
              </c:pt>
              <c:pt idx="22">
                <c:v>10.575000000000001</c:v>
              </c:pt>
              <c:pt idx="23">
                <c:v>10.504000000000001</c:v>
              </c:pt>
              <c:pt idx="24">
                <c:v>10.433000000000002</c:v>
              </c:pt>
              <c:pt idx="25">
                <c:v>10.362000000000002</c:v>
              </c:pt>
              <c:pt idx="26">
                <c:v>10.291000000000002</c:v>
              </c:pt>
              <c:pt idx="27">
                <c:v>10.220000000000002</c:v>
              </c:pt>
              <c:pt idx="28">
                <c:v>10.149000000000003</c:v>
              </c:pt>
              <c:pt idx="29">
                <c:v>10.078000000000003</c:v>
              </c:pt>
            </c:numLit>
          </c:val>
          <c:smooth val="0"/>
        </c:ser>
        <c:ser>
          <c:idx val="5"/>
          <c:order val="5"/>
          <c:tx>
            <c:v>Cold Threshold</c:v>
          </c:tx>
          <c:spPr>
            <a:ln w="25400">
              <a:solidFill>
                <a:srgbClr val="0000FF"/>
              </a:solidFill>
              <a:prstDash val="sysDash"/>
            </a:ln>
          </c:spPr>
          <c:marker>
            <c:symbol val="none"/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13.680480769230769</c:v>
              </c:pt>
              <c:pt idx="1">
                <c:v>13.600568910256408</c:v>
              </c:pt>
              <c:pt idx="2">
                <c:v>13.520657051282049</c:v>
              </c:pt>
              <c:pt idx="3">
                <c:v>13.440745192307689</c:v>
              </c:pt>
              <c:pt idx="4">
                <c:v>13.360833333333336</c:v>
              </c:pt>
              <c:pt idx="5">
                <c:v>13.265641025641026</c:v>
              </c:pt>
              <c:pt idx="6">
                <c:v>13.170448717948718</c:v>
              </c:pt>
              <c:pt idx="7">
                <c:v>13.075256410256411</c:v>
              </c:pt>
              <c:pt idx="8">
                <c:v>12.980064102564103</c:v>
              </c:pt>
              <c:pt idx="9">
                <c:v>12.884871794871795</c:v>
              </c:pt>
              <c:pt idx="10">
                <c:v>12.789679487179487</c:v>
              </c:pt>
              <c:pt idx="11">
                <c:v>12.694487179487179</c:v>
              </c:pt>
              <c:pt idx="12">
                <c:v>12.599294871794873</c:v>
              </c:pt>
              <c:pt idx="13">
                <c:v>12.504102564102565</c:v>
              </c:pt>
              <c:pt idx="14">
                <c:v>12.408910256410255</c:v>
              </c:pt>
              <c:pt idx="15">
                <c:v>12.313717948717949</c:v>
              </c:pt>
              <c:pt idx="16">
                <c:v>12.218525641025643</c:v>
              </c:pt>
              <c:pt idx="17">
                <c:v>12.123333333333333</c:v>
              </c:pt>
              <c:pt idx="18">
                <c:v>12.044222222222221</c:v>
              </c:pt>
              <c:pt idx="19">
                <c:v>11.965111111111112</c:v>
              </c:pt>
              <c:pt idx="20">
                <c:v>11.886000000000001</c:v>
              </c:pt>
              <c:pt idx="21">
                <c:v>11.806888888888889</c:v>
              </c:pt>
              <c:pt idx="22">
                <c:v>11.727777777777778</c:v>
              </c:pt>
              <c:pt idx="23">
                <c:v>11.648666666666667</c:v>
              </c:pt>
              <c:pt idx="24">
                <c:v>11.569555555555556</c:v>
              </c:pt>
              <c:pt idx="25">
                <c:v>11.490444444444446</c:v>
              </c:pt>
              <c:pt idx="26">
                <c:v>11.411333333333333</c:v>
              </c:pt>
              <c:pt idx="27">
                <c:v>11.332222222222223</c:v>
              </c:pt>
              <c:pt idx="28">
                <c:v>11.253111111111114</c:v>
              </c:pt>
              <c:pt idx="29">
                <c:v>11.174000000000001</c:v>
              </c:pt>
            </c:numLit>
          </c:val>
          <c:smooth val="0"/>
        </c:ser>
        <c:ser>
          <c:idx val="6"/>
          <c:order val="6"/>
          <c:tx>
            <c:v>Mild Threshold</c:v>
          </c:tx>
          <c:spPr>
            <a:ln w="25400">
              <a:solidFill>
                <a:srgbClr val="FF6600"/>
              </a:solidFill>
              <a:prstDash val="sysDash"/>
            </a:ln>
          </c:spPr>
          <c:marker>
            <c:symbol val="none"/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19.530096153846145</c:v>
              </c:pt>
              <c:pt idx="1">
                <c:v>19.433613782051271</c:v>
              </c:pt>
              <c:pt idx="2">
                <c:v>19.337131410256397</c:v>
              </c:pt>
              <c:pt idx="3">
                <c:v>19.240649038461527</c:v>
              </c:pt>
              <c:pt idx="4">
                <c:v>19.144166666666667</c:v>
              </c:pt>
              <c:pt idx="5">
                <c:v>18.971282051282049</c:v>
              </c:pt>
              <c:pt idx="6">
                <c:v>18.798397435897435</c:v>
              </c:pt>
              <c:pt idx="7">
                <c:v>18.625512820512817</c:v>
              </c:pt>
              <c:pt idx="8">
                <c:v>18.452628205128203</c:v>
              </c:pt>
              <c:pt idx="9">
                <c:v>18.279743589743585</c:v>
              </c:pt>
              <c:pt idx="10">
                <c:v>18.106858974358968</c:v>
              </c:pt>
              <c:pt idx="11">
                <c:v>17.933974358974353</c:v>
              </c:pt>
              <c:pt idx="12">
                <c:v>17.761089743589736</c:v>
              </c:pt>
              <c:pt idx="13">
                <c:v>17.588205128205121</c:v>
              </c:pt>
              <c:pt idx="14">
                <c:v>17.415320512820504</c:v>
              </c:pt>
              <c:pt idx="15">
                <c:v>17.24243589743589</c:v>
              </c:pt>
              <c:pt idx="16">
                <c:v>17.069551282051272</c:v>
              </c:pt>
              <c:pt idx="17">
                <c:v>16.896666666666668</c:v>
              </c:pt>
              <c:pt idx="18">
                <c:v>16.78511111111111</c:v>
              </c:pt>
              <c:pt idx="19">
                <c:v>16.673555555555556</c:v>
              </c:pt>
              <c:pt idx="20">
                <c:v>16.561999999999998</c:v>
              </c:pt>
              <c:pt idx="21">
                <c:v>16.450444444444443</c:v>
              </c:pt>
              <c:pt idx="22">
                <c:v>16.338888888888885</c:v>
              </c:pt>
              <c:pt idx="23">
                <c:v>16.227333333333331</c:v>
              </c:pt>
              <c:pt idx="24">
                <c:v>16.115777777777776</c:v>
              </c:pt>
              <c:pt idx="25">
                <c:v>16.004222222222218</c:v>
              </c:pt>
              <c:pt idx="26">
                <c:v>15.892666666666662</c:v>
              </c:pt>
              <c:pt idx="27">
                <c:v>15.781111111111107</c:v>
              </c:pt>
              <c:pt idx="28">
                <c:v>15.669555555555551</c:v>
              </c:pt>
              <c:pt idx="29">
                <c:v>15.557999999999995</c:v>
              </c:pt>
            </c:numLit>
          </c:val>
          <c:smooth val="0"/>
        </c:ser>
        <c:ser>
          <c:idx val="7"/>
          <c:order val="7"/>
          <c:tx>
            <c:v>Freezing Point</c:v>
          </c:tx>
          <c:spPr>
            <a:ln w="38100">
              <a:solidFill>
                <a:srgbClr val="0000FF"/>
              </a:solidFill>
              <a:prstDash val="sysDash"/>
            </a:ln>
          </c:spPr>
          <c:marker>
            <c:symbol val="none"/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</c:numLit>
          </c:val>
          <c:smooth val="0"/>
        </c:ser>
        <c:ser>
          <c:idx val="8"/>
          <c:order val="8"/>
          <c:tx>
            <c:v>Cum. Mean</c:v>
          </c:tx>
          <c:spPr>
            <a:ln w="12700">
              <a:solidFill>
                <a:srgbClr val="993366"/>
              </a:solidFill>
              <a:prstDash val="solid"/>
            </a:ln>
          </c:spPr>
          <c:marker>
            <c:symbol val="circle"/>
            <c:size val="2"/>
            <c:spPr>
              <a:solidFill>
                <a:srgbClr val="800080"/>
              </a:solidFill>
              <a:ln>
                <a:solidFill>
                  <a:srgbClr val="800080"/>
                </a:solidFill>
                <a:prstDash val="solid"/>
              </a:ln>
            </c:spPr>
          </c:marker>
          <c:val>
            <c:numLit>
              <c:formatCode>General</c:formatCode>
              <c:ptCount val="30"/>
              <c:pt idx="0">
                <c:v>15.2</c:v>
              </c:pt>
              <c:pt idx="1">
                <c:v>17.149999999999999</c:v>
              </c:pt>
              <c:pt idx="2">
                <c:v>17.7</c:v>
              </c:pt>
              <c:pt idx="3">
                <c:v>17.45</c:v>
              </c:pt>
              <c:pt idx="4">
                <c:v>17.02</c:v>
              </c:pt>
              <c:pt idx="5">
                <c:v>16.766666666666666</c:v>
              </c:pt>
              <c:pt idx="6">
                <c:v>16.399999999999999</c:v>
              </c:pt>
              <c:pt idx="7">
                <c:v>16.324999999999999</c:v>
              </c:pt>
              <c:pt idx="8">
                <c:v>16.566666666666666</c:v>
              </c:pt>
              <c:pt idx="9">
                <c:v>16.829999999999998</c:v>
              </c:pt>
              <c:pt idx="10">
                <c:v>16.836363636363636</c:v>
              </c:pt>
              <c:pt idx="11">
                <c:v>16.925000000000001</c:v>
              </c:pt>
              <c:pt idx="12">
                <c:v>16.776923076923076</c:v>
              </c:pt>
              <c:pt idx="13">
                <c:v>16.592857142857142</c:v>
              </c:pt>
              <c:pt idx="14">
                <c:v>16.43333333333333</c:v>
              </c:pt>
              <c:pt idx="15">
                <c:v>16.456249999999997</c:v>
              </c:pt>
              <c:pt idx="16">
                <c:v>16.347058823529409</c:v>
              </c:pt>
              <c:pt idx="17">
                <c:v>16.094444444444445</c:v>
              </c:pt>
              <c:pt idx="18">
                <c:v>15.994736842105262</c:v>
              </c:pt>
              <c:pt idx="19">
                <c:v>16.024999999999999</c:v>
              </c:pt>
              <c:pt idx="20">
                <c:v>15.97142857142857</c:v>
              </c:pt>
              <c:pt idx="21">
                <c:v>15.94090909090909</c:v>
              </c:pt>
              <c:pt idx="22">
                <c:v>15.860869565217392</c:v>
              </c:pt>
              <c:pt idx="23">
                <c:v>15.804166666666667</c:v>
              </c:pt>
              <c:pt idx="24">
                <c:v>15.84</c:v>
              </c:pt>
              <c:pt idx="25">
                <c:v>15.911538461538461</c:v>
              </c:pt>
              <c:pt idx="26">
                <c:v>15.903703703703703</c:v>
              </c:pt>
              <c:pt idx="27">
                <c:v>16</c:v>
              </c:pt>
              <c:pt idx="28">
                <c:v>16.124137931034483</c:v>
              </c:pt>
              <c:pt idx="29">
                <c:v>16.233333333333334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232320"/>
        <c:axId val="134242688"/>
      </c:lineChart>
      <c:catAx>
        <c:axId val="1342323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4242688"/>
        <c:crossesAt val="-5"/>
        <c:auto val="1"/>
        <c:lblAlgn val="ctr"/>
        <c:lblOffset val="100"/>
        <c:tickLblSkip val="1"/>
        <c:tickMarkSkip val="1"/>
        <c:noMultiLvlLbl val="0"/>
      </c:catAx>
      <c:valAx>
        <c:axId val="134242688"/>
        <c:scaling>
          <c:orientation val="minMax"/>
          <c:max val="22"/>
          <c:min val="8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4232320"/>
        <c:crosses val="autoZero"/>
        <c:crossBetween val="between"/>
        <c:majorUnit val="2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Pressure / Temperature</a:t>
            </a:r>
          </a:p>
        </c:rich>
      </c:tx>
      <c:layout>
        <c:manualLayout>
          <c:xMode val="edge"/>
          <c:yMode val="edge"/>
          <c:x val="0.41566820276497696"/>
          <c:y val="5.251141552511415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0829493087557605E-2"/>
          <c:y val="0.1278541663415167"/>
          <c:w val="0.9244239631336405"/>
          <c:h val="0.76027566770937616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993366"/>
              </a:solidFill>
              <a:ln>
                <a:solidFill>
                  <a:srgbClr val="993366"/>
                </a:solidFill>
                <a:prstDash val="solid"/>
              </a:ln>
            </c:spPr>
          </c:marker>
          <c:trendline>
            <c:spPr>
              <a:ln w="12700">
                <a:solidFill>
                  <a:srgbClr val="000080"/>
                </a:solidFill>
                <a:prstDash val="solid"/>
              </a:ln>
            </c:spPr>
            <c:trendlineType val="linear"/>
            <c:forward val="0.5"/>
            <c:backward val="3"/>
            <c:dispRSqr val="1"/>
            <c:dispEq val="1"/>
            <c:trendlineLbl>
              <c:layout>
                <c:manualLayout>
                  <c:xMode val="edge"/>
                  <c:yMode val="edge"/>
                  <c:x val="4.608294930875576E-3"/>
                  <c:y val="1.1415550566206849E-2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175" b="0" i="0" u="none" strike="noStrike" baseline="0">
                      <a:solidFill>
                        <a:srgbClr val="00000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en-US"/>
                </a:p>
              </c:txPr>
            </c:trendlineLbl>
          </c:trendline>
          <c:xVal>
            <c:numLit>
              <c:formatCode>General</c:formatCode>
              <c:ptCount val="30"/>
              <c:pt idx="0">
                <c:v>15.2</c:v>
              </c:pt>
              <c:pt idx="1">
                <c:v>19.100000000000001</c:v>
              </c:pt>
              <c:pt idx="2">
                <c:v>18.8</c:v>
              </c:pt>
              <c:pt idx="3">
                <c:v>16.7</c:v>
              </c:pt>
              <c:pt idx="4">
                <c:v>15.3</c:v>
              </c:pt>
              <c:pt idx="5">
                <c:v>15.5</c:v>
              </c:pt>
              <c:pt idx="6">
                <c:v>14.2</c:v>
              </c:pt>
              <c:pt idx="7">
                <c:v>15.8</c:v>
              </c:pt>
              <c:pt idx="8">
                <c:v>18.5</c:v>
              </c:pt>
              <c:pt idx="9">
                <c:v>19.2</c:v>
              </c:pt>
              <c:pt idx="10">
                <c:v>16.899999999999999</c:v>
              </c:pt>
              <c:pt idx="11">
                <c:v>17.899999999999999</c:v>
              </c:pt>
              <c:pt idx="12">
                <c:v>15</c:v>
              </c:pt>
              <c:pt idx="13">
                <c:v>14.2</c:v>
              </c:pt>
              <c:pt idx="14">
                <c:v>14.2</c:v>
              </c:pt>
              <c:pt idx="15">
                <c:v>16.8</c:v>
              </c:pt>
              <c:pt idx="16">
                <c:v>14.6</c:v>
              </c:pt>
              <c:pt idx="17">
                <c:v>11.8</c:v>
              </c:pt>
              <c:pt idx="18">
                <c:v>14.2</c:v>
              </c:pt>
              <c:pt idx="19">
                <c:v>16.600000000000001</c:v>
              </c:pt>
              <c:pt idx="20">
                <c:v>14.9</c:v>
              </c:pt>
              <c:pt idx="21">
                <c:v>15.3</c:v>
              </c:pt>
              <c:pt idx="22">
                <c:v>14.1</c:v>
              </c:pt>
              <c:pt idx="23">
                <c:v>14.5</c:v>
              </c:pt>
              <c:pt idx="24">
                <c:v>16.7</c:v>
              </c:pt>
              <c:pt idx="25">
                <c:v>17.7</c:v>
              </c:pt>
              <c:pt idx="26">
                <c:v>15.7</c:v>
              </c:pt>
              <c:pt idx="27">
                <c:v>18.600000000000001</c:v>
              </c:pt>
              <c:pt idx="28">
                <c:v>19.600000000000001</c:v>
              </c:pt>
              <c:pt idx="29">
                <c:v>19.399999999999999</c:v>
              </c:pt>
            </c:numLit>
          </c:xVal>
          <c:yVal>
            <c:numLit>
              <c:formatCode>General</c:formatCode>
              <c:ptCount val="30"/>
              <c:pt idx="0">
                <c:v>1014</c:v>
              </c:pt>
              <c:pt idx="1">
                <c:v>1011</c:v>
              </c:pt>
              <c:pt idx="2">
                <c:v>1008.5</c:v>
              </c:pt>
              <c:pt idx="3">
                <c:v>1006</c:v>
              </c:pt>
              <c:pt idx="4">
                <c:v>1011.5</c:v>
              </c:pt>
              <c:pt idx="5">
                <c:v>1008</c:v>
              </c:pt>
              <c:pt idx="6">
                <c:v>1009.5</c:v>
              </c:pt>
              <c:pt idx="7">
                <c:v>1009.5</c:v>
              </c:pt>
              <c:pt idx="8">
                <c:v>1009</c:v>
              </c:pt>
              <c:pt idx="9">
                <c:v>1006</c:v>
              </c:pt>
              <c:pt idx="10">
                <c:v>1005</c:v>
              </c:pt>
              <c:pt idx="11">
                <c:v>1005</c:v>
              </c:pt>
              <c:pt idx="12">
                <c:v>1012.5</c:v>
              </c:pt>
              <c:pt idx="13">
                <c:v>1018</c:v>
              </c:pt>
              <c:pt idx="14">
                <c:v>1020</c:v>
              </c:pt>
              <c:pt idx="15">
                <c:v>1014</c:v>
              </c:pt>
              <c:pt idx="16">
                <c:v>1006.5</c:v>
              </c:pt>
              <c:pt idx="17">
                <c:v>1005.5</c:v>
              </c:pt>
              <c:pt idx="18">
                <c:v>1012.5</c:v>
              </c:pt>
              <c:pt idx="19">
                <c:v>1017</c:v>
              </c:pt>
              <c:pt idx="20">
                <c:v>1017</c:v>
              </c:pt>
              <c:pt idx="21">
                <c:v>1019.5</c:v>
              </c:pt>
              <c:pt idx="22">
                <c:v>1018</c:v>
              </c:pt>
              <c:pt idx="23">
                <c:v>1015</c:v>
              </c:pt>
              <c:pt idx="24">
                <c:v>1016.5</c:v>
              </c:pt>
              <c:pt idx="25">
                <c:v>1021</c:v>
              </c:pt>
              <c:pt idx="26">
                <c:v>1028</c:v>
              </c:pt>
              <c:pt idx="27">
                <c:v>1026.5</c:v>
              </c:pt>
              <c:pt idx="28">
                <c:v>1024</c:v>
              </c:pt>
              <c:pt idx="29">
                <c:v>1023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361856"/>
        <c:axId val="134363392"/>
      </c:scatterChart>
      <c:valAx>
        <c:axId val="134361856"/>
        <c:scaling>
          <c:orientation val="minMax"/>
          <c:max val="20"/>
          <c:min val="11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4363392"/>
        <c:crosses val="autoZero"/>
        <c:crossBetween val="midCat"/>
        <c:majorUnit val="1"/>
      </c:valAx>
      <c:valAx>
        <c:axId val="134363392"/>
        <c:scaling>
          <c:orientation val="minMax"/>
          <c:max val="1025"/>
          <c:min val="100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4361856"/>
        <c:crossesAt val="-3"/>
        <c:crossBetween val="midCat"/>
        <c:majorUnit val="5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Relative Humidity Range / Temperature Range </a:t>
            </a:r>
          </a:p>
        </c:rich>
      </c:tx>
      <c:layout>
        <c:manualLayout>
          <c:xMode val="edge"/>
          <c:yMode val="edge"/>
          <c:x val="0.34658040665434381"/>
          <c:y val="3.009259259259259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4.4362292051756007E-2"/>
          <c:y val="0.12037064247559154"/>
          <c:w val="0.94085027726432535"/>
          <c:h val="0.766205435758092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993366"/>
              </a:solidFill>
              <a:ln>
                <a:solidFill>
                  <a:srgbClr val="993366"/>
                </a:solidFill>
                <a:prstDash val="solid"/>
              </a:ln>
            </c:spPr>
          </c:marker>
          <c:trendline>
            <c:spPr>
              <a:ln w="12700">
                <a:solidFill>
                  <a:srgbClr val="0000FF"/>
                </a:solidFill>
                <a:prstDash val="solid"/>
              </a:ln>
            </c:spPr>
            <c:trendlineType val="linear"/>
            <c:forward val="0.5"/>
            <c:backward val="2.5"/>
            <c:dispRSqr val="1"/>
            <c:dispEq val="1"/>
            <c:trendlineLbl>
              <c:layout>
                <c:manualLayout>
                  <c:xMode val="edge"/>
                  <c:yMode val="edge"/>
                  <c:x val="1.756007393715342E-2"/>
                  <c:y val="5.7870501190188238E-2"/>
                </c:manualLayout>
              </c:layout>
              <c:numFmt formatCode="0.00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200" b="0" i="0" u="none" strike="noStrike" baseline="0">
                      <a:solidFill>
                        <a:srgbClr val="00000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en-US"/>
                </a:p>
              </c:txPr>
            </c:trendlineLbl>
          </c:trendline>
          <c:xVal>
            <c:numLit>
              <c:formatCode>General</c:formatCode>
              <c:ptCount val="30"/>
              <c:pt idx="0">
                <c:v>9.6999999999999993</c:v>
              </c:pt>
              <c:pt idx="1">
                <c:v>12.7</c:v>
              </c:pt>
              <c:pt idx="2">
                <c:v>7.8</c:v>
              </c:pt>
              <c:pt idx="3">
                <c:v>4.8</c:v>
              </c:pt>
              <c:pt idx="4">
                <c:v>7.5</c:v>
              </c:pt>
              <c:pt idx="5">
                <c:v>4.9000000000000004</c:v>
              </c:pt>
              <c:pt idx="6">
                <c:v>5.2</c:v>
              </c:pt>
              <c:pt idx="7">
                <c:v>6.8</c:v>
              </c:pt>
              <c:pt idx="8">
                <c:v>6</c:v>
              </c:pt>
              <c:pt idx="9">
                <c:v>6.5</c:v>
              </c:pt>
              <c:pt idx="10">
                <c:v>5.0999999999999996</c:v>
              </c:pt>
              <c:pt idx="11">
                <c:v>6</c:v>
              </c:pt>
              <c:pt idx="12">
                <c:v>6.1</c:v>
              </c:pt>
              <c:pt idx="13">
                <c:v>8.5</c:v>
              </c:pt>
              <c:pt idx="14">
                <c:v>12.8</c:v>
              </c:pt>
              <c:pt idx="15">
                <c:v>9.3000000000000007</c:v>
              </c:pt>
              <c:pt idx="16">
                <c:v>8.3000000000000007</c:v>
              </c:pt>
              <c:pt idx="17">
                <c:v>8.3000000000000007</c:v>
              </c:pt>
              <c:pt idx="18">
                <c:v>8.9</c:v>
              </c:pt>
              <c:pt idx="19">
                <c:v>3.8</c:v>
              </c:pt>
              <c:pt idx="20">
                <c:v>3.9</c:v>
              </c:pt>
              <c:pt idx="21">
                <c:v>6.1</c:v>
              </c:pt>
              <c:pt idx="22">
                <c:v>8.4</c:v>
              </c:pt>
              <c:pt idx="23">
                <c:v>12.1</c:v>
              </c:pt>
              <c:pt idx="24">
                <c:v>9.5</c:v>
              </c:pt>
              <c:pt idx="25">
                <c:v>6.1</c:v>
              </c:pt>
              <c:pt idx="26">
                <c:v>7.6</c:v>
              </c:pt>
              <c:pt idx="27">
                <c:v>12.3</c:v>
              </c:pt>
              <c:pt idx="28">
                <c:v>12.9</c:v>
              </c:pt>
              <c:pt idx="29">
                <c:v>13.9</c:v>
              </c:pt>
            </c:numLit>
          </c:xVal>
          <c:yVal>
            <c:numLit>
              <c:formatCode>General</c:formatCode>
              <c:ptCount val="30"/>
              <c:pt idx="0">
                <c:v>44</c:v>
              </c:pt>
              <c:pt idx="1">
                <c:v>45</c:v>
              </c:pt>
              <c:pt idx="2">
                <c:v>31</c:v>
              </c:pt>
              <c:pt idx="3">
                <c:v>18</c:v>
              </c:pt>
              <c:pt idx="4">
                <c:v>36</c:v>
              </c:pt>
              <c:pt idx="5">
                <c:v>17</c:v>
              </c:pt>
              <c:pt idx="6">
                <c:v>22</c:v>
              </c:pt>
              <c:pt idx="7">
                <c:v>19</c:v>
              </c:pt>
              <c:pt idx="8">
                <c:v>23</c:v>
              </c:pt>
              <c:pt idx="9">
                <c:v>25</c:v>
              </c:pt>
              <c:pt idx="10">
                <c:v>40</c:v>
              </c:pt>
              <c:pt idx="11">
                <c:v>44</c:v>
              </c:pt>
              <c:pt idx="12">
                <c:v>32</c:v>
              </c:pt>
              <c:pt idx="13">
                <c:v>41</c:v>
              </c:pt>
              <c:pt idx="14">
                <c:v>47</c:v>
              </c:pt>
              <c:pt idx="15">
                <c:v>42</c:v>
              </c:pt>
              <c:pt idx="16">
                <c:v>38</c:v>
              </c:pt>
              <c:pt idx="17">
                <c:v>32</c:v>
              </c:pt>
              <c:pt idx="18">
                <c:v>35</c:v>
              </c:pt>
              <c:pt idx="19">
                <c:v>16</c:v>
              </c:pt>
              <c:pt idx="20">
                <c:v>43</c:v>
              </c:pt>
              <c:pt idx="21">
                <c:v>39</c:v>
              </c:pt>
              <c:pt idx="22">
                <c:v>35</c:v>
              </c:pt>
              <c:pt idx="23">
                <c:v>41</c:v>
              </c:pt>
              <c:pt idx="24">
                <c:v>35</c:v>
              </c:pt>
              <c:pt idx="25">
                <c:v>25</c:v>
              </c:pt>
              <c:pt idx="26">
                <c:v>27</c:v>
              </c:pt>
              <c:pt idx="27">
                <c:v>47</c:v>
              </c:pt>
              <c:pt idx="28">
                <c:v>54</c:v>
              </c:pt>
              <c:pt idx="29">
                <c:v>55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388352"/>
        <c:axId val="134398336"/>
      </c:scatterChart>
      <c:valAx>
        <c:axId val="134388352"/>
        <c:scaling>
          <c:orientation val="minMax"/>
          <c:max val="14"/>
          <c:min val="0"/>
        </c:scaling>
        <c:delete val="0"/>
        <c:axPos val="b"/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4398336"/>
        <c:crossesAt val="0"/>
        <c:crossBetween val="midCat"/>
        <c:majorUnit val="1"/>
      </c:valAx>
      <c:valAx>
        <c:axId val="134398336"/>
        <c:scaling>
          <c:orientation val="minMax"/>
          <c:max val="60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4388352"/>
        <c:crosses val="autoZero"/>
        <c:crossBetween val="midCat"/>
        <c:majorUnit val="10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 horizontalDpi="-3"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Time of Temperature Extremes</a:t>
            </a:r>
          </a:p>
        </c:rich>
      </c:tx>
      <c:layout>
        <c:manualLayout>
          <c:xMode val="edge"/>
          <c:yMode val="edge"/>
          <c:x val="0.41718183558328387"/>
          <c:y val="2.115158636897767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893697095932809E-2"/>
          <c:y val="8.3431257344300819E-2"/>
          <c:w val="0.95859114218917252"/>
          <c:h val="0.86603995299647474"/>
        </c:manualLayout>
      </c:layout>
      <c:lineChart>
        <c:grouping val="standard"/>
        <c:varyColors val="0"/>
        <c:ser>
          <c:idx val="1"/>
          <c:order val="0"/>
          <c:tx>
            <c:v>T Min</c:v>
          </c:tx>
          <c:spPr>
            <a:ln w="28575">
              <a:noFill/>
            </a:ln>
          </c:spPr>
          <c:marker>
            <c:symbol val="circle"/>
            <c:size val="10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0.25486111111111109</c:v>
              </c:pt>
              <c:pt idx="1">
                <c:v>0.23333333333333331</c:v>
              </c:pt>
              <c:pt idx="2">
                <c:v>0.21666666666666667</c:v>
              </c:pt>
              <c:pt idx="3">
                <c:v>0.12152777777777778</c:v>
              </c:pt>
              <c:pt idx="4">
                <c:v>0.25763888888888892</c:v>
              </c:pt>
              <c:pt idx="5">
                <c:v>0.38194444444444442</c:v>
              </c:pt>
              <c:pt idx="6">
                <c:v>0.21875</c:v>
              </c:pt>
              <c:pt idx="7">
                <c:v>7.9166666666666663E-2</c:v>
              </c:pt>
              <c:pt idx="8">
                <c:v>0.21111111111111111</c:v>
              </c:pt>
              <c:pt idx="9">
                <c:v>7.2916666666666671E-2</c:v>
              </c:pt>
              <c:pt idx="10">
                <c:v>0.31944444444444448</c:v>
              </c:pt>
              <c:pt idx="11">
                <c:v>#N/A</c:v>
              </c:pt>
              <c:pt idx="12">
                <c:v>0.31597222222222221</c:v>
              </c:pt>
              <c:pt idx="13">
                <c:v>0.28125</c:v>
              </c:pt>
              <c:pt idx="14">
                <c:v>0.24930555555555556</c:v>
              </c:pt>
              <c:pt idx="15">
                <c:v>0.16527777777777777</c:v>
              </c:pt>
              <c:pt idx="16">
                <c:v>0.25347222222222221</c:v>
              </c:pt>
              <c:pt idx="17">
                <c:v>0.28819444444444448</c:v>
              </c:pt>
              <c:pt idx="18">
                <c:v>0.29652777777777778</c:v>
              </c:pt>
              <c:pt idx="19">
                <c:v>0.21875</c:v>
              </c:pt>
              <c:pt idx="20">
                <c:v>0.28749999999999998</c:v>
              </c:pt>
              <c:pt idx="21">
                <c:v>0.31805555555555554</c:v>
              </c:pt>
              <c:pt idx="22">
                <c:v>0.25555555555555559</c:v>
              </c:pt>
              <c:pt idx="23">
                <c:v>0.29166666666666669</c:v>
              </c:pt>
              <c:pt idx="24">
                <c:v>0.12152777777777778</c:v>
              </c:pt>
              <c:pt idx="25">
                <c:v>0.19791666666666666</c:v>
              </c:pt>
              <c:pt idx="26">
                <c:v>0.3263888888888889</c:v>
              </c:pt>
              <c:pt idx="27">
                <c:v>0.29722222222222222</c:v>
              </c:pt>
              <c:pt idx="28">
                <c:v>0.30694444444444441</c:v>
              </c:pt>
              <c:pt idx="29">
                <c:v>8.7499999999999994E-2</c:v>
              </c:pt>
            </c:numLit>
          </c:val>
          <c:smooth val="0"/>
        </c:ser>
        <c:ser>
          <c:idx val="2"/>
          <c:order val="1"/>
          <c:tx>
            <c:v>T Max</c:v>
          </c:tx>
          <c:spPr>
            <a:ln w="28575">
              <a:noFill/>
            </a:ln>
          </c:spPr>
          <c:marker>
            <c:symbol val="circle"/>
            <c:size val="10"/>
            <c:spPr>
              <a:solidFill>
                <a:srgbClr val="FF6600"/>
              </a:solidFill>
              <a:ln>
                <a:solidFill>
                  <a:srgbClr val="FF6600"/>
                </a:solidFill>
                <a:prstDash val="solid"/>
              </a:ln>
            </c:spPr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0.60555555555555551</c:v>
              </c:pt>
              <c:pt idx="1">
                <c:v>0.69791666666666663</c:v>
              </c:pt>
              <c:pt idx="2">
                <c:v>0.61805555555555558</c:v>
              </c:pt>
              <c:pt idx="3">
                <c:v>0.44791666666666669</c:v>
              </c:pt>
              <c:pt idx="4">
                <c:v>0.66249999999999998</c:v>
              </c:pt>
              <c:pt idx="5">
                <c:v>0.64097222222222217</c:v>
              </c:pt>
              <c:pt idx="6">
                <c:v>0.64930555555555558</c:v>
              </c:pt>
              <c:pt idx="7">
                <c:v>0.75069444444444444</c:v>
              </c:pt>
              <c:pt idx="8">
                <c:v>0.64444444444444449</c:v>
              </c:pt>
              <c:pt idx="9">
                <c:v>0.57777777777777783</c:v>
              </c:pt>
              <c:pt idx="10">
                <c:v>0.62013888888888891</c:v>
              </c:pt>
              <c:pt idx="11">
                <c:v>0.61805555555555558</c:v>
              </c:pt>
              <c:pt idx="12">
                <c:v>0.53125</c:v>
              </c:pt>
              <c:pt idx="13">
                <c:v>0.6777777777777777</c:v>
              </c:pt>
              <c:pt idx="14">
                <c:v>0.67222222222222217</c:v>
              </c:pt>
              <c:pt idx="15">
                <c:v>0.64236111111111105</c:v>
              </c:pt>
              <c:pt idx="16">
                <c:v>0.53194444444444444</c:v>
              </c:pt>
              <c:pt idx="17">
                <c:v>0.61111111111111105</c:v>
              </c:pt>
              <c:pt idx="18">
                <c:v>0.62222222222222223</c:v>
              </c:pt>
              <c:pt idx="19">
                <c:v>0.52430555555555558</c:v>
              </c:pt>
              <c:pt idx="20">
                <c:v>0.64583333333333337</c:v>
              </c:pt>
              <c:pt idx="21">
                <c:v>0.62847222222222221</c:v>
              </c:pt>
              <c:pt idx="22">
                <c:v>0.63749999999999996</c:v>
              </c:pt>
              <c:pt idx="23">
                <c:v>0.5854166666666667</c:v>
              </c:pt>
              <c:pt idx="24">
                <c:v>0.6118055555555556</c:v>
              </c:pt>
              <c:pt idx="25">
                <c:v>0.65138888888888891</c:v>
              </c:pt>
              <c:pt idx="26">
                <c:v>0.72499999999999998</c:v>
              </c:pt>
              <c:pt idx="27">
                <c:v>0.64236111111111105</c:v>
              </c:pt>
              <c:pt idx="28">
                <c:v>0.64027777777777783</c:v>
              </c:pt>
              <c:pt idx="29">
                <c:v>0.6381944444444444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422912"/>
        <c:axId val="134424832"/>
      </c:lineChart>
      <c:catAx>
        <c:axId val="1344229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44248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34424832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hh:mm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4422912"/>
        <c:crosses val="autoZero"/>
        <c:crossBetween val="between"/>
        <c:majorUnit val="8.3333333300000006E-2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0.63288029354797892"/>
          <c:y val="0.17273795534665101"/>
          <c:w val="0.79542671195766779"/>
          <c:h val="0.2244418331374853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Time of Humidity Extremes</a:t>
            </a:r>
          </a:p>
        </c:rich>
      </c:tx>
      <c:layout>
        <c:manualLayout>
          <c:xMode val="edge"/>
          <c:yMode val="edge"/>
          <c:x val="0.42433600988264358"/>
          <c:y val="1.9953051643192488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891290920321186E-2"/>
          <c:y val="8.5680849381108537E-2"/>
          <c:w val="0.95861642989499696"/>
          <c:h val="0.86385075540405321"/>
        </c:manualLayout>
      </c:layout>
      <c:lineChart>
        <c:grouping val="standard"/>
        <c:varyColors val="0"/>
        <c:ser>
          <c:idx val="0"/>
          <c:order val="0"/>
          <c:tx>
            <c:v>H Min</c:v>
          </c:tx>
          <c:spPr>
            <a:ln w="28575">
              <a:noFill/>
            </a:ln>
          </c:spPr>
          <c:marker>
            <c:symbol val="circle"/>
            <c:size val="10"/>
            <c:spPr>
              <a:solidFill>
                <a:srgbClr val="FF9900"/>
              </a:solidFill>
              <a:ln>
                <a:solidFill>
                  <a:srgbClr val="FF9900"/>
                </a:solidFill>
                <a:prstDash val="solid"/>
              </a:ln>
            </c:spPr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0.70277777777777783</c:v>
              </c:pt>
              <c:pt idx="1">
                <c:v>0.71875</c:v>
              </c:pt>
              <c:pt idx="2">
                <c:v>0.62777777777777777</c:v>
              </c:pt>
              <c:pt idx="3">
                <c:v>0.8305555555555556</c:v>
              </c:pt>
              <c:pt idx="4">
                <c:v>0.63124999999999998</c:v>
              </c:pt>
              <c:pt idx="5">
                <c:v>#N/A</c:v>
              </c:pt>
              <c:pt idx="6">
                <c:v>0.73263888888888884</c:v>
              </c:pt>
              <c:pt idx="7">
                <c:v>0.75486111111111109</c:v>
              </c:pt>
              <c:pt idx="8">
                <c:v>0.65208333333333335</c:v>
              </c:pt>
              <c:pt idx="9">
                <c:v>0.59722222222222221</c:v>
              </c:pt>
              <c:pt idx="10">
                <c:v>0.68819444444444444</c:v>
              </c:pt>
              <c:pt idx="11">
                <c:v>0.74861111111111101</c:v>
              </c:pt>
              <c:pt idx="12">
                <c:v>0.74375000000000002</c:v>
              </c:pt>
              <c:pt idx="13">
                <c:v>0.70694444444444438</c:v>
              </c:pt>
              <c:pt idx="14">
                <c:v>0.6791666666666667</c:v>
              </c:pt>
              <c:pt idx="15">
                <c:v>0.62222222222222223</c:v>
              </c:pt>
              <c:pt idx="16">
                <c:v>0.57708333333333328</c:v>
              </c:pt>
              <c:pt idx="17">
                <c:v>0.61736111111111114</c:v>
              </c:pt>
              <c:pt idx="18">
                <c:v>0.625</c:v>
              </c:pt>
              <c:pt idx="19">
                <c:v>0.53194444444444444</c:v>
              </c:pt>
              <c:pt idx="20">
                <c:v>0.74444444444444446</c:v>
              </c:pt>
              <c:pt idx="21">
                <c:v>0.62569444444444444</c:v>
              </c:pt>
              <c:pt idx="22">
                <c:v>0.6645833333333333</c:v>
              </c:pt>
              <c:pt idx="23">
                <c:v>0.61597222222222225</c:v>
              </c:pt>
              <c:pt idx="24">
                <c:v>0.5854166666666667</c:v>
              </c:pt>
              <c:pt idx="25">
                <c:v>0.65694444444444444</c:v>
              </c:pt>
              <c:pt idx="26">
                <c:v>0.71458333333333324</c:v>
              </c:pt>
              <c:pt idx="27">
                <c:v>0.75624999999999998</c:v>
              </c:pt>
              <c:pt idx="28">
                <c:v>0.62430555555555556</c:v>
              </c:pt>
              <c:pt idx="29">
                <c:v>0.66527777777777775</c:v>
              </c:pt>
            </c:numLit>
          </c:val>
          <c:smooth val="0"/>
        </c:ser>
        <c:ser>
          <c:idx val="3"/>
          <c:order val="1"/>
          <c:tx>
            <c:v>H Max</c:v>
          </c:tx>
          <c:spPr>
            <a:ln w="28575">
              <a:noFill/>
            </a:ln>
          </c:spPr>
          <c:marker>
            <c:symbol val="circle"/>
            <c:size val="10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0.31041666666666667</c:v>
              </c:pt>
              <c:pt idx="1">
                <c:v>0.2986111111111111</c:v>
              </c:pt>
              <c:pt idx="2">
                <c:v>0.30416666666666664</c:v>
              </c:pt>
              <c:pt idx="3">
                <c:v>#N/A</c:v>
              </c:pt>
              <c:pt idx="4">
                <c:v>1.3888888888888888E-2</c:v>
              </c:pt>
              <c:pt idx="5">
                <c:v>#N/A</c:v>
              </c:pt>
              <c:pt idx="6">
                <c:v>#N/A</c:v>
              </c:pt>
              <c:pt idx="7">
                <c:v>#N/A</c:v>
              </c:pt>
              <c:pt idx="8">
                <c:v>0.34652777777777777</c:v>
              </c:pt>
              <c:pt idx="9">
                <c:v>0.28541666666666665</c:v>
              </c:pt>
              <c:pt idx="10">
                <c:v>0.22708333333333333</c:v>
              </c:pt>
              <c:pt idx="11">
                <c:v>0.35</c:v>
              </c:pt>
              <c:pt idx="12">
                <c:v>0.3298611111111111</c:v>
              </c:pt>
              <c:pt idx="13">
                <c:v>0.31597222222222221</c:v>
              </c:pt>
              <c:pt idx="14">
                <c:v>0.3520833333333333</c:v>
              </c:pt>
              <c:pt idx="15">
                <c:v>0.26319444444444445</c:v>
              </c:pt>
              <c:pt idx="16">
                <c:v>#N/A</c:v>
              </c:pt>
              <c:pt idx="17">
                <c:v>0.34097222222222223</c:v>
              </c:pt>
              <c:pt idx="18">
                <c:v>0.3444444444444445</c:v>
              </c:pt>
              <c:pt idx="19">
                <c:v>#N/A</c:v>
              </c:pt>
              <c:pt idx="20">
                <c:v>0.35347222222222219</c:v>
              </c:pt>
              <c:pt idx="21">
                <c:v>0.34930555555555554</c:v>
              </c:pt>
              <c:pt idx="22">
                <c:v>0.33263888888888887</c:v>
              </c:pt>
              <c:pt idx="23">
                <c:v>0.38124999999999998</c:v>
              </c:pt>
              <c:pt idx="24">
                <c:v>0.29166666666666669</c:v>
              </c:pt>
              <c:pt idx="25">
                <c:v>#N/A</c:v>
              </c:pt>
              <c:pt idx="26">
                <c:v>0.39513888888888887</c:v>
              </c:pt>
              <c:pt idx="27">
                <c:v>0.34861111111111115</c:v>
              </c:pt>
              <c:pt idx="28">
                <c:v>0.28611111111111115</c:v>
              </c:pt>
              <c:pt idx="29">
                <c:v>0.34583333333333338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462464"/>
        <c:axId val="134476928"/>
      </c:lineChart>
      <c:catAx>
        <c:axId val="134462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44769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34476928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hh:mm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4462464"/>
        <c:crosses val="autoZero"/>
        <c:crossBetween val="between"/>
        <c:majorUnit val="8.3333333300000006E-2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0.46263125386040765"/>
          <c:y val="0.10328650820055943"/>
          <c:w val="0.66213712168004946"/>
          <c:h val="0.1455400293273199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Time of Max Gust</a:t>
            </a:r>
          </a:p>
        </c:rich>
      </c:tx>
      <c:layout>
        <c:manualLayout>
          <c:xMode val="edge"/>
          <c:yMode val="edge"/>
          <c:x val="0.44814840737500405"/>
          <c:y val="1.99296600234466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8888912331761387E-2"/>
          <c:y val="8.5580353795172481E-2"/>
          <c:w val="0.95864255319405456"/>
          <c:h val="0.86400987324715228"/>
        </c:manualLayout>
      </c:layout>
      <c:lineChart>
        <c:grouping val="standard"/>
        <c:varyColors val="0"/>
        <c:ser>
          <c:idx val="4"/>
          <c:order val="0"/>
          <c:tx>
            <c:v>Gust</c:v>
          </c:tx>
          <c:spPr>
            <a:ln w="28575">
              <a:noFill/>
            </a:ln>
          </c:spPr>
          <c:marker>
            <c:symbol val="circle"/>
            <c:size val="1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0.79722222222222217</c:v>
              </c:pt>
              <c:pt idx="1">
                <c:v>0.81527777777777777</c:v>
              </c:pt>
              <c:pt idx="2">
                <c:v>0.59027777777777779</c:v>
              </c:pt>
              <c:pt idx="3">
                <c:v>0.8041666666666667</c:v>
              </c:pt>
              <c:pt idx="4">
                <c:v>0.65486111111111112</c:v>
              </c:pt>
              <c:pt idx="5">
                <c:v>0.30972222222222223</c:v>
              </c:pt>
              <c:pt idx="6">
                <c:v>0.43194444444444446</c:v>
              </c:pt>
              <c:pt idx="7">
                <c:v>0.50138888888888888</c:v>
              </c:pt>
              <c:pt idx="8">
                <c:v>0.55902777777777779</c:v>
              </c:pt>
              <c:pt idx="9">
                <c:v>0.57708333333333328</c:v>
              </c:pt>
              <c:pt idx="10">
                <c:v>0.63749999999999996</c:v>
              </c:pt>
              <c:pt idx="11">
                <c:v>0.45624999999999999</c:v>
              </c:pt>
              <c:pt idx="12">
                <c:v>0.72569444444444453</c:v>
              </c:pt>
              <c:pt idx="13">
                <c:v>0.56944444444444442</c:v>
              </c:pt>
              <c:pt idx="14">
                <c:v>0.70208333333333339</c:v>
              </c:pt>
              <c:pt idx="15">
                <c:v>0.91388888888888886</c:v>
              </c:pt>
              <c:pt idx="16">
                <c:v>0.55347222222222225</c:v>
              </c:pt>
              <c:pt idx="17">
                <c:v>7.7083333333333337E-2</c:v>
              </c:pt>
              <c:pt idx="18">
                <c:v>0.62777777777777777</c:v>
              </c:pt>
              <c:pt idx="19">
                <c:v>0.44236111111111115</c:v>
              </c:pt>
              <c:pt idx="20">
                <c:v>0.68333333333333324</c:v>
              </c:pt>
              <c:pt idx="21">
                <c:v>0.5444444444444444</c:v>
              </c:pt>
              <c:pt idx="22">
                <c:v>0.4861111111111111</c:v>
              </c:pt>
              <c:pt idx="23">
                <c:v>0.61458333333333337</c:v>
              </c:pt>
              <c:pt idx="24">
                <c:v>0.54097222222222219</c:v>
              </c:pt>
              <c:pt idx="25">
                <c:v>0.17777777777777778</c:v>
              </c:pt>
              <c:pt idx="26">
                <c:v>0.49583333333333335</c:v>
              </c:pt>
              <c:pt idx="27">
                <c:v>0.4909722222222222</c:v>
              </c:pt>
              <c:pt idx="28">
                <c:v>0.64722222222222225</c:v>
              </c:pt>
              <c:pt idx="29">
                <c:v>0.59930555555555554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5230208"/>
        <c:axId val="135232128"/>
      </c:lineChart>
      <c:catAx>
        <c:axId val="1352302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52321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35232128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hh:mm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5230208"/>
        <c:crosses val="autoZero"/>
        <c:crossBetween val="between"/>
        <c:majorUnit val="8.3333333300000006E-2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 sz="14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Rain Rate / mmh</a:t>
            </a:r>
            <a:r>
              <a:rPr lang="en-GB" sz="1400" b="1" i="0" u="none" strike="noStrike" baseline="30000">
                <a:solidFill>
                  <a:srgbClr val="000000"/>
                </a:solidFill>
                <a:latin typeface="Arial"/>
                <a:cs typeface="Arial"/>
              </a:rPr>
              <a:t>-1</a:t>
            </a:r>
          </a:p>
        </c:rich>
      </c:tx>
      <c:layout>
        <c:manualLayout>
          <c:xMode val="edge"/>
          <c:yMode val="edge"/>
          <c:x val="0.44963144963144963"/>
          <c:y val="1.954022988505747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1.8427518427518427E-2"/>
          <c:y val="9.3103552783262378E-2"/>
          <c:w val="0.95884520884520885"/>
          <c:h val="0.85747222686807079"/>
        </c:manualLayout>
      </c:layout>
      <c:barChart>
        <c:barDir val="col"/>
        <c:grouping val="clustered"/>
        <c:varyColors val="0"/>
        <c:ser>
          <c:idx val="1"/>
          <c:order val="0"/>
          <c:tx>
            <c:v>Mean</c:v>
          </c:tx>
          <c:spPr>
            <a:solidFill>
              <a:srgbClr val="CCFFFF"/>
            </a:solidFill>
            <a:ln w="3175">
              <a:solidFill>
                <a:srgbClr val="333399"/>
              </a:solidFill>
              <a:prstDash val="solid"/>
            </a:ln>
          </c:spPr>
          <c:invertIfNegative val="0"/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1.2666666666666666</c:v>
              </c:pt>
              <c:pt idx="4">
                <c:v>0.3</c:v>
              </c:pt>
              <c:pt idx="5">
                <c:v>4.34</c:v>
              </c:pt>
              <c:pt idx="6">
                <c:v>0.5</c:v>
              </c:pt>
              <c:pt idx="7">
                <c:v>0.6</c:v>
              </c:pt>
              <c:pt idx="8">
                <c:v>3.8</c:v>
              </c:pt>
              <c:pt idx="9">
                <c:v>0.6</c:v>
              </c:pt>
              <c:pt idx="10">
                <c:v>1.8</c:v>
              </c:pt>
              <c:pt idx="11">
                <c:v>0.6</c:v>
              </c:pt>
              <c:pt idx="12">
                <c:v>1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0.7</c:v>
              </c:pt>
              <c:pt idx="17">
                <c:v>0</c:v>
              </c:pt>
              <c:pt idx="18">
                <c:v>0</c:v>
              </c:pt>
              <c:pt idx="19">
                <c:v>0.8</c:v>
              </c:pt>
              <c:pt idx="20">
                <c:v>0.26666666666666666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2</c:v>
              </c:pt>
              <c:pt idx="26">
                <c:v>0.6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-80"/>
        <c:axId val="135614848"/>
        <c:axId val="135616384"/>
      </c:barChart>
      <c:barChart>
        <c:barDir val="col"/>
        <c:grouping val="clustered"/>
        <c:varyColors val="0"/>
        <c:ser>
          <c:idx val="0"/>
          <c:order val="1"/>
          <c:tx>
            <c:v>Max</c:v>
          </c:tx>
          <c:spPr>
            <a:solidFill>
              <a:srgbClr val="9999FF"/>
            </a:solidFill>
            <a:ln w="12700">
              <a:solidFill>
                <a:srgbClr val="000080"/>
              </a:solidFill>
              <a:prstDash val="solid"/>
            </a:ln>
          </c:spPr>
          <c:invertIfNegative val="0"/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6</c:v>
              </c:pt>
              <c:pt idx="4">
                <c:v>0</c:v>
              </c:pt>
              <c:pt idx="5">
                <c:v>100</c:v>
              </c:pt>
              <c:pt idx="6">
                <c:v>0</c:v>
              </c:pt>
              <c:pt idx="7">
                <c:v>0</c:v>
              </c:pt>
              <c:pt idx="8">
                <c:v>20</c:v>
              </c:pt>
              <c:pt idx="9">
                <c:v>0</c:v>
              </c:pt>
              <c:pt idx="10">
                <c:v>10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1.5</c:v>
              </c:pt>
              <c:pt idx="17">
                <c:v>0</c:v>
              </c:pt>
              <c:pt idx="18">
                <c:v>0</c:v>
              </c:pt>
              <c:pt idx="19">
                <c:v>3.3</c:v>
              </c:pt>
              <c:pt idx="20">
                <c:v>0.6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20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0"/>
        <c:overlap val="-100"/>
        <c:axId val="135617920"/>
        <c:axId val="135619712"/>
      </c:barChart>
      <c:catAx>
        <c:axId val="135614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56163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35616384"/>
        <c:scaling>
          <c:orientation val="minMax"/>
          <c:max val="6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5614848"/>
        <c:crosses val="autoZero"/>
        <c:crossBetween val="between"/>
        <c:majorUnit val="1"/>
      </c:valAx>
      <c:catAx>
        <c:axId val="1356179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5619712"/>
        <c:crosses val="autoZero"/>
        <c:auto val="1"/>
        <c:lblAlgn val="ctr"/>
        <c:lblOffset val="100"/>
        <c:noMultiLvlLbl val="0"/>
      </c:catAx>
      <c:valAx>
        <c:axId val="135619712"/>
        <c:scaling>
          <c:orientation val="minMax"/>
          <c:max val="120"/>
          <c:min val="0"/>
        </c:scaling>
        <c:delete val="0"/>
        <c:axPos val="r"/>
        <c:numFmt formatCode="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5617920"/>
        <c:crosses val="max"/>
        <c:crossBetween val="between"/>
        <c:majorUnit val="20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9.5823095823095825E-2"/>
          <c:y val="0.13333345400790417"/>
          <c:w val="0.24262899262899262"/>
          <c:h val="0.1793104655021570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01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Rainfall / mm</a:t>
            </a:r>
          </a:p>
        </c:rich>
      </c:tx>
      <c:layout>
        <c:manualLayout>
          <c:xMode val="edge"/>
          <c:yMode val="edge"/>
          <c:x val="0.47051597051597049"/>
          <c:y val="1.509872241579558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955773955773956E-2"/>
          <c:y val="8.8269554240112152E-2"/>
          <c:w val="0.97297297297297303"/>
          <c:h val="0.85133662181581848"/>
        </c:manualLayout>
      </c:layout>
      <c:barChart>
        <c:barDir val="col"/>
        <c:grouping val="clustered"/>
        <c:varyColors val="0"/>
        <c:ser>
          <c:idx val="0"/>
          <c:order val="0"/>
          <c:tx>
            <c:v>Rainfall</c:v>
          </c:tx>
          <c:spPr>
            <a:solidFill>
              <a:srgbClr val="3366FF"/>
            </a:solidFill>
            <a:ln w="12700">
              <a:solidFill>
                <a:srgbClr val="000080"/>
              </a:solidFill>
              <a:prstDash val="solid"/>
            </a:ln>
          </c:spPr>
          <c:invertIfNegative val="0"/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3.8</c:v>
              </c:pt>
              <c:pt idx="4">
                <c:v>0.3</c:v>
              </c:pt>
              <c:pt idx="5">
                <c:v>21.7</c:v>
              </c:pt>
              <c:pt idx="6">
                <c:v>0.5</c:v>
              </c:pt>
              <c:pt idx="7">
                <c:v>0.3</c:v>
              </c:pt>
              <c:pt idx="8">
                <c:v>3.8</c:v>
              </c:pt>
              <c:pt idx="9">
                <c:v>0.3</c:v>
              </c:pt>
              <c:pt idx="10">
                <c:v>3.6</c:v>
              </c:pt>
              <c:pt idx="11">
                <c:v>0.3</c:v>
              </c:pt>
              <c:pt idx="12">
                <c:v>0.3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1.4</c:v>
              </c:pt>
              <c:pt idx="17">
                <c:v>0.1</c:v>
              </c:pt>
              <c:pt idx="18">
                <c:v>0</c:v>
              </c:pt>
              <c:pt idx="19">
                <c:v>1.6</c:v>
              </c:pt>
              <c:pt idx="20">
                <c:v>0.8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3</c:v>
              </c:pt>
              <c:pt idx="26">
                <c:v>0.3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</c:numLit>
          </c:val>
        </c:ser>
        <c:ser>
          <c:idx val="1"/>
          <c:order val="1"/>
          <c:tx>
            <c:v>Max In Hour</c:v>
          </c:tx>
          <c:spPr>
            <a:solidFill>
              <a:srgbClr val="00CCFF"/>
            </a:solidFill>
            <a:ln w="12700">
              <a:solidFill>
                <a:srgbClr val="0000FF"/>
              </a:solidFill>
              <a:prstDash val="solid"/>
            </a:ln>
          </c:spPr>
          <c:invertIfNegative val="0"/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3.3</c:v>
              </c:pt>
              <c:pt idx="4">
                <c:v>0</c:v>
              </c:pt>
              <c:pt idx="5">
                <c:v>18.399999999999999</c:v>
              </c:pt>
              <c:pt idx="6">
                <c:v>0.5</c:v>
              </c:pt>
              <c:pt idx="7">
                <c:v>0</c:v>
              </c:pt>
              <c:pt idx="8">
                <c:v>3.6</c:v>
              </c:pt>
              <c:pt idx="9">
                <c:v>0</c:v>
              </c:pt>
              <c:pt idx="10">
                <c:v>2.5</c:v>
              </c:pt>
              <c:pt idx="11">
                <c:v>0.3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0.8</c:v>
              </c:pt>
              <c:pt idx="18">
                <c:v>0</c:v>
              </c:pt>
              <c:pt idx="19">
                <c:v>1.4</c:v>
              </c:pt>
              <c:pt idx="20">
                <c:v>0.5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3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</c:numLit>
          </c:val>
        </c:ser>
        <c:ser>
          <c:idx val="2"/>
          <c:order val="2"/>
          <c:tx>
            <c:v>Max in 10 Minutes</c:v>
          </c:tx>
          <c:spPr>
            <a:solidFill>
              <a:srgbClr val="99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3">
                <c:v>0.8</c:v>
              </c:pt>
              <c:pt idx="5">
                <c:v>7.4</c:v>
              </c:pt>
              <c:pt idx="6">
                <c:v>0.3</c:v>
              </c:pt>
              <c:pt idx="7">
                <c:v>0</c:v>
              </c:pt>
              <c:pt idx="8">
                <c:v>1.9</c:v>
              </c:pt>
              <c:pt idx="9">
                <c:v>0</c:v>
              </c:pt>
              <c:pt idx="10">
                <c:v>1.1000000000000001</c:v>
              </c:pt>
              <c:pt idx="11">
                <c:v>0</c:v>
              </c:pt>
              <c:pt idx="12">
                <c:v>0</c:v>
              </c:pt>
              <c:pt idx="16">
                <c:v>0.3</c:v>
              </c:pt>
              <c:pt idx="19">
                <c:v>0.5</c:v>
              </c:pt>
              <c:pt idx="20">
                <c:v>0.3</c:v>
              </c:pt>
              <c:pt idx="25">
                <c:v>1.4</c:v>
              </c:pt>
              <c:pt idx="26">
                <c:v>0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overlap val="100"/>
        <c:axId val="135637248"/>
        <c:axId val="135651328"/>
      </c:barChart>
      <c:catAx>
        <c:axId val="1356372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56513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35651328"/>
        <c:scaling>
          <c:orientation val="minMax"/>
          <c:max val="25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5637248"/>
        <c:crosses val="autoZero"/>
        <c:crossBetween val="between"/>
        <c:majorUnit val="5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3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 horizontalDpi="-3"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Wet Hours / h</a:t>
            </a:r>
          </a:p>
        </c:rich>
      </c:tx>
      <c:layout>
        <c:manualLayout>
          <c:xMode val="edge"/>
          <c:yMode val="edge"/>
          <c:x val="0.47116577299003271"/>
          <c:y val="2.2016222479721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926387535464059E-2"/>
          <c:y val="8.3429895712630361E-2"/>
          <c:w val="0.97361992355849891"/>
          <c:h val="0.8667439165701043"/>
        </c:manualLayout>
      </c:layout>
      <c:barChart>
        <c:barDir val="col"/>
        <c:grouping val="clustered"/>
        <c:varyColors val="0"/>
        <c:ser>
          <c:idx val="2"/>
          <c:order val="0"/>
          <c:tx>
            <c:v>Wet</c:v>
          </c:tx>
          <c:spPr>
            <a:solidFill>
              <a:srgbClr val="00FFFF"/>
            </a:solidFill>
            <a:ln w="12700">
              <a:solidFill>
                <a:srgbClr val="3366FF"/>
              </a:solidFill>
              <a:prstDash val="solid"/>
            </a:ln>
          </c:spPr>
          <c:invertIfNegative val="0"/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3</c:v>
              </c:pt>
              <c:pt idx="4">
                <c:v>1</c:v>
              </c:pt>
              <c:pt idx="5">
                <c:v>5</c:v>
              </c:pt>
              <c:pt idx="6">
                <c:v>1</c:v>
              </c:pt>
              <c:pt idx="7">
                <c:v>0.5</c:v>
              </c:pt>
              <c:pt idx="8">
                <c:v>1</c:v>
              </c:pt>
              <c:pt idx="9">
                <c:v>0.5</c:v>
              </c:pt>
              <c:pt idx="10">
                <c:v>2</c:v>
              </c:pt>
              <c:pt idx="11">
                <c:v>0.5</c:v>
              </c:pt>
              <c:pt idx="12">
                <c:v>0.3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2</c:v>
              </c:pt>
              <c:pt idx="17">
                <c:v>0.4</c:v>
              </c:pt>
              <c:pt idx="18">
                <c:v>0</c:v>
              </c:pt>
              <c:pt idx="19">
                <c:v>2</c:v>
              </c:pt>
              <c:pt idx="20">
                <c:v>3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1.5</c:v>
              </c:pt>
              <c:pt idx="26">
                <c:v>0.5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overlap val="-10"/>
        <c:axId val="135925120"/>
        <c:axId val="135939200"/>
      </c:barChart>
      <c:catAx>
        <c:axId val="135925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59392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35939200"/>
        <c:scaling>
          <c:orientation val="minMax"/>
          <c:max val="1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5925120"/>
        <c:crosses val="autoZero"/>
        <c:crossBetween val="between"/>
        <c:majorUnit val="2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Wind Direction Frequency</a:t>
            </a:r>
          </a:p>
        </c:rich>
      </c:tx>
      <c:layout>
        <c:manualLayout>
          <c:xMode val="edge"/>
          <c:yMode val="edge"/>
          <c:x val="0.41263028816676883"/>
          <c:y val="2.243211334120424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9613733905579398"/>
          <c:y val="0.17119254260933731"/>
          <c:w val="0.38197424892703863"/>
          <c:h val="0.73553761410770446"/>
        </c:manualLayout>
      </c:layout>
      <c:radarChart>
        <c:radarStyle val="filled"/>
        <c:varyColors val="1"/>
        <c:ser>
          <c:idx val="0"/>
          <c:order val="0"/>
          <c:tx>
            <c:v>Mean Wind Direction</c:v>
          </c:tx>
          <c:spPr>
            <a:solidFill>
              <a:srgbClr val="FF99CC"/>
            </a:solidFill>
            <a:ln w="38100">
              <a:solidFill>
                <a:srgbClr val="FF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</c:dPt>
          <c:dPt>
            <c:idx val="2"/>
            <c:bubble3D val="0"/>
          </c:dPt>
          <c:dPt>
            <c:idx val="3"/>
            <c:bubble3D val="0"/>
          </c:dPt>
          <c:dPt>
            <c:idx val="4"/>
            <c:bubble3D val="0"/>
          </c:dPt>
          <c:dPt>
            <c:idx val="5"/>
            <c:bubble3D val="0"/>
          </c:dPt>
          <c:dPt>
            <c:idx val="6"/>
            <c:bubble3D val="0"/>
          </c:dPt>
          <c:dPt>
            <c:idx val="7"/>
            <c:bubble3D val="0"/>
          </c:dPt>
          <c:dPt>
            <c:idx val="8"/>
            <c:bubble3D val="0"/>
          </c:dPt>
          <c:dPt>
            <c:idx val="9"/>
            <c:bubble3D val="0"/>
          </c:dPt>
          <c:dPt>
            <c:idx val="10"/>
            <c:bubble3D val="0"/>
          </c:dPt>
          <c:dPt>
            <c:idx val="11"/>
            <c:bubble3D val="0"/>
          </c:dPt>
          <c:dPt>
            <c:idx val="12"/>
            <c:bubble3D val="0"/>
          </c:dPt>
          <c:dPt>
            <c:idx val="13"/>
            <c:bubble3D val="0"/>
          </c:dPt>
          <c:dPt>
            <c:idx val="14"/>
            <c:bubble3D val="0"/>
          </c:dPt>
          <c:dPt>
            <c:idx val="15"/>
            <c:bubble3D val="0"/>
          </c:dPt>
          <c:dLbls>
            <c:dLbl>
              <c:idx val="0"/>
              <c:layout>
                <c:manualLayout>
                  <c:x val="9.3400342124619405E-4"/>
                  <c:y val="-0.3543198922157548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 val="9.4566784302176771E-2"/>
                  <c:y val="-0.3200843503612277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layout>
                <c:manualLayout>
                  <c:x val="0.13829751967699311"/>
                  <c:y val="-0.23652502395064698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layout>
                <c:manualLayout>
                  <c:x val="0.17812642518397642"/>
                  <c:y val="-0.1195866635958140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4"/>
              <c:layout>
                <c:manualLayout>
                  <c:x val="0.17416151307266844"/>
                  <c:y val="-1.333725229432879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5"/>
              <c:layout>
                <c:manualLayout>
                  <c:x val="0.17555975031018117"/>
                  <c:y val="9.4945083986903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6"/>
              <c:layout>
                <c:manualLayout>
                  <c:x val="0.14752400585119985"/>
                  <c:y val="0.2252559531388869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7"/>
              <c:layout>
                <c:manualLayout>
                  <c:x val="9.7311634328970664E-2"/>
                  <c:y val="0.2994916502532936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8"/>
              <c:layout>
                <c:manualLayout>
                  <c:x val="2.7733657756300054E-3"/>
                  <c:y val="0.2396524983565164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9"/>
              <c:layout>
                <c:manualLayout>
                  <c:x val="-4.5244580478942253E-2"/>
                  <c:y val="6.8198377956014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0"/>
              <c:layout>
                <c:manualLayout>
                  <c:x val="-3.685837553567603E-2"/>
                  <c:y val="2.63789573434479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1"/>
              <c:layout>
                <c:manualLayout>
                  <c:x val="-9.1712570263481022E-2"/>
                  <c:y val="3.789098765147706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2"/>
              <c:layout>
                <c:manualLayout>
                  <c:x val="-0.16553565997383374"/>
                  <c:y val="-3.5023182051706738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3"/>
              <c:layout>
                <c:manualLayout>
                  <c:x val="-0.18946899877858617"/>
                  <c:y val="-0.1391493131619030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4"/>
              <c:layout>
                <c:manualLayout>
                  <c:x val="-0.15809395070251411"/>
                  <c:y val="-0.24636527879928408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5"/>
              <c:layout>
                <c:manualLayout>
                  <c:x val="-9.0637919187140203E-2"/>
                  <c:y val="-0.3283075318939440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1" i="0" u="none" strike="noStrike" baseline="0">
                    <a:solidFill>
                      <a:srgbClr val="FF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Lit>
              <c:ptCount val="16"/>
              <c:pt idx="0">
                <c:v>N</c:v>
              </c:pt>
              <c:pt idx="1">
                <c:v>NNE</c:v>
              </c:pt>
              <c:pt idx="2">
                <c:v>NE</c:v>
              </c:pt>
              <c:pt idx="3">
                <c:v>ENE</c:v>
              </c:pt>
              <c:pt idx="4">
                <c:v>E</c:v>
              </c:pt>
              <c:pt idx="5">
                <c:v>ESE</c:v>
              </c:pt>
              <c:pt idx="6">
                <c:v>SE</c:v>
              </c:pt>
              <c:pt idx="7">
                <c:v>SSE</c:v>
              </c:pt>
              <c:pt idx="8">
                <c:v>S</c:v>
              </c:pt>
              <c:pt idx="9">
                <c:v>SSW</c:v>
              </c:pt>
              <c:pt idx="10">
                <c:v>SW</c:v>
              </c:pt>
              <c:pt idx="11">
                <c:v>WSW</c:v>
              </c:pt>
              <c:pt idx="12">
                <c:v>W</c:v>
              </c:pt>
              <c:pt idx="13">
                <c:v>WNW</c:v>
              </c:pt>
              <c:pt idx="14">
                <c:v>NW</c:v>
              </c:pt>
              <c:pt idx="15">
                <c:v>NNW</c:v>
              </c:pt>
            </c:strLit>
          </c:cat>
          <c:val>
            <c:numLit>
              <c:formatCode>General</c:formatCode>
              <c:ptCount val="16"/>
              <c:pt idx="0">
                <c:v>2.8000000000000001E-2</c:v>
              </c:pt>
              <c:pt idx="1">
                <c:v>2.4E-2</c:v>
              </c:pt>
              <c:pt idx="2">
                <c:v>2.5999999999999999E-2</c:v>
              </c:pt>
              <c:pt idx="3">
                <c:v>3.5999999999999997E-2</c:v>
              </c:pt>
              <c:pt idx="4">
                <c:v>2.1000000000000001E-2</c:v>
              </c:pt>
              <c:pt idx="5">
                <c:v>2.4E-2</c:v>
              </c:pt>
              <c:pt idx="6">
                <c:v>1.7999999999999999E-2</c:v>
              </c:pt>
              <c:pt idx="7">
                <c:v>2.3E-2</c:v>
              </c:pt>
              <c:pt idx="8">
                <c:v>8.3000000000000004E-2</c:v>
              </c:pt>
              <c:pt idx="9">
                <c:v>0.20100000000000001</c:v>
              </c:pt>
              <c:pt idx="10">
                <c:v>0.216</c:v>
              </c:pt>
              <c:pt idx="11">
                <c:v>0.161</c:v>
              </c:pt>
              <c:pt idx="12">
                <c:v>7.8E-2</c:v>
              </c:pt>
              <c:pt idx="13">
                <c:v>3.9E-2</c:v>
              </c:pt>
              <c:pt idx="14">
                <c:v>1.2E-2</c:v>
              </c:pt>
              <c:pt idx="15">
                <c:v>1.0999999999999999E-2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046464"/>
        <c:axId val="136048000"/>
      </c:radarChart>
      <c:catAx>
        <c:axId val="136046464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6048000"/>
        <c:crosses val="autoZero"/>
        <c:auto val="0"/>
        <c:lblAlgn val="ctr"/>
        <c:lblOffset val="100"/>
        <c:noMultiLvlLbl val="0"/>
      </c:catAx>
      <c:valAx>
        <c:axId val="136048000"/>
        <c:scaling>
          <c:orientation val="minMax"/>
          <c:max val="0.25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General" sourceLinked="1"/>
        <c:majorTickMark val="cross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6046464"/>
        <c:crosses val="autoZero"/>
        <c:crossBetween val="between"/>
        <c:majorUnit val="0.05"/>
      </c:valAx>
      <c:spPr>
        <a:solidFill>
          <a:srgbClr val="C0C0C0"/>
        </a:solidFill>
        <a:ln w="25400">
          <a:noFill/>
        </a:ln>
      </c:spPr>
    </c:plotArea>
    <c:plotVisOnly val="1"/>
    <c:dispBlanksAs val="gap"/>
    <c:showDLblsOverMax val="0"/>
  </c:chart>
  <c:spPr>
    <a:solidFill>
      <a:srgbClr val="C0C0C0"/>
    </a:solidFill>
    <a:ln w="3175">
      <a:solidFill>
        <a:srgbClr val="000000"/>
      </a:solidFill>
      <a:prstDash val="solid"/>
    </a:ln>
  </c:spPr>
  <c:txPr>
    <a:bodyPr/>
    <a:lstStyle/>
    <a:p>
      <a:pPr>
        <a:defRPr sz="23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 horizontalDpi="-3"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Relative Humidity / %</a:t>
            </a:r>
          </a:p>
        </c:rich>
      </c:tx>
      <c:layout>
        <c:manualLayout>
          <c:xMode val="edge"/>
          <c:yMode val="edge"/>
          <c:x val="0.44022072348252606"/>
          <c:y val="2.555168408826945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429797670141016E-2"/>
          <c:y val="9.5238203259068371E-2"/>
          <c:w val="0.94788473329245859"/>
          <c:h val="0.85482094632529659"/>
        </c:manualLayout>
      </c:layout>
      <c:lineChart>
        <c:grouping val="standard"/>
        <c:varyColors val="0"/>
        <c:ser>
          <c:idx val="2"/>
          <c:order val="0"/>
          <c:tx>
            <c:v>Max</c:v>
          </c:tx>
          <c:spPr>
            <a:ln w="38100">
              <a:solidFill>
                <a:srgbClr val="008000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003300"/>
              </a:solidFill>
              <a:ln>
                <a:solidFill>
                  <a:srgbClr val="003300"/>
                </a:solidFill>
                <a:prstDash val="solid"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94</c:v>
              </c:pt>
              <c:pt idx="1">
                <c:v>93</c:v>
              </c:pt>
              <c:pt idx="2">
                <c:v>78</c:v>
              </c:pt>
              <c:pt idx="3">
                <c:v>81</c:v>
              </c:pt>
              <c:pt idx="4">
                <c:v>89</c:v>
              </c:pt>
              <c:pt idx="5">
                <c:v>92</c:v>
              </c:pt>
              <c:pt idx="6">
                <c:v>78</c:v>
              </c:pt>
              <c:pt idx="7">
                <c:v>83</c:v>
              </c:pt>
              <c:pt idx="8">
                <c:v>94</c:v>
              </c:pt>
              <c:pt idx="9">
                <c:v>84</c:v>
              </c:pt>
              <c:pt idx="10">
                <c:v>83</c:v>
              </c:pt>
              <c:pt idx="11">
                <c:v>87</c:v>
              </c:pt>
              <c:pt idx="12">
                <c:v>91</c:v>
              </c:pt>
              <c:pt idx="13">
                <c:v>86</c:v>
              </c:pt>
              <c:pt idx="14">
                <c:v>92</c:v>
              </c:pt>
              <c:pt idx="15">
                <c:v>96</c:v>
              </c:pt>
              <c:pt idx="16">
                <c:v>94</c:v>
              </c:pt>
              <c:pt idx="17">
                <c:v>87</c:v>
              </c:pt>
              <c:pt idx="18">
                <c:v>85</c:v>
              </c:pt>
              <c:pt idx="19">
                <c:v>84</c:v>
              </c:pt>
              <c:pt idx="20">
                <c:v>79</c:v>
              </c:pt>
              <c:pt idx="21">
                <c:v>77</c:v>
              </c:pt>
              <c:pt idx="22">
                <c:v>93</c:v>
              </c:pt>
              <c:pt idx="23">
                <c:v>87</c:v>
              </c:pt>
              <c:pt idx="24">
                <c:v>90</c:v>
              </c:pt>
              <c:pt idx="25">
                <c:v>90</c:v>
              </c:pt>
              <c:pt idx="26">
                <c:v>92</c:v>
              </c:pt>
              <c:pt idx="27">
                <c:v>94</c:v>
              </c:pt>
              <c:pt idx="28">
                <c:v>93</c:v>
              </c:pt>
              <c:pt idx="29">
                <c:v>92</c:v>
              </c:pt>
              <c:pt idx="30">
                <c:v>92</c:v>
              </c:pt>
            </c:numLit>
          </c:val>
          <c:smooth val="0"/>
        </c:ser>
        <c:ser>
          <c:idx val="1"/>
          <c:order val="1"/>
          <c:tx>
            <c:v>Min</c:v>
          </c:tx>
          <c:spPr>
            <a:ln w="38100">
              <a:solidFill>
                <a:srgbClr val="FF9900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FF6600"/>
              </a:solidFill>
              <a:ln>
                <a:solidFill>
                  <a:srgbClr val="FF6600"/>
                </a:solidFill>
                <a:prstDash val="solid"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40</c:v>
              </c:pt>
              <c:pt idx="1">
                <c:v>36</c:v>
              </c:pt>
              <c:pt idx="2">
                <c:v>35</c:v>
              </c:pt>
              <c:pt idx="3">
                <c:v>65</c:v>
              </c:pt>
              <c:pt idx="4">
                <c:v>65</c:v>
              </c:pt>
              <c:pt idx="5">
                <c:v>43</c:v>
              </c:pt>
              <c:pt idx="6">
                <c:v>53</c:v>
              </c:pt>
              <c:pt idx="7">
                <c:v>69</c:v>
              </c:pt>
              <c:pt idx="8">
                <c:v>72</c:v>
              </c:pt>
              <c:pt idx="9">
                <c:v>62</c:v>
              </c:pt>
              <c:pt idx="10">
                <c:v>71</c:v>
              </c:pt>
              <c:pt idx="11">
                <c:v>69</c:v>
              </c:pt>
              <c:pt idx="12">
                <c:v>74</c:v>
              </c:pt>
              <c:pt idx="13">
                <c:v>47</c:v>
              </c:pt>
              <c:pt idx="14">
                <c:v>49</c:v>
              </c:pt>
              <c:pt idx="15">
                <c:v>73</c:v>
              </c:pt>
              <c:pt idx="16">
                <c:v>64</c:v>
              </c:pt>
              <c:pt idx="17">
                <c:v>42</c:v>
              </c:pt>
              <c:pt idx="18">
                <c:v>45</c:v>
              </c:pt>
              <c:pt idx="19">
                <c:v>50</c:v>
              </c:pt>
              <c:pt idx="20">
                <c:v>53</c:v>
              </c:pt>
              <c:pt idx="21">
                <c:v>47</c:v>
              </c:pt>
              <c:pt idx="22">
                <c:v>48</c:v>
              </c:pt>
              <c:pt idx="23">
                <c:v>57</c:v>
              </c:pt>
              <c:pt idx="24">
                <c:v>56</c:v>
              </c:pt>
              <c:pt idx="25">
                <c:v>72</c:v>
              </c:pt>
              <c:pt idx="26">
                <c:v>81</c:v>
              </c:pt>
              <c:pt idx="27">
                <c:v>66</c:v>
              </c:pt>
              <c:pt idx="28">
                <c:v>63</c:v>
              </c:pt>
              <c:pt idx="29">
                <c:v>81</c:v>
              </c:pt>
              <c:pt idx="30">
                <c:v>71</c:v>
              </c:pt>
            </c:numLit>
          </c:val>
          <c:smooth val="0"/>
        </c:ser>
        <c:ser>
          <c:idx val="3"/>
          <c:order val="2"/>
          <c:tx>
            <c:v>Mean</c:v>
          </c:tx>
          <c:spPr>
            <a:ln w="38100">
              <a:solidFill>
                <a:srgbClr val="993366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800080"/>
              </a:solidFill>
              <a:ln>
                <a:solidFill>
                  <a:srgbClr val="800080"/>
                </a:solidFill>
                <a:prstDash val="solid"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68</c:v>
              </c:pt>
              <c:pt idx="1">
                <c:v>63</c:v>
              </c:pt>
              <c:pt idx="2">
                <c:v>59</c:v>
              </c:pt>
              <c:pt idx="3">
                <c:v>75</c:v>
              </c:pt>
              <c:pt idx="4">
                <c:v>78</c:v>
              </c:pt>
              <c:pt idx="5">
                <c:v>65</c:v>
              </c:pt>
              <c:pt idx="6">
                <c:v>69</c:v>
              </c:pt>
              <c:pt idx="7">
                <c:v>75</c:v>
              </c:pt>
              <c:pt idx="8">
                <c:v>84</c:v>
              </c:pt>
              <c:pt idx="9">
                <c:v>75</c:v>
              </c:pt>
              <c:pt idx="10">
                <c:v>76</c:v>
              </c:pt>
              <c:pt idx="11">
                <c:v>79</c:v>
              </c:pt>
              <c:pt idx="12">
                <c:v>84</c:v>
              </c:pt>
              <c:pt idx="13">
                <c:v>67</c:v>
              </c:pt>
              <c:pt idx="14">
                <c:v>72</c:v>
              </c:pt>
              <c:pt idx="15">
                <c:v>83</c:v>
              </c:pt>
              <c:pt idx="16">
                <c:v>78</c:v>
              </c:pt>
              <c:pt idx="17">
                <c:v>66</c:v>
              </c:pt>
              <c:pt idx="18">
                <c:v>70</c:v>
              </c:pt>
              <c:pt idx="19">
                <c:v>70</c:v>
              </c:pt>
              <c:pt idx="20">
                <c:v>69</c:v>
              </c:pt>
              <c:pt idx="21">
                <c:v>64</c:v>
              </c:pt>
              <c:pt idx="22">
                <c:v>72</c:v>
              </c:pt>
              <c:pt idx="23">
                <c:v>72</c:v>
              </c:pt>
              <c:pt idx="24">
                <c:v>78</c:v>
              </c:pt>
              <c:pt idx="25">
                <c:v>83</c:v>
              </c:pt>
              <c:pt idx="26">
                <c:v>87</c:v>
              </c:pt>
              <c:pt idx="27">
                <c:v>84</c:v>
              </c:pt>
              <c:pt idx="28">
                <c:v>81</c:v>
              </c:pt>
              <c:pt idx="29">
                <c:v>88</c:v>
              </c:pt>
              <c:pt idx="30">
                <c:v>84</c:v>
              </c:pt>
            </c:numLit>
          </c:val>
          <c:smooth val="0"/>
        </c:ser>
        <c:ser>
          <c:idx val="5"/>
          <c:order val="5"/>
          <c:tx>
            <c:v>Cumulative Mean</c:v>
          </c:tx>
          <c:spPr>
            <a:ln w="12700">
              <a:solidFill>
                <a:srgbClr val="CC99FF"/>
              </a:solidFill>
              <a:prstDash val="solid"/>
            </a:ln>
          </c:spPr>
          <c:marker>
            <c:symbol val="none"/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68</c:v>
              </c:pt>
              <c:pt idx="1">
                <c:v>65.5</c:v>
              </c:pt>
              <c:pt idx="2">
                <c:v>63.333333333333336</c:v>
              </c:pt>
              <c:pt idx="3">
                <c:v>66.25</c:v>
              </c:pt>
              <c:pt idx="4">
                <c:v>68.599999999999994</c:v>
              </c:pt>
              <c:pt idx="5">
                <c:v>68</c:v>
              </c:pt>
              <c:pt idx="6">
                <c:v>68.142857142857139</c:v>
              </c:pt>
              <c:pt idx="7">
                <c:v>69</c:v>
              </c:pt>
              <c:pt idx="8">
                <c:v>70.666666666666671</c:v>
              </c:pt>
              <c:pt idx="9">
                <c:v>71.099999999999994</c:v>
              </c:pt>
              <c:pt idx="10">
                <c:v>71.545454545454547</c:v>
              </c:pt>
              <c:pt idx="11">
                <c:v>72.166666666666671</c:v>
              </c:pt>
              <c:pt idx="12">
                <c:v>73.07692307692308</c:v>
              </c:pt>
              <c:pt idx="13">
                <c:v>72.642857142857139</c:v>
              </c:pt>
              <c:pt idx="14">
                <c:v>72.599999999999994</c:v>
              </c:pt>
              <c:pt idx="15">
                <c:v>73.25</c:v>
              </c:pt>
              <c:pt idx="16">
                <c:v>73.529411764705884</c:v>
              </c:pt>
              <c:pt idx="17">
                <c:v>73.111111111111114</c:v>
              </c:pt>
              <c:pt idx="18">
                <c:v>72.94736842105263</c:v>
              </c:pt>
              <c:pt idx="19">
                <c:v>72.8</c:v>
              </c:pt>
              <c:pt idx="20">
                <c:v>72.61904761904762</c:v>
              </c:pt>
              <c:pt idx="21">
                <c:v>72.227272727272734</c:v>
              </c:pt>
              <c:pt idx="22">
                <c:v>72.217391304347828</c:v>
              </c:pt>
              <c:pt idx="23">
                <c:v>72.208333333333329</c:v>
              </c:pt>
              <c:pt idx="24">
                <c:v>72.44</c:v>
              </c:pt>
              <c:pt idx="25">
                <c:v>72.84615384615384</c:v>
              </c:pt>
              <c:pt idx="26">
                <c:v>73.370370370370367</c:v>
              </c:pt>
              <c:pt idx="27">
                <c:v>73.75</c:v>
              </c:pt>
              <c:pt idx="28">
                <c:v>74</c:v>
              </c:pt>
              <c:pt idx="29">
                <c:v>74.466666666666669</c:v>
              </c:pt>
              <c:pt idx="30">
                <c:v>74.774193548387103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867136"/>
        <c:axId val="83868672"/>
      </c:lineChart>
      <c:lineChart>
        <c:grouping val="standard"/>
        <c:varyColors val="0"/>
        <c:ser>
          <c:idx val="0"/>
          <c:order val="3"/>
          <c:tx>
            <c:v>Range</c:v>
          </c:tx>
          <c:spPr>
            <a:ln w="25400">
              <a:solidFill>
                <a:srgbClr val="00FF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339966"/>
              </a:solidFill>
              <a:ln>
                <a:solidFill>
                  <a:srgbClr val="339966"/>
                </a:solidFill>
                <a:prstDash val="solid"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54</c:v>
              </c:pt>
              <c:pt idx="1">
                <c:v>57</c:v>
              </c:pt>
              <c:pt idx="2">
                <c:v>43</c:v>
              </c:pt>
              <c:pt idx="3">
                <c:v>16</c:v>
              </c:pt>
              <c:pt idx="4">
                <c:v>24</c:v>
              </c:pt>
              <c:pt idx="5">
                <c:v>49</c:v>
              </c:pt>
              <c:pt idx="6">
                <c:v>25</c:v>
              </c:pt>
              <c:pt idx="7">
                <c:v>14</c:v>
              </c:pt>
              <c:pt idx="8">
                <c:v>22</c:v>
              </c:pt>
              <c:pt idx="9">
                <c:v>22</c:v>
              </c:pt>
              <c:pt idx="10">
                <c:v>12</c:v>
              </c:pt>
              <c:pt idx="11">
                <c:v>18</c:v>
              </c:pt>
              <c:pt idx="12">
                <c:v>17</c:v>
              </c:pt>
              <c:pt idx="13">
                <c:v>39</c:v>
              </c:pt>
              <c:pt idx="14">
                <c:v>43</c:v>
              </c:pt>
              <c:pt idx="15">
                <c:v>23</c:v>
              </c:pt>
              <c:pt idx="16">
                <c:v>30</c:v>
              </c:pt>
              <c:pt idx="17">
                <c:v>45</c:v>
              </c:pt>
              <c:pt idx="18">
                <c:v>40</c:v>
              </c:pt>
              <c:pt idx="19">
                <c:v>34</c:v>
              </c:pt>
              <c:pt idx="20">
                <c:v>26</c:v>
              </c:pt>
              <c:pt idx="21">
                <c:v>30</c:v>
              </c:pt>
              <c:pt idx="22">
                <c:v>45</c:v>
              </c:pt>
              <c:pt idx="23">
                <c:v>30</c:v>
              </c:pt>
              <c:pt idx="24">
                <c:v>34</c:v>
              </c:pt>
              <c:pt idx="25">
                <c:v>18</c:v>
              </c:pt>
              <c:pt idx="26">
                <c:v>11</c:v>
              </c:pt>
              <c:pt idx="27">
                <c:v>28</c:v>
              </c:pt>
              <c:pt idx="28">
                <c:v>30</c:v>
              </c:pt>
              <c:pt idx="29">
                <c:v>11</c:v>
              </c:pt>
              <c:pt idx="30">
                <c:v>21</c:v>
              </c:pt>
            </c:numLit>
          </c:val>
          <c:smooth val="0"/>
        </c:ser>
        <c:ser>
          <c:idx val="4"/>
          <c:order val="4"/>
          <c:tx>
            <c:v>Rainfall</c:v>
          </c:tx>
          <c:spPr>
            <a:ln w="25400">
              <a:solidFill>
                <a:srgbClr val="33CCCC"/>
              </a:solidFill>
              <a:prstDash val="solid"/>
            </a:ln>
          </c:spPr>
          <c:marker>
            <c:symbol val="none"/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0.1</c:v>
              </c:pt>
              <c:pt idx="5">
                <c:v>3.6</c:v>
              </c:pt>
              <c:pt idx="6">
                <c:v>0.1</c:v>
              </c:pt>
              <c:pt idx="7">
                <c:v>0.1</c:v>
              </c:pt>
              <c:pt idx="8">
                <c:v>1.9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3.3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0.8</c:v>
              </c:pt>
              <c:pt idx="24">
                <c:v>1.7</c:v>
              </c:pt>
              <c:pt idx="25">
                <c:v>3.1</c:v>
              </c:pt>
              <c:pt idx="26">
                <c:v>0.8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878656"/>
        <c:axId val="83880192"/>
      </c:lineChart>
      <c:catAx>
        <c:axId val="83867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8686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83868672"/>
        <c:scaling>
          <c:orientation val="minMax"/>
          <c:max val="100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867136"/>
        <c:crosses val="autoZero"/>
        <c:crossBetween val="between"/>
        <c:majorUnit val="10"/>
      </c:valAx>
      <c:catAx>
        <c:axId val="838786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3880192"/>
        <c:crosses val="autoZero"/>
        <c:auto val="1"/>
        <c:lblAlgn val="ctr"/>
        <c:lblOffset val="100"/>
        <c:noMultiLvlLbl val="0"/>
      </c:catAx>
      <c:valAx>
        <c:axId val="83880192"/>
        <c:scaling>
          <c:orientation val="minMax"/>
          <c:max val="200"/>
          <c:min val="0"/>
        </c:scaling>
        <c:delete val="0"/>
        <c:axPos val="r"/>
        <c:numFmt formatCode="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878656"/>
        <c:crosses val="max"/>
        <c:crossBetween val="between"/>
        <c:majorUnit val="20"/>
      </c:valAx>
      <c:spPr>
        <a:solidFill>
          <a:srgbClr val="969696"/>
        </a:solidFill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6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Pressure / hPa</a:t>
            </a:r>
          </a:p>
        </c:rich>
      </c:tx>
      <c:layout>
        <c:manualLayout>
          <c:xMode val="edge"/>
          <c:yMode val="edge"/>
          <c:x val="0.45677498467198036"/>
          <c:y val="1.858304297328687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94788473329246E-2"/>
          <c:y val="8.7108112736952778E-2"/>
          <c:w val="0.94236664622930721"/>
          <c:h val="0.86295103684741226"/>
        </c:manualLayout>
      </c:layout>
      <c:lineChart>
        <c:grouping val="standard"/>
        <c:varyColors val="0"/>
        <c:ser>
          <c:idx val="5"/>
          <c:order val="0"/>
          <c:tx>
            <c:v>Cum. Mean</c:v>
          </c:tx>
          <c:spPr>
            <a:ln w="12700">
              <a:solidFill>
                <a:srgbClr val="993366"/>
              </a:solidFill>
              <a:prstDash val="solid"/>
            </a:ln>
          </c:spPr>
          <c:marker>
            <c:symbol val="square"/>
            <c:size val="2"/>
            <c:spPr>
              <a:noFill/>
              <a:ln>
                <a:solidFill>
                  <a:srgbClr val="808080"/>
                </a:solidFill>
                <a:prstDash val="solid"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1025</c:v>
              </c:pt>
              <c:pt idx="1">
                <c:v>1024.25</c:v>
              </c:pt>
              <c:pt idx="2">
                <c:v>1022.5</c:v>
              </c:pt>
              <c:pt idx="3">
                <c:v>1021.75</c:v>
              </c:pt>
              <c:pt idx="4">
                <c:v>1020.4</c:v>
              </c:pt>
              <c:pt idx="5">
                <c:v>1018.5</c:v>
              </c:pt>
              <c:pt idx="6">
                <c:v>1018.2142857142857</c:v>
              </c:pt>
              <c:pt idx="7">
                <c:v>1018.625</c:v>
              </c:pt>
              <c:pt idx="8">
                <c:v>1018.5555555555555</c:v>
              </c:pt>
              <c:pt idx="9">
                <c:v>1018.45</c:v>
              </c:pt>
              <c:pt idx="10">
                <c:v>1018.5</c:v>
              </c:pt>
              <c:pt idx="11">
                <c:v>1018.75</c:v>
              </c:pt>
              <c:pt idx="12">
                <c:v>1019.5</c:v>
              </c:pt>
              <c:pt idx="13">
                <c:v>1020.2857142857143</c:v>
              </c:pt>
              <c:pt idx="14">
                <c:v>1020.6333333333333</c:v>
              </c:pt>
              <c:pt idx="15">
                <c:v>1020.78125</c:v>
              </c:pt>
              <c:pt idx="16">
                <c:v>1020.4705882352941</c:v>
              </c:pt>
              <c:pt idx="17">
                <c:v>1019.8333333333334</c:v>
              </c:pt>
              <c:pt idx="18">
                <c:v>1019.7368421052631</c:v>
              </c:pt>
              <c:pt idx="19">
                <c:v>1020.05</c:v>
              </c:pt>
              <c:pt idx="20">
                <c:v>1020.2619047619048</c:v>
              </c:pt>
              <c:pt idx="21">
                <c:v>1020.0454545454545</c:v>
              </c:pt>
              <c:pt idx="22">
                <c:v>1019.4565217391304</c:v>
              </c:pt>
              <c:pt idx="23">
                <c:v>1018.5416666666666</c:v>
              </c:pt>
              <c:pt idx="24">
                <c:v>1017.64</c:v>
              </c:pt>
              <c:pt idx="25">
                <c:v>1017.1153846153846</c:v>
              </c:pt>
              <c:pt idx="26">
                <c:v>1016.8148148148148</c:v>
              </c:pt>
              <c:pt idx="27">
                <c:v>1016.875</c:v>
              </c:pt>
              <c:pt idx="28">
                <c:v>1017.0172413793103</c:v>
              </c:pt>
              <c:pt idx="29">
                <c:v>1017.05</c:v>
              </c:pt>
              <c:pt idx="30">
                <c:v>1016.9193548387096</c:v>
              </c:pt>
            </c:numLit>
          </c:val>
          <c:smooth val="0"/>
        </c:ser>
        <c:ser>
          <c:idx val="1"/>
          <c:order val="1"/>
          <c:tx>
            <c:v>Max</c:v>
          </c:tx>
          <c:spPr>
            <a:ln w="38100">
              <a:solidFill>
                <a:srgbClr val="00CCFF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1026</c:v>
              </c:pt>
              <c:pt idx="1">
                <c:v>1025</c:v>
              </c:pt>
              <c:pt idx="2">
                <c:v>1022</c:v>
              </c:pt>
              <c:pt idx="3">
                <c:v>1021</c:v>
              </c:pt>
              <c:pt idx="4">
                <c:v>1020</c:v>
              </c:pt>
              <c:pt idx="5">
                <c:v>1011</c:v>
              </c:pt>
              <c:pt idx="6">
                <c:v>1022</c:v>
              </c:pt>
              <c:pt idx="7">
                <c:v>1023</c:v>
              </c:pt>
              <c:pt idx="8">
                <c:v>1020</c:v>
              </c:pt>
              <c:pt idx="9">
                <c:v>1019</c:v>
              </c:pt>
              <c:pt idx="10">
                <c:v>1021</c:v>
              </c:pt>
              <c:pt idx="11">
                <c:v>1024</c:v>
              </c:pt>
              <c:pt idx="12">
                <c:v>1032</c:v>
              </c:pt>
              <c:pt idx="13">
                <c:v>1033</c:v>
              </c:pt>
              <c:pt idx="14">
                <c:v>1028</c:v>
              </c:pt>
              <c:pt idx="15">
                <c:v>1024</c:v>
              </c:pt>
              <c:pt idx="16">
                <c:v>1022</c:v>
              </c:pt>
              <c:pt idx="17">
                <c:v>1012</c:v>
              </c:pt>
              <c:pt idx="18">
                <c:v>1024</c:v>
              </c:pt>
              <c:pt idx="19">
                <c:v>1028</c:v>
              </c:pt>
              <c:pt idx="20">
                <c:v>1027</c:v>
              </c:pt>
              <c:pt idx="21">
                <c:v>1021</c:v>
              </c:pt>
              <c:pt idx="22">
                <c:v>1010</c:v>
              </c:pt>
              <c:pt idx="23">
                <c:v>1002</c:v>
              </c:pt>
              <c:pt idx="24">
                <c:v>1000</c:v>
              </c:pt>
              <c:pt idx="25">
                <c:v>1008</c:v>
              </c:pt>
              <c:pt idx="26">
                <c:v>1012</c:v>
              </c:pt>
              <c:pt idx="27">
                <c:v>1024</c:v>
              </c:pt>
              <c:pt idx="28">
                <c:v>1024</c:v>
              </c:pt>
              <c:pt idx="29">
                <c:v>1019</c:v>
              </c:pt>
              <c:pt idx="30">
                <c:v>1018</c:v>
              </c:pt>
            </c:numLit>
          </c:val>
          <c:smooth val="0"/>
        </c:ser>
        <c:ser>
          <c:idx val="0"/>
          <c:order val="3"/>
          <c:tx>
            <c:v>Min</c:v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1024</c:v>
              </c:pt>
              <c:pt idx="1">
                <c:v>1022</c:v>
              </c:pt>
              <c:pt idx="2">
                <c:v>1016</c:v>
              </c:pt>
              <c:pt idx="3">
                <c:v>1018</c:v>
              </c:pt>
              <c:pt idx="4">
                <c:v>1010</c:v>
              </c:pt>
              <c:pt idx="5">
                <c:v>1007</c:v>
              </c:pt>
              <c:pt idx="6">
                <c:v>1011</c:v>
              </c:pt>
              <c:pt idx="7">
                <c:v>1020</c:v>
              </c:pt>
              <c:pt idx="8">
                <c:v>1016</c:v>
              </c:pt>
              <c:pt idx="9">
                <c:v>1016</c:v>
              </c:pt>
              <c:pt idx="10">
                <c:v>1017</c:v>
              </c:pt>
              <c:pt idx="11">
                <c:v>1019</c:v>
              </c:pt>
              <c:pt idx="12">
                <c:v>1025</c:v>
              </c:pt>
              <c:pt idx="13">
                <c:v>1028</c:v>
              </c:pt>
              <c:pt idx="14">
                <c:v>1023</c:v>
              </c:pt>
              <c:pt idx="15">
                <c:v>1022</c:v>
              </c:pt>
              <c:pt idx="16">
                <c:v>1009</c:v>
              </c:pt>
              <c:pt idx="17">
                <c:v>1006</c:v>
              </c:pt>
              <c:pt idx="18">
                <c:v>1012</c:v>
              </c:pt>
              <c:pt idx="19">
                <c:v>1024</c:v>
              </c:pt>
              <c:pt idx="20">
                <c:v>1022</c:v>
              </c:pt>
              <c:pt idx="21">
                <c:v>1010</c:v>
              </c:pt>
              <c:pt idx="22">
                <c:v>1003</c:v>
              </c:pt>
              <c:pt idx="23">
                <c:v>993</c:v>
              </c:pt>
              <c:pt idx="24">
                <c:v>992</c:v>
              </c:pt>
              <c:pt idx="25">
                <c:v>1000</c:v>
              </c:pt>
              <c:pt idx="26">
                <c:v>1006</c:v>
              </c:pt>
              <c:pt idx="27">
                <c:v>1013</c:v>
              </c:pt>
              <c:pt idx="28">
                <c:v>1018</c:v>
              </c:pt>
              <c:pt idx="29">
                <c:v>1017</c:v>
              </c:pt>
              <c:pt idx="30">
                <c:v>1008</c:v>
              </c:pt>
            </c:numLit>
          </c:val>
          <c:smooth val="0"/>
        </c:ser>
        <c:ser>
          <c:idx val="4"/>
          <c:order val="4"/>
          <c:tx>
            <c:v>MSLP</c:v>
          </c:tx>
          <c:spPr>
            <a:ln w="25400">
              <a:solidFill>
                <a:srgbClr val="CC99FF"/>
              </a:solidFill>
              <a:prstDash val="lgDash"/>
            </a:ln>
          </c:spPr>
          <c:marker>
            <c:symbol val="none"/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1013.25</c:v>
              </c:pt>
              <c:pt idx="1">
                <c:v>1013.25</c:v>
              </c:pt>
              <c:pt idx="2">
                <c:v>1013.25</c:v>
              </c:pt>
              <c:pt idx="3">
                <c:v>1013.25</c:v>
              </c:pt>
              <c:pt idx="4">
                <c:v>1013.25</c:v>
              </c:pt>
              <c:pt idx="5">
                <c:v>1013.25</c:v>
              </c:pt>
              <c:pt idx="6">
                <c:v>1013.25</c:v>
              </c:pt>
              <c:pt idx="7">
                <c:v>1013.25</c:v>
              </c:pt>
              <c:pt idx="8">
                <c:v>1013.25</c:v>
              </c:pt>
              <c:pt idx="9">
                <c:v>1013.25</c:v>
              </c:pt>
              <c:pt idx="10">
                <c:v>1013.25</c:v>
              </c:pt>
              <c:pt idx="11">
                <c:v>1013.25</c:v>
              </c:pt>
              <c:pt idx="12">
                <c:v>1013.25</c:v>
              </c:pt>
              <c:pt idx="13">
                <c:v>1013.25</c:v>
              </c:pt>
              <c:pt idx="14">
                <c:v>1013.25</c:v>
              </c:pt>
              <c:pt idx="15">
                <c:v>1013.25</c:v>
              </c:pt>
              <c:pt idx="16">
                <c:v>1013.25</c:v>
              </c:pt>
              <c:pt idx="17">
                <c:v>1013.25</c:v>
              </c:pt>
              <c:pt idx="18">
                <c:v>1013.25</c:v>
              </c:pt>
              <c:pt idx="19">
                <c:v>1013.25</c:v>
              </c:pt>
              <c:pt idx="20">
                <c:v>1013.25</c:v>
              </c:pt>
              <c:pt idx="21">
                <c:v>1013.25</c:v>
              </c:pt>
              <c:pt idx="22">
                <c:v>1013.25</c:v>
              </c:pt>
              <c:pt idx="23">
                <c:v>1013.25</c:v>
              </c:pt>
              <c:pt idx="24">
                <c:v>1013.25</c:v>
              </c:pt>
              <c:pt idx="25">
                <c:v>1013.25</c:v>
              </c:pt>
              <c:pt idx="26">
                <c:v>1013.25</c:v>
              </c:pt>
              <c:pt idx="27">
                <c:v>1013.25</c:v>
              </c:pt>
              <c:pt idx="28">
                <c:v>1013.25</c:v>
              </c:pt>
              <c:pt idx="29">
                <c:v>1013.25</c:v>
              </c:pt>
              <c:pt idx="30">
                <c:v>1013.25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286464"/>
        <c:axId val="130196224"/>
      </c:lineChart>
      <c:lineChart>
        <c:grouping val="standard"/>
        <c:varyColors val="0"/>
        <c:ser>
          <c:idx val="3"/>
          <c:order val="2"/>
          <c:tx>
            <c:v>Range</c:v>
          </c:tx>
          <c:spPr>
            <a:ln w="25400">
              <a:solidFill>
                <a:srgbClr val="00FF00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2</c:v>
              </c:pt>
              <c:pt idx="1">
                <c:v>3</c:v>
              </c:pt>
              <c:pt idx="2">
                <c:v>6</c:v>
              </c:pt>
              <c:pt idx="3">
                <c:v>3</c:v>
              </c:pt>
              <c:pt idx="4">
                <c:v>10</c:v>
              </c:pt>
              <c:pt idx="5">
                <c:v>4</c:v>
              </c:pt>
              <c:pt idx="6">
                <c:v>11</c:v>
              </c:pt>
              <c:pt idx="7">
                <c:v>3</c:v>
              </c:pt>
              <c:pt idx="8">
                <c:v>4</c:v>
              </c:pt>
              <c:pt idx="9">
                <c:v>3</c:v>
              </c:pt>
              <c:pt idx="10">
                <c:v>4</c:v>
              </c:pt>
              <c:pt idx="11">
                <c:v>5</c:v>
              </c:pt>
              <c:pt idx="12">
                <c:v>7</c:v>
              </c:pt>
              <c:pt idx="13">
                <c:v>5</c:v>
              </c:pt>
              <c:pt idx="14">
                <c:v>5</c:v>
              </c:pt>
              <c:pt idx="15">
                <c:v>2</c:v>
              </c:pt>
              <c:pt idx="16">
                <c:v>13</c:v>
              </c:pt>
              <c:pt idx="17">
                <c:v>6</c:v>
              </c:pt>
              <c:pt idx="18">
                <c:v>12</c:v>
              </c:pt>
              <c:pt idx="19">
                <c:v>4</c:v>
              </c:pt>
              <c:pt idx="20">
                <c:v>5</c:v>
              </c:pt>
              <c:pt idx="21">
                <c:v>11</c:v>
              </c:pt>
              <c:pt idx="22">
                <c:v>7</c:v>
              </c:pt>
              <c:pt idx="23">
                <c:v>9</c:v>
              </c:pt>
              <c:pt idx="24">
                <c:v>8</c:v>
              </c:pt>
              <c:pt idx="25">
                <c:v>8</c:v>
              </c:pt>
              <c:pt idx="26">
                <c:v>6</c:v>
              </c:pt>
              <c:pt idx="27">
                <c:v>11</c:v>
              </c:pt>
              <c:pt idx="28">
                <c:v>6</c:v>
              </c:pt>
              <c:pt idx="29">
                <c:v>2</c:v>
              </c:pt>
              <c:pt idx="30">
                <c:v>10</c:v>
              </c:pt>
            </c:numLit>
          </c:val>
          <c:smooth val="0"/>
        </c:ser>
        <c:ser>
          <c:idx val="6"/>
          <c:order val="5"/>
          <c:tx>
            <c:v>Rainfall/3</c:v>
          </c:tx>
          <c:spPr>
            <a:ln w="12700">
              <a:solidFill>
                <a:srgbClr val="33CCCC"/>
              </a:solidFill>
              <a:prstDash val="solid"/>
            </a:ln>
          </c:spPr>
          <c:marker>
            <c:symbol val="none"/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3.3333333333333333E-2</c:v>
              </c:pt>
              <c:pt idx="5">
                <c:v>1.2</c:v>
              </c:pt>
              <c:pt idx="6">
                <c:v>3.3333333333333333E-2</c:v>
              </c:pt>
              <c:pt idx="7">
                <c:v>3.3333333333333333E-2</c:v>
              </c:pt>
              <c:pt idx="8">
                <c:v>0.6333333333333333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1.0999999999999999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0.26666666666666666</c:v>
              </c:pt>
              <c:pt idx="24">
                <c:v>0.56666666666666665</c:v>
              </c:pt>
              <c:pt idx="25">
                <c:v>1.0333333333333334</c:v>
              </c:pt>
              <c:pt idx="26">
                <c:v>0.26666666666666666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0197760"/>
        <c:axId val="130203648"/>
      </c:lineChart>
      <c:catAx>
        <c:axId val="84286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01962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30196224"/>
        <c:scaling>
          <c:orientation val="minMax"/>
          <c:max val="1035"/>
          <c:min val="985"/>
        </c:scaling>
        <c:delete val="0"/>
        <c:axPos val="l"/>
        <c:majorGridlines>
          <c:spPr>
            <a:ln w="3175">
              <a:solidFill>
                <a:srgbClr val="333333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286464"/>
        <c:crosses val="autoZero"/>
        <c:crossBetween val="between"/>
        <c:majorUnit val="10"/>
      </c:valAx>
      <c:catAx>
        <c:axId val="1301977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0203648"/>
        <c:crosses val="autoZero"/>
        <c:auto val="1"/>
        <c:lblAlgn val="ctr"/>
        <c:lblOffset val="100"/>
        <c:noMultiLvlLbl val="0"/>
      </c:catAx>
      <c:valAx>
        <c:axId val="130203648"/>
        <c:scaling>
          <c:orientation val="minMax"/>
          <c:max val="100"/>
          <c:min val="0"/>
        </c:scaling>
        <c:delete val="0"/>
        <c:axPos val="r"/>
        <c:numFmt formatCode="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0197760"/>
        <c:crosses val="max"/>
        <c:crossBetween val="between"/>
        <c:majorUnit val="20"/>
      </c:valAx>
      <c:spPr>
        <a:solidFill>
          <a:srgbClr val="969696"/>
        </a:solidFill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 sz="14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Wind Speed / mh</a:t>
            </a:r>
            <a:r>
              <a:rPr lang="en-GB" sz="1400" b="1" i="0" u="none" strike="noStrike" baseline="30000">
                <a:solidFill>
                  <a:srgbClr val="000000"/>
                </a:solidFill>
                <a:latin typeface="Arial"/>
                <a:cs typeface="Arial"/>
              </a:rPr>
              <a:t>-1</a:t>
            </a:r>
          </a:p>
        </c:rich>
      </c:tx>
      <c:layout>
        <c:manualLayout>
          <c:xMode val="edge"/>
          <c:yMode val="edge"/>
          <c:x val="0.44800000000000001"/>
          <c:y val="1.990632318501171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4E-2"/>
          <c:y val="8.6651053864168617E-2"/>
          <c:w val="0.95753846153846156"/>
          <c:h val="0.86299765807962525"/>
        </c:manualLayout>
      </c:layout>
      <c:lineChart>
        <c:grouping val="standard"/>
        <c:varyColors val="0"/>
        <c:ser>
          <c:idx val="1"/>
          <c:order val="0"/>
          <c:tx>
            <c:v>Mean</c:v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800000"/>
              </a:solidFill>
              <a:ln>
                <a:solidFill>
                  <a:srgbClr val="800000"/>
                </a:solidFill>
                <a:prstDash val="solid"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1.2</c:v>
              </c:pt>
              <c:pt idx="1">
                <c:v>3</c:v>
              </c:pt>
              <c:pt idx="2">
                <c:v>6.3</c:v>
              </c:pt>
              <c:pt idx="3">
                <c:v>6.4</c:v>
              </c:pt>
              <c:pt idx="4">
                <c:v>8.3000000000000007</c:v>
              </c:pt>
              <c:pt idx="5">
                <c:v>8.8000000000000007</c:v>
              </c:pt>
              <c:pt idx="6">
                <c:v>5.9</c:v>
              </c:pt>
              <c:pt idx="7">
                <c:v>5.3</c:v>
              </c:pt>
              <c:pt idx="8">
                <c:v>7.2</c:v>
              </c:pt>
              <c:pt idx="9">
                <c:v>10.8</c:v>
              </c:pt>
              <c:pt idx="10">
                <c:v>8.1</c:v>
              </c:pt>
              <c:pt idx="11">
                <c:v>4.9000000000000004</c:v>
              </c:pt>
              <c:pt idx="12">
                <c:v>3.2</c:v>
              </c:pt>
              <c:pt idx="13">
                <c:v>3.2</c:v>
              </c:pt>
              <c:pt idx="14">
                <c:v>1.6</c:v>
              </c:pt>
              <c:pt idx="15">
                <c:v>2.1</c:v>
              </c:pt>
              <c:pt idx="16">
                <c:v>7</c:v>
              </c:pt>
              <c:pt idx="17">
                <c:v>7.2</c:v>
              </c:pt>
              <c:pt idx="18">
                <c:v>4.5999999999999996</c:v>
              </c:pt>
              <c:pt idx="19">
                <c:v>3.6</c:v>
              </c:pt>
              <c:pt idx="20">
                <c:v>4.8</c:v>
              </c:pt>
              <c:pt idx="21">
                <c:v>4.9000000000000004</c:v>
              </c:pt>
              <c:pt idx="22">
                <c:v>5.7</c:v>
              </c:pt>
              <c:pt idx="23">
                <c:v>6.5</c:v>
              </c:pt>
              <c:pt idx="24">
                <c:v>5.2</c:v>
              </c:pt>
              <c:pt idx="25">
                <c:v>4.2</c:v>
              </c:pt>
              <c:pt idx="26">
                <c:v>2.8</c:v>
              </c:pt>
              <c:pt idx="27">
                <c:v>2.4</c:v>
              </c:pt>
              <c:pt idx="28">
                <c:v>5.8</c:v>
              </c:pt>
              <c:pt idx="29">
                <c:v>6.3</c:v>
              </c:pt>
              <c:pt idx="30">
                <c:v>5.7</c:v>
              </c:pt>
            </c:numLit>
          </c:val>
          <c:smooth val="0"/>
        </c:ser>
        <c:ser>
          <c:idx val="0"/>
          <c:order val="1"/>
          <c:tx>
            <c:v>E (Mean)</c:v>
          </c:tx>
          <c:spPr>
            <a:ln w="25400">
              <a:solidFill>
                <a:srgbClr val="FF99CC"/>
              </a:solidFill>
              <a:prstDash val="lgDash"/>
            </a:ln>
          </c:spPr>
          <c:marker>
            <c:symbol val="none"/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4.0889999999999995</c:v>
              </c:pt>
              <c:pt idx="1">
                <c:v>4.0889999999999995</c:v>
              </c:pt>
              <c:pt idx="2">
                <c:v>4.0889999999999995</c:v>
              </c:pt>
              <c:pt idx="3">
                <c:v>4.0889999999999995</c:v>
              </c:pt>
              <c:pt idx="4">
                <c:v>4.0889999999999995</c:v>
              </c:pt>
              <c:pt idx="5">
                <c:v>4.0889999999999995</c:v>
              </c:pt>
              <c:pt idx="6">
                <c:v>4.0889999999999995</c:v>
              </c:pt>
              <c:pt idx="7">
                <c:v>4.0889999999999995</c:v>
              </c:pt>
              <c:pt idx="8">
                <c:v>4.0889999999999995</c:v>
              </c:pt>
              <c:pt idx="9">
                <c:v>4.0889999999999995</c:v>
              </c:pt>
              <c:pt idx="10">
                <c:v>4.0889999999999995</c:v>
              </c:pt>
              <c:pt idx="11">
                <c:v>4.0889999999999995</c:v>
              </c:pt>
              <c:pt idx="12">
                <c:v>4.0889999999999995</c:v>
              </c:pt>
              <c:pt idx="13">
                <c:v>4.0889999999999995</c:v>
              </c:pt>
              <c:pt idx="14">
                <c:v>4.0889999999999995</c:v>
              </c:pt>
              <c:pt idx="15">
                <c:v>4.0889999999999995</c:v>
              </c:pt>
              <c:pt idx="16">
                <c:v>4.0889999999999995</c:v>
              </c:pt>
              <c:pt idx="17">
                <c:v>4.0889999999999995</c:v>
              </c:pt>
              <c:pt idx="18">
                <c:v>4.0889999999999995</c:v>
              </c:pt>
              <c:pt idx="19">
                <c:v>4.0889999999999995</c:v>
              </c:pt>
              <c:pt idx="20">
                <c:v>4.0889999999999995</c:v>
              </c:pt>
              <c:pt idx="21">
                <c:v>4.0889999999999995</c:v>
              </c:pt>
              <c:pt idx="22">
                <c:v>4.0889999999999995</c:v>
              </c:pt>
              <c:pt idx="23">
                <c:v>4.0889999999999995</c:v>
              </c:pt>
              <c:pt idx="24">
                <c:v>4.0889999999999995</c:v>
              </c:pt>
              <c:pt idx="25">
                <c:v>4.0889999999999995</c:v>
              </c:pt>
              <c:pt idx="26">
                <c:v>4.0889999999999995</c:v>
              </c:pt>
              <c:pt idx="27">
                <c:v>4.0889999999999995</c:v>
              </c:pt>
              <c:pt idx="28">
                <c:v>4.0889999999999995</c:v>
              </c:pt>
              <c:pt idx="29">
                <c:v>4.0889999999999995</c:v>
              </c:pt>
              <c:pt idx="30">
                <c:v>4.0889999999999995</c:v>
              </c:pt>
            </c:numLit>
          </c:val>
          <c:smooth val="0"/>
        </c:ser>
        <c:ser>
          <c:idx val="2"/>
          <c:order val="4"/>
          <c:tx>
            <c:v>Cumulative Mean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1.2</c:v>
              </c:pt>
              <c:pt idx="1">
                <c:v>2.1</c:v>
              </c:pt>
              <c:pt idx="2">
                <c:v>3.5</c:v>
              </c:pt>
              <c:pt idx="3">
                <c:v>4.2249999999999996</c:v>
              </c:pt>
              <c:pt idx="4">
                <c:v>5.04</c:v>
              </c:pt>
              <c:pt idx="5">
                <c:v>5.666666666666667</c:v>
              </c:pt>
              <c:pt idx="6">
                <c:v>5.7</c:v>
              </c:pt>
              <c:pt idx="7">
                <c:v>5.6499999999999995</c:v>
              </c:pt>
              <c:pt idx="8">
                <c:v>5.822222222222222</c:v>
              </c:pt>
              <c:pt idx="9">
                <c:v>6.32</c:v>
              </c:pt>
              <c:pt idx="10">
                <c:v>6.4818181818181815</c:v>
              </c:pt>
              <c:pt idx="11">
                <c:v>6.3500000000000005</c:v>
              </c:pt>
              <c:pt idx="12">
                <c:v>6.1076923076923082</c:v>
              </c:pt>
              <c:pt idx="13">
                <c:v>5.9</c:v>
              </c:pt>
              <c:pt idx="14">
                <c:v>5.6133333333333333</c:v>
              </c:pt>
              <c:pt idx="15">
                <c:v>5.3937499999999998</c:v>
              </c:pt>
              <c:pt idx="16">
                <c:v>5.4882352941176471</c:v>
              </c:pt>
              <c:pt idx="17">
                <c:v>5.583333333333333</c:v>
              </c:pt>
              <c:pt idx="18">
                <c:v>5.5315789473684207</c:v>
              </c:pt>
              <c:pt idx="19">
                <c:v>5.4349999999999996</c:v>
              </c:pt>
              <c:pt idx="20">
                <c:v>5.4047619047619042</c:v>
              </c:pt>
              <c:pt idx="21">
                <c:v>5.3818181818181818</c:v>
              </c:pt>
              <c:pt idx="22">
                <c:v>5.3956521739130432</c:v>
              </c:pt>
              <c:pt idx="23">
                <c:v>5.4416666666666664</c:v>
              </c:pt>
              <c:pt idx="24">
                <c:v>5.4319999999999995</c:v>
              </c:pt>
              <c:pt idx="25">
                <c:v>5.3846153846153832</c:v>
              </c:pt>
              <c:pt idx="26">
                <c:v>5.2888888888888879</c:v>
              </c:pt>
              <c:pt idx="27">
                <c:v>5.1857142857142851</c:v>
              </c:pt>
              <c:pt idx="28">
                <c:v>5.2068965517241379</c:v>
              </c:pt>
              <c:pt idx="29">
                <c:v>5.2433333333333341</c:v>
              </c:pt>
              <c:pt idx="30">
                <c:v>5.258064516129032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0428288"/>
        <c:axId val="130434560"/>
      </c:lineChart>
      <c:lineChart>
        <c:grouping val="standard"/>
        <c:varyColors val="0"/>
        <c:ser>
          <c:idx val="3"/>
          <c:order val="2"/>
          <c:tx>
            <c:v>Max Gust</c:v>
          </c:tx>
          <c:spPr>
            <a:ln w="28575">
              <a:noFill/>
            </a:ln>
          </c:spPr>
          <c:marker>
            <c:symbol val="circle"/>
            <c:size val="9"/>
            <c:spPr>
              <a:solidFill>
                <a:srgbClr val="FFCC00"/>
              </a:solidFill>
              <a:ln>
                <a:solidFill>
                  <a:srgbClr val="FFCC00"/>
                </a:solidFill>
                <a:prstDash val="solid"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10</c:v>
              </c:pt>
              <c:pt idx="1">
                <c:v>16.100000000000001</c:v>
              </c:pt>
              <c:pt idx="2">
                <c:v>25.1</c:v>
              </c:pt>
              <c:pt idx="3">
                <c:v>19.399999999999999</c:v>
              </c:pt>
              <c:pt idx="4">
                <c:v>27.7</c:v>
              </c:pt>
              <c:pt idx="5">
                <c:v>28.6</c:v>
              </c:pt>
              <c:pt idx="6">
                <c:v>19.899999999999999</c:v>
              </c:pt>
              <c:pt idx="7">
                <c:v>16.8</c:v>
              </c:pt>
              <c:pt idx="8">
                <c:v>22.5</c:v>
              </c:pt>
              <c:pt idx="9">
                <c:v>37.700000000000003</c:v>
              </c:pt>
              <c:pt idx="10">
                <c:v>23.7</c:v>
              </c:pt>
              <c:pt idx="11">
                <c:v>14.7</c:v>
              </c:pt>
              <c:pt idx="12">
                <c:v>11.2</c:v>
              </c:pt>
              <c:pt idx="13">
                <c:v>16.100000000000001</c:v>
              </c:pt>
              <c:pt idx="14">
                <c:v>10.199999999999999</c:v>
              </c:pt>
              <c:pt idx="15">
                <c:v>9.8000000000000007</c:v>
              </c:pt>
              <c:pt idx="16">
                <c:v>29.7</c:v>
              </c:pt>
              <c:pt idx="17">
                <c:v>26.1</c:v>
              </c:pt>
              <c:pt idx="18">
                <c:v>17</c:v>
              </c:pt>
              <c:pt idx="19">
                <c:v>12.1</c:v>
              </c:pt>
              <c:pt idx="20">
                <c:v>18.100000000000001</c:v>
              </c:pt>
              <c:pt idx="21">
                <c:v>16.8</c:v>
              </c:pt>
              <c:pt idx="22">
                <c:v>23.5</c:v>
              </c:pt>
              <c:pt idx="23">
                <c:v>21</c:v>
              </c:pt>
              <c:pt idx="24">
                <c:v>17.5</c:v>
              </c:pt>
              <c:pt idx="25">
                <c:v>19.2</c:v>
              </c:pt>
              <c:pt idx="26">
                <c:v>12.3</c:v>
              </c:pt>
              <c:pt idx="27">
                <c:v>10.199999999999999</c:v>
              </c:pt>
              <c:pt idx="28">
                <c:v>23.9</c:v>
              </c:pt>
              <c:pt idx="29">
                <c:v>17.600000000000001</c:v>
              </c:pt>
              <c:pt idx="30">
                <c:v>18.7</c:v>
              </c:pt>
            </c:numLit>
          </c:val>
          <c:smooth val="0"/>
        </c:ser>
        <c:ser>
          <c:idx val="4"/>
          <c:order val="3"/>
          <c:tx>
            <c:v>Max Average</c:v>
          </c:tx>
          <c:spPr>
            <a:ln w="28575">
              <a:noFill/>
            </a:ln>
          </c:spPr>
          <c:marker>
            <c:symbol val="circle"/>
            <c:size val="6"/>
            <c:spPr>
              <a:solidFill>
                <a:srgbClr val="800000"/>
              </a:solidFill>
              <a:ln>
                <a:solidFill>
                  <a:srgbClr val="800000"/>
                </a:solidFill>
                <a:prstDash val="solid"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8.1</c:v>
              </c:pt>
              <c:pt idx="1">
                <c:v>11.5</c:v>
              </c:pt>
              <c:pt idx="2">
                <c:v>15.9</c:v>
              </c:pt>
              <c:pt idx="3">
                <c:v>13.2</c:v>
              </c:pt>
              <c:pt idx="4">
                <c:v>19.399999999999999</c:v>
              </c:pt>
              <c:pt idx="5">
                <c:v>18.5</c:v>
              </c:pt>
              <c:pt idx="6">
                <c:v>14.5</c:v>
              </c:pt>
              <c:pt idx="7">
                <c:v>10.9</c:v>
              </c:pt>
              <c:pt idx="8">
                <c:v>15.6</c:v>
              </c:pt>
              <c:pt idx="9">
                <c:v>21.5</c:v>
              </c:pt>
              <c:pt idx="10">
                <c:v>16.8</c:v>
              </c:pt>
              <c:pt idx="11">
                <c:v>10.7</c:v>
              </c:pt>
              <c:pt idx="12">
                <c:v>8.1</c:v>
              </c:pt>
              <c:pt idx="13">
                <c:v>10.199999999999999</c:v>
              </c:pt>
              <c:pt idx="14">
                <c:v>6.9</c:v>
              </c:pt>
              <c:pt idx="15">
                <c:v>6.7</c:v>
              </c:pt>
              <c:pt idx="16">
                <c:v>17.8</c:v>
              </c:pt>
              <c:pt idx="17">
                <c:v>15.4</c:v>
              </c:pt>
              <c:pt idx="18">
                <c:v>12.3</c:v>
              </c:pt>
              <c:pt idx="19">
                <c:v>9.4</c:v>
              </c:pt>
              <c:pt idx="20">
                <c:v>12.5</c:v>
              </c:pt>
              <c:pt idx="21">
                <c:v>13.2</c:v>
              </c:pt>
              <c:pt idx="22">
                <c:v>16.3</c:v>
              </c:pt>
              <c:pt idx="23">
                <c:v>12.5</c:v>
              </c:pt>
              <c:pt idx="24">
                <c:v>11.4</c:v>
              </c:pt>
              <c:pt idx="25">
                <c:v>13.7</c:v>
              </c:pt>
              <c:pt idx="26">
                <c:v>9.1999999999999993</c:v>
              </c:pt>
              <c:pt idx="27">
                <c:v>7.8</c:v>
              </c:pt>
              <c:pt idx="28">
                <c:v>13.8</c:v>
              </c:pt>
              <c:pt idx="29">
                <c:v>13</c:v>
              </c:pt>
              <c:pt idx="30">
                <c:v>13.2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0436096"/>
        <c:axId val="130450176"/>
      </c:lineChart>
      <c:catAx>
        <c:axId val="130428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04345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30434560"/>
        <c:scaling>
          <c:orientation val="minMax"/>
          <c:max val="10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0428288"/>
        <c:crosses val="autoZero"/>
        <c:crossBetween val="between"/>
        <c:majorUnit val="2"/>
      </c:valAx>
      <c:catAx>
        <c:axId val="1304360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0450176"/>
        <c:crosses val="autoZero"/>
        <c:auto val="1"/>
        <c:lblAlgn val="ctr"/>
        <c:lblOffset val="100"/>
        <c:noMultiLvlLbl val="0"/>
      </c:catAx>
      <c:valAx>
        <c:axId val="130450176"/>
        <c:scaling>
          <c:orientation val="minMax"/>
          <c:max val="50"/>
          <c:min val="0"/>
        </c:scaling>
        <c:delete val="0"/>
        <c:axPos val="r"/>
        <c:numFmt formatCode="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0436096"/>
        <c:crosses val="max"/>
        <c:crossBetween val="between"/>
        <c:majorUnit val="10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Sun Hours / h</a:t>
            </a:r>
          </a:p>
        </c:rich>
      </c:tx>
      <c:layout>
        <c:manualLayout>
          <c:xMode val="edge"/>
          <c:yMode val="edge"/>
          <c:x val="0.46040541433241655"/>
          <c:y val="2.803738317757009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1921443323072125E-2"/>
          <c:y val="9.2289772270286646E-2"/>
          <c:w val="0.9656236605229318"/>
          <c:h val="0.85747712463785308"/>
        </c:manualLayout>
      </c:layout>
      <c:barChart>
        <c:barDir val="col"/>
        <c:grouping val="clustered"/>
        <c:varyColors val="0"/>
        <c:ser>
          <c:idx val="1"/>
          <c:order val="0"/>
          <c:tx>
            <c:v>Sun</c:v>
          </c:tx>
          <c:spPr>
            <a:solidFill>
              <a:srgbClr val="FFFF00"/>
            </a:solidFill>
            <a:ln w="12700">
              <a:solidFill>
                <a:srgbClr val="C0C0C0"/>
              </a:solidFill>
              <a:prstDash val="solid"/>
            </a:ln>
          </c:spPr>
          <c:invertIfNegative val="0"/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10.3</c:v>
              </c:pt>
              <c:pt idx="1">
                <c:v>10.4</c:v>
              </c:pt>
              <c:pt idx="2">
                <c:v>8.5</c:v>
              </c:pt>
              <c:pt idx="3">
                <c:v>1</c:v>
              </c:pt>
              <c:pt idx="4">
                <c:v>1</c:v>
              </c:pt>
              <c:pt idx="5">
                <c:v>7</c:v>
              </c:pt>
              <c:pt idx="6">
                <c:v>2.5</c:v>
              </c:pt>
              <c:pt idx="7">
                <c:v>0.1</c:v>
              </c:pt>
              <c:pt idx="8">
                <c:v>2</c:v>
              </c:pt>
              <c:pt idx="9">
                <c:v>3.5</c:v>
              </c:pt>
              <c:pt idx="10">
                <c:v>1.5</c:v>
              </c:pt>
              <c:pt idx="11">
                <c:v>1</c:v>
              </c:pt>
              <c:pt idx="12">
                <c:v>0.5</c:v>
              </c:pt>
              <c:pt idx="13">
                <c:v>9</c:v>
              </c:pt>
              <c:pt idx="14">
                <c:v>9.6</c:v>
              </c:pt>
              <c:pt idx="15">
                <c:v>5</c:v>
              </c:pt>
              <c:pt idx="16">
                <c:v>4</c:v>
              </c:pt>
              <c:pt idx="17">
                <c:v>8</c:v>
              </c:pt>
              <c:pt idx="18">
                <c:v>7</c:v>
              </c:pt>
              <c:pt idx="19">
                <c:v>7.5</c:v>
              </c:pt>
              <c:pt idx="20">
                <c:v>6</c:v>
              </c:pt>
              <c:pt idx="21">
                <c:v>9</c:v>
              </c:pt>
              <c:pt idx="22">
                <c:v>7.5</c:v>
              </c:pt>
              <c:pt idx="23">
                <c:v>5</c:v>
              </c:pt>
              <c:pt idx="24">
                <c:v>4</c:v>
              </c:pt>
              <c:pt idx="25">
                <c:v>3</c:v>
              </c:pt>
              <c:pt idx="26">
                <c:v>0</c:v>
              </c:pt>
              <c:pt idx="27">
                <c:v>6.5</c:v>
              </c:pt>
              <c:pt idx="28">
                <c:v>3.5</c:v>
              </c:pt>
              <c:pt idx="29">
                <c:v>0.5</c:v>
              </c:pt>
              <c:pt idx="30">
                <c:v>0.2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overlap val="-10"/>
        <c:axId val="130466176"/>
        <c:axId val="130467712"/>
      </c:barChart>
      <c:catAx>
        <c:axId val="130466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04677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30467712"/>
        <c:scaling>
          <c:orientation val="minMax"/>
          <c:max val="10.4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0466176"/>
        <c:crosses val="autoZero"/>
        <c:crossBetween val="between"/>
        <c:majorUnit val="2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Cumulative Rain / mm</a:t>
            </a:r>
          </a:p>
        </c:rich>
      </c:tx>
      <c:layout>
        <c:manualLayout>
          <c:xMode val="edge"/>
          <c:yMode val="edge"/>
          <c:x val="0.43726963096402616"/>
          <c:y val="1.97444831591173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520312932614146E-2"/>
          <c:y val="9.4076761755908997E-2"/>
          <c:w val="0.95264509859623558"/>
          <c:h val="0.85598238782845604"/>
        </c:manualLayout>
      </c:layout>
      <c:lineChart>
        <c:grouping val="standard"/>
        <c:varyColors val="0"/>
        <c:ser>
          <c:idx val="1"/>
          <c:order val="0"/>
          <c:tx>
            <c:v>Cumulative Rain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0.1</c:v>
              </c:pt>
              <c:pt idx="5">
                <c:v>3.7</c:v>
              </c:pt>
              <c:pt idx="6">
                <c:v>3.8000000000000003</c:v>
              </c:pt>
              <c:pt idx="7">
                <c:v>3.9000000000000004</c:v>
              </c:pt>
              <c:pt idx="8">
                <c:v>5.8000000000000007</c:v>
              </c:pt>
              <c:pt idx="9">
                <c:v>5.8000000000000007</c:v>
              </c:pt>
              <c:pt idx="10">
                <c:v>5.8000000000000007</c:v>
              </c:pt>
              <c:pt idx="11">
                <c:v>5.8000000000000007</c:v>
              </c:pt>
              <c:pt idx="12">
                <c:v>5.8000000000000007</c:v>
              </c:pt>
              <c:pt idx="13">
                <c:v>5.8000000000000007</c:v>
              </c:pt>
              <c:pt idx="14">
                <c:v>5.8000000000000007</c:v>
              </c:pt>
              <c:pt idx="15">
                <c:v>5.8000000000000007</c:v>
              </c:pt>
              <c:pt idx="16">
                <c:v>5.8000000000000007</c:v>
              </c:pt>
              <c:pt idx="17">
                <c:v>9.1000000000000014</c:v>
              </c:pt>
              <c:pt idx="18">
                <c:v>9.1000000000000014</c:v>
              </c:pt>
              <c:pt idx="19">
                <c:v>9.1000000000000014</c:v>
              </c:pt>
              <c:pt idx="20">
                <c:v>9.1000000000000014</c:v>
              </c:pt>
              <c:pt idx="21">
                <c:v>9.1000000000000014</c:v>
              </c:pt>
              <c:pt idx="22">
                <c:v>9.1000000000000014</c:v>
              </c:pt>
              <c:pt idx="23">
                <c:v>9.9000000000000021</c:v>
              </c:pt>
              <c:pt idx="24">
                <c:v>11.600000000000001</c:v>
              </c:pt>
              <c:pt idx="25">
                <c:v>14.700000000000001</c:v>
              </c:pt>
              <c:pt idx="26">
                <c:v>15.500000000000002</c:v>
              </c:pt>
              <c:pt idx="27">
                <c:v>15.500000000000002</c:v>
              </c:pt>
              <c:pt idx="28">
                <c:v>15.500000000000002</c:v>
              </c:pt>
              <c:pt idx="29">
                <c:v>15.500000000000002</c:v>
              </c:pt>
              <c:pt idx="30">
                <c:v>15.500000000000002</c:v>
              </c:pt>
            </c:numLit>
          </c:val>
          <c:smooth val="0"/>
        </c:ser>
        <c:ser>
          <c:idx val="2"/>
          <c:order val="1"/>
          <c:tx>
            <c:v>E (Cumulative Rain)</c:v>
          </c:tx>
          <c:spPr>
            <a:ln w="25400">
              <a:solidFill>
                <a:srgbClr val="00CCFF"/>
              </a:solidFill>
              <a:prstDash val="lgDash"/>
            </a:ln>
          </c:spPr>
          <c:marker>
            <c:symbol val="none"/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2.225806451612903</c:v>
              </c:pt>
              <c:pt idx="1">
                <c:v>4.4516129032258061</c:v>
              </c:pt>
              <c:pt idx="2">
                <c:v>6.6774193548387091</c:v>
              </c:pt>
              <c:pt idx="3">
                <c:v>8.9032258064516121</c:v>
              </c:pt>
              <c:pt idx="4">
                <c:v>11.129032258064516</c:v>
              </c:pt>
              <c:pt idx="5">
                <c:v>13.354838709677418</c:v>
              </c:pt>
              <c:pt idx="6">
                <c:v>15.58064516129032</c:v>
              </c:pt>
              <c:pt idx="7">
                <c:v>17.806451612903224</c:v>
              </c:pt>
              <c:pt idx="8">
                <c:v>20.032258064516128</c:v>
              </c:pt>
              <c:pt idx="9">
                <c:v>22.258064516129032</c:v>
              </c:pt>
              <c:pt idx="10">
                <c:v>24.483870967741932</c:v>
              </c:pt>
              <c:pt idx="11">
                <c:v>26.709677419354836</c:v>
              </c:pt>
              <c:pt idx="12">
                <c:v>28.93548387096774</c:v>
              </c:pt>
              <c:pt idx="13">
                <c:v>31.161290322580641</c:v>
              </c:pt>
              <c:pt idx="14">
                <c:v>33.387096774193544</c:v>
              </c:pt>
              <c:pt idx="15">
                <c:v>35.612903225806448</c:v>
              </c:pt>
              <c:pt idx="16">
                <c:v>37.838709677419352</c:v>
              </c:pt>
              <c:pt idx="17">
                <c:v>40.064516129032256</c:v>
              </c:pt>
              <c:pt idx="18">
                <c:v>42.29032258064516</c:v>
              </c:pt>
              <c:pt idx="19">
                <c:v>44.516129032258064</c:v>
              </c:pt>
              <c:pt idx="20">
                <c:v>46.741935483870961</c:v>
              </c:pt>
              <c:pt idx="21">
                <c:v>48.967741935483865</c:v>
              </c:pt>
              <c:pt idx="22">
                <c:v>51.193548387096769</c:v>
              </c:pt>
              <c:pt idx="23">
                <c:v>53.419354838709673</c:v>
              </c:pt>
              <c:pt idx="24">
                <c:v>55.645161290322577</c:v>
              </c:pt>
              <c:pt idx="25">
                <c:v>57.87096774193548</c:v>
              </c:pt>
              <c:pt idx="26">
                <c:v>60.096774193548384</c:v>
              </c:pt>
              <c:pt idx="27">
                <c:v>62.322580645161281</c:v>
              </c:pt>
              <c:pt idx="28">
                <c:v>64.548387096774192</c:v>
              </c:pt>
              <c:pt idx="29">
                <c:v>66.774193548387089</c:v>
              </c:pt>
              <c:pt idx="30">
                <c:v>69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0487424"/>
        <c:axId val="130488960"/>
      </c:lineChart>
      <c:lineChart>
        <c:grouping val="standard"/>
        <c:varyColors val="0"/>
        <c:ser>
          <c:idx val="0"/>
          <c:order val="2"/>
          <c:tx>
            <c:v>Cumulative Anomaly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circle"/>
            <c:size val="2"/>
            <c:spPr>
              <a:solidFill>
                <a:srgbClr val="333399"/>
              </a:solidFill>
              <a:ln>
                <a:solidFill>
                  <a:srgbClr val="333399"/>
                </a:solidFill>
                <a:prstDash val="solid"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8.9855072463768115E-3</c:v>
              </c:pt>
              <c:pt idx="5">
                <c:v>0.27705314009661841</c:v>
              </c:pt>
              <c:pt idx="6">
                <c:v>0.2438923395445135</c:v>
              </c:pt>
              <c:pt idx="7">
                <c:v>0.21902173913043482</c:v>
              </c:pt>
              <c:pt idx="8">
                <c:v>0.28953301127214176</c:v>
              </c:pt>
              <c:pt idx="9">
                <c:v>0.26057971014492759</c:v>
              </c:pt>
              <c:pt idx="10">
                <c:v>0.23689064558629783</c:v>
              </c:pt>
              <c:pt idx="11">
                <c:v>0.21714975845410633</c:v>
              </c:pt>
              <c:pt idx="12">
                <c:v>0.20044593088071352</c:v>
              </c:pt>
              <c:pt idx="13">
                <c:v>0.186128364389234</c:v>
              </c:pt>
              <c:pt idx="14">
                <c:v>0.17371980676328508</c:v>
              </c:pt>
              <c:pt idx="15">
                <c:v>0.16286231884057975</c:v>
              </c:pt>
              <c:pt idx="16">
                <c:v>0.15328218243819269</c:v>
              </c:pt>
              <c:pt idx="17">
                <c:v>0.22713365539452501</c:v>
              </c:pt>
              <c:pt idx="18">
                <c:v>0.2151792524790237</c:v>
              </c:pt>
              <c:pt idx="19">
                <c:v>0.20442028985507249</c:v>
              </c:pt>
              <c:pt idx="20">
                <c:v>0.19468599033816431</c:v>
              </c:pt>
              <c:pt idx="21">
                <c:v>0.18583662714097501</c:v>
              </c:pt>
              <c:pt idx="22">
                <c:v>0.17775677378701957</c:v>
              </c:pt>
              <c:pt idx="23">
                <c:v>0.18532608695652181</c:v>
              </c:pt>
              <c:pt idx="24">
                <c:v>0.20846376811594208</c:v>
              </c:pt>
              <c:pt idx="25">
                <c:v>0.25401337792642142</c:v>
              </c:pt>
              <c:pt idx="26">
                <c:v>0.25791733762748259</c:v>
              </c:pt>
              <c:pt idx="27">
                <c:v>0.24870600414078681</c:v>
              </c:pt>
              <c:pt idx="28">
                <c:v>0.24012993503248378</c:v>
              </c:pt>
              <c:pt idx="29">
                <c:v>0.23212560386473435</c:v>
              </c:pt>
              <c:pt idx="30">
                <c:v>0.22463768115942032</c:v>
              </c:pt>
            </c:numLit>
          </c:val>
          <c:smooth val="0"/>
        </c:ser>
        <c:ser>
          <c:idx val="3"/>
          <c:order val="3"/>
          <c:tx>
            <c:v>E (Cumulative Anomaly)</c:v>
          </c:tx>
          <c:spPr>
            <a:ln w="3175">
              <a:solidFill>
                <a:srgbClr val="0000FF"/>
              </a:solidFill>
              <a:prstDash val="lgDash"/>
            </a:ln>
          </c:spPr>
          <c:marker>
            <c:symbol val="none"/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1</c:v>
              </c:pt>
              <c:pt idx="1">
                <c:v>1</c:v>
              </c:pt>
              <c:pt idx="2">
                <c:v>1</c:v>
              </c:pt>
              <c:pt idx="3">
                <c:v>1</c:v>
              </c:pt>
              <c:pt idx="4">
                <c:v>1</c:v>
              </c:pt>
              <c:pt idx="5">
                <c:v>1</c:v>
              </c:pt>
              <c:pt idx="6">
                <c:v>1</c:v>
              </c:pt>
              <c:pt idx="7">
                <c:v>1</c:v>
              </c:pt>
              <c:pt idx="8">
                <c:v>1</c:v>
              </c:pt>
              <c:pt idx="9">
                <c:v>1</c:v>
              </c:pt>
              <c:pt idx="10">
                <c:v>1</c:v>
              </c:pt>
              <c:pt idx="11">
                <c:v>1</c:v>
              </c:pt>
              <c:pt idx="12">
                <c:v>1</c:v>
              </c:pt>
              <c:pt idx="13">
                <c:v>1</c:v>
              </c:pt>
              <c:pt idx="14">
                <c:v>1</c:v>
              </c:pt>
              <c:pt idx="15">
                <c:v>1</c:v>
              </c:pt>
              <c:pt idx="16">
                <c:v>1</c:v>
              </c:pt>
              <c:pt idx="17">
                <c:v>1</c:v>
              </c:pt>
              <c:pt idx="18">
                <c:v>1</c:v>
              </c:pt>
              <c:pt idx="19">
                <c:v>1</c:v>
              </c:pt>
              <c:pt idx="20">
                <c:v>1</c:v>
              </c:pt>
              <c:pt idx="21">
                <c:v>1</c:v>
              </c:pt>
              <c:pt idx="22">
                <c:v>1</c:v>
              </c:pt>
              <c:pt idx="23">
                <c:v>1</c:v>
              </c:pt>
              <c:pt idx="24">
                <c:v>1</c:v>
              </c:pt>
              <c:pt idx="25">
                <c:v>1</c:v>
              </c:pt>
              <c:pt idx="26">
                <c:v>1</c:v>
              </c:pt>
              <c:pt idx="27">
                <c:v>1</c:v>
              </c:pt>
              <c:pt idx="28">
                <c:v>1</c:v>
              </c:pt>
              <c:pt idx="29">
                <c:v>1</c:v>
              </c:pt>
              <c:pt idx="30">
                <c:v>1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0503040"/>
        <c:axId val="130504576"/>
      </c:lineChart>
      <c:catAx>
        <c:axId val="130487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04889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30488960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0487424"/>
        <c:crosses val="autoZero"/>
        <c:crossBetween val="between"/>
        <c:majorUnit val="20"/>
      </c:valAx>
      <c:catAx>
        <c:axId val="1305030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0504576"/>
        <c:crosses val="autoZero"/>
        <c:auto val="1"/>
        <c:lblAlgn val="ctr"/>
        <c:lblOffset val="100"/>
        <c:noMultiLvlLbl val="0"/>
      </c:catAx>
      <c:valAx>
        <c:axId val="130504576"/>
        <c:scaling>
          <c:orientation val="minMax"/>
          <c:max val="2.5"/>
          <c:min val="0"/>
        </c:scaling>
        <c:delete val="0"/>
        <c:axPos val="r"/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0503040"/>
        <c:crosses val="max"/>
        <c:crossBetween val="between"/>
        <c:majorUnit val="0.5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 sz="14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Dew Point / </a:t>
            </a:r>
            <a:r>
              <a:rPr lang="en-GB" sz="1400" b="1" i="0" u="none" strike="noStrike" baseline="30000">
                <a:solidFill>
                  <a:srgbClr val="000000"/>
                </a:solidFill>
                <a:latin typeface="Arial"/>
                <a:cs typeface="Arial"/>
              </a:rPr>
              <a:t>o</a:t>
            </a:r>
            <a:r>
              <a:rPr lang="en-GB" sz="14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C</a:t>
            </a:r>
          </a:p>
        </c:rich>
      </c:tx>
      <c:layout>
        <c:manualLayout>
          <c:xMode val="edge"/>
          <c:yMode val="edge"/>
          <c:x val="0.45817984006611717"/>
          <c:y val="1.99296600234466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985254257748993E-2"/>
          <c:y val="8.5580353795172481E-2"/>
          <c:w val="0.97355532025683733"/>
          <c:h val="0.86400987324715228"/>
        </c:manualLayout>
      </c:layout>
      <c:lineChart>
        <c:grouping val="standard"/>
        <c:varyColors val="0"/>
        <c:ser>
          <c:idx val="2"/>
          <c:order val="0"/>
          <c:tx>
            <c:v>Min Dew Point</c:v>
          </c:tx>
          <c:spPr>
            <a:ln w="38100">
              <a:solidFill>
                <a:srgbClr val="99CC00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808000"/>
              </a:solidFill>
              <a:ln>
                <a:solidFill>
                  <a:srgbClr val="808000"/>
                </a:solidFill>
                <a:prstDash val="solid"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10.6</c:v>
              </c:pt>
              <c:pt idx="1">
                <c:v>9.6</c:v>
              </c:pt>
              <c:pt idx="2">
                <c:v>8.1</c:v>
              </c:pt>
              <c:pt idx="3">
                <c:v>11.7</c:v>
              </c:pt>
              <c:pt idx="4">
                <c:v>12.4</c:v>
              </c:pt>
              <c:pt idx="5">
                <c:v>2.1</c:v>
              </c:pt>
              <c:pt idx="6">
                <c:v>4</c:v>
              </c:pt>
              <c:pt idx="7">
                <c:v>6.1</c:v>
              </c:pt>
              <c:pt idx="8">
                <c:v>11.6</c:v>
              </c:pt>
              <c:pt idx="9">
                <c:v>11.7</c:v>
              </c:pt>
              <c:pt idx="10">
                <c:v>11.4</c:v>
              </c:pt>
              <c:pt idx="11">
                <c:v>11.5</c:v>
              </c:pt>
              <c:pt idx="12">
                <c:v>7.5</c:v>
              </c:pt>
              <c:pt idx="13">
                <c:v>3.1</c:v>
              </c:pt>
              <c:pt idx="14">
                <c:v>2.9</c:v>
              </c:pt>
              <c:pt idx="15">
                <c:v>2.1</c:v>
              </c:pt>
              <c:pt idx="16">
                <c:v>6.9</c:v>
              </c:pt>
              <c:pt idx="17">
                <c:v>-0.5</c:v>
              </c:pt>
              <c:pt idx="18">
                <c:v>-0.2</c:v>
              </c:pt>
              <c:pt idx="19">
                <c:v>0.6</c:v>
              </c:pt>
              <c:pt idx="20">
                <c:v>1.9</c:v>
              </c:pt>
              <c:pt idx="21">
                <c:v>2.6</c:v>
              </c:pt>
              <c:pt idx="22">
                <c:v>6.3</c:v>
              </c:pt>
              <c:pt idx="23">
                <c:v>7.6</c:v>
              </c:pt>
              <c:pt idx="24">
                <c:v>7.2</c:v>
              </c:pt>
              <c:pt idx="25">
                <c:v>-0.2</c:v>
              </c:pt>
              <c:pt idx="26">
                <c:v>9.1</c:v>
              </c:pt>
              <c:pt idx="27">
                <c:v>7.6</c:v>
              </c:pt>
              <c:pt idx="28">
                <c:v>8</c:v>
              </c:pt>
              <c:pt idx="29">
                <c:v>10.8</c:v>
              </c:pt>
              <c:pt idx="30">
                <c:v>10.199999999999999</c:v>
              </c:pt>
            </c:numLit>
          </c:val>
          <c:smooth val="0"/>
        </c:ser>
        <c:ser>
          <c:idx val="3"/>
          <c:order val="1"/>
          <c:tx>
            <c:v>Frost Point</c:v>
          </c:tx>
          <c:spPr>
            <a:ln w="38100">
              <a:solidFill>
                <a:srgbClr val="000080"/>
              </a:solidFill>
              <a:prstDash val="sysDash"/>
            </a:ln>
          </c:spPr>
          <c:marker>
            <c:symbol val="none"/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</c:numLit>
          </c:val>
          <c:smooth val="0"/>
        </c:ser>
        <c:ser>
          <c:idx val="0"/>
          <c:order val="2"/>
          <c:tx>
            <c:v>Mean' Dew Point</c:v>
          </c:tx>
          <c:spPr>
            <a:ln w="38100">
              <a:solidFill>
                <a:srgbClr val="008080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666699"/>
              </a:solidFill>
              <a:ln>
                <a:solidFill>
                  <a:srgbClr val="666699"/>
                </a:solidFill>
                <a:prstDash val="solid"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12.5</c:v>
              </c:pt>
              <c:pt idx="1">
                <c:v>11.3</c:v>
              </c:pt>
              <c:pt idx="2">
                <c:v>11.2</c:v>
              </c:pt>
              <c:pt idx="3">
                <c:v>12.7</c:v>
              </c:pt>
              <c:pt idx="4">
                <c:v>13.4</c:v>
              </c:pt>
              <c:pt idx="5">
                <c:v>6.7</c:v>
              </c:pt>
              <c:pt idx="6">
                <c:v>6.1</c:v>
              </c:pt>
              <c:pt idx="7">
                <c:v>7.9</c:v>
              </c:pt>
              <c:pt idx="8">
                <c:v>13.9</c:v>
              </c:pt>
              <c:pt idx="9">
                <c:v>12.7</c:v>
              </c:pt>
              <c:pt idx="10">
                <c:v>12.5</c:v>
              </c:pt>
              <c:pt idx="11">
                <c:v>12.7</c:v>
              </c:pt>
              <c:pt idx="12">
                <c:v>11.7</c:v>
              </c:pt>
              <c:pt idx="13">
                <c:v>5.4</c:v>
              </c:pt>
              <c:pt idx="14">
                <c:v>5</c:v>
              </c:pt>
              <c:pt idx="15">
                <c:v>7.1</c:v>
              </c:pt>
              <c:pt idx="16">
                <c:v>8.8000000000000007</c:v>
              </c:pt>
              <c:pt idx="17">
                <c:v>4</c:v>
              </c:pt>
              <c:pt idx="18">
                <c:v>2.5</c:v>
              </c:pt>
              <c:pt idx="19">
                <c:v>1.7</c:v>
              </c:pt>
              <c:pt idx="20">
                <c:v>4.9000000000000004</c:v>
              </c:pt>
              <c:pt idx="21">
                <c:v>4.3</c:v>
              </c:pt>
              <c:pt idx="22">
                <c:v>8.8000000000000007</c:v>
              </c:pt>
              <c:pt idx="23">
                <c:v>8.6999999999999993</c:v>
              </c:pt>
              <c:pt idx="24">
                <c:v>9.6</c:v>
              </c:pt>
              <c:pt idx="25">
                <c:v>7.3</c:v>
              </c:pt>
              <c:pt idx="26">
                <c:v>10.199999999999999</c:v>
              </c:pt>
              <c:pt idx="27">
                <c:v>9.6</c:v>
              </c:pt>
              <c:pt idx="28">
                <c:v>10.3</c:v>
              </c:pt>
              <c:pt idx="29">
                <c:v>13.2</c:v>
              </c:pt>
              <c:pt idx="30">
                <c:v>12.2</c:v>
              </c:pt>
            </c:numLit>
          </c:val>
          <c:smooth val="0"/>
        </c:ser>
        <c:ser>
          <c:idx val="4"/>
          <c:order val="3"/>
          <c:tx>
            <c:v>Max Dew Point</c:v>
          </c:tx>
          <c:spPr>
            <a:ln w="38100">
              <a:solidFill>
                <a:srgbClr val="003300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003366"/>
              </a:solidFill>
              <a:ln>
                <a:solidFill>
                  <a:srgbClr val="003366"/>
                </a:solidFill>
                <a:prstDash val="solid"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16.100000000000001</c:v>
              </c:pt>
              <c:pt idx="1">
                <c:v>16.399999999999999</c:v>
              </c:pt>
              <c:pt idx="2">
                <c:v>13.8</c:v>
              </c:pt>
              <c:pt idx="3">
                <c:v>14</c:v>
              </c:pt>
              <c:pt idx="4">
                <c:v>15</c:v>
              </c:pt>
              <c:pt idx="5">
                <c:v>15.4</c:v>
              </c:pt>
              <c:pt idx="6">
                <c:v>8.4</c:v>
              </c:pt>
              <c:pt idx="7">
                <c:v>11.9</c:v>
              </c:pt>
              <c:pt idx="8">
                <c:v>15.2</c:v>
              </c:pt>
              <c:pt idx="9">
                <c:v>14.2</c:v>
              </c:pt>
              <c:pt idx="10">
                <c:v>13.4</c:v>
              </c:pt>
              <c:pt idx="11">
                <c:v>14.3</c:v>
              </c:pt>
              <c:pt idx="12">
                <c:v>13.6</c:v>
              </c:pt>
              <c:pt idx="13">
                <c:v>8.4</c:v>
              </c:pt>
              <c:pt idx="14">
                <c:v>8.4</c:v>
              </c:pt>
              <c:pt idx="15">
                <c:v>11.1</c:v>
              </c:pt>
              <c:pt idx="16">
                <c:v>10.8</c:v>
              </c:pt>
              <c:pt idx="17">
                <c:v>11</c:v>
              </c:pt>
              <c:pt idx="18">
                <c:v>5</c:v>
              </c:pt>
              <c:pt idx="19">
                <c:v>4.2</c:v>
              </c:pt>
              <c:pt idx="20">
                <c:v>7</c:v>
              </c:pt>
              <c:pt idx="21">
                <c:v>6.7</c:v>
              </c:pt>
              <c:pt idx="22">
                <c:v>12.6</c:v>
              </c:pt>
              <c:pt idx="23">
                <c:v>11.6</c:v>
              </c:pt>
              <c:pt idx="24">
                <c:v>12.5</c:v>
              </c:pt>
              <c:pt idx="25">
                <c:v>10.199999999999999</c:v>
              </c:pt>
              <c:pt idx="26">
                <c:v>12</c:v>
              </c:pt>
              <c:pt idx="27">
                <c:v>11.8</c:v>
              </c:pt>
              <c:pt idx="28">
                <c:v>12.4</c:v>
              </c:pt>
              <c:pt idx="29">
                <c:v>14.1</c:v>
              </c:pt>
              <c:pt idx="30">
                <c:v>14.1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0547072"/>
        <c:axId val="130692608"/>
      </c:lineChart>
      <c:catAx>
        <c:axId val="1305470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0692608"/>
        <c:crossesAt val="-10"/>
        <c:auto val="1"/>
        <c:lblAlgn val="ctr"/>
        <c:lblOffset val="100"/>
        <c:tickLblSkip val="1"/>
        <c:tickMarkSkip val="1"/>
        <c:noMultiLvlLbl val="0"/>
      </c:catAx>
      <c:valAx>
        <c:axId val="130692608"/>
        <c:scaling>
          <c:orientation val="minMax"/>
          <c:max val="20"/>
          <c:min val="-5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0547072"/>
        <c:crosses val="autoZero"/>
        <c:crossBetween val="between"/>
        <c:majorUnit val="5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Mean Wind Direction Frequency</a:t>
            </a:r>
          </a:p>
        </c:rich>
      </c:tx>
      <c:layout>
        <c:manualLayout>
          <c:xMode val="edge"/>
          <c:yMode val="edge"/>
          <c:x val="0.40434296945276205"/>
          <c:y val="2.585193889541715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086856229171383"/>
          <c:y val="0.15981198589894241"/>
          <c:w val="0.37206594093054307"/>
          <c:h val="0.74500587544065799"/>
        </c:manualLayout>
      </c:layout>
      <c:radarChart>
        <c:radarStyle val="filled"/>
        <c:varyColors val="1"/>
        <c:ser>
          <c:idx val="0"/>
          <c:order val="0"/>
          <c:tx>
            <c:v>Mean Wind Direction</c:v>
          </c:tx>
          <c:spPr>
            <a:solidFill>
              <a:srgbClr val="FF99CC"/>
            </a:solidFill>
            <a:ln w="38100">
              <a:solidFill>
                <a:srgbClr val="FF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</c:dPt>
          <c:dPt>
            <c:idx val="2"/>
            <c:bubble3D val="0"/>
          </c:dPt>
          <c:dPt>
            <c:idx val="3"/>
            <c:bubble3D val="0"/>
          </c:dPt>
          <c:dPt>
            <c:idx val="4"/>
            <c:bubble3D val="0"/>
          </c:dPt>
          <c:dPt>
            <c:idx val="5"/>
            <c:bubble3D val="0"/>
          </c:dPt>
          <c:dPt>
            <c:idx val="6"/>
            <c:bubble3D val="0"/>
          </c:dPt>
          <c:dPt>
            <c:idx val="7"/>
            <c:bubble3D val="0"/>
          </c:dPt>
          <c:dLbls>
            <c:dLbl>
              <c:idx val="0"/>
              <c:layout>
                <c:manualLayout>
                  <c:xMode val="edge"/>
                  <c:yMode val="edge"/>
                  <c:x val="0.4900237550110465"/>
                  <c:y val="0.1915393654524089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Mode val="edge"/>
                  <c:yMode val="edge"/>
                  <c:x val="0.61208955266649279"/>
                  <c:y val="0.29847238542890719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layout>
                <c:manualLayout>
                  <c:xMode val="edge"/>
                  <c:yMode val="edge"/>
                  <c:x val="0.71772341602216749"/>
                  <c:y val="0.51821386603995301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layout>
                <c:manualLayout>
                  <c:xMode val="edge"/>
                  <c:yMode val="edge"/>
                  <c:x val="0.68779382140472634"/>
                  <c:y val="0.8695652173913043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4"/>
              <c:layout>
                <c:manualLayout>
                  <c:xMode val="edge"/>
                  <c:yMode val="edge"/>
                  <c:x val="0.49119746460388736"/>
                  <c:y val="0.960047003525264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5"/>
              <c:layout>
                <c:manualLayout>
                  <c:xMode val="edge"/>
                  <c:yMode val="edge"/>
                  <c:x val="0.2816903022817992"/>
                  <c:y val="0.8777908343125734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6"/>
              <c:layout>
                <c:manualLayout>
                  <c:xMode val="edge"/>
                  <c:yMode val="edge"/>
                  <c:x val="0.1572770854406712"/>
                  <c:y val="0.5193889541715628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7"/>
              <c:layout>
                <c:manualLayout>
                  <c:xMode val="edge"/>
                  <c:yMode val="edge"/>
                  <c:x val="0.35093916825940819"/>
                  <c:y val="0.2632197414806110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50" b="1" i="0" u="none" strike="noStrike" baseline="0">
                    <a:solidFill>
                      <a:srgbClr val="FF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Lit>
              <c:ptCount val="8"/>
              <c:pt idx="0">
                <c:v>N</c:v>
              </c:pt>
              <c:pt idx="1">
                <c:v>NE</c:v>
              </c:pt>
              <c:pt idx="2">
                <c:v>E</c:v>
              </c:pt>
              <c:pt idx="3">
                <c:v>SE</c:v>
              </c:pt>
              <c:pt idx="4">
                <c:v>S</c:v>
              </c:pt>
              <c:pt idx="5">
                <c:v>SW</c:v>
              </c:pt>
              <c:pt idx="6">
                <c:v>W</c:v>
              </c:pt>
              <c:pt idx="7">
                <c:v>NW</c:v>
              </c:pt>
            </c:strLit>
          </c:cat>
          <c:val>
            <c:numLit>
              <c:formatCode>General</c:formatCode>
              <c:ptCount val="8"/>
              <c:pt idx="0">
                <c:v>0</c:v>
              </c:pt>
              <c:pt idx="1">
                <c:v>2</c:v>
              </c:pt>
              <c:pt idx="2">
                <c:v>2</c:v>
              </c:pt>
              <c:pt idx="3">
                <c:v>3</c:v>
              </c:pt>
              <c:pt idx="4">
                <c:v>4</c:v>
              </c:pt>
              <c:pt idx="5">
                <c:v>10</c:v>
              </c:pt>
              <c:pt idx="6">
                <c:v>10</c:v>
              </c:pt>
              <c:pt idx="7">
                <c:v>0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760704"/>
        <c:axId val="130762240"/>
      </c:radarChart>
      <c:catAx>
        <c:axId val="130760704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0762240"/>
        <c:crosses val="autoZero"/>
        <c:auto val="0"/>
        <c:lblAlgn val="ctr"/>
        <c:lblOffset val="100"/>
        <c:noMultiLvlLbl val="0"/>
      </c:catAx>
      <c:valAx>
        <c:axId val="130762240"/>
        <c:scaling>
          <c:orientation val="minMax"/>
          <c:max val="12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0760704"/>
        <c:crosses val="autoZero"/>
        <c:crossBetween val="between"/>
        <c:majorUnit val="3"/>
      </c:valAx>
      <c:spPr>
        <a:solidFill>
          <a:srgbClr val="C0C0C0"/>
        </a:solidFill>
        <a:ln w="25400">
          <a:noFill/>
        </a:ln>
      </c:spPr>
    </c:plotArea>
    <c:plotVisOnly val="1"/>
    <c:dispBlanksAs val="gap"/>
    <c:showDLblsOverMax val="0"/>
  </c:chart>
  <c:spPr>
    <a:solidFill>
      <a:srgbClr val="C0C0C0"/>
    </a:solidFill>
    <a:ln w="3175">
      <a:solidFill>
        <a:srgbClr val="000000"/>
      </a:solidFill>
      <a:prstDash val="solid"/>
    </a:ln>
  </c:spPr>
  <c:txPr>
    <a:bodyPr/>
    <a:lstStyle/>
    <a:p>
      <a:pPr>
        <a:defRPr sz="23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Cumulative Sun Hours / h</a:t>
            </a:r>
          </a:p>
        </c:rich>
      </c:tx>
      <c:layout>
        <c:manualLayout>
          <c:xMode val="edge"/>
          <c:yMode val="edge"/>
          <c:x val="0.42778132143439052"/>
          <c:y val="2.690058479532163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502160052459488E-2"/>
          <c:y val="8.6549806457655407E-2"/>
          <c:w val="0.9403813516721462"/>
          <c:h val="0.86315888061823898"/>
        </c:manualLayout>
      </c:layout>
      <c:lineChart>
        <c:grouping val="standard"/>
        <c:varyColors val="0"/>
        <c:ser>
          <c:idx val="1"/>
          <c:order val="0"/>
          <c:tx>
            <c:v>Cumulative Sun Hours</c:v>
          </c:tx>
          <c:spPr>
            <a:ln w="38100">
              <a:solidFill>
                <a:srgbClr val="FFFF00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99CC00"/>
              </a:solidFill>
              <a:ln>
                <a:solidFill>
                  <a:srgbClr val="99CC00"/>
                </a:solidFill>
                <a:prstDash val="solid"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10.3</c:v>
              </c:pt>
              <c:pt idx="1">
                <c:v>20.700000000000003</c:v>
              </c:pt>
              <c:pt idx="2">
                <c:v>29.200000000000003</c:v>
              </c:pt>
              <c:pt idx="3">
                <c:v>30.200000000000003</c:v>
              </c:pt>
              <c:pt idx="4">
                <c:v>31.200000000000003</c:v>
              </c:pt>
              <c:pt idx="5">
                <c:v>38.200000000000003</c:v>
              </c:pt>
              <c:pt idx="6">
                <c:v>40.700000000000003</c:v>
              </c:pt>
              <c:pt idx="7">
                <c:v>40.800000000000004</c:v>
              </c:pt>
              <c:pt idx="8">
                <c:v>42.800000000000004</c:v>
              </c:pt>
              <c:pt idx="9">
                <c:v>46.300000000000004</c:v>
              </c:pt>
              <c:pt idx="10">
                <c:v>47.800000000000004</c:v>
              </c:pt>
              <c:pt idx="11">
                <c:v>48.800000000000004</c:v>
              </c:pt>
              <c:pt idx="12">
                <c:v>49.300000000000004</c:v>
              </c:pt>
              <c:pt idx="13">
                <c:v>58.300000000000004</c:v>
              </c:pt>
              <c:pt idx="14">
                <c:v>67.900000000000006</c:v>
              </c:pt>
              <c:pt idx="15">
                <c:v>72.900000000000006</c:v>
              </c:pt>
              <c:pt idx="16">
                <c:v>76.900000000000006</c:v>
              </c:pt>
              <c:pt idx="17">
                <c:v>84.9</c:v>
              </c:pt>
              <c:pt idx="18">
                <c:v>91.9</c:v>
              </c:pt>
              <c:pt idx="19">
                <c:v>99.4</c:v>
              </c:pt>
              <c:pt idx="20">
                <c:v>105.4</c:v>
              </c:pt>
              <c:pt idx="21">
                <c:v>114.4</c:v>
              </c:pt>
              <c:pt idx="22">
                <c:v>121.9</c:v>
              </c:pt>
              <c:pt idx="23">
                <c:v>126.9</c:v>
              </c:pt>
              <c:pt idx="24">
                <c:v>130.9</c:v>
              </c:pt>
              <c:pt idx="25">
                <c:v>133.9</c:v>
              </c:pt>
              <c:pt idx="26">
                <c:v>133.9</c:v>
              </c:pt>
              <c:pt idx="27">
                <c:v>140.4</c:v>
              </c:pt>
              <c:pt idx="28">
                <c:v>143.9</c:v>
              </c:pt>
              <c:pt idx="29">
                <c:v>144.4</c:v>
              </c:pt>
              <c:pt idx="30">
                <c:v>144.6</c:v>
              </c:pt>
            </c:numLit>
          </c:val>
          <c:smooth val="0"/>
        </c:ser>
        <c:ser>
          <c:idx val="2"/>
          <c:order val="1"/>
          <c:tx>
            <c:v>E (Cumulative Sun Hours)</c:v>
          </c:tx>
          <c:spPr>
            <a:ln w="25400">
              <a:solidFill>
                <a:srgbClr val="FFFF99"/>
              </a:solidFill>
              <a:prstDash val="lgDash"/>
            </a:ln>
          </c:spPr>
          <c:marker>
            <c:symbol val="diamond"/>
            <c:size val="2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3.7456413894640646</c:v>
              </c:pt>
              <c:pt idx="1">
                <c:v>7.468992713538289</c:v>
              </c:pt>
              <c:pt idx="2">
                <c:v>11.170084633322197</c:v>
              </c:pt>
              <c:pt idx="3">
                <c:v>14.848950857698252</c:v>
              </c:pt>
              <c:pt idx="4">
                <c:v>18.505628214763814</c:v>
              </c:pt>
              <c:pt idx="5">
                <c:v>22.14015672908053</c:v>
              </c:pt>
              <c:pt idx="6">
                <c:v>25.752579704708751</c:v>
              </c:pt>
              <c:pt idx="7">
                <c:v>29.342943813989244</c:v>
              </c:pt>
              <c:pt idx="8">
                <c:v>32.911299192028402</c:v>
              </c:pt>
              <c:pt idx="9">
                <c:v>36.457699536836479</c:v>
              </c:pt>
              <c:pt idx="10">
                <c:v>39.982202215060781</c:v>
              </c:pt>
              <c:pt idx="11">
                <c:v>43.484868373247515</c:v>
              </c:pt>
              <c:pt idx="12">
                <c:v>46.96576305455676</c:v>
              </c:pt>
              <c:pt idx="13">
                <c:v>50.424955320844923</c:v>
              </c:pt>
              <c:pt idx="14">
                <c:v>53.862518380017946</c:v>
              </c:pt>
              <c:pt idx="15">
                <c:v>57.278529718546366</c:v>
              </c:pt>
              <c:pt idx="16">
                <c:v>60.673071239020153</c:v>
              </c:pt>
              <c:pt idx="17">
                <c:v>64.046229402606869</c:v>
              </c:pt>
              <c:pt idx="18">
                <c:v>67.398095376261125</c:v>
              </c:pt>
              <c:pt idx="19">
                <c:v>70.728765184516504</c:v>
              </c:pt>
              <c:pt idx="20">
                <c:v>74.038339865673137</c:v>
              </c:pt>
              <c:pt idx="21">
                <c:v>77.326925632174522</c:v>
              </c:pt>
              <c:pt idx="22">
                <c:v>80.594634034946679</c:v>
              </c:pt>
              <c:pt idx="23">
                <c:v>83.841582131450238</c:v>
              </c:pt>
              <c:pt idx="24">
                <c:v>87.067892657172806</c:v>
              </c:pt>
              <c:pt idx="25">
                <c:v>90.273694200263762</c:v>
              </c:pt>
              <c:pt idx="26">
                <c:v>93.459121378987149</c:v>
              </c:pt>
              <c:pt idx="27">
                <c:v>96.624315021640626</c:v>
              </c:pt>
              <c:pt idx="28">
                <c:v>99.769422348559033</c:v>
              </c:pt>
              <c:pt idx="29">
                <c:v>102.89459715579032</c:v>
              </c:pt>
              <c:pt idx="30">
                <c:v>105.99999999999997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0794240"/>
        <c:axId val="130795776"/>
      </c:lineChart>
      <c:lineChart>
        <c:grouping val="standard"/>
        <c:varyColors val="0"/>
        <c:ser>
          <c:idx val="0"/>
          <c:order val="2"/>
          <c:tx>
            <c:v>Cumulative Anomaly</c:v>
          </c:tx>
          <c:spPr>
            <a:ln w="12700">
              <a:solidFill>
                <a:srgbClr val="99CC00"/>
              </a:solidFill>
              <a:prstDash val="solid"/>
            </a:ln>
          </c:spPr>
          <c:marker>
            <c:symbol val="circle"/>
            <c:size val="2"/>
            <c:spPr>
              <a:solidFill>
                <a:srgbClr val="808000"/>
              </a:solidFill>
              <a:ln>
                <a:solidFill>
                  <a:srgbClr val="808000"/>
                </a:solidFill>
                <a:prstDash val="solid"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2.7498628216177816</c:v>
              </c:pt>
              <c:pt idx="1">
                <c:v>2.7714580525000652</c:v>
              </c:pt>
              <c:pt idx="2">
                <c:v>2.6141252245208246</c:v>
              </c:pt>
              <c:pt idx="3">
                <c:v>2.0338137212127139</c:v>
              </c:pt>
              <c:pt idx="4">
                <c:v>1.6859735664152489</c:v>
              </c:pt>
              <c:pt idx="5">
                <c:v>1.725371706597961</c:v>
              </c:pt>
              <c:pt idx="6">
                <c:v>1.5804241930977572</c:v>
              </c:pt>
              <c:pt idx="7">
                <c:v>1.3904535365858082</c:v>
              </c:pt>
              <c:pt idx="8">
                <c:v>1.3004652216940373</c:v>
              </c:pt>
              <c:pt idx="9">
                <c:v>1.269964934381528</c:v>
              </c:pt>
              <c:pt idx="10">
                <c:v>1.1955319455113544</c:v>
              </c:pt>
              <c:pt idx="11">
                <c:v>1.1222294518895779</c:v>
              </c:pt>
              <c:pt idx="12">
                <c:v>1.0497008202066627</c:v>
              </c:pt>
              <c:pt idx="13">
                <c:v>1.1561735578950461</c:v>
              </c:pt>
              <c:pt idx="14">
                <c:v>1.2606168824291313</c:v>
              </c:pt>
              <c:pt idx="15">
                <c:v>1.2727281995228226</c:v>
              </c:pt>
              <c:pt idx="16">
                <c:v>1.2674486131920741</c:v>
              </c:pt>
              <c:pt idx="17">
                <c:v>1.3256049699085692</c:v>
              </c:pt>
              <c:pt idx="18">
                <c:v>1.3635400152920183</c:v>
              </c:pt>
              <c:pt idx="19">
                <c:v>1.4053688020805435</c:v>
              </c:pt>
              <c:pt idx="20">
                <c:v>1.4235867550680628</c:v>
              </c:pt>
              <c:pt idx="21">
                <c:v>1.479432927983884</c:v>
              </c:pt>
              <c:pt idx="22">
                <c:v>1.5125076434634952</c:v>
              </c:pt>
              <c:pt idx="23">
                <c:v>1.5135687659262087</c:v>
              </c:pt>
              <c:pt idx="24">
                <c:v>1.5034244657260145</c:v>
              </c:pt>
              <c:pt idx="25">
                <c:v>1.483267093323503</c:v>
              </c:pt>
              <c:pt idx="26">
                <c:v>1.4327119496129286</c:v>
              </c:pt>
              <c:pt idx="27">
                <c:v>1.4530504042233581</c:v>
              </c:pt>
              <c:pt idx="28">
                <c:v>1.4423256806806435</c:v>
              </c:pt>
              <c:pt idx="29">
                <c:v>1.4033778642562478</c:v>
              </c:pt>
              <c:pt idx="30">
                <c:v>1.3641509433962267</c:v>
              </c:pt>
            </c:numLit>
          </c:val>
          <c:smooth val="0"/>
        </c:ser>
        <c:ser>
          <c:idx val="3"/>
          <c:order val="3"/>
          <c:tx>
            <c:v>E (Cumulative Anomaly)</c:v>
          </c:tx>
          <c:spPr>
            <a:ln w="12700">
              <a:solidFill>
                <a:srgbClr val="808000"/>
              </a:solidFill>
              <a:prstDash val="lgDash"/>
            </a:ln>
          </c:spPr>
          <c:marker>
            <c:symbol val="none"/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1</c:v>
              </c:pt>
              <c:pt idx="1">
                <c:v>1</c:v>
              </c:pt>
              <c:pt idx="2">
                <c:v>1</c:v>
              </c:pt>
              <c:pt idx="3">
                <c:v>1</c:v>
              </c:pt>
              <c:pt idx="4">
                <c:v>1</c:v>
              </c:pt>
              <c:pt idx="5">
                <c:v>1</c:v>
              </c:pt>
              <c:pt idx="6">
                <c:v>1</c:v>
              </c:pt>
              <c:pt idx="7">
                <c:v>1</c:v>
              </c:pt>
              <c:pt idx="8">
                <c:v>1</c:v>
              </c:pt>
              <c:pt idx="9">
                <c:v>1</c:v>
              </c:pt>
              <c:pt idx="10">
                <c:v>1</c:v>
              </c:pt>
              <c:pt idx="11">
                <c:v>1</c:v>
              </c:pt>
              <c:pt idx="12">
                <c:v>1</c:v>
              </c:pt>
              <c:pt idx="13">
                <c:v>1</c:v>
              </c:pt>
              <c:pt idx="14">
                <c:v>1</c:v>
              </c:pt>
              <c:pt idx="15">
                <c:v>1</c:v>
              </c:pt>
              <c:pt idx="16">
                <c:v>1</c:v>
              </c:pt>
              <c:pt idx="17">
                <c:v>1</c:v>
              </c:pt>
              <c:pt idx="18">
                <c:v>1</c:v>
              </c:pt>
              <c:pt idx="19">
                <c:v>1</c:v>
              </c:pt>
              <c:pt idx="20">
                <c:v>1</c:v>
              </c:pt>
              <c:pt idx="21">
                <c:v>1</c:v>
              </c:pt>
              <c:pt idx="22">
                <c:v>1</c:v>
              </c:pt>
              <c:pt idx="23">
                <c:v>1</c:v>
              </c:pt>
              <c:pt idx="24">
                <c:v>1</c:v>
              </c:pt>
              <c:pt idx="25">
                <c:v>1</c:v>
              </c:pt>
              <c:pt idx="26">
                <c:v>1</c:v>
              </c:pt>
              <c:pt idx="27">
                <c:v>1</c:v>
              </c:pt>
              <c:pt idx="28">
                <c:v>1</c:v>
              </c:pt>
              <c:pt idx="29">
                <c:v>1</c:v>
              </c:pt>
              <c:pt idx="30">
                <c:v>1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0940928"/>
        <c:axId val="130942464"/>
      </c:lineChart>
      <c:catAx>
        <c:axId val="130794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07957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30795776"/>
        <c:scaling>
          <c:orientation val="minMax"/>
          <c:max val="175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0794240"/>
        <c:crosses val="autoZero"/>
        <c:crossBetween val="between"/>
        <c:majorUnit val="25"/>
      </c:valAx>
      <c:catAx>
        <c:axId val="1309409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0942464"/>
        <c:crosses val="autoZero"/>
        <c:auto val="1"/>
        <c:lblAlgn val="ctr"/>
        <c:lblOffset val="100"/>
        <c:noMultiLvlLbl val="0"/>
      </c:catAx>
      <c:valAx>
        <c:axId val="130942464"/>
        <c:scaling>
          <c:orientation val="minMax"/>
          <c:max val="1.75"/>
          <c:min val="0"/>
        </c:scaling>
        <c:delete val="0"/>
        <c:axPos val="r"/>
        <c:numFmt formatCode="0%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0940928"/>
        <c:crosses val="max"/>
        <c:crossBetween val="between"/>
        <c:majorUnit val="0.25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 horizontalDpi="-3"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 sz="14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Mean Temperature / </a:t>
            </a:r>
            <a:r>
              <a:rPr lang="en-GB" sz="1400" b="1" i="0" u="none" strike="noStrike" baseline="30000">
                <a:solidFill>
                  <a:srgbClr val="000000"/>
                </a:solidFill>
                <a:latin typeface="Arial"/>
                <a:cs typeface="Arial"/>
              </a:rPr>
              <a:t>o</a:t>
            </a:r>
            <a:r>
              <a:rPr lang="en-GB" sz="14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C</a:t>
            </a:r>
          </a:p>
        </c:rich>
      </c:tx>
      <c:layout>
        <c:manualLayout>
          <c:xMode val="edge"/>
          <c:yMode val="edge"/>
          <c:x val="0.4333129747841139"/>
          <c:y val="1.990632318501171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970505042623335E-2"/>
          <c:y val="8.5480093676814986E-2"/>
          <c:w val="0.97172739672788444"/>
          <c:h val="0.86416861826697888"/>
        </c:manualLayout>
      </c:layout>
      <c:lineChart>
        <c:grouping val="standard"/>
        <c:varyColors val="0"/>
        <c:ser>
          <c:idx val="0"/>
          <c:order val="0"/>
          <c:tx>
            <c:v>Mean' Temperature</c:v>
          </c:tx>
          <c:spPr>
            <a:ln w="38100">
              <a:solidFill>
                <a:srgbClr val="800080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666699"/>
              </a:solidFill>
              <a:ln>
                <a:solidFill>
                  <a:srgbClr val="666699"/>
                </a:solidFill>
                <a:prstDash val="solid"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19.3</c:v>
              </c:pt>
              <c:pt idx="1">
                <c:v>19.399999999999999</c:v>
              </c:pt>
              <c:pt idx="2">
                <c:v>19.899999999999999</c:v>
              </c:pt>
              <c:pt idx="3">
                <c:v>17.2</c:v>
              </c:pt>
              <c:pt idx="4">
                <c:v>17.3</c:v>
              </c:pt>
              <c:pt idx="5">
                <c:v>13.4</c:v>
              </c:pt>
              <c:pt idx="6">
                <c:v>11.7</c:v>
              </c:pt>
              <c:pt idx="7">
                <c:v>12.1</c:v>
              </c:pt>
              <c:pt idx="8">
                <c:v>16.8</c:v>
              </c:pt>
              <c:pt idx="9">
                <c:v>17.2</c:v>
              </c:pt>
              <c:pt idx="10">
                <c:v>16.8</c:v>
              </c:pt>
              <c:pt idx="11">
                <c:v>16.3</c:v>
              </c:pt>
              <c:pt idx="12">
                <c:v>14.3</c:v>
              </c:pt>
              <c:pt idx="13">
                <c:v>11.7</c:v>
              </c:pt>
              <c:pt idx="14">
                <c:v>10.199999999999999</c:v>
              </c:pt>
              <c:pt idx="15">
                <c:v>9.9</c:v>
              </c:pt>
              <c:pt idx="16">
                <c:v>12.8</c:v>
              </c:pt>
              <c:pt idx="17">
                <c:v>10.5</c:v>
              </c:pt>
              <c:pt idx="18">
                <c:v>7.8</c:v>
              </c:pt>
              <c:pt idx="19">
                <c:v>6.9</c:v>
              </c:pt>
              <c:pt idx="20">
                <c:v>10.4</c:v>
              </c:pt>
              <c:pt idx="21">
                <c:v>11</c:v>
              </c:pt>
              <c:pt idx="22">
                <c:v>14</c:v>
              </c:pt>
              <c:pt idx="23">
                <c:v>13.7</c:v>
              </c:pt>
              <c:pt idx="24">
                <c:v>13.5</c:v>
              </c:pt>
              <c:pt idx="25">
                <c:v>10.1</c:v>
              </c:pt>
              <c:pt idx="26">
                <c:v>12.3</c:v>
              </c:pt>
              <c:pt idx="27">
                <c:v>12.4</c:v>
              </c:pt>
              <c:pt idx="28">
                <c:v>13.7</c:v>
              </c:pt>
              <c:pt idx="29">
                <c:v>15.2</c:v>
              </c:pt>
              <c:pt idx="30">
                <c:v>14.9</c:v>
              </c:pt>
            </c:numLit>
          </c:val>
          <c:smooth val="0"/>
        </c:ser>
        <c:ser>
          <c:idx val="1"/>
          <c:order val="1"/>
          <c:tx>
            <c:v>E (Mean)</c:v>
          </c:tx>
          <c:spPr>
            <a:ln w="38100">
              <a:solidFill>
                <a:srgbClr val="CC99FF"/>
              </a:solidFill>
              <a:prstDash val="lgDash"/>
            </a:ln>
          </c:spPr>
          <c:marker>
            <c:symbol val="none"/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13.270666666666664</c:v>
              </c:pt>
              <c:pt idx="1">
                <c:v>13.175333333333331</c:v>
              </c:pt>
              <c:pt idx="2">
                <c:v>13.079999999999998</c:v>
              </c:pt>
              <c:pt idx="3">
                <c:v>12.984666666666664</c:v>
              </c:pt>
              <c:pt idx="4">
                <c:v>12.88933333333333</c:v>
              </c:pt>
              <c:pt idx="5">
                <c:v>12.793999999999997</c:v>
              </c:pt>
              <c:pt idx="6">
                <c:v>12.698666666666664</c:v>
              </c:pt>
              <c:pt idx="7">
                <c:v>12.60333333333333</c:v>
              </c:pt>
              <c:pt idx="8">
                <c:v>12.507999999999996</c:v>
              </c:pt>
              <c:pt idx="9">
                <c:v>12.412666666666663</c:v>
              </c:pt>
              <c:pt idx="10">
                <c:v>12.31733333333333</c:v>
              </c:pt>
              <c:pt idx="11">
                <c:v>12.221999999999996</c:v>
              </c:pt>
              <c:pt idx="12">
                <c:v>12.126666666666662</c:v>
              </c:pt>
              <c:pt idx="13">
                <c:v>12.031333333333329</c:v>
              </c:pt>
              <c:pt idx="14">
                <c:v>11.935999999999996</c:v>
              </c:pt>
              <c:pt idx="15">
                <c:v>11.840666666666662</c:v>
              </c:pt>
              <c:pt idx="16">
                <c:v>11.745333333333328</c:v>
              </c:pt>
              <c:pt idx="17">
                <c:v>11.65</c:v>
              </c:pt>
              <c:pt idx="18">
                <c:v>11.501230769230769</c:v>
              </c:pt>
              <c:pt idx="19">
                <c:v>11.35246153846154</c:v>
              </c:pt>
              <c:pt idx="20">
                <c:v>11.203692307692311</c:v>
              </c:pt>
              <c:pt idx="21">
                <c:v>11.05492307692308</c:v>
              </c:pt>
              <c:pt idx="22">
                <c:v>10.906153846153849</c:v>
              </c:pt>
              <c:pt idx="23">
                <c:v>10.75738461538462</c:v>
              </c:pt>
              <c:pt idx="24">
                <c:v>10.608615384615389</c:v>
              </c:pt>
              <c:pt idx="25">
                <c:v>10.459846153846158</c:v>
              </c:pt>
              <c:pt idx="26">
                <c:v>10.311076923076929</c:v>
              </c:pt>
              <c:pt idx="27">
                <c:v>10.162307692307698</c:v>
              </c:pt>
              <c:pt idx="28">
                <c:v>10.013538461538467</c:v>
              </c:pt>
              <c:pt idx="29">
                <c:v>9.8647692307692356</c:v>
              </c:pt>
              <c:pt idx="30">
                <c:v>9.7160000000000011</c:v>
              </c:pt>
            </c:numLit>
          </c:val>
          <c:smooth val="0"/>
        </c:ser>
        <c:ser>
          <c:idx val="3"/>
          <c:order val="2"/>
          <c:tx>
            <c:v>E (Max)</c:v>
          </c:tx>
          <c:spPr>
            <a:ln w="12700">
              <a:solidFill>
                <a:srgbClr val="FFCC99"/>
              </a:solidFill>
              <a:prstDash val="lgDash"/>
            </a:ln>
          </c:spPr>
          <c:marker>
            <c:symbol val="none"/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16.534333333333326</c:v>
              </c:pt>
              <c:pt idx="1">
                <c:v>16.414666666666658</c:v>
              </c:pt>
              <c:pt idx="2">
                <c:v>16.294999999999991</c:v>
              </c:pt>
              <c:pt idx="3">
                <c:v>16.175333333333324</c:v>
              </c:pt>
              <c:pt idx="4">
                <c:v>16.055666666666657</c:v>
              </c:pt>
              <c:pt idx="5">
                <c:v>15.935999999999989</c:v>
              </c:pt>
              <c:pt idx="6">
                <c:v>15.816333333333322</c:v>
              </c:pt>
              <c:pt idx="7">
                <c:v>15.696666666666655</c:v>
              </c:pt>
              <c:pt idx="8">
                <c:v>15.576999999999988</c:v>
              </c:pt>
              <c:pt idx="9">
                <c:v>15.45733333333332</c:v>
              </c:pt>
              <c:pt idx="10">
                <c:v>15.337666666666653</c:v>
              </c:pt>
              <c:pt idx="11">
                <c:v>15.217999999999986</c:v>
              </c:pt>
              <c:pt idx="12">
                <c:v>15.098333333333319</c:v>
              </c:pt>
              <c:pt idx="13">
                <c:v>14.978666666666651</c:v>
              </c:pt>
              <c:pt idx="14">
                <c:v>14.858999999999984</c:v>
              </c:pt>
              <c:pt idx="15">
                <c:v>14.739333333333317</c:v>
              </c:pt>
              <c:pt idx="16">
                <c:v>14.619666666666649</c:v>
              </c:pt>
              <c:pt idx="17">
                <c:v>14.5</c:v>
              </c:pt>
              <c:pt idx="18">
                <c:v>14.338461538461539</c:v>
              </c:pt>
              <c:pt idx="19">
                <c:v>14.176923076923078</c:v>
              </c:pt>
              <c:pt idx="20">
                <c:v>14.015384615384617</c:v>
              </c:pt>
              <c:pt idx="21">
                <c:v>13.853846153846156</c:v>
              </c:pt>
              <c:pt idx="22">
                <c:v>13.692307692307695</c:v>
              </c:pt>
              <c:pt idx="23">
                <c:v>13.530769230769234</c:v>
              </c:pt>
              <c:pt idx="24">
                <c:v>13.369230769230773</c:v>
              </c:pt>
              <c:pt idx="25">
                <c:v>13.207692307692312</c:v>
              </c:pt>
              <c:pt idx="26">
                <c:v>13.046153846153851</c:v>
              </c:pt>
              <c:pt idx="27">
                <c:v>12.88461538461539</c:v>
              </c:pt>
              <c:pt idx="28">
                <c:v>12.723076923076929</c:v>
              </c:pt>
              <c:pt idx="29">
                <c:v>12.561538461538468</c:v>
              </c:pt>
              <c:pt idx="30">
                <c:v>12.399999999999999</c:v>
              </c:pt>
            </c:numLit>
          </c:val>
          <c:smooth val="0"/>
        </c:ser>
        <c:ser>
          <c:idx val="4"/>
          <c:order val="3"/>
          <c:tx>
            <c:v>E (Min)</c:v>
          </c:tx>
          <c:spPr>
            <a:ln w="12700">
              <a:solidFill>
                <a:srgbClr val="00CCFF"/>
              </a:solidFill>
              <a:prstDash val="lgDash"/>
            </a:ln>
          </c:spPr>
          <c:marker>
            <c:symbol val="none"/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10.007000000000003</c:v>
              </c:pt>
              <c:pt idx="1">
                <c:v>9.9360000000000035</c:v>
              </c:pt>
              <c:pt idx="2">
                <c:v>9.8650000000000038</c:v>
              </c:pt>
              <c:pt idx="3">
                <c:v>9.794000000000004</c:v>
              </c:pt>
              <c:pt idx="4">
                <c:v>9.7230000000000043</c:v>
              </c:pt>
              <c:pt idx="5">
                <c:v>9.6520000000000046</c:v>
              </c:pt>
              <c:pt idx="6">
                <c:v>9.5810000000000048</c:v>
              </c:pt>
              <c:pt idx="7">
                <c:v>9.5100000000000051</c:v>
              </c:pt>
              <c:pt idx="8">
                <c:v>9.4390000000000054</c:v>
              </c:pt>
              <c:pt idx="9">
                <c:v>9.3680000000000057</c:v>
              </c:pt>
              <c:pt idx="10">
                <c:v>9.2970000000000059</c:v>
              </c:pt>
              <c:pt idx="11">
                <c:v>9.2260000000000062</c:v>
              </c:pt>
              <c:pt idx="12">
                <c:v>9.1550000000000065</c:v>
              </c:pt>
              <c:pt idx="13">
                <c:v>9.0840000000000067</c:v>
              </c:pt>
              <c:pt idx="14">
                <c:v>9.013000000000007</c:v>
              </c:pt>
              <c:pt idx="15">
                <c:v>8.9420000000000073</c:v>
              </c:pt>
              <c:pt idx="16">
                <c:v>8.8710000000000075</c:v>
              </c:pt>
              <c:pt idx="17">
                <c:v>8.8000000000000007</c:v>
              </c:pt>
              <c:pt idx="18">
                <c:v>8.6640000000000015</c:v>
              </c:pt>
              <c:pt idx="19">
                <c:v>8.5280000000000022</c:v>
              </c:pt>
              <c:pt idx="20">
                <c:v>8.392000000000003</c:v>
              </c:pt>
              <c:pt idx="21">
                <c:v>8.2560000000000038</c:v>
              </c:pt>
              <c:pt idx="22">
                <c:v>8.1200000000000045</c:v>
              </c:pt>
              <c:pt idx="23">
                <c:v>7.9840000000000044</c:v>
              </c:pt>
              <c:pt idx="24">
                <c:v>7.8480000000000043</c:v>
              </c:pt>
              <c:pt idx="25">
                <c:v>7.7120000000000042</c:v>
              </c:pt>
              <c:pt idx="26">
                <c:v>7.5760000000000041</c:v>
              </c:pt>
              <c:pt idx="27">
                <c:v>7.4400000000000039</c:v>
              </c:pt>
              <c:pt idx="28">
                <c:v>7.3040000000000038</c:v>
              </c:pt>
              <c:pt idx="29">
                <c:v>7.1680000000000037</c:v>
              </c:pt>
              <c:pt idx="30">
                <c:v>7.0320000000000036</c:v>
              </c:pt>
            </c:numLit>
          </c:val>
          <c:smooth val="0"/>
        </c:ser>
        <c:ser>
          <c:idx val="5"/>
          <c:order val="4"/>
          <c:tx>
            <c:v>Cold Threshold</c:v>
          </c:tx>
          <c:spPr>
            <a:ln w="25400">
              <a:solidFill>
                <a:srgbClr val="0000FF"/>
              </a:solidFill>
              <a:prstDash val="sysDash"/>
            </a:ln>
          </c:spPr>
          <c:marker>
            <c:symbol val="none"/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11.094888888888889</c:v>
              </c:pt>
              <c:pt idx="1">
                <c:v>11.01577777777778</c:v>
              </c:pt>
              <c:pt idx="2">
                <c:v>10.936666666666669</c:v>
              </c:pt>
              <c:pt idx="3">
                <c:v>10.857555555555557</c:v>
              </c:pt>
              <c:pt idx="4">
                <c:v>10.778444444444446</c:v>
              </c:pt>
              <c:pt idx="5">
                <c:v>10.699333333333335</c:v>
              </c:pt>
              <c:pt idx="6">
                <c:v>10.620222222222225</c:v>
              </c:pt>
              <c:pt idx="7">
                <c:v>10.541111111111114</c:v>
              </c:pt>
              <c:pt idx="8">
                <c:v>10.462000000000002</c:v>
              </c:pt>
              <c:pt idx="9">
                <c:v>10.382888888888891</c:v>
              </c:pt>
              <c:pt idx="10">
                <c:v>10.303777777777782</c:v>
              </c:pt>
              <c:pt idx="11">
                <c:v>10.224666666666669</c:v>
              </c:pt>
              <c:pt idx="12">
                <c:v>10.145555555555557</c:v>
              </c:pt>
              <c:pt idx="13">
                <c:v>10.066444444444448</c:v>
              </c:pt>
              <c:pt idx="14">
                <c:v>9.9873333333333374</c:v>
              </c:pt>
              <c:pt idx="15">
                <c:v>9.9082222222222249</c:v>
              </c:pt>
              <c:pt idx="16">
                <c:v>9.8291111111111142</c:v>
              </c:pt>
              <c:pt idx="17">
                <c:v>9.75</c:v>
              </c:pt>
              <c:pt idx="18">
                <c:v>9.6097435897435908</c:v>
              </c:pt>
              <c:pt idx="19">
                <c:v>9.4694871794871815</c:v>
              </c:pt>
              <c:pt idx="20">
                <c:v>9.3292307692307723</c:v>
              </c:pt>
              <c:pt idx="21">
                <c:v>9.1889743589743631</c:v>
              </c:pt>
              <c:pt idx="22">
                <c:v>9.0487179487179521</c:v>
              </c:pt>
              <c:pt idx="23">
                <c:v>8.9084615384615429</c:v>
              </c:pt>
              <c:pt idx="24">
                <c:v>8.7682051282051319</c:v>
              </c:pt>
              <c:pt idx="25">
                <c:v>8.6279487179487226</c:v>
              </c:pt>
              <c:pt idx="26">
                <c:v>8.4876923076923134</c:v>
              </c:pt>
              <c:pt idx="27">
                <c:v>8.3474358974359024</c:v>
              </c:pt>
              <c:pt idx="28">
                <c:v>8.2071794871794914</c:v>
              </c:pt>
              <c:pt idx="29">
                <c:v>8.0669230769230804</c:v>
              </c:pt>
              <c:pt idx="30">
                <c:v>7.9266666666666694</c:v>
              </c:pt>
            </c:numLit>
          </c:val>
          <c:smooth val="0"/>
        </c:ser>
        <c:ser>
          <c:idx val="6"/>
          <c:order val="5"/>
          <c:tx>
            <c:v>Mild Threshold</c:v>
          </c:tx>
          <c:spPr>
            <a:ln w="25400">
              <a:solidFill>
                <a:srgbClr val="FF6600"/>
              </a:solidFill>
              <a:prstDash val="sysDash"/>
            </a:ln>
          </c:spPr>
          <c:marker>
            <c:symbol val="none"/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15.446444444444438</c:v>
              </c:pt>
              <c:pt idx="1">
                <c:v>15.334888888888882</c:v>
              </c:pt>
              <c:pt idx="2">
                <c:v>15.223333333333327</c:v>
              </c:pt>
              <c:pt idx="3">
                <c:v>15.111777777777771</c:v>
              </c:pt>
              <c:pt idx="4">
                <c:v>15.000222222222213</c:v>
              </c:pt>
              <c:pt idx="5">
                <c:v>14.888666666666659</c:v>
              </c:pt>
              <c:pt idx="6">
                <c:v>14.777111111111104</c:v>
              </c:pt>
              <c:pt idx="7">
                <c:v>14.665555555555546</c:v>
              </c:pt>
              <c:pt idx="8">
                <c:v>14.55399999999999</c:v>
              </c:pt>
              <c:pt idx="9">
                <c:v>14.442444444444435</c:v>
              </c:pt>
              <c:pt idx="10">
                <c:v>14.330888888888879</c:v>
              </c:pt>
              <c:pt idx="11">
                <c:v>14.219333333333322</c:v>
              </c:pt>
              <c:pt idx="12">
                <c:v>14.107777777777766</c:v>
              </c:pt>
              <c:pt idx="13">
                <c:v>13.99622222222221</c:v>
              </c:pt>
              <c:pt idx="14">
                <c:v>13.884666666666655</c:v>
              </c:pt>
              <c:pt idx="15">
                <c:v>13.773111111111099</c:v>
              </c:pt>
              <c:pt idx="16">
                <c:v>13.661555555555541</c:v>
              </c:pt>
              <c:pt idx="17">
                <c:v>13.55</c:v>
              </c:pt>
              <c:pt idx="18">
                <c:v>13.392717948717948</c:v>
              </c:pt>
              <c:pt idx="19">
                <c:v>13.235435897435899</c:v>
              </c:pt>
              <c:pt idx="20">
                <c:v>13.07815384615385</c:v>
              </c:pt>
              <c:pt idx="21">
                <c:v>12.920871794871797</c:v>
              </c:pt>
              <c:pt idx="22">
                <c:v>12.763589743589746</c:v>
              </c:pt>
              <c:pt idx="23">
                <c:v>12.606307692307697</c:v>
              </c:pt>
              <c:pt idx="24">
                <c:v>12.449025641025646</c:v>
              </c:pt>
              <c:pt idx="25">
                <c:v>12.291743589743593</c:v>
              </c:pt>
              <c:pt idx="26">
                <c:v>12.134461538461544</c:v>
              </c:pt>
              <c:pt idx="27">
                <c:v>11.977179487179493</c:v>
              </c:pt>
              <c:pt idx="28">
                <c:v>11.819897435897442</c:v>
              </c:pt>
              <c:pt idx="29">
                <c:v>11.662615384615391</c:v>
              </c:pt>
              <c:pt idx="30">
                <c:v>11.505333333333333</c:v>
              </c:pt>
            </c:numLit>
          </c:val>
          <c:smooth val="0"/>
        </c:ser>
        <c:ser>
          <c:idx val="7"/>
          <c:order val="6"/>
          <c:tx>
            <c:v>Freezing Point</c:v>
          </c:tx>
          <c:spPr>
            <a:ln w="38100">
              <a:solidFill>
                <a:srgbClr val="0000FF"/>
              </a:solidFill>
              <a:prstDash val="sysDash"/>
            </a:ln>
          </c:spPr>
          <c:marker>
            <c:symbol val="none"/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</c:numLit>
          </c:val>
          <c:smooth val="0"/>
        </c:ser>
        <c:ser>
          <c:idx val="8"/>
          <c:order val="7"/>
          <c:tx>
            <c:v>Cum. Mean</c:v>
          </c:tx>
          <c:spPr>
            <a:ln w="12700">
              <a:solidFill>
                <a:srgbClr val="993366"/>
              </a:solidFill>
              <a:prstDash val="solid"/>
            </a:ln>
          </c:spPr>
          <c:marker>
            <c:symbol val="circle"/>
            <c:size val="2"/>
            <c:spPr>
              <a:solidFill>
                <a:srgbClr val="800080"/>
              </a:solidFill>
              <a:ln>
                <a:solidFill>
                  <a:srgbClr val="800080"/>
                </a:solidFill>
                <a:prstDash val="solid"/>
              </a:ln>
            </c:spPr>
          </c:marker>
          <c:val>
            <c:numLit>
              <c:formatCode>General</c:formatCode>
              <c:ptCount val="31"/>
              <c:pt idx="0">
                <c:v>19.3</c:v>
              </c:pt>
              <c:pt idx="1">
                <c:v>19.350000000000001</c:v>
              </c:pt>
              <c:pt idx="2">
                <c:v>19.533333333333335</c:v>
              </c:pt>
              <c:pt idx="3">
                <c:v>18.95</c:v>
              </c:pt>
              <c:pt idx="4">
                <c:v>18.619999999999997</c:v>
              </c:pt>
              <c:pt idx="5">
                <c:v>17.75</c:v>
              </c:pt>
              <c:pt idx="6">
                <c:v>16.885714285714286</c:v>
              </c:pt>
              <c:pt idx="7">
                <c:v>16.287500000000001</c:v>
              </c:pt>
              <c:pt idx="8">
                <c:v>16.344444444444449</c:v>
              </c:pt>
              <c:pt idx="9">
                <c:v>16.43</c:v>
              </c:pt>
              <c:pt idx="10">
                <c:v>16.463636363636365</c:v>
              </c:pt>
              <c:pt idx="11">
                <c:v>16.450000000000003</c:v>
              </c:pt>
              <c:pt idx="12">
                <c:v>16.284615384615389</c:v>
              </c:pt>
              <c:pt idx="13">
                <c:v>15.957142857142859</c:v>
              </c:pt>
              <c:pt idx="14">
                <c:v>15.573333333333334</c:v>
              </c:pt>
              <c:pt idx="15">
                <c:v>15.218750000000002</c:v>
              </c:pt>
              <c:pt idx="16">
                <c:v>15.076470588235296</c:v>
              </c:pt>
              <c:pt idx="17">
                <c:v>14.822222222222223</c:v>
              </c:pt>
              <c:pt idx="18">
                <c:v>14.45263157894737</c:v>
              </c:pt>
              <c:pt idx="19">
                <c:v>14.074999999999999</c:v>
              </c:pt>
              <c:pt idx="20">
                <c:v>13.899999999999999</c:v>
              </c:pt>
              <c:pt idx="21">
                <c:v>13.768181818181818</c:v>
              </c:pt>
              <c:pt idx="22">
                <c:v>13.778260869565216</c:v>
              </c:pt>
              <c:pt idx="23">
                <c:v>13.774999999999999</c:v>
              </c:pt>
              <c:pt idx="24">
                <c:v>13.763999999999999</c:v>
              </c:pt>
              <c:pt idx="25">
                <c:v>13.623076923076923</c:v>
              </c:pt>
              <c:pt idx="26">
                <c:v>13.574074074074074</c:v>
              </c:pt>
              <c:pt idx="27">
                <c:v>13.532142857142857</c:v>
              </c:pt>
              <c:pt idx="28">
                <c:v>13.537931034482757</c:v>
              </c:pt>
              <c:pt idx="29">
                <c:v>13.593333333333332</c:v>
              </c:pt>
              <c:pt idx="30">
                <c:v>13.63548387096774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0996864"/>
        <c:axId val="131003136"/>
      </c:lineChart>
      <c:catAx>
        <c:axId val="130996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1003136"/>
        <c:crossesAt val="-5"/>
        <c:auto val="1"/>
        <c:lblAlgn val="ctr"/>
        <c:lblOffset val="100"/>
        <c:tickLblSkip val="1"/>
        <c:tickMarkSkip val="1"/>
        <c:noMultiLvlLbl val="0"/>
      </c:catAx>
      <c:valAx>
        <c:axId val="131003136"/>
        <c:scaling>
          <c:orientation val="minMax"/>
          <c:max val="21"/>
          <c:min val="3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0996864"/>
        <c:crosses val="autoZero"/>
        <c:crossBetween val="between"/>
        <c:majorUnit val="2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Pressure / Temperature</a:t>
            </a:r>
          </a:p>
        </c:rich>
      </c:tx>
      <c:layout>
        <c:manualLayout>
          <c:xMode val="edge"/>
          <c:yMode val="edge"/>
          <c:x val="0.41566820276497696"/>
          <c:y val="5.251141552511415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0829493087557605E-2"/>
          <c:y val="0.12557105622827533"/>
          <c:w val="0.9244239631336405"/>
          <c:h val="0.7625587778226175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993366"/>
              </a:solidFill>
              <a:ln>
                <a:solidFill>
                  <a:srgbClr val="993366"/>
                </a:solidFill>
                <a:prstDash val="solid"/>
              </a:ln>
            </c:spPr>
          </c:marker>
          <c:trendline>
            <c:spPr>
              <a:ln w="12700">
                <a:solidFill>
                  <a:srgbClr val="000080"/>
                </a:solidFill>
                <a:prstDash val="solid"/>
              </a:ln>
            </c:spPr>
            <c:trendlineType val="linear"/>
            <c:forward val="0.5"/>
            <c:backward val="3"/>
            <c:dispRSqr val="1"/>
            <c:dispEq val="1"/>
            <c:trendlineLbl>
              <c:layout>
                <c:manualLayout>
                  <c:xMode val="edge"/>
                  <c:yMode val="edge"/>
                  <c:x val="4.608294930875576E-3"/>
                  <c:y val="1.1415550566206849E-2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175" b="0" i="0" u="none" strike="noStrike" baseline="0">
                      <a:solidFill>
                        <a:srgbClr val="00000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en-US"/>
                </a:p>
              </c:txPr>
            </c:trendlineLbl>
          </c:trendline>
          <c:xVal>
            <c:numLit>
              <c:formatCode>General</c:formatCode>
              <c:ptCount val="31"/>
              <c:pt idx="0">
                <c:v>19.3</c:v>
              </c:pt>
              <c:pt idx="1">
                <c:v>19.399999999999999</c:v>
              </c:pt>
              <c:pt idx="2">
                <c:v>19.899999999999999</c:v>
              </c:pt>
              <c:pt idx="3">
                <c:v>17.2</c:v>
              </c:pt>
              <c:pt idx="4">
                <c:v>17.3</c:v>
              </c:pt>
              <c:pt idx="5">
                <c:v>13.4</c:v>
              </c:pt>
              <c:pt idx="6">
                <c:v>11.7</c:v>
              </c:pt>
              <c:pt idx="7">
                <c:v>12.1</c:v>
              </c:pt>
              <c:pt idx="8">
                <c:v>16.8</c:v>
              </c:pt>
              <c:pt idx="9">
                <c:v>17.2</c:v>
              </c:pt>
              <c:pt idx="10">
                <c:v>16.8</c:v>
              </c:pt>
              <c:pt idx="11">
                <c:v>16.3</c:v>
              </c:pt>
              <c:pt idx="12">
                <c:v>14.3</c:v>
              </c:pt>
              <c:pt idx="13">
                <c:v>11.7</c:v>
              </c:pt>
              <c:pt idx="14">
                <c:v>10.199999999999999</c:v>
              </c:pt>
              <c:pt idx="15">
                <c:v>9.9</c:v>
              </c:pt>
              <c:pt idx="16">
                <c:v>12.8</c:v>
              </c:pt>
              <c:pt idx="17">
                <c:v>10.5</c:v>
              </c:pt>
              <c:pt idx="18">
                <c:v>7.8</c:v>
              </c:pt>
              <c:pt idx="19">
                <c:v>6.9</c:v>
              </c:pt>
              <c:pt idx="20">
                <c:v>10.4</c:v>
              </c:pt>
              <c:pt idx="21">
                <c:v>11</c:v>
              </c:pt>
              <c:pt idx="22">
                <c:v>14</c:v>
              </c:pt>
              <c:pt idx="23">
                <c:v>13.7</c:v>
              </c:pt>
              <c:pt idx="24">
                <c:v>13.5</c:v>
              </c:pt>
              <c:pt idx="25">
                <c:v>10.1</c:v>
              </c:pt>
              <c:pt idx="26">
                <c:v>12.3</c:v>
              </c:pt>
              <c:pt idx="27">
                <c:v>12.4</c:v>
              </c:pt>
              <c:pt idx="28">
                <c:v>13.7</c:v>
              </c:pt>
              <c:pt idx="29">
                <c:v>15.2</c:v>
              </c:pt>
              <c:pt idx="30">
                <c:v>14.9</c:v>
              </c:pt>
            </c:numLit>
          </c:xVal>
          <c:yVal>
            <c:numLit>
              <c:formatCode>General</c:formatCode>
              <c:ptCount val="31"/>
              <c:pt idx="0">
                <c:v>1025</c:v>
              </c:pt>
              <c:pt idx="1">
                <c:v>1023.5</c:v>
              </c:pt>
              <c:pt idx="2">
                <c:v>1019</c:v>
              </c:pt>
              <c:pt idx="3">
                <c:v>1019.5</c:v>
              </c:pt>
              <c:pt idx="4">
                <c:v>1015</c:v>
              </c:pt>
              <c:pt idx="5">
                <c:v>1009</c:v>
              </c:pt>
              <c:pt idx="6">
                <c:v>1016.5</c:v>
              </c:pt>
              <c:pt idx="7">
                <c:v>1021.5</c:v>
              </c:pt>
              <c:pt idx="8">
                <c:v>1018</c:v>
              </c:pt>
              <c:pt idx="9">
                <c:v>1017.5</c:v>
              </c:pt>
              <c:pt idx="10">
                <c:v>1019</c:v>
              </c:pt>
              <c:pt idx="11">
                <c:v>1021.5</c:v>
              </c:pt>
              <c:pt idx="12">
                <c:v>1028.5</c:v>
              </c:pt>
              <c:pt idx="13">
                <c:v>1030.5</c:v>
              </c:pt>
              <c:pt idx="14">
                <c:v>1025.5</c:v>
              </c:pt>
              <c:pt idx="15">
                <c:v>1023</c:v>
              </c:pt>
              <c:pt idx="16">
                <c:v>1015.5</c:v>
              </c:pt>
              <c:pt idx="17">
                <c:v>1009</c:v>
              </c:pt>
              <c:pt idx="18">
                <c:v>1018</c:v>
              </c:pt>
              <c:pt idx="19">
                <c:v>1026</c:v>
              </c:pt>
              <c:pt idx="20">
                <c:v>1024.5</c:v>
              </c:pt>
              <c:pt idx="21">
                <c:v>1015.5</c:v>
              </c:pt>
              <c:pt idx="22">
                <c:v>1006.5</c:v>
              </c:pt>
              <c:pt idx="23">
                <c:v>997.5</c:v>
              </c:pt>
              <c:pt idx="24">
                <c:v>996</c:v>
              </c:pt>
              <c:pt idx="25">
                <c:v>1004</c:v>
              </c:pt>
              <c:pt idx="26">
                <c:v>1009</c:v>
              </c:pt>
              <c:pt idx="27">
                <c:v>1018.5</c:v>
              </c:pt>
              <c:pt idx="28">
                <c:v>1021</c:v>
              </c:pt>
              <c:pt idx="29">
                <c:v>1018</c:v>
              </c:pt>
              <c:pt idx="30">
                <c:v>1013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163264"/>
        <c:axId val="131164800"/>
      </c:scatterChart>
      <c:valAx>
        <c:axId val="131163264"/>
        <c:scaling>
          <c:orientation val="minMax"/>
          <c:max val="16"/>
          <c:min val="4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1164800"/>
        <c:crosses val="autoZero"/>
        <c:crossBetween val="midCat"/>
        <c:majorUnit val="1"/>
      </c:valAx>
      <c:valAx>
        <c:axId val="131164800"/>
        <c:scaling>
          <c:orientation val="minMax"/>
          <c:max val="1030"/>
          <c:min val="995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1163264"/>
        <c:crossesAt val="-3"/>
        <c:crossBetween val="midCat"/>
        <c:majorUnit val="5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Relative Humidity Range / Temperature Range </a:t>
            </a:r>
          </a:p>
        </c:rich>
      </c:tx>
      <c:layout>
        <c:manualLayout>
          <c:xMode val="edge"/>
          <c:yMode val="edge"/>
          <c:x val="0.34658040665434381"/>
          <c:y val="3.009259259259259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4.4362292051756007E-2"/>
          <c:y val="0.12037064247559154"/>
          <c:w val="0.94085027726432535"/>
          <c:h val="0.766205435758092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993366"/>
              </a:solidFill>
              <a:ln>
                <a:solidFill>
                  <a:srgbClr val="993366"/>
                </a:solidFill>
                <a:prstDash val="solid"/>
              </a:ln>
            </c:spPr>
          </c:marker>
          <c:trendline>
            <c:spPr>
              <a:ln w="12700">
                <a:solidFill>
                  <a:srgbClr val="0000FF"/>
                </a:solidFill>
                <a:prstDash val="solid"/>
              </a:ln>
            </c:spPr>
            <c:trendlineType val="linear"/>
            <c:forward val="0.5"/>
            <c:backward val="2.5"/>
            <c:dispRSqr val="1"/>
            <c:dispEq val="1"/>
            <c:trendlineLbl>
              <c:layout>
                <c:manualLayout>
                  <c:xMode val="edge"/>
                  <c:yMode val="edge"/>
                  <c:x val="9.242144177449169E-3"/>
                  <c:y val="2.5463020523682826E-2"/>
                </c:manualLayout>
              </c:layout>
              <c:numFmt formatCode="0.00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200" b="0" i="0" u="none" strike="noStrike" baseline="0">
                      <a:solidFill>
                        <a:srgbClr val="00000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en-US"/>
                </a:p>
              </c:txPr>
            </c:trendlineLbl>
          </c:trendline>
          <c:xVal>
            <c:numLit>
              <c:formatCode>General</c:formatCode>
              <c:ptCount val="31"/>
              <c:pt idx="0">
                <c:v>14.8</c:v>
              </c:pt>
              <c:pt idx="1">
                <c:v>14.8</c:v>
              </c:pt>
              <c:pt idx="2">
                <c:v>9.1</c:v>
              </c:pt>
              <c:pt idx="3">
                <c:v>2.9</c:v>
              </c:pt>
              <c:pt idx="4">
                <c:v>3.3</c:v>
              </c:pt>
              <c:pt idx="5">
                <c:v>6.6</c:v>
              </c:pt>
              <c:pt idx="6">
                <c:v>6</c:v>
              </c:pt>
              <c:pt idx="7">
                <c:v>5.3</c:v>
              </c:pt>
              <c:pt idx="8">
                <c:v>5.3</c:v>
              </c:pt>
              <c:pt idx="9">
                <c:v>3.7</c:v>
              </c:pt>
              <c:pt idx="10">
                <c:v>3.1</c:v>
              </c:pt>
              <c:pt idx="11">
                <c:v>4.0999999999999996</c:v>
              </c:pt>
              <c:pt idx="12">
                <c:v>4.8</c:v>
              </c:pt>
              <c:pt idx="13">
                <c:v>7.6</c:v>
              </c:pt>
              <c:pt idx="14">
                <c:v>10.4</c:v>
              </c:pt>
              <c:pt idx="15">
                <c:v>12.6</c:v>
              </c:pt>
              <c:pt idx="16">
                <c:v>8.3000000000000007</c:v>
              </c:pt>
              <c:pt idx="17">
                <c:v>6.5</c:v>
              </c:pt>
              <c:pt idx="18">
                <c:v>6.9</c:v>
              </c:pt>
              <c:pt idx="19">
                <c:v>8.1</c:v>
              </c:pt>
              <c:pt idx="20">
                <c:v>9.1</c:v>
              </c:pt>
              <c:pt idx="21">
                <c:v>5.8</c:v>
              </c:pt>
              <c:pt idx="22">
                <c:v>9.3000000000000007</c:v>
              </c:pt>
              <c:pt idx="23">
                <c:v>5.3</c:v>
              </c:pt>
              <c:pt idx="24">
                <c:v>5.8</c:v>
              </c:pt>
              <c:pt idx="25">
                <c:v>3</c:v>
              </c:pt>
              <c:pt idx="26">
                <c:v>2.6</c:v>
              </c:pt>
              <c:pt idx="27">
                <c:v>5.7</c:v>
              </c:pt>
              <c:pt idx="28">
                <c:v>3.3</c:v>
              </c:pt>
              <c:pt idx="29">
                <c:v>2.8</c:v>
              </c:pt>
              <c:pt idx="30">
                <c:v>3.1</c:v>
              </c:pt>
            </c:numLit>
          </c:xVal>
          <c:yVal>
            <c:numLit>
              <c:formatCode>General</c:formatCode>
              <c:ptCount val="31"/>
              <c:pt idx="0">
                <c:v>54</c:v>
              </c:pt>
              <c:pt idx="1">
                <c:v>57</c:v>
              </c:pt>
              <c:pt idx="2">
                <c:v>43</c:v>
              </c:pt>
              <c:pt idx="3">
                <c:v>16</c:v>
              </c:pt>
              <c:pt idx="4">
                <c:v>24</c:v>
              </c:pt>
              <c:pt idx="5">
                <c:v>49</c:v>
              </c:pt>
              <c:pt idx="6">
                <c:v>25</c:v>
              </c:pt>
              <c:pt idx="7">
                <c:v>14</c:v>
              </c:pt>
              <c:pt idx="8">
                <c:v>22</c:v>
              </c:pt>
              <c:pt idx="9">
                <c:v>22</c:v>
              </c:pt>
              <c:pt idx="10">
                <c:v>12</c:v>
              </c:pt>
              <c:pt idx="11">
                <c:v>18</c:v>
              </c:pt>
              <c:pt idx="12">
                <c:v>17</c:v>
              </c:pt>
              <c:pt idx="13">
                <c:v>39</c:v>
              </c:pt>
              <c:pt idx="14">
                <c:v>43</c:v>
              </c:pt>
              <c:pt idx="15">
                <c:v>23</c:v>
              </c:pt>
              <c:pt idx="16">
                <c:v>30</c:v>
              </c:pt>
              <c:pt idx="17">
                <c:v>45</c:v>
              </c:pt>
              <c:pt idx="18">
                <c:v>40</c:v>
              </c:pt>
              <c:pt idx="19">
                <c:v>34</c:v>
              </c:pt>
              <c:pt idx="20">
                <c:v>26</c:v>
              </c:pt>
              <c:pt idx="21">
                <c:v>30</c:v>
              </c:pt>
              <c:pt idx="22">
                <c:v>45</c:v>
              </c:pt>
              <c:pt idx="23">
                <c:v>30</c:v>
              </c:pt>
              <c:pt idx="24">
                <c:v>34</c:v>
              </c:pt>
              <c:pt idx="25">
                <c:v>18</c:v>
              </c:pt>
              <c:pt idx="26">
                <c:v>11</c:v>
              </c:pt>
              <c:pt idx="27">
                <c:v>28</c:v>
              </c:pt>
              <c:pt idx="28">
                <c:v>30</c:v>
              </c:pt>
              <c:pt idx="29">
                <c:v>11</c:v>
              </c:pt>
              <c:pt idx="30">
                <c:v>21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202048"/>
        <c:axId val="131203840"/>
      </c:scatterChart>
      <c:valAx>
        <c:axId val="131202048"/>
        <c:scaling>
          <c:orientation val="minMax"/>
          <c:max val="15"/>
          <c:min val="0"/>
        </c:scaling>
        <c:delete val="0"/>
        <c:axPos val="b"/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1203840"/>
        <c:crossesAt val="0"/>
        <c:crossBetween val="midCat"/>
        <c:majorUnit val="1"/>
      </c:valAx>
      <c:valAx>
        <c:axId val="131203840"/>
        <c:scaling>
          <c:orientation val="minMax"/>
          <c:max val="60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1202048"/>
        <c:crosses val="autoZero"/>
        <c:crossBetween val="midCat"/>
        <c:majorUnit val="10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 horizontalDpi="-3"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Time of Temperature Extremes</a:t>
            </a:r>
          </a:p>
        </c:rich>
      </c:tx>
      <c:layout>
        <c:manualLayout>
          <c:xMode val="edge"/>
          <c:yMode val="edge"/>
          <c:x val="0.41718183558328387"/>
          <c:y val="2.115158636897767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893697095932809E-2"/>
          <c:y val="8.3431257344300819E-2"/>
          <c:w val="0.95859114218917252"/>
          <c:h val="0.86603995299647474"/>
        </c:manualLayout>
      </c:layout>
      <c:lineChart>
        <c:grouping val="standard"/>
        <c:varyColors val="0"/>
        <c:ser>
          <c:idx val="1"/>
          <c:order val="0"/>
          <c:tx>
            <c:v>T Min</c:v>
          </c:tx>
          <c:spPr>
            <a:ln w="28575">
              <a:noFill/>
            </a:ln>
          </c:spPr>
          <c:marker>
            <c:symbol val="circle"/>
            <c:size val="10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0.29791666666666666</c:v>
              </c:pt>
              <c:pt idx="1">
                <c:v>0.29791666666666666</c:v>
              </c:pt>
              <c:pt idx="2">
                <c:v>0.31527777777777777</c:v>
              </c:pt>
              <c:pt idx="3">
                <c:v>0.31736111111111115</c:v>
              </c:pt>
              <c:pt idx="4">
                <c:v>6.6666666666666666E-2</c:v>
              </c:pt>
              <c:pt idx="5">
                <c:v>0.34722222222222227</c:v>
              </c:pt>
              <c:pt idx="6">
                <c:v>0.25069444444444444</c:v>
              </c:pt>
              <c:pt idx="7">
                <c:v>6.805555555555555E-2</c:v>
              </c:pt>
              <c:pt idx="8">
                <c:v>0.1451388888888889</c:v>
              </c:pt>
              <c:pt idx="9">
                <c:v>0.3125</c:v>
              </c:pt>
              <c:pt idx="10">
                <c:v>0.21875</c:v>
              </c:pt>
              <c:pt idx="11">
                <c:v>0.34722222222222227</c:v>
              </c:pt>
              <c:pt idx="12">
                <c:v>0.34027777777777773</c:v>
              </c:pt>
              <c:pt idx="13">
                <c:v>0.22916666666666666</c:v>
              </c:pt>
              <c:pt idx="14">
                <c:v>0.32291666666666669</c:v>
              </c:pt>
              <c:pt idx="15">
                <c:v>0.3</c:v>
              </c:pt>
              <c:pt idx="16">
                <c:v>0.31874999999999998</c:v>
              </c:pt>
              <c:pt idx="17">
                <c:v>0.22222222222222221</c:v>
              </c:pt>
              <c:pt idx="18">
                <c:v>0.32222222222222224</c:v>
              </c:pt>
              <c:pt idx="19">
                <c:v>0.2673611111111111</c:v>
              </c:pt>
              <c:pt idx="20">
                <c:v>#N/A</c:v>
              </c:pt>
              <c:pt idx="21">
                <c:v>0.32777777777777778</c:v>
              </c:pt>
              <c:pt idx="22">
                <c:v>6.1111111111111116E-2</c:v>
              </c:pt>
              <c:pt idx="23">
                <c:v>0.33333333333333331</c:v>
              </c:pt>
              <c:pt idx="24">
                <c:v>0.34027777777777773</c:v>
              </c:pt>
              <c:pt idx="25">
                <c:v>0.30486111111111108</c:v>
              </c:pt>
              <c:pt idx="26">
                <c:v>#N/A</c:v>
              </c:pt>
              <c:pt idx="27">
                <c:v>0.3611111111111111</c:v>
              </c:pt>
              <c:pt idx="28">
                <c:v>0.36180555555555555</c:v>
              </c:pt>
              <c:pt idx="29">
                <c:v>#N/A</c:v>
              </c:pt>
              <c:pt idx="30">
                <c:v>0.25</c:v>
              </c:pt>
            </c:numLit>
          </c:val>
          <c:smooth val="0"/>
        </c:ser>
        <c:ser>
          <c:idx val="2"/>
          <c:order val="1"/>
          <c:tx>
            <c:v>T Max</c:v>
          </c:tx>
          <c:spPr>
            <a:ln w="28575">
              <a:noFill/>
            </a:ln>
          </c:spPr>
          <c:marker>
            <c:symbol val="circle"/>
            <c:size val="10"/>
            <c:spPr>
              <a:solidFill>
                <a:srgbClr val="FF6600"/>
              </a:solidFill>
              <a:ln>
                <a:solidFill>
                  <a:srgbClr val="FF6600"/>
                </a:solidFill>
                <a:prstDash val="solid"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0.62083333333333335</c:v>
              </c:pt>
              <c:pt idx="1">
                <c:v>0.62986111111111109</c:v>
              </c:pt>
              <c:pt idx="2">
                <c:v>0.63680555555555551</c:v>
              </c:pt>
              <c:pt idx="3">
                <c:v>0.66736111111111107</c:v>
              </c:pt>
              <c:pt idx="4">
                <c:v>0.54513888888888895</c:v>
              </c:pt>
              <c:pt idx="5">
                <c:v>0.64583333333333337</c:v>
              </c:pt>
              <c:pt idx="6">
                <c:v>0.65416666666666667</c:v>
              </c:pt>
              <c:pt idx="7">
                <c:v>#N/A</c:v>
              </c:pt>
              <c:pt idx="8">
                <c:v>0.68125000000000002</c:v>
              </c:pt>
              <c:pt idx="9">
                <c:v>0.60555555555555551</c:v>
              </c:pt>
              <c:pt idx="10">
                <c:v>0.67708333333333337</c:v>
              </c:pt>
              <c:pt idx="11">
                <c:v>0.6791666666666667</c:v>
              </c:pt>
              <c:pt idx="12">
                <c:v>0.67708333333333337</c:v>
              </c:pt>
              <c:pt idx="13">
                <c:v>0.62638888888888888</c:v>
              </c:pt>
              <c:pt idx="14">
                <c:v>0.67013888888888884</c:v>
              </c:pt>
              <c:pt idx="15">
                <c:v>0.7090277777777777</c:v>
              </c:pt>
              <c:pt idx="16">
                <c:v>0.55555555555555558</c:v>
              </c:pt>
              <c:pt idx="17">
                <c:v>0.53472222222222221</c:v>
              </c:pt>
              <c:pt idx="18">
                <c:v>0.64861111111111114</c:v>
              </c:pt>
              <c:pt idx="19">
                <c:v>0.62013888888888891</c:v>
              </c:pt>
              <c:pt idx="20">
                <c:v>0.61527777777777781</c:v>
              </c:pt>
              <c:pt idx="21">
                <c:v>0.59027777777777779</c:v>
              </c:pt>
              <c:pt idx="22">
                <c:v>0.5708333333333333</c:v>
              </c:pt>
              <c:pt idx="23">
                <c:v>0.6020833333333333</c:v>
              </c:pt>
              <c:pt idx="24">
                <c:v>0.57013888888888886</c:v>
              </c:pt>
              <c:pt idx="25">
                <c:v>0.6875</c:v>
              </c:pt>
              <c:pt idx="26">
                <c:v>0.59375</c:v>
              </c:pt>
              <c:pt idx="27">
                <c:v>0.62291666666666667</c:v>
              </c:pt>
              <c:pt idx="28">
                <c:v>0.64166666666666672</c:v>
              </c:pt>
              <c:pt idx="29">
                <c:v>0.4777777777777778</c:v>
              </c:pt>
              <c:pt idx="30">
                <c:v>0.51180555555555551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240704"/>
        <c:axId val="131242624"/>
      </c:lineChart>
      <c:catAx>
        <c:axId val="131240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12426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31242624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hh:mm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1240704"/>
        <c:crosses val="autoZero"/>
        <c:crossBetween val="between"/>
        <c:majorUnit val="8.3333333300000006E-2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0.63288029354797892"/>
          <c:y val="0.1692126909518214"/>
          <c:w val="0.79542671195766779"/>
          <c:h val="0.2209165687426557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Time of Humidity Extremes</a:t>
            </a:r>
          </a:p>
        </c:rich>
      </c:tx>
      <c:layout>
        <c:manualLayout>
          <c:xMode val="edge"/>
          <c:yMode val="edge"/>
          <c:x val="0.42433600988264358"/>
          <c:y val="1.9953051643192488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891290920321186E-2"/>
          <c:y val="8.3333428850119268E-2"/>
          <c:w val="0.95861642989499696"/>
          <c:h val="0.86619817593504245"/>
        </c:manualLayout>
      </c:layout>
      <c:lineChart>
        <c:grouping val="standard"/>
        <c:varyColors val="0"/>
        <c:ser>
          <c:idx val="0"/>
          <c:order val="0"/>
          <c:tx>
            <c:v>H Min</c:v>
          </c:tx>
          <c:spPr>
            <a:ln w="28575">
              <a:noFill/>
            </a:ln>
          </c:spPr>
          <c:marker>
            <c:symbol val="circle"/>
            <c:size val="10"/>
            <c:spPr>
              <a:solidFill>
                <a:srgbClr val="FF9900"/>
              </a:solidFill>
              <a:ln>
                <a:solidFill>
                  <a:srgbClr val="FF9900"/>
                </a:solidFill>
                <a:prstDash val="solid"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0.68194444444444446</c:v>
              </c:pt>
              <c:pt idx="1">
                <c:v>0.68472222222222223</c:v>
              </c:pt>
              <c:pt idx="2">
                <c:v>0.6645833333333333</c:v>
              </c:pt>
              <c:pt idx="3">
                <c:v>0.64722222222222225</c:v>
              </c:pt>
              <c:pt idx="4">
                <c:v>0.54236111111111118</c:v>
              </c:pt>
              <c:pt idx="5">
                <c:v>0.65208333333333335</c:v>
              </c:pt>
              <c:pt idx="6">
                <c:v>0.70694444444444438</c:v>
              </c:pt>
              <c:pt idx="7">
                <c:v>0.53472222222222221</c:v>
              </c:pt>
              <c:pt idx="8">
                <c:v>0.69861111111111107</c:v>
              </c:pt>
              <c:pt idx="9">
                <c:v>0.62361111111111112</c:v>
              </c:pt>
              <c:pt idx="10">
                <c:v>0.6645833333333333</c:v>
              </c:pt>
              <c:pt idx="11">
                <c:v>0.68888888888888899</c:v>
              </c:pt>
              <c:pt idx="12">
                <c:v>0.77986111111111101</c:v>
              </c:pt>
              <c:pt idx="13">
                <c:v>0.65277777777777779</c:v>
              </c:pt>
              <c:pt idx="14">
                <c:v>0.68333333333333324</c:v>
              </c:pt>
              <c:pt idx="15">
                <c:v>0.67569444444444438</c:v>
              </c:pt>
              <c:pt idx="16">
                <c:v>0.64583333333333337</c:v>
              </c:pt>
              <c:pt idx="17">
                <c:v>0.64513888888888882</c:v>
              </c:pt>
              <c:pt idx="18">
                <c:v>0.62083333333333335</c:v>
              </c:pt>
              <c:pt idx="19">
                <c:v>0.63611111111111118</c:v>
              </c:pt>
              <c:pt idx="20">
                <c:v>0.63055555555555554</c:v>
              </c:pt>
              <c:pt idx="21">
                <c:v>0.58958333333333335</c:v>
              </c:pt>
              <c:pt idx="22">
                <c:v>0.64722222222222225</c:v>
              </c:pt>
              <c:pt idx="23">
                <c:v>0.63749999999999996</c:v>
              </c:pt>
              <c:pt idx="24">
                <c:v>0.59652777777777777</c:v>
              </c:pt>
              <c:pt idx="25">
                <c:v>0.73611111111111116</c:v>
              </c:pt>
              <c:pt idx="26">
                <c:v>0.51041666666666663</c:v>
              </c:pt>
              <c:pt idx="27">
                <c:v>0.62222222222222223</c:v>
              </c:pt>
              <c:pt idx="28">
                <c:v>0.56597222222222221</c:v>
              </c:pt>
              <c:pt idx="29">
                <c:v>0.50208333333333333</c:v>
              </c:pt>
              <c:pt idx="30">
                <c:v>0.63749999999999996</c:v>
              </c:pt>
            </c:numLit>
          </c:val>
          <c:smooth val="0"/>
        </c:ser>
        <c:ser>
          <c:idx val="3"/>
          <c:order val="1"/>
          <c:tx>
            <c:v>H Max</c:v>
          </c:tx>
          <c:spPr>
            <a:ln w="28575">
              <a:noFill/>
            </a:ln>
          </c:spPr>
          <c:marker>
            <c:symbol val="circle"/>
            <c:size val="10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0.3527777777777778</c:v>
              </c:pt>
              <c:pt idx="1">
                <c:v>0.35347222222222219</c:v>
              </c:pt>
              <c:pt idx="2">
                <c:v>#N/A</c:v>
              </c:pt>
              <c:pt idx="3">
                <c:v>#N/A</c:v>
              </c:pt>
              <c:pt idx="4">
                <c:v>0.29652777777777778</c:v>
              </c:pt>
              <c:pt idx="5">
                <c:v>0.11874999999999999</c:v>
              </c:pt>
              <c:pt idx="6">
                <c:v>#N/A</c:v>
              </c:pt>
              <c:pt idx="7">
                <c:v>#N/A</c:v>
              </c:pt>
              <c:pt idx="8">
                <c:v>0.3527777777777778</c:v>
              </c:pt>
              <c:pt idx="9">
                <c:v>6.458333333333334E-2</c:v>
              </c:pt>
              <c:pt idx="10">
                <c:v>#N/A</c:v>
              </c:pt>
              <c:pt idx="11">
                <c:v>0.96875</c:v>
              </c:pt>
              <c:pt idx="12">
                <c:v>0.3527777777777778</c:v>
              </c:pt>
              <c:pt idx="13">
                <c:v>0.25416666666666665</c:v>
              </c:pt>
              <c:pt idx="14">
                <c:v>0.35972222222222222</c:v>
              </c:pt>
              <c:pt idx="15">
                <c:v>0.37847222222222227</c:v>
              </c:pt>
              <c:pt idx="16">
                <c:v>0.35347222222222219</c:v>
              </c:pt>
              <c:pt idx="17">
                <c:v>0.28888888888888892</c:v>
              </c:pt>
              <c:pt idx="18">
                <c:v>0.34236111111111112</c:v>
              </c:pt>
              <c:pt idx="19">
                <c:v>0.28194444444444444</c:v>
              </c:pt>
              <c:pt idx="20">
                <c:v>0.18333333333333335</c:v>
              </c:pt>
              <c:pt idx="21">
                <c:v>#N/A</c:v>
              </c:pt>
              <c:pt idx="22">
                <c:v>0.33611111111111108</c:v>
              </c:pt>
              <c:pt idx="23">
                <c:v>#N/A</c:v>
              </c:pt>
              <c:pt idx="24">
                <c:v>9.930555555555555E-2</c:v>
              </c:pt>
              <c:pt idx="25">
                <c:v>#N/A</c:v>
              </c:pt>
              <c:pt idx="26">
                <c:v>#N/A</c:v>
              </c:pt>
              <c:pt idx="27">
                <c:v>6.5972222222222224E-2</c:v>
              </c:pt>
              <c:pt idx="28">
                <c:v>0.27638888888888885</c:v>
              </c:pt>
              <c:pt idx="29">
                <c:v>#N/A</c:v>
              </c:pt>
              <c:pt idx="30">
                <c:v>0.16666666666666666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267584"/>
        <c:axId val="131339392"/>
      </c:lineChart>
      <c:catAx>
        <c:axId val="131267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13393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31339392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hh:mm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1267584"/>
        <c:crosses val="autoZero"/>
        <c:crossBetween val="between"/>
        <c:majorUnit val="8.3333333300000006E-2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0.46263125386040765"/>
          <c:y val="0.10211279928037163"/>
          <c:w val="0.66213712168004946"/>
          <c:h val="0.1443663204071322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Time of Max Gust</a:t>
            </a:r>
          </a:p>
        </c:rich>
      </c:tx>
      <c:layout>
        <c:manualLayout>
          <c:xMode val="edge"/>
          <c:yMode val="edge"/>
          <c:x val="0.44814840737500405"/>
          <c:y val="1.99296600234466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8888912331761387E-2"/>
          <c:y val="8.4408020181539978E-2"/>
          <c:w val="0.95864255319405456"/>
          <c:h val="0.86518220686078484"/>
        </c:manualLayout>
      </c:layout>
      <c:lineChart>
        <c:grouping val="standard"/>
        <c:varyColors val="0"/>
        <c:ser>
          <c:idx val="4"/>
          <c:order val="0"/>
          <c:tx>
            <c:v>Gust</c:v>
          </c:tx>
          <c:spPr>
            <a:ln w="28575">
              <a:noFill/>
            </a:ln>
          </c:spPr>
          <c:marker>
            <c:symbol val="circle"/>
            <c:size val="1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0.54722222222222217</c:v>
              </c:pt>
              <c:pt idx="1">
                <c:v>0.59027777777777779</c:v>
              </c:pt>
              <c:pt idx="2">
                <c:v>0.63888888888888895</c:v>
              </c:pt>
              <c:pt idx="3">
                <c:v>0.62847222222222221</c:v>
              </c:pt>
              <c:pt idx="4">
                <c:v>0.8305555555555556</c:v>
              </c:pt>
              <c:pt idx="5">
                <c:v>0.16805555555555554</c:v>
              </c:pt>
              <c:pt idx="6">
                <c:v>0.64930555555555558</c:v>
              </c:pt>
              <c:pt idx="7">
                <c:v>0.39583333333333331</c:v>
              </c:pt>
              <c:pt idx="8">
                <c:v>0.62083333333333335</c:v>
              </c:pt>
              <c:pt idx="9">
                <c:v>0.61875000000000002</c:v>
              </c:pt>
              <c:pt idx="10">
                <c:v>8.8888888888888892E-2</c:v>
              </c:pt>
              <c:pt idx="11">
                <c:v>0.13541666666666666</c:v>
              </c:pt>
              <c:pt idx="12">
                <c:v>0.60277777777777775</c:v>
              </c:pt>
              <c:pt idx="13">
                <c:v>0.4284722222222222</c:v>
              </c:pt>
              <c:pt idx="14">
                <c:v>0.46527777777777773</c:v>
              </c:pt>
              <c:pt idx="15">
                <c:v>0.5805555555555556</c:v>
              </c:pt>
              <c:pt idx="16">
                <c:v>0.67083333333333339</c:v>
              </c:pt>
              <c:pt idx="17">
                <c:v>0.51180555555555551</c:v>
              </c:pt>
              <c:pt idx="18">
                <c:v>0.67013888888888884</c:v>
              </c:pt>
              <c:pt idx="19">
                <c:v>0.52569444444444446</c:v>
              </c:pt>
              <c:pt idx="20">
                <c:v>0.80347222222222225</c:v>
              </c:pt>
              <c:pt idx="21">
                <c:v>0.68958333333333333</c:v>
              </c:pt>
              <c:pt idx="22">
                <c:v>0.53125</c:v>
              </c:pt>
              <c:pt idx="23">
                <c:v>0.54652777777777783</c:v>
              </c:pt>
              <c:pt idx="24">
                <c:v>0.61111111111111105</c:v>
              </c:pt>
              <c:pt idx="25">
                <c:v>0.58958333333333335</c:v>
              </c:pt>
              <c:pt idx="26">
                <c:v>0.51180555555555551</c:v>
              </c:pt>
              <c:pt idx="27">
                <c:v>0.42430555555555555</c:v>
              </c:pt>
              <c:pt idx="28">
                <c:v>0.7416666666666667</c:v>
              </c:pt>
              <c:pt idx="29">
                <c:v>9.0277777777777787E-3</c:v>
              </c:pt>
              <c:pt idx="30">
                <c:v>0.50902777777777775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363968"/>
        <c:axId val="131365888"/>
      </c:lineChart>
      <c:catAx>
        <c:axId val="131363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13658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31365888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hh:mm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1363968"/>
        <c:crosses val="autoZero"/>
        <c:crossBetween val="between"/>
        <c:majorUnit val="8.3333333300000006E-2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 sz="14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Rain Rate / mmh</a:t>
            </a:r>
            <a:r>
              <a:rPr lang="en-GB" sz="1400" b="1" i="0" u="none" strike="noStrike" baseline="30000">
                <a:solidFill>
                  <a:srgbClr val="000000"/>
                </a:solidFill>
                <a:latin typeface="Arial"/>
                <a:cs typeface="Arial"/>
              </a:rPr>
              <a:t>-1</a:t>
            </a:r>
          </a:p>
        </c:rich>
      </c:tx>
      <c:layout>
        <c:manualLayout>
          <c:xMode val="edge"/>
          <c:yMode val="edge"/>
          <c:x val="0.44963144963144963"/>
          <c:y val="1.954022988505747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1.8427518427518427E-2"/>
          <c:y val="9.3103552783262378E-2"/>
          <c:w val="0.96314496314496312"/>
          <c:h val="0.85747222686807079"/>
        </c:manualLayout>
      </c:layout>
      <c:barChart>
        <c:barDir val="col"/>
        <c:grouping val="clustered"/>
        <c:varyColors val="0"/>
        <c:ser>
          <c:idx val="1"/>
          <c:order val="0"/>
          <c:tx>
            <c:v>Mean</c:v>
          </c:tx>
          <c:spPr>
            <a:solidFill>
              <a:srgbClr val="CCFFFF"/>
            </a:solidFill>
            <a:ln w="3175">
              <a:solidFill>
                <a:srgbClr val="333399"/>
              </a:solidFill>
              <a:prstDash val="solid"/>
            </a:ln>
          </c:spPr>
          <c:invertIfNegative val="0"/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1.8</c:v>
              </c:pt>
              <c:pt idx="6">
                <c:v>0</c:v>
              </c:pt>
              <c:pt idx="7">
                <c:v>0</c:v>
              </c:pt>
              <c:pt idx="8">
                <c:v>0.38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2.1999999999999997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0.53333333333333333</c:v>
              </c:pt>
              <c:pt idx="24">
                <c:v>3.4</c:v>
              </c:pt>
              <c:pt idx="25">
                <c:v>0.77500000000000002</c:v>
              </c:pt>
              <c:pt idx="26">
                <c:v>0.26666666666666666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-80"/>
        <c:axId val="131412736"/>
        <c:axId val="131414272"/>
      </c:barChart>
      <c:barChart>
        <c:barDir val="col"/>
        <c:grouping val="clustered"/>
        <c:varyColors val="0"/>
        <c:ser>
          <c:idx val="0"/>
          <c:order val="1"/>
          <c:tx>
            <c:v>Max</c:v>
          </c:tx>
          <c:spPr>
            <a:solidFill>
              <a:srgbClr val="9999FF"/>
            </a:solidFill>
            <a:ln w="12700">
              <a:solidFill>
                <a:srgbClr val="000080"/>
              </a:solidFill>
              <a:prstDash val="solid"/>
            </a:ln>
          </c:spPr>
          <c:invertIfNegative val="0"/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20</c:v>
              </c:pt>
              <c:pt idx="6">
                <c:v>0</c:v>
              </c:pt>
              <c:pt idx="7">
                <c:v>0</c:v>
              </c:pt>
              <c:pt idx="8">
                <c:v>2.5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50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1.8</c:v>
              </c:pt>
              <c:pt idx="24">
                <c:v>20</c:v>
              </c:pt>
              <c:pt idx="25">
                <c:v>4.4000000000000004</c:v>
              </c:pt>
              <c:pt idx="26">
                <c:v>4.2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0"/>
        <c:overlap val="-100"/>
        <c:axId val="131424256"/>
        <c:axId val="131425792"/>
      </c:barChart>
      <c:catAx>
        <c:axId val="1314127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14142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31414272"/>
        <c:scaling>
          <c:orientation val="minMax"/>
          <c:max val="6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1412736"/>
        <c:crosses val="autoZero"/>
        <c:crossBetween val="between"/>
        <c:majorUnit val="1"/>
      </c:valAx>
      <c:catAx>
        <c:axId val="1314242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1425792"/>
        <c:crosses val="autoZero"/>
        <c:auto val="1"/>
        <c:lblAlgn val="ctr"/>
        <c:lblOffset val="100"/>
        <c:noMultiLvlLbl val="0"/>
      </c:catAx>
      <c:valAx>
        <c:axId val="131425792"/>
        <c:scaling>
          <c:orientation val="minMax"/>
          <c:max val="60"/>
          <c:min val="0"/>
        </c:scaling>
        <c:delete val="0"/>
        <c:axPos val="r"/>
        <c:numFmt formatCode="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1424256"/>
        <c:crosses val="max"/>
        <c:crossBetween val="between"/>
        <c:majorUnit val="10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9.5823095823095825E-2"/>
          <c:y val="0.11264379883549039"/>
          <c:w val="0.24262899262899262"/>
          <c:h val="0.1586208103297432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01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Rainfall / mm</a:t>
            </a:r>
          </a:p>
        </c:rich>
      </c:tx>
      <c:layout>
        <c:manualLayout>
          <c:xMode val="edge"/>
          <c:yMode val="edge"/>
          <c:x val="0.47051597051597049"/>
          <c:y val="1.509872241579558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955773955773956E-2"/>
          <c:y val="8.9430995743271527E-2"/>
          <c:w val="0.97297297297297303"/>
          <c:h val="0.85017518031265915"/>
        </c:manualLayout>
      </c:layout>
      <c:barChart>
        <c:barDir val="col"/>
        <c:grouping val="clustered"/>
        <c:varyColors val="0"/>
        <c:ser>
          <c:idx val="0"/>
          <c:order val="0"/>
          <c:tx>
            <c:v>Rainfall</c:v>
          </c:tx>
          <c:spPr>
            <a:solidFill>
              <a:srgbClr val="3366FF"/>
            </a:solidFill>
            <a:ln w="12700">
              <a:solidFill>
                <a:srgbClr val="000080"/>
              </a:solidFill>
              <a:prstDash val="solid"/>
            </a:ln>
          </c:spPr>
          <c:invertIfNegative val="0"/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0.1</c:v>
              </c:pt>
              <c:pt idx="5">
                <c:v>3.6</c:v>
              </c:pt>
              <c:pt idx="6">
                <c:v>0.1</c:v>
              </c:pt>
              <c:pt idx="7">
                <c:v>0.1</c:v>
              </c:pt>
              <c:pt idx="8">
                <c:v>1.9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3.3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0.8</c:v>
              </c:pt>
              <c:pt idx="24">
                <c:v>1.7</c:v>
              </c:pt>
              <c:pt idx="25">
                <c:v>3.1</c:v>
              </c:pt>
              <c:pt idx="26">
                <c:v>0.8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</c:numLit>
          </c:val>
        </c:ser>
        <c:ser>
          <c:idx val="1"/>
          <c:order val="1"/>
          <c:tx>
            <c:v>Max In Hour</c:v>
          </c:tx>
          <c:spPr>
            <a:solidFill>
              <a:srgbClr val="00CCFF"/>
            </a:solidFill>
            <a:ln w="12700">
              <a:solidFill>
                <a:srgbClr val="0000FF"/>
              </a:solidFill>
              <a:prstDash val="solid"/>
            </a:ln>
          </c:spPr>
          <c:invertIfNegative val="0"/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1.7</c:v>
              </c:pt>
              <c:pt idx="6">
                <c:v>0</c:v>
              </c:pt>
              <c:pt idx="7">
                <c:v>0</c:v>
              </c:pt>
              <c:pt idx="8">
                <c:v>0.9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2.7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0.8</c:v>
              </c:pt>
              <c:pt idx="24">
                <c:v>1.7</c:v>
              </c:pt>
              <c:pt idx="25">
                <c:v>1.1000000000000001</c:v>
              </c:pt>
              <c:pt idx="26">
                <c:v>0.5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</c:numLit>
          </c:val>
        </c:ser>
        <c:ser>
          <c:idx val="2"/>
          <c:order val="2"/>
          <c:tx>
            <c:v>Max in 10 Minutes</c:v>
          </c:tx>
          <c:spPr>
            <a:solidFill>
              <a:srgbClr val="99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1.4</c:v>
              </c:pt>
              <c:pt idx="6">
                <c:v>0</c:v>
              </c:pt>
              <c:pt idx="7">
                <c:v>0</c:v>
              </c:pt>
              <c:pt idx="8">
                <c:v>0.5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1.7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0.5</c:v>
              </c:pt>
              <c:pt idx="24">
                <c:v>1.4</c:v>
              </c:pt>
              <c:pt idx="25">
                <c:v>0.6</c:v>
              </c:pt>
              <c:pt idx="26">
                <c:v>0.5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overlap val="100"/>
        <c:axId val="131456000"/>
        <c:axId val="131478272"/>
      </c:barChart>
      <c:catAx>
        <c:axId val="131456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14782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31478272"/>
        <c:scaling>
          <c:orientation val="minMax"/>
          <c:max val="15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1456000"/>
        <c:crosses val="autoZero"/>
        <c:crossBetween val="between"/>
        <c:majorUnit val="2"/>
      </c:valAx>
      <c:spPr>
        <a:solidFill>
          <a:srgbClr val="969696"/>
        </a:solidFill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3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 horizontalDpi="-3"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Wet Hours / h</a:t>
            </a:r>
          </a:p>
        </c:rich>
      </c:tx>
      <c:layout>
        <c:manualLayout>
          <c:xMode val="edge"/>
          <c:yMode val="edge"/>
          <c:x val="0.47116577299003271"/>
          <c:y val="2.2016222479721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926387535464059E-2"/>
          <c:y val="8.3429895712630361E-2"/>
          <c:w val="0.97361992355849891"/>
          <c:h val="0.8667439165701043"/>
        </c:manualLayout>
      </c:layout>
      <c:barChart>
        <c:barDir val="col"/>
        <c:grouping val="clustered"/>
        <c:varyColors val="0"/>
        <c:ser>
          <c:idx val="2"/>
          <c:order val="0"/>
          <c:tx>
            <c:v>Wet</c:v>
          </c:tx>
          <c:spPr>
            <a:solidFill>
              <a:srgbClr val="00FFFF"/>
            </a:solidFill>
            <a:ln w="12700">
              <a:solidFill>
                <a:srgbClr val="3366FF"/>
              </a:solidFill>
              <a:prstDash val="solid"/>
            </a:ln>
          </c:spPr>
          <c:invertIfNegative val="0"/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0.2</c:v>
              </c:pt>
              <c:pt idx="5">
                <c:v>2</c:v>
              </c:pt>
              <c:pt idx="6">
                <c:v>0.4</c:v>
              </c:pt>
              <c:pt idx="7">
                <c:v>0.5</c:v>
              </c:pt>
              <c:pt idx="8">
                <c:v>5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1.5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1.5</c:v>
              </c:pt>
              <c:pt idx="24">
                <c:v>0.5</c:v>
              </c:pt>
              <c:pt idx="25">
                <c:v>4</c:v>
              </c:pt>
              <c:pt idx="26">
                <c:v>3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overlap val="-10"/>
        <c:axId val="131498368"/>
        <c:axId val="131499904"/>
      </c:barChart>
      <c:catAx>
        <c:axId val="131498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14999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31499904"/>
        <c:scaling>
          <c:orientation val="minMax"/>
          <c:max val="1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1498368"/>
        <c:crosses val="autoZero"/>
        <c:crossBetween val="between"/>
        <c:majorUnit val="2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Wind Direction Frequency</a:t>
            </a:r>
          </a:p>
        </c:rich>
      </c:tx>
      <c:layout>
        <c:manualLayout>
          <c:xMode val="edge"/>
          <c:yMode val="edge"/>
          <c:x val="0.41263028816676883"/>
          <c:y val="2.243211334120424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9552421827099939"/>
          <c:y val="0.17001190438444533"/>
          <c:w val="0.38320049049662785"/>
          <c:h val="0.73789889055748836"/>
        </c:manualLayout>
      </c:layout>
      <c:radarChart>
        <c:radarStyle val="filled"/>
        <c:varyColors val="1"/>
        <c:ser>
          <c:idx val="0"/>
          <c:order val="0"/>
          <c:tx>
            <c:v>Mean Wind Direction</c:v>
          </c:tx>
          <c:spPr>
            <a:solidFill>
              <a:srgbClr val="FF99CC"/>
            </a:solidFill>
            <a:ln w="38100">
              <a:solidFill>
                <a:srgbClr val="FF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</c:dPt>
          <c:dPt>
            <c:idx val="2"/>
            <c:bubble3D val="0"/>
          </c:dPt>
          <c:dPt>
            <c:idx val="3"/>
            <c:bubble3D val="0"/>
          </c:dPt>
          <c:dPt>
            <c:idx val="4"/>
            <c:bubble3D val="0"/>
          </c:dPt>
          <c:dPt>
            <c:idx val="5"/>
            <c:bubble3D val="0"/>
          </c:dPt>
          <c:dPt>
            <c:idx val="6"/>
            <c:bubble3D val="0"/>
          </c:dPt>
          <c:dPt>
            <c:idx val="7"/>
            <c:bubble3D val="0"/>
          </c:dPt>
          <c:dPt>
            <c:idx val="8"/>
            <c:bubble3D val="0"/>
          </c:dPt>
          <c:dPt>
            <c:idx val="9"/>
            <c:bubble3D val="0"/>
          </c:dPt>
          <c:dPt>
            <c:idx val="10"/>
            <c:bubble3D val="0"/>
          </c:dPt>
          <c:dPt>
            <c:idx val="11"/>
            <c:bubble3D val="0"/>
          </c:dPt>
          <c:dPt>
            <c:idx val="12"/>
            <c:bubble3D val="0"/>
          </c:dPt>
          <c:dPt>
            <c:idx val="13"/>
            <c:bubble3D val="0"/>
          </c:dPt>
          <c:dPt>
            <c:idx val="14"/>
            <c:bubble3D val="0"/>
          </c:dPt>
          <c:dPt>
            <c:idx val="15"/>
            <c:bubble3D val="0"/>
          </c:dPt>
          <c:dLbls>
            <c:dLbl>
              <c:idx val="0"/>
              <c:layout>
                <c:manualLayout>
                  <c:xMode val="edge"/>
                  <c:yMode val="edge"/>
                  <c:x val="0.4739423666462293"/>
                  <c:y val="0.26564360060069581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Mode val="edge"/>
                  <c:yMode val="edge"/>
                  <c:x val="0.55180870631514412"/>
                  <c:y val="0.2573791330264519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layout>
                <c:manualLayout>
                  <c:xMode val="edge"/>
                  <c:yMode val="edge"/>
                  <c:x val="0.61312078479460452"/>
                  <c:y val="0.2868950886487514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layout>
                <c:manualLayout>
                  <c:xMode val="edge"/>
                  <c:yMode val="edge"/>
                  <c:x val="0.67443286327406504"/>
                  <c:y val="0.3907912524392458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4"/>
              <c:layout>
                <c:manualLayout>
                  <c:xMode val="edge"/>
                  <c:yMode val="edge"/>
                  <c:x val="0.72470876762722258"/>
                  <c:y val="0.5147582660529038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5"/>
              <c:layout>
                <c:manualLayout>
                  <c:xMode val="edge"/>
                  <c:yMode val="edge"/>
                  <c:x val="0.74064990803188224"/>
                  <c:y val="0.7272731465334605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6"/>
              <c:layout>
                <c:manualLayout>
                  <c:xMode val="edge"/>
                  <c:yMode val="edge"/>
                  <c:x val="0.68730839975475166"/>
                  <c:y val="0.8713110099702823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7"/>
              <c:layout>
                <c:manualLayout>
                  <c:xMode val="edge"/>
                  <c:yMode val="edge"/>
                  <c:x val="0.59595340282035558"/>
                  <c:y val="0.9610395150620728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8"/>
              <c:layout>
                <c:manualLayout>
                  <c:xMode val="edge"/>
                  <c:yMode val="edge"/>
                  <c:x val="0.47332924586143471"/>
                  <c:y val="0.9610395150620728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9"/>
              <c:layout>
                <c:manualLayout>
                  <c:xMode val="edge"/>
                  <c:yMode val="edge"/>
                  <c:x val="0.35193133047210301"/>
                  <c:y val="0.91853653896596155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0"/>
              <c:layout>
                <c:manualLayout>
                  <c:xMode val="edge"/>
                  <c:yMode val="edge"/>
                  <c:x val="0.25628448804414472"/>
                  <c:y val="0.8937431362432298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1"/>
              <c:layout>
                <c:manualLayout>
                  <c:xMode val="edge"/>
                  <c:yMode val="edge"/>
                  <c:x val="0.12875536480686695"/>
                  <c:y val="0.75560846393086811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2"/>
              <c:layout>
                <c:manualLayout>
                  <c:xMode val="edge"/>
                  <c:yMode val="edge"/>
                  <c:x val="0.16247700797057021"/>
                  <c:y val="0.52538401007693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3"/>
              <c:layout>
                <c:manualLayout>
                  <c:xMode val="edge"/>
                  <c:yMode val="edge"/>
                  <c:x val="0.22133660331085223"/>
                  <c:y val="0.3435657234435665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4"/>
              <c:layout>
                <c:manualLayout>
                  <c:xMode val="edge"/>
                  <c:yMode val="edge"/>
                  <c:x val="0.30778663396689149"/>
                  <c:y val="0.234947006753504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5"/>
              <c:layout>
                <c:manualLayout>
                  <c:xMode val="edge"/>
                  <c:yMode val="edge"/>
                  <c:x val="0.38442673206621703"/>
                  <c:y val="0.1818182866333651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1" i="0" u="none" strike="noStrike" baseline="0">
                    <a:solidFill>
                      <a:srgbClr val="FF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Lit>
              <c:ptCount val="16"/>
              <c:pt idx="0">
                <c:v>N</c:v>
              </c:pt>
              <c:pt idx="1">
                <c:v>NNE</c:v>
              </c:pt>
              <c:pt idx="2">
                <c:v>NE</c:v>
              </c:pt>
              <c:pt idx="3">
                <c:v>ENE</c:v>
              </c:pt>
              <c:pt idx="4">
                <c:v>E</c:v>
              </c:pt>
              <c:pt idx="5">
                <c:v>ESE</c:v>
              </c:pt>
              <c:pt idx="6">
                <c:v>SE</c:v>
              </c:pt>
              <c:pt idx="7">
                <c:v>SSE</c:v>
              </c:pt>
              <c:pt idx="8">
                <c:v>S</c:v>
              </c:pt>
              <c:pt idx="9">
                <c:v>SSW</c:v>
              </c:pt>
              <c:pt idx="10">
                <c:v>SW</c:v>
              </c:pt>
              <c:pt idx="11">
                <c:v>WSW</c:v>
              </c:pt>
              <c:pt idx="12">
                <c:v>W</c:v>
              </c:pt>
              <c:pt idx="13">
                <c:v>WNW</c:v>
              </c:pt>
              <c:pt idx="14">
                <c:v>NW</c:v>
              </c:pt>
              <c:pt idx="15">
                <c:v>NNW</c:v>
              </c:pt>
            </c:strLit>
          </c:cat>
          <c:val>
            <c:numLit>
              <c:formatCode>General</c:formatCode>
              <c:ptCount val="16"/>
              <c:pt idx="0">
                <c:v>2.3E-2</c:v>
              </c:pt>
              <c:pt idx="1">
                <c:v>1.7000000000000001E-2</c:v>
              </c:pt>
              <c:pt idx="2">
                <c:v>1.9E-2</c:v>
              </c:pt>
              <c:pt idx="3">
                <c:v>3.3000000000000002E-2</c:v>
              </c:pt>
              <c:pt idx="4">
                <c:v>3.9E-2</c:v>
              </c:pt>
              <c:pt idx="5">
                <c:v>4.2999999999999997E-2</c:v>
              </c:pt>
              <c:pt idx="6">
                <c:v>4.3999999999999997E-2</c:v>
              </c:pt>
              <c:pt idx="7">
                <c:v>4.7E-2</c:v>
              </c:pt>
              <c:pt idx="8">
                <c:v>9.4E-2</c:v>
              </c:pt>
              <c:pt idx="9">
                <c:v>0.128</c:v>
              </c:pt>
              <c:pt idx="10">
                <c:v>0.13600000000000001</c:v>
              </c:pt>
              <c:pt idx="11">
                <c:v>0.16600000000000001</c:v>
              </c:pt>
              <c:pt idx="12">
                <c:v>0.10299999999999999</c:v>
              </c:pt>
              <c:pt idx="13">
                <c:v>5.6000000000000001E-2</c:v>
              </c:pt>
              <c:pt idx="14">
                <c:v>2.3E-2</c:v>
              </c:pt>
              <c:pt idx="15">
                <c:v>2.9000000000000001E-2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930752"/>
        <c:axId val="131969408"/>
      </c:radarChart>
      <c:catAx>
        <c:axId val="131930752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1969408"/>
        <c:crosses val="autoZero"/>
        <c:auto val="0"/>
        <c:lblAlgn val="ctr"/>
        <c:lblOffset val="100"/>
        <c:noMultiLvlLbl val="0"/>
      </c:catAx>
      <c:valAx>
        <c:axId val="131969408"/>
        <c:scaling>
          <c:orientation val="minMax"/>
          <c:max val="0.16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General" sourceLinked="1"/>
        <c:majorTickMark val="cross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1930752"/>
        <c:crosses val="autoZero"/>
        <c:crossBetween val="between"/>
        <c:majorUnit val="0.05"/>
      </c:valAx>
      <c:spPr>
        <a:solidFill>
          <a:srgbClr val="C0C0C0"/>
        </a:solidFill>
        <a:ln w="25400">
          <a:noFill/>
        </a:ln>
      </c:spPr>
    </c:plotArea>
    <c:plotVisOnly val="1"/>
    <c:dispBlanksAs val="gap"/>
    <c:showDLblsOverMax val="0"/>
  </c:chart>
  <c:spPr>
    <a:solidFill>
      <a:srgbClr val="C0C0C0"/>
    </a:solidFill>
    <a:ln w="3175">
      <a:solidFill>
        <a:srgbClr val="000000"/>
      </a:solidFill>
      <a:prstDash val="solid"/>
    </a:ln>
  </c:spPr>
  <c:txPr>
    <a:bodyPr/>
    <a:lstStyle/>
    <a:p>
      <a:pPr>
        <a:defRPr sz="23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 horizontalDpi="-3"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7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 sz="14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Temperature / °C   </a:t>
            </a:r>
          </a:p>
        </c:rich>
      </c:tx>
      <c:layout>
        <c:manualLayout>
          <c:xMode val="edge"/>
          <c:yMode val="edge"/>
          <c:x val="0.44996905529754716"/>
          <c:y val="2.093023255813953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4238664906951896E-2"/>
          <c:y val="8.0232558139534879E-2"/>
          <c:w val="0.95711651171040812"/>
          <c:h val="0.86976744186046506"/>
        </c:manualLayout>
      </c:layout>
      <c:lineChart>
        <c:grouping val="standard"/>
        <c:varyColors val="0"/>
        <c:ser>
          <c:idx val="0"/>
          <c:order val="0"/>
          <c:tx>
            <c:v>Min</c:v>
          </c:tx>
          <c:spPr>
            <a:ln w="38100">
              <a:solidFill>
                <a:srgbClr val="0000FF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12.3</c:v>
              </c:pt>
              <c:pt idx="1">
                <c:v>11.8</c:v>
              </c:pt>
              <c:pt idx="2">
                <c:v>16.2</c:v>
              </c:pt>
              <c:pt idx="3">
                <c:v>15.8</c:v>
              </c:pt>
              <c:pt idx="4">
                <c:v>15.8</c:v>
              </c:pt>
              <c:pt idx="5">
                <c:v>10.7</c:v>
              </c:pt>
              <c:pt idx="6">
                <c:v>9.1</c:v>
              </c:pt>
              <c:pt idx="7">
                <c:v>9.6</c:v>
              </c:pt>
              <c:pt idx="8">
                <c:v>14.4</c:v>
              </c:pt>
              <c:pt idx="9">
                <c:v>15.8</c:v>
              </c:pt>
              <c:pt idx="10">
                <c:v>15.3</c:v>
              </c:pt>
              <c:pt idx="11">
                <c:v>14.7</c:v>
              </c:pt>
              <c:pt idx="12">
                <c:v>11.1</c:v>
              </c:pt>
              <c:pt idx="13">
                <c:v>7.5</c:v>
              </c:pt>
              <c:pt idx="14">
                <c:v>5.6</c:v>
              </c:pt>
              <c:pt idx="15">
                <c:v>3.3</c:v>
              </c:pt>
              <c:pt idx="16">
                <c:v>8</c:v>
              </c:pt>
              <c:pt idx="17">
                <c:v>8</c:v>
              </c:pt>
              <c:pt idx="18">
                <c:v>4.8</c:v>
              </c:pt>
              <c:pt idx="19">
                <c:v>3.3</c:v>
              </c:pt>
              <c:pt idx="20">
                <c:v>5.6</c:v>
              </c:pt>
              <c:pt idx="21">
                <c:v>7.9</c:v>
              </c:pt>
              <c:pt idx="22">
                <c:v>9.4</c:v>
              </c:pt>
              <c:pt idx="23">
                <c:v>11.2</c:v>
              </c:pt>
              <c:pt idx="24">
                <c:v>10.5</c:v>
              </c:pt>
              <c:pt idx="25">
                <c:v>8.8000000000000007</c:v>
              </c:pt>
              <c:pt idx="26">
                <c:v>11.1</c:v>
              </c:pt>
              <c:pt idx="27">
                <c:v>8.9</c:v>
              </c:pt>
              <c:pt idx="28">
                <c:v>12.4</c:v>
              </c:pt>
              <c:pt idx="29">
                <c:v>13.8</c:v>
              </c:pt>
              <c:pt idx="30">
                <c:v>13.2</c:v>
              </c:pt>
            </c:numLit>
          </c:val>
          <c:smooth val="0"/>
        </c:ser>
        <c:ser>
          <c:idx val="1"/>
          <c:order val="1"/>
          <c:tx>
            <c:v>Max</c:v>
          </c:tx>
          <c:spPr>
            <a:ln w="38100">
              <a:solidFill>
                <a:srgbClr val="FF6600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993300"/>
              </a:solidFill>
              <a:ln>
                <a:solidFill>
                  <a:srgbClr val="993300"/>
                </a:solidFill>
                <a:prstDash val="solid"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27.1</c:v>
              </c:pt>
              <c:pt idx="1">
                <c:v>26.6</c:v>
              </c:pt>
              <c:pt idx="2">
                <c:v>25.3</c:v>
              </c:pt>
              <c:pt idx="3">
                <c:v>18.7</c:v>
              </c:pt>
              <c:pt idx="4">
                <c:v>19.100000000000001</c:v>
              </c:pt>
              <c:pt idx="5">
                <c:v>17.3</c:v>
              </c:pt>
              <c:pt idx="6">
                <c:v>15.1</c:v>
              </c:pt>
              <c:pt idx="7">
                <c:v>14.9</c:v>
              </c:pt>
              <c:pt idx="8">
                <c:v>19.7</c:v>
              </c:pt>
              <c:pt idx="9">
                <c:v>19.5</c:v>
              </c:pt>
              <c:pt idx="10">
                <c:v>18.399999999999999</c:v>
              </c:pt>
              <c:pt idx="11">
                <c:v>18.8</c:v>
              </c:pt>
              <c:pt idx="12">
                <c:v>15.9</c:v>
              </c:pt>
              <c:pt idx="13">
                <c:v>15.1</c:v>
              </c:pt>
              <c:pt idx="14">
                <c:v>16</c:v>
              </c:pt>
              <c:pt idx="15">
                <c:v>15.9</c:v>
              </c:pt>
              <c:pt idx="16">
                <c:v>16.3</c:v>
              </c:pt>
              <c:pt idx="17">
                <c:v>14.5</c:v>
              </c:pt>
              <c:pt idx="18">
                <c:v>11.7</c:v>
              </c:pt>
              <c:pt idx="19">
                <c:v>11.4</c:v>
              </c:pt>
              <c:pt idx="20">
                <c:v>14.7</c:v>
              </c:pt>
              <c:pt idx="21">
                <c:v>13.7</c:v>
              </c:pt>
              <c:pt idx="22">
                <c:v>18.7</c:v>
              </c:pt>
              <c:pt idx="23">
                <c:v>16.5</c:v>
              </c:pt>
              <c:pt idx="24">
                <c:v>16.3</c:v>
              </c:pt>
              <c:pt idx="25">
                <c:v>11.8</c:v>
              </c:pt>
              <c:pt idx="26">
                <c:v>13.7</c:v>
              </c:pt>
              <c:pt idx="27">
                <c:v>14.6</c:v>
              </c:pt>
              <c:pt idx="28">
                <c:v>15.7</c:v>
              </c:pt>
              <c:pt idx="29">
                <c:v>16.600000000000001</c:v>
              </c:pt>
              <c:pt idx="30">
                <c:v>16.3</c:v>
              </c:pt>
            </c:numLit>
          </c:val>
          <c:smooth val="0"/>
        </c:ser>
        <c:ser>
          <c:idx val="7"/>
          <c:order val="2"/>
          <c:tx>
            <c:v>Cumulative Min</c:v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x"/>
            <c:size val="2"/>
            <c:spPr>
              <a:noFill/>
              <a:ln>
                <a:solidFill>
                  <a:srgbClr val="0000FF"/>
                </a:solidFill>
                <a:prstDash val="solid"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12.3</c:v>
              </c:pt>
              <c:pt idx="1">
                <c:v>12.05</c:v>
              </c:pt>
              <c:pt idx="2">
                <c:v>13.433333333333332</c:v>
              </c:pt>
              <c:pt idx="3">
                <c:v>14.024999999999999</c:v>
              </c:pt>
              <c:pt idx="4">
                <c:v>14.379999999999999</c:v>
              </c:pt>
              <c:pt idx="5">
                <c:v>13.766666666666666</c:v>
              </c:pt>
              <c:pt idx="6">
                <c:v>13.099999999999998</c:v>
              </c:pt>
              <c:pt idx="7">
                <c:v>12.662499999999998</c:v>
              </c:pt>
              <c:pt idx="8">
                <c:v>12.855555555555554</c:v>
              </c:pt>
              <c:pt idx="9">
                <c:v>13.15</c:v>
              </c:pt>
              <c:pt idx="10">
                <c:v>13.345454545454546</c:v>
              </c:pt>
              <c:pt idx="11">
                <c:v>13.458333333333334</c:v>
              </c:pt>
              <c:pt idx="12">
                <c:v>13.276923076923076</c:v>
              </c:pt>
              <c:pt idx="13">
                <c:v>12.864285714285714</c:v>
              </c:pt>
              <c:pt idx="14">
                <c:v>12.379999999999999</c:v>
              </c:pt>
              <c:pt idx="15">
                <c:v>11.8125</c:v>
              </c:pt>
              <c:pt idx="16">
                <c:v>11.588235294117647</c:v>
              </c:pt>
              <c:pt idx="17">
                <c:v>11.388888888888889</c:v>
              </c:pt>
              <c:pt idx="18">
                <c:v>11.042105263157895</c:v>
              </c:pt>
              <c:pt idx="19">
                <c:v>10.655000000000001</c:v>
              </c:pt>
              <c:pt idx="20">
                <c:v>10.414285714285715</c:v>
              </c:pt>
              <c:pt idx="21">
                <c:v>10.3</c:v>
              </c:pt>
              <c:pt idx="22">
                <c:v>10.260869565217392</c:v>
              </c:pt>
              <c:pt idx="23">
                <c:v>10.3</c:v>
              </c:pt>
              <c:pt idx="24">
                <c:v>10.308000000000002</c:v>
              </c:pt>
              <c:pt idx="25">
                <c:v>10.250000000000002</c:v>
              </c:pt>
              <c:pt idx="26">
                <c:v>10.281481481481485</c:v>
              </c:pt>
              <c:pt idx="27">
                <c:v>10.232142857142859</c:v>
              </c:pt>
              <c:pt idx="28">
                <c:v>10.306896551724138</c:v>
              </c:pt>
              <c:pt idx="29">
                <c:v>10.423333333333336</c:v>
              </c:pt>
              <c:pt idx="30">
                <c:v>10.512903225806452</c:v>
              </c:pt>
            </c:numLit>
          </c:val>
          <c:smooth val="0"/>
        </c:ser>
        <c:ser>
          <c:idx val="6"/>
          <c:order val="3"/>
          <c:tx>
            <c:v>Cumulative Max</c:v>
          </c:tx>
          <c:spPr>
            <a:ln w="12700">
              <a:solidFill>
                <a:srgbClr val="FF9900"/>
              </a:solidFill>
              <a:prstDash val="solid"/>
            </a:ln>
          </c:spPr>
          <c:marker>
            <c:symbol val="plus"/>
            <c:size val="2"/>
            <c:spPr>
              <a:noFill/>
              <a:ln>
                <a:solidFill>
                  <a:srgbClr val="FF6600"/>
                </a:solidFill>
                <a:prstDash val="solid"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27.1</c:v>
              </c:pt>
              <c:pt idx="1">
                <c:v>26.85</c:v>
              </c:pt>
              <c:pt idx="2">
                <c:v>26.333333333333332</c:v>
              </c:pt>
              <c:pt idx="3">
                <c:v>24.425000000000001</c:v>
              </c:pt>
              <c:pt idx="4">
                <c:v>23.360000000000003</c:v>
              </c:pt>
              <c:pt idx="5">
                <c:v>22.350000000000005</c:v>
              </c:pt>
              <c:pt idx="6">
                <c:v>21.314285714285717</c:v>
              </c:pt>
              <c:pt idx="7">
                <c:v>20.512500000000003</c:v>
              </c:pt>
              <c:pt idx="8">
                <c:v>20.422222222222224</c:v>
              </c:pt>
              <c:pt idx="9">
                <c:v>20.330000000000002</c:v>
              </c:pt>
              <c:pt idx="10">
                <c:v>20.154545454545456</c:v>
              </c:pt>
              <c:pt idx="11">
                <c:v>20.041666666666668</c:v>
              </c:pt>
              <c:pt idx="12">
                <c:v>19.723076923076924</c:v>
              </c:pt>
              <c:pt idx="13">
                <c:v>19.392857142857146</c:v>
              </c:pt>
              <c:pt idx="14">
                <c:v>19.166666666666671</c:v>
              </c:pt>
              <c:pt idx="15">
                <c:v>18.962500000000002</c:v>
              </c:pt>
              <c:pt idx="16">
                <c:v>18.805882352941179</c:v>
              </c:pt>
              <c:pt idx="17">
                <c:v>18.56666666666667</c:v>
              </c:pt>
              <c:pt idx="18">
                <c:v>18.205263157894738</c:v>
              </c:pt>
              <c:pt idx="19">
                <c:v>17.865000000000002</c:v>
              </c:pt>
              <c:pt idx="20">
                <c:v>17.714285714285715</c:v>
              </c:pt>
              <c:pt idx="21">
                <c:v>17.531818181818181</c:v>
              </c:pt>
              <c:pt idx="22">
                <c:v>17.582608695652173</c:v>
              </c:pt>
              <c:pt idx="23">
                <c:v>17.537499999999998</c:v>
              </c:pt>
              <c:pt idx="24">
                <c:v>17.488</c:v>
              </c:pt>
              <c:pt idx="25">
                <c:v>17.26923076923077</c:v>
              </c:pt>
              <c:pt idx="26">
                <c:v>17.137037037037036</c:v>
              </c:pt>
              <c:pt idx="27">
                <c:v>17.046428571428571</c:v>
              </c:pt>
              <c:pt idx="28">
                <c:v>17</c:v>
              </c:pt>
              <c:pt idx="29">
                <c:v>16.986666666666668</c:v>
              </c:pt>
              <c:pt idx="30">
                <c:v>16.964516129032258</c:v>
              </c:pt>
            </c:numLit>
          </c:val>
          <c:smooth val="0"/>
        </c:ser>
        <c:ser>
          <c:idx val="9"/>
          <c:order val="6"/>
          <c:tx>
            <c:v>E (Min)</c:v>
          </c:tx>
          <c:spPr>
            <a:ln w="25400">
              <a:solidFill>
                <a:srgbClr val="00CCFF"/>
              </a:solidFill>
              <a:prstDash val="lgDash"/>
            </a:ln>
          </c:spPr>
          <c:marker>
            <c:symbol val="star"/>
            <c:size val="2"/>
            <c:spPr>
              <a:noFill/>
              <a:ln>
                <a:solidFill>
                  <a:srgbClr val="000080"/>
                </a:solidFill>
                <a:prstDash val="solid"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10.007000000000003</c:v>
              </c:pt>
              <c:pt idx="1">
                <c:v>9.9360000000000035</c:v>
              </c:pt>
              <c:pt idx="2">
                <c:v>9.8650000000000038</c:v>
              </c:pt>
              <c:pt idx="3">
                <c:v>9.794000000000004</c:v>
              </c:pt>
              <c:pt idx="4">
                <c:v>9.7230000000000043</c:v>
              </c:pt>
              <c:pt idx="5">
                <c:v>9.6520000000000046</c:v>
              </c:pt>
              <c:pt idx="6">
                <c:v>9.5810000000000048</c:v>
              </c:pt>
              <c:pt idx="7">
                <c:v>9.5100000000000051</c:v>
              </c:pt>
              <c:pt idx="8">
                <c:v>9.4390000000000054</c:v>
              </c:pt>
              <c:pt idx="9">
                <c:v>9.3680000000000057</c:v>
              </c:pt>
              <c:pt idx="10">
                <c:v>9.2970000000000059</c:v>
              </c:pt>
              <c:pt idx="11">
                <c:v>9.2260000000000062</c:v>
              </c:pt>
              <c:pt idx="12">
                <c:v>9.1550000000000065</c:v>
              </c:pt>
              <c:pt idx="13">
                <c:v>9.0840000000000067</c:v>
              </c:pt>
              <c:pt idx="14">
                <c:v>9.013000000000007</c:v>
              </c:pt>
              <c:pt idx="15">
                <c:v>8.9420000000000073</c:v>
              </c:pt>
              <c:pt idx="16">
                <c:v>8.8710000000000075</c:v>
              </c:pt>
              <c:pt idx="17">
                <c:v>8.8000000000000007</c:v>
              </c:pt>
              <c:pt idx="18">
                <c:v>8.6640000000000015</c:v>
              </c:pt>
              <c:pt idx="19">
                <c:v>8.5280000000000022</c:v>
              </c:pt>
              <c:pt idx="20">
                <c:v>8.392000000000003</c:v>
              </c:pt>
              <c:pt idx="21">
                <c:v>8.2560000000000038</c:v>
              </c:pt>
              <c:pt idx="22">
                <c:v>8.1200000000000045</c:v>
              </c:pt>
              <c:pt idx="23">
                <c:v>7.9840000000000044</c:v>
              </c:pt>
              <c:pt idx="24">
                <c:v>7.8480000000000043</c:v>
              </c:pt>
              <c:pt idx="25">
                <c:v>7.7120000000000042</c:v>
              </c:pt>
              <c:pt idx="26">
                <c:v>7.5760000000000041</c:v>
              </c:pt>
              <c:pt idx="27">
                <c:v>7.4400000000000039</c:v>
              </c:pt>
              <c:pt idx="28">
                <c:v>7.3040000000000038</c:v>
              </c:pt>
              <c:pt idx="29">
                <c:v>7.1680000000000037</c:v>
              </c:pt>
              <c:pt idx="30">
                <c:v>7.0320000000000036</c:v>
              </c:pt>
            </c:numLit>
          </c:val>
          <c:smooth val="0"/>
        </c:ser>
        <c:ser>
          <c:idx val="8"/>
          <c:order val="7"/>
          <c:tx>
            <c:v>E (Max)</c:v>
          </c:tx>
          <c:spPr>
            <a:ln w="25400">
              <a:solidFill>
                <a:srgbClr val="FFCC00"/>
              </a:solidFill>
              <a:prstDash val="lgDash"/>
            </a:ln>
          </c:spPr>
          <c:marker>
            <c:symbol val="diamond"/>
            <c:size val="2"/>
            <c:spPr>
              <a:noFill/>
              <a:ln>
                <a:solidFill>
                  <a:srgbClr val="FFCC00"/>
                </a:solidFill>
                <a:prstDash val="solid"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16.534333333333326</c:v>
              </c:pt>
              <c:pt idx="1">
                <c:v>16.414666666666658</c:v>
              </c:pt>
              <c:pt idx="2">
                <c:v>16.294999999999991</c:v>
              </c:pt>
              <c:pt idx="3">
                <c:v>16.175333333333324</c:v>
              </c:pt>
              <c:pt idx="4">
                <c:v>16.055666666666657</c:v>
              </c:pt>
              <c:pt idx="5">
                <c:v>15.935999999999989</c:v>
              </c:pt>
              <c:pt idx="6">
                <c:v>15.816333333333322</c:v>
              </c:pt>
              <c:pt idx="7">
                <c:v>15.696666666666655</c:v>
              </c:pt>
              <c:pt idx="8">
                <c:v>15.576999999999988</c:v>
              </c:pt>
              <c:pt idx="9">
                <c:v>15.45733333333332</c:v>
              </c:pt>
              <c:pt idx="10">
                <c:v>15.337666666666653</c:v>
              </c:pt>
              <c:pt idx="11">
                <c:v>15.217999999999986</c:v>
              </c:pt>
              <c:pt idx="12">
                <c:v>15.098333333333319</c:v>
              </c:pt>
              <c:pt idx="13">
                <c:v>14.978666666666651</c:v>
              </c:pt>
              <c:pt idx="14">
                <c:v>14.858999999999984</c:v>
              </c:pt>
              <c:pt idx="15">
                <c:v>14.739333333333317</c:v>
              </c:pt>
              <c:pt idx="16">
                <c:v>14.619666666666649</c:v>
              </c:pt>
              <c:pt idx="17">
                <c:v>14.5</c:v>
              </c:pt>
              <c:pt idx="18">
                <c:v>14.338461538461539</c:v>
              </c:pt>
              <c:pt idx="19">
                <c:v>14.176923076923078</c:v>
              </c:pt>
              <c:pt idx="20">
                <c:v>14.015384615384617</c:v>
              </c:pt>
              <c:pt idx="21">
                <c:v>13.853846153846156</c:v>
              </c:pt>
              <c:pt idx="22">
                <c:v>13.692307692307695</c:v>
              </c:pt>
              <c:pt idx="23">
                <c:v>13.530769230769234</c:v>
              </c:pt>
              <c:pt idx="24">
                <c:v>13.369230769230773</c:v>
              </c:pt>
              <c:pt idx="25">
                <c:v>13.207692307692312</c:v>
              </c:pt>
              <c:pt idx="26">
                <c:v>13.046153846153851</c:v>
              </c:pt>
              <c:pt idx="27">
                <c:v>12.88461538461539</c:v>
              </c:pt>
              <c:pt idx="28">
                <c:v>12.723076923076929</c:v>
              </c:pt>
              <c:pt idx="29">
                <c:v>12.561538461538468</c:v>
              </c:pt>
              <c:pt idx="30">
                <c:v>12.399999999999999</c:v>
              </c:pt>
            </c:numLit>
          </c:val>
          <c:smooth val="0"/>
        </c:ser>
        <c:ser>
          <c:idx val="4"/>
          <c:order val="8"/>
          <c:tx>
            <c:v>E (Mean)</c:v>
          </c:tx>
          <c:spPr>
            <a:ln w="25400">
              <a:solidFill>
                <a:srgbClr val="CC99FF"/>
              </a:solidFill>
              <a:prstDash val="lgDash"/>
            </a:ln>
          </c:spPr>
          <c:marker>
            <c:symbol val="square"/>
            <c:size val="2"/>
            <c:spPr>
              <a:noFill/>
              <a:ln w="9525">
                <a:noFill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13.270666666666664</c:v>
              </c:pt>
              <c:pt idx="1">
                <c:v>13.175333333333331</c:v>
              </c:pt>
              <c:pt idx="2">
                <c:v>13.079999999999998</c:v>
              </c:pt>
              <c:pt idx="3">
                <c:v>12.984666666666664</c:v>
              </c:pt>
              <c:pt idx="4">
                <c:v>12.88933333333333</c:v>
              </c:pt>
              <c:pt idx="5">
                <c:v>12.793999999999997</c:v>
              </c:pt>
              <c:pt idx="6">
                <c:v>12.698666666666664</c:v>
              </c:pt>
              <c:pt idx="7">
                <c:v>12.60333333333333</c:v>
              </c:pt>
              <c:pt idx="8">
                <c:v>12.507999999999996</c:v>
              </c:pt>
              <c:pt idx="9">
                <c:v>12.412666666666663</c:v>
              </c:pt>
              <c:pt idx="10">
                <c:v>12.31733333333333</c:v>
              </c:pt>
              <c:pt idx="11">
                <c:v>12.221999999999996</c:v>
              </c:pt>
              <c:pt idx="12">
                <c:v>12.126666666666662</c:v>
              </c:pt>
              <c:pt idx="13">
                <c:v>12.031333333333329</c:v>
              </c:pt>
              <c:pt idx="14">
                <c:v>11.935999999999996</c:v>
              </c:pt>
              <c:pt idx="15">
                <c:v>11.840666666666662</c:v>
              </c:pt>
              <c:pt idx="16">
                <c:v>11.745333333333328</c:v>
              </c:pt>
              <c:pt idx="17">
                <c:v>11.65</c:v>
              </c:pt>
              <c:pt idx="18">
                <c:v>11.501230769230769</c:v>
              </c:pt>
              <c:pt idx="19">
                <c:v>11.35246153846154</c:v>
              </c:pt>
              <c:pt idx="20">
                <c:v>11.203692307692311</c:v>
              </c:pt>
              <c:pt idx="21">
                <c:v>11.05492307692308</c:v>
              </c:pt>
              <c:pt idx="22">
                <c:v>10.906153846153849</c:v>
              </c:pt>
              <c:pt idx="23">
                <c:v>10.75738461538462</c:v>
              </c:pt>
              <c:pt idx="24">
                <c:v>10.608615384615389</c:v>
              </c:pt>
              <c:pt idx="25">
                <c:v>10.459846153846158</c:v>
              </c:pt>
              <c:pt idx="26">
                <c:v>10.311076923076929</c:v>
              </c:pt>
              <c:pt idx="27">
                <c:v>10.162307692307698</c:v>
              </c:pt>
              <c:pt idx="28">
                <c:v>10.013538461538467</c:v>
              </c:pt>
              <c:pt idx="29">
                <c:v>9.8647692307692356</c:v>
              </c:pt>
              <c:pt idx="30">
                <c:v>9.7160000000000011</c:v>
              </c:pt>
            </c:numLit>
          </c:val>
          <c:smooth val="1"/>
        </c:ser>
        <c:ser>
          <c:idx val="14"/>
          <c:order val="10"/>
          <c:tx>
            <c:v>Freezing Level</c:v>
          </c:tx>
          <c:spPr>
            <a:ln w="38100">
              <a:solidFill>
                <a:srgbClr val="000080"/>
              </a:solidFill>
              <a:prstDash val="sysDash"/>
            </a:ln>
          </c:spPr>
          <c:marker>
            <c:symbol val="none"/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2084480"/>
        <c:axId val="132086016"/>
      </c:lineChart>
      <c:lineChart>
        <c:grouping val="standard"/>
        <c:varyColors val="0"/>
        <c:ser>
          <c:idx val="3"/>
          <c:order val="4"/>
          <c:tx>
            <c:v>Range</c:v>
          </c:tx>
          <c:spPr>
            <a:ln w="38100">
              <a:solidFill>
                <a:srgbClr val="339966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14.8</c:v>
              </c:pt>
              <c:pt idx="1">
                <c:v>14.8</c:v>
              </c:pt>
              <c:pt idx="2">
                <c:v>9.1</c:v>
              </c:pt>
              <c:pt idx="3">
                <c:v>2.9</c:v>
              </c:pt>
              <c:pt idx="4">
                <c:v>3.3</c:v>
              </c:pt>
              <c:pt idx="5">
                <c:v>6.6</c:v>
              </c:pt>
              <c:pt idx="6">
                <c:v>6</c:v>
              </c:pt>
              <c:pt idx="7">
                <c:v>5.3</c:v>
              </c:pt>
              <c:pt idx="8">
                <c:v>5.3</c:v>
              </c:pt>
              <c:pt idx="9">
                <c:v>3.7</c:v>
              </c:pt>
              <c:pt idx="10">
                <c:v>3.1</c:v>
              </c:pt>
              <c:pt idx="11">
                <c:v>4.0999999999999996</c:v>
              </c:pt>
              <c:pt idx="12">
                <c:v>4.8</c:v>
              </c:pt>
              <c:pt idx="13">
                <c:v>7.6</c:v>
              </c:pt>
              <c:pt idx="14">
                <c:v>10.4</c:v>
              </c:pt>
              <c:pt idx="15">
                <c:v>12.6</c:v>
              </c:pt>
              <c:pt idx="16">
                <c:v>8.3000000000000007</c:v>
              </c:pt>
              <c:pt idx="17">
                <c:v>6.5</c:v>
              </c:pt>
              <c:pt idx="18">
                <c:v>6.9</c:v>
              </c:pt>
              <c:pt idx="19">
                <c:v>8.1</c:v>
              </c:pt>
              <c:pt idx="20">
                <c:v>9.1</c:v>
              </c:pt>
              <c:pt idx="21">
                <c:v>5.8</c:v>
              </c:pt>
              <c:pt idx="22">
                <c:v>9.3000000000000007</c:v>
              </c:pt>
              <c:pt idx="23">
                <c:v>5.3</c:v>
              </c:pt>
              <c:pt idx="24">
                <c:v>5.8</c:v>
              </c:pt>
              <c:pt idx="25">
                <c:v>3</c:v>
              </c:pt>
              <c:pt idx="26">
                <c:v>2.6</c:v>
              </c:pt>
              <c:pt idx="27">
                <c:v>5.7</c:v>
              </c:pt>
              <c:pt idx="28">
                <c:v>3.3</c:v>
              </c:pt>
              <c:pt idx="29">
                <c:v>2.8</c:v>
              </c:pt>
              <c:pt idx="30">
                <c:v>3.1</c:v>
              </c:pt>
            </c:numLit>
          </c:val>
          <c:smooth val="0"/>
        </c:ser>
        <c:ser>
          <c:idx val="12"/>
          <c:order val="5"/>
          <c:tx>
            <c:v>Cumulative Range</c:v>
          </c:tx>
          <c:spPr>
            <a:ln w="12700">
              <a:solidFill>
                <a:srgbClr val="008000"/>
              </a:solidFill>
              <a:prstDash val="solid"/>
            </a:ln>
          </c:spPr>
          <c:marker>
            <c:symbol val="none"/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14.8</c:v>
              </c:pt>
              <c:pt idx="1">
                <c:v>14.8</c:v>
              </c:pt>
              <c:pt idx="2">
                <c:v>12.9</c:v>
              </c:pt>
              <c:pt idx="3">
                <c:v>10.4</c:v>
              </c:pt>
              <c:pt idx="4">
                <c:v>8.98</c:v>
              </c:pt>
              <c:pt idx="5">
                <c:v>8.5833333333333339</c:v>
              </c:pt>
              <c:pt idx="6">
                <c:v>8.2142857142857135</c:v>
              </c:pt>
              <c:pt idx="7">
                <c:v>7.85</c:v>
              </c:pt>
              <c:pt idx="8">
                <c:v>7.5666666666666664</c:v>
              </c:pt>
              <c:pt idx="9">
                <c:v>7.18</c:v>
              </c:pt>
              <c:pt idx="10">
                <c:v>6.8090909090909086</c:v>
              </c:pt>
              <c:pt idx="11">
                <c:v>6.5833333333333321</c:v>
              </c:pt>
              <c:pt idx="12">
                <c:v>6.4461538461538446</c:v>
              </c:pt>
              <c:pt idx="13">
                <c:v>6.5285714285714267</c:v>
              </c:pt>
              <c:pt idx="14">
                <c:v>6.7866666666666653</c:v>
              </c:pt>
              <c:pt idx="15">
                <c:v>7.1499999999999986</c:v>
              </c:pt>
              <c:pt idx="16">
                <c:v>7.2176470588235278</c:v>
              </c:pt>
              <c:pt idx="17">
                <c:v>7.1777777777777771</c:v>
              </c:pt>
              <c:pt idx="18">
                <c:v>7.1631578947368419</c:v>
              </c:pt>
              <c:pt idx="19">
                <c:v>7.2099999999999991</c:v>
              </c:pt>
              <c:pt idx="20">
                <c:v>7.2999999999999989</c:v>
              </c:pt>
              <c:pt idx="21">
                <c:v>7.2318181818181815</c:v>
              </c:pt>
              <c:pt idx="22">
                <c:v>7.321739130434783</c:v>
              </c:pt>
              <c:pt idx="23">
                <c:v>7.2375000000000007</c:v>
              </c:pt>
              <c:pt idx="24">
                <c:v>7.1800000000000015</c:v>
              </c:pt>
              <c:pt idx="25">
                <c:v>7.0192307692307701</c:v>
              </c:pt>
              <c:pt idx="26">
                <c:v>6.8555555555555561</c:v>
              </c:pt>
              <c:pt idx="27">
                <c:v>6.8142857142857149</c:v>
              </c:pt>
              <c:pt idx="28">
                <c:v>6.6931034482758625</c:v>
              </c:pt>
              <c:pt idx="29">
                <c:v>6.5633333333333344</c:v>
              </c:pt>
              <c:pt idx="30">
                <c:v>6.4516129032258069</c:v>
              </c:pt>
            </c:numLit>
          </c:val>
          <c:smooth val="0"/>
        </c:ser>
        <c:ser>
          <c:idx val="11"/>
          <c:order val="9"/>
          <c:tx>
            <c:v>E (Range)</c:v>
          </c:tx>
          <c:spPr>
            <a:ln w="25400">
              <a:solidFill>
                <a:srgbClr val="00FF00"/>
              </a:solidFill>
              <a:prstDash val="lgDash"/>
            </a:ln>
          </c:spPr>
          <c:marker>
            <c:symbol val="none"/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6.5273333333333223</c:v>
              </c:pt>
              <c:pt idx="1">
                <c:v>6.4786666666666548</c:v>
              </c:pt>
              <c:pt idx="2">
                <c:v>6.4299999999999873</c:v>
              </c:pt>
              <c:pt idx="3">
                <c:v>6.3813333333333198</c:v>
              </c:pt>
              <c:pt idx="4">
                <c:v>6.3326666666666522</c:v>
              </c:pt>
              <c:pt idx="5">
                <c:v>6.2839999999999847</c:v>
              </c:pt>
              <c:pt idx="6">
                <c:v>6.2353333333333172</c:v>
              </c:pt>
              <c:pt idx="7">
                <c:v>6.1866666666666497</c:v>
              </c:pt>
              <c:pt idx="8">
                <c:v>6.1379999999999821</c:v>
              </c:pt>
              <c:pt idx="9">
                <c:v>6.0893333333333146</c:v>
              </c:pt>
              <c:pt idx="10">
                <c:v>6.0406666666666471</c:v>
              </c:pt>
              <c:pt idx="11">
                <c:v>5.9919999999999796</c:v>
              </c:pt>
              <c:pt idx="12">
                <c:v>5.943333333333312</c:v>
              </c:pt>
              <c:pt idx="13">
                <c:v>5.8946666666666445</c:v>
              </c:pt>
              <c:pt idx="14">
                <c:v>5.845999999999977</c:v>
              </c:pt>
              <c:pt idx="15">
                <c:v>5.7973333333333095</c:v>
              </c:pt>
              <c:pt idx="16">
                <c:v>5.7486666666666419</c:v>
              </c:pt>
              <c:pt idx="17">
                <c:v>5.6999999999999993</c:v>
              </c:pt>
              <c:pt idx="18">
                <c:v>5.6744615384615376</c:v>
              </c:pt>
              <c:pt idx="19">
                <c:v>5.6489230769230758</c:v>
              </c:pt>
              <c:pt idx="20">
                <c:v>5.6233846153846141</c:v>
              </c:pt>
              <c:pt idx="21">
                <c:v>5.5978461538461524</c:v>
              </c:pt>
              <c:pt idx="22">
                <c:v>5.5723076923076906</c:v>
              </c:pt>
              <c:pt idx="23">
                <c:v>5.5467692307692298</c:v>
              </c:pt>
              <c:pt idx="24">
                <c:v>5.5212307692307689</c:v>
              </c:pt>
              <c:pt idx="25">
                <c:v>5.4956923076923081</c:v>
              </c:pt>
              <c:pt idx="26">
                <c:v>5.4701538461538473</c:v>
              </c:pt>
              <c:pt idx="27">
                <c:v>5.4446153846153864</c:v>
              </c:pt>
              <c:pt idx="28">
                <c:v>5.4190769230769256</c:v>
              </c:pt>
              <c:pt idx="29">
                <c:v>5.3935384615384647</c:v>
              </c:pt>
              <c:pt idx="30">
                <c:v>5.367999999999995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2091904"/>
        <c:axId val="132093440"/>
      </c:lineChart>
      <c:catAx>
        <c:axId val="132084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2086016"/>
        <c:crossesAt val="-10"/>
        <c:auto val="1"/>
        <c:lblAlgn val="ctr"/>
        <c:lblOffset val="100"/>
        <c:tickLblSkip val="1"/>
        <c:tickMarkSkip val="1"/>
        <c:noMultiLvlLbl val="0"/>
      </c:catAx>
      <c:valAx>
        <c:axId val="132086016"/>
        <c:scaling>
          <c:orientation val="minMax"/>
          <c:max val="28"/>
          <c:min val="0"/>
        </c:scaling>
        <c:delete val="0"/>
        <c:axPos val="l"/>
        <c:majorGridlines>
          <c:spPr>
            <a:ln w="12700">
              <a:solidFill>
                <a:srgbClr val="333333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2084480"/>
        <c:crosses val="autoZero"/>
        <c:crossBetween val="between"/>
        <c:majorUnit val="5"/>
      </c:valAx>
      <c:catAx>
        <c:axId val="1320919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2093440"/>
        <c:crosses val="autoZero"/>
        <c:auto val="1"/>
        <c:lblAlgn val="ctr"/>
        <c:lblOffset val="100"/>
        <c:noMultiLvlLbl val="0"/>
      </c:catAx>
      <c:valAx>
        <c:axId val="132093440"/>
        <c:scaling>
          <c:orientation val="minMax"/>
          <c:max val="56"/>
          <c:min val="0"/>
        </c:scaling>
        <c:delete val="0"/>
        <c:axPos val="r"/>
        <c:numFmt formatCode="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2091904"/>
        <c:crosses val="max"/>
        <c:crossBetween val="between"/>
        <c:majorUnit val="10"/>
      </c:valAx>
      <c:spPr>
        <a:solidFill>
          <a:srgbClr val="969696"/>
        </a:solidFill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7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Pressure / hPa</a:t>
            </a:r>
          </a:p>
        </c:rich>
      </c:tx>
      <c:layout>
        <c:manualLayout>
          <c:xMode val="edge"/>
          <c:yMode val="edge"/>
          <c:x val="0.45677498467198036"/>
          <c:y val="1.858304297328687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94788473329246E-2"/>
          <c:y val="8.5946671233793417E-2"/>
          <c:w val="0.94236664622930721"/>
          <c:h val="0.86411247835057159"/>
        </c:manualLayout>
      </c:layout>
      <c:lineChart>
        <c:grouping val="standard"/>
        <c:varyColors val="0"/>
        <c:ser>
          <c:idx val="5"/>
          <c:order val="0"/>
          <c:tx>
            <c:v>Cum. Mean</c:v>
          </c:tx>
          <c:spPr>
            <a:ln w="12700">
              <a:solidFill>
                <a:srgbClr val="993366"/>
              </a:solidFill>
              <a:prstDash val="solid"/>
            </a:ln>
          </c:spPr>
          <c:marker>
            <c:symbol val="square"/>
            <c:size val="2"/>
            <c:spPr>
              <a:noFill/>
              <a:ln>
                <a:solidFill>
                  <a:srgbClr val="808080"/>
                </a:solidFill>
                <a:prstDash val="solid"/>
              </a:ln>
            </c:spPr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1009.5</c:v>
              </c:pt>
              <c:pt idx="1">
                <c:v>1006.75</c:v>
              </c:pt>
              <c:pt idx="2">
                <c:v>1002.3333333333334</c:v>
              </c:pt>
              <c:pt idx="3">
                <c:v>1000.75</c:v>
              </c:pt>
              <c:pt idx="4">
                <c:v>1002.6</c:v>
              </c:pt>
              <c:pt idx="5">
                <c:v>1005.75</c:v>
              </c:pt>
              <c:pt idx="6">
                <c:v>1007.8571428571429</c:v>
              </c:pt>
              <c:pt idx="7">
                <c:v>1008.6875</c:v>
              </c:pt>
              <c:pt idx="8">
                <c:v>1009.5</c:v>
              </c:pt>
              <c:pt idx="9">
                <c:v>1010.35</c:v>
              </c:pt>
              <c:pt idx="10">
                <c:v>1010.9545454545455</c:v>
              </c:pt>
              <c:pt idx="11">
                <c:v>1012.0416666666666</c:v>
              </c:pt>
              <c:pt idx="12">
                <c:v>1013.2692346153847</c:v>
              </c:pt>
              <c:pt idx="13">
                <c:v>1014.0000035714286</c:v>
              </c:pt>
              <c:pt idx="14">
                <c:v>1014.3000033333334</c:v>
              </c:pt>
              <c:pt idx="15">
                <c:v>1014.468753125</c:v>
              </c:pt>
              <c:pt idx="16">
                <c:v>1014.6764735294119</c:v>
              </c:pt>
              <c:pt idx="17">
                <c:v>1014.8333361111113</c:v>
              </c:pt>
              <c:pt idx="18">
                <c:v>1014.9736868421054</c:v>
              </c:pt>
              <c:pt idx="19">
                <c:v>1015.1500025000001</c:v>
              </c:pt>
              <c:pt idx="20">
                <c:v>1015.1666690476192</c:v>
              </c:pt>
              <c:pt idx="21">
                <c:v>1015.3636386363637</c:v>
              </c:pt>
              <c:pt idx="22">
                <c:v>1015.8478282608696</c:v>
              </c:pt>
              <c:pt idx="23">
                <c:v>1016.2500020833335</c:v>
              </c:pt>
              <c:pt idx="24">
                <c:v>1016.6000020000001</c:v>
              </c:pt>
              <c:pt idx="25">
                <c:v>1016.9038480769232</c:v>
              </c:pt>
              <c:pt idx="26">
                <c:v>1017.074075925926</c:v>
              </c:pt>
              <c:pt idx="27">
                <c:v>1017.2142875000001</c:v>
              </c:pt>
              <c:pt idx="28">
                <c:v>1016.9310362068966</c:v>
              </c:pt>
              <c:pt idx="29">
                <c:v>1016.9000016666668</c:v>
              </c:pt>
            </c:numLit>
          </c:val>
          <c:smooth val="0"/>
        </c:ser>
        <c:ser>
          <c:idx val="1"/>
          <c:order val="1"/>
          <c:tx>
            <c:v>Max</c:v>
          </c:tx>
          <c:spPr>
            <a:ln w="38100">
              <a:solidFill>
                <a:srgbClr val="00CCFF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1013</c:v>
              </c:pt>
              <c:pt idx="1">
                <c:v>1012</c:v>
              </c:pt>
              <c:pt idx="2">
                <c:v>996</c:v>
              </c:pt>
              <c:pt idx="3">
                <c:v>1002</c:v>
              </c:pt>
              <c:pt idx="4">
                <c:v>1018</c:v>
              </c:pt>
              <c:pt idx="5">
                <c:v>1026</c:v>
              </c:pt>
              <c:pt idx="6">
                <c:v>1025</c:v>
              </c:pt>
              <c:pt idx="7">
                <c:v>1016</c:v>
              </c:pt>
              <c:pt idx="8">
                <c:v>1018</c:v>
              </c:pt>
              <c:pt idx="9">
                <c:v>1019</c:v>
              </c:pt>
              <c:pt idx="10">
                <c:v>1018</c:v>
              </c:pt>
              <c:pt idx="11">
                <c:v>1030</c:v>
              </c:pt>
              <c:pt idx="12">
                <c:v>1030.0001</c:v>
              </c:pt>
              <c:pt idx="13">
                <c:v>1026</c:v>
              </c:pt>
              <c:pt idx="14">
                <c:v>1021</c:v>
              </c:pt>
              <c:pt idx="15">
                <c:v>1018</c:v>
              </c:pt>
              <c:pt idx="16">
                <c:v>1020</c:v>
              </c:pt>
              <c:pt idx="17">
                <c:v>1019</c:v>
              </c:pt>
              <c:pt idx="18">
                <c:v>1019</c:v>
              </c:pt>
              <c:pt idx="19">
                <c:v>1020</c:v>
              </c:pt>
              <c:pt idx="20">
                <c:v>1017</c:v>
              </c:pt>
              <c:pt idx="21">
                <c:v>1024</c:v>
              </c:pt>
              <c:pt idx="22">
                <c:v>1029</c:v>
              </c:pt>
              <c:pt idx="23">
                <c:v>1029</c:v>
              </c:pt>
              <c:pt idx="24">
                <c:v>1030</c:v>
              </c:pt>
              <c:pt idx="25">
                <c:v>1030</c:v>
              </c:pt>
              <c:pt idx="26">
                <c:v>1029</c:v>
              </c:pt>
              <c:pt idx="27">
                <c:v>1028</c:v>
              </c:pt>
              <c:pt idx="28">
                <c:v>1016</c:v>
              </c:pt>
              <c:pt idx="29">
                <c:v>1022</c:v>
              </c:pt>
            </c:numLit>
          </c:val>
          <c:smooth val="0"/>
        </c:ser>
        <c:ser>
          <c:idx val="0"/>
          <c:order val="3"/>
          <c:tx>
            <c:v>Min</c:v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1006</c:v>
              </c:pt>
              <c:pt idx="1">
                <c:v>996</c:v>
              </c:pt>
              <c:pt idx="2">
                <c:v>991</c:v>
              </c:pt>
              <c:pt idx="3">
                <c:v>990</c:v>
              </c:pt>
              <c:pt idx="4">
                <c:v>1002</c:v>
              </c:pt>
              <c:pt idx="5">
                <c:v>1017</c:v>
              </c:pt>
              <c:pt idx="6">
                <c:v>1016</c:v>
              </c:pt>
              <c:pt idx="7">
                <c:v>1013</c:v>
              </c:pt>
              <c:pt idx="8">
                <c:v>1014</c:v>
              </c:pt>
              <c:pt idx="9">
                <c:v>1017</c:v>
              </c:pt>
              <c:pt idx="10">
                <c:v>1016</c:v>
              </c:pt>
              <c:pt idx="11">
                <c:v>1018</c:v>
              </c:pt>
              <c:pt idx="12">
                <c:v>1026</c:v>
              </c:pt>
              <c:pt idx="13">
                <c:v>1021</c:v>
              </c:pt>
              <c:pt idx="14">
                <c:v>1016</c:v>
              </c:pt>
              <c:pt idx="15">
                <c:v>1016</c:v>
              </c:pt>
              <c:pt idx="16">
                <c:v>1016</c:v>
              </c:pt>
              <c:pt idx="17">
                <c:v>1016</c:v>
              </c:pt>
              <c:pt idx="18">
                <c:v>1016</c:v>
              </c:pt>
              <c:pt idx="19">
                <c:v>1017</c:v>
              </c:pt>
              <c:pt idx="20">
                <c:v>1014</c:v>
              </c:pt>
              <c:pt idx="21">
                <c:v>1015</c:v>
              </c:pt>
              <c:pt idx="22">
                <c:v>1024</c:v>
              </c:pt>
              <c:pt idx="23">
                <c:v>1022</c:v>
              </c:pt>
              <c:pt idx="24">
                <c:v>1020</c:v>
              </c:pt>
              <c:pt idx="25">
                <c:v>1019</c:v>
              </c:pt>
              <c:pt idx="26">
                <c:v>1014</c:v>
              </c:pt>
              <c:pt idx="27">
                <c:v>1014</c:v>
              </c:pt>
              <c:pt idx="28">
                <c:v>1002</c:v>
              </c:pt>
              <c:pt idx="29">
                <c:v>1010</c:v>
              </c:pt>
            </c:numLit>
          </c:val>
          <c:smooth val="0"/>
        </c:ser>
        <c:ser>
          <c:idx val="4"/>
          <c:order val="4"/>
          <c:tx>
            <c:v>MSLP</c:v>
          </c:tx>
          <c:spPr>
            <a:ln w="25400">
              <a:solidFill>
                <a:srgbClr val="CC99FF"/>
              </a:solidFill>
              <a:prstDash val="lgDash"/>
            </a:ln>
          </c:spPr>
          <c:marker>
            <c:symbol val="none"/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1013.25</c:v>
              </c:pt>
              <c:pt idx="1">
                <c:v>1013.25</c:v>
              </c:pt>
              <c:pt idx="2">
                <c:v>1013.25</c:v>
              </c:pt>
              <c:pt idx="3">
                <c:v>1013.25</c:v>
              </c:pt>
              <c:pt idx="4">
                <c:v>1013.25</c:v>
              </c:pt>
              <c:pt idx="5">
                <c:v>1013.25</c:v>
              </c:pt>
              <c:pt idx="6">
                <c:v>1013.25</c:v>
              </c:pt>
              <c:pt idx="7">
                <c:v>1013.25</c:v>
              </c:pt>
              <c:pt idx="8">
                <c:v>1013.25</c:v>
              </c:pt>
              <c:pt idx="9">
                <c:v>1013.25</c:v>
              </c:pt>
              <c:pt idx="10">
                <c:v>1013.25</c:v>
              </c:pt>
              <c:pt idx="11">
                <c:v>1013.25</c:v>
              </c:pt>
              <c:pt idx="12">
                <c:v>1013.25</c:v>
              </c:pt>
              <c:pt idx="13">
                <c:v>1013.25</c:v>
              </c:pt>
              <c:pt idx="14">
                <c:v>1013.25</c:v>
              </c:pt>
              <c:pt idx="15">
                <c:v>1013.25</c:v>
              </c:pt>
              <c:pt idx="16">
                <c:v>1013.25</c:v>
              </c:pt>
              <c:pt idx="17">
                <c:v>1013.25</c:v>
              </c:pt>
              <c:pt idx="18">
                <c:v>1013.25</c:v>
              </c:pt>
              <c:pt idx="19">
                <c:v>1013.25</c:v>
              </c:pt>
              <c:pt idx="20">
                <c:v>1013.25</c:v>
              </c:pt>
              <c:pt idx="21">
                <c:v>1013.25</c:v>
              </c:pt>
              <c:pt idx="22">
                <c:v>1013.25</c:v>
              </c:pt>
              <c:pt idx="23">
                <c:v>1013.25</c:v>
              </c:pt>
              <c:pt idx="24">
                <c:v>1013.25</c:v>
              </c:pt>
              <c:pt idx="25">
                <c:v>1013.25</c:v>
              </c:pt>
              <c:pt idx="26">
                <c:v>1013.25</c:v>
              </c:pt>
              <c:pt idx="27">
                <c:v>1013.25</c:v>
              </c:pt>
              <c:pt idx="28">
                <c:v>1013.25</c:v>
              </c:pt>
              <c:pt idx="29">
                <c:v>1013.25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294656"/>
        <c:axId val="38296192"/>
      </c:lineChart>
      <c:lineChart>
        <c:grouping val="standard"/>
        <c:varyColors val="0"/>
        <c:ser>
          <c:idx val="3"/>
          <c:order val="2"/>
          <c:tx>
            <c:v>Range</c:v>
          </c:tx>
          <c:spPr>
            <a:ln w="25400">
              <a:solidFill>
                <a:srgbClr val="00FF00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7</c:v>
              </c:pt>
              <c:pt idx="1">
                <c:v>16</c:v>
              </c:pt>
              <c:pt idx="2">
                <c:v>5</c:v>
              </c:pt>
              <c:pt idx="3">
                <c:v>12</c:v>
              </c:pt>
              <c:pt idx="4">
                <c:v>16</c:v>
              </c:pt>
              <c:pt idx="5">
                <c:v>9</c:v>
              </c:pt>
              <c:pt idx="6">
                <c:v>9</c:v>
              </c:pt>
              <c:pt idx="7">
                <c:v>3</c:v>
              </c:pt>
              <c:pt idx="8">
                <c:v>4</c:v>
              </c:pt>
              <c:pt idx="9">
                <c:v>2</c:v>
              </c:pt>
              <c:pt idx="10">
                <c:v>2</c:v>
              </c:pt>
              <c:pt idx="11">
                <c:v>12</c:v>
              </c:pt>
              <c:pt idx="12">
                <c:v>4.0000999999999749</c:v>
              </c:pt>
              <c:pt idx="13">
                <c:v>5</c:v>
              </c:pt>
              <c:pt idx="14">
                <c:v>5</c:v>
              </c:pt>
              <c:pt idx="15">
                <c:v>2</c:v>
              </c:pt>
              <c:pt idx="16">
                <c:v>4</c:v>
              </c:pt>
              <c:pt idx="17">
                <c:v>3</c:v>
              </c:pt>
              <c:pt idx="18">
                <c:v>3</c:v>
              </c:pt>
              <c:pt idx="19">
                <c:v>3</c:v>
              </c:pt>
              <c:pt idx="20">
                <c:v>3</c:v>
              </c:pt>
              <c:pt idx="21">
                <c:v>9</c:v>
              </c:pt>
              <c:pt idx="22">
                <c:v>5</c:v>
              </c:pt>
              <c:pt idx="23">
                <c:v>7</c:v>
              </c:pt>
              <c:pt idx="24">
                <c:v>10</c:v>
              </c:pt>
              <c:pt idx="25">
                <c:v>11</c:v>
              </c:pt>
              <c:pt idx="26">
                <c:v>15</c:v>
              </c:pt>
              <c:pt idx="27">
                <c:v>14</c:v>
              </c:pt>
              <c:pt idx="28">
                <c:v>14</c:v>
              </c:pt>
              <c:pt idx="29">
                <c:v>12</c:v>
              </c:pt>
            </c:numLit>
          </c:val>
          <c:smooth val="0"/>
        </c:ser>
        <c:ser>
          <c:idx val="6"/>
          <c:order val="5"/>
          <c:tx>
            <c:v>Rainfall/3</c:v>
          </c:tx>
          <c:spPr>
            <a:ln w="12700">
              <a:solidFill>
                <a:srgbClr val="33CCCC"/>
              </a:solidFill>
              <a:prstDash val="solid"/>
            </a:ln>
          </c:spPr>
          <c:marker>
            <c:symbol val="none"/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0.3666666666666667</c:v>
              </c:pt>
              <c:pt idx="1">
                <c:v>9.9999999999999992E-2</c:v>
              </c:pt>
              <c:pt idx="2">
                <c:v>2.1999999999999997</c:v>
              </c:pt>
              <c:pt idx="3">
                <c:v>4.4666666666666668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0.3666666666666667</c:v>
              </c:pt>
              <c:pt idx="8">
                <c:v>0.3666666666666667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0.16666666666666666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9.9999999999999992E-2</c:v>
              </c:pt>
              <c:pt idx="27">
                <c:v>0</c:v>
              </c:pt>
              <c:pt idx="28">
                <c:v>0.26666666666666666</c:v>
              </c:pt>
              <c:pt idx="29">
                <c:v>0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470016"/>
        <c:axId val="38471552"/>
      </c:lineChart>
      <c:catAx>
        <c:axId val="38294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82961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38296192"/>
        <c:scaling>
          <c:orientation val="minMax"/>
          <c:max val="1030"/>
          <c:min val="980"/>
        </c:scaling>
        <c:delete val="0"/>
        <c:axPos val="l"/>
        <c:majorGridlines>
          <c:spPr>
            <a:ln w="3175">
              <a:solidFill>
                <a:srgbClr val="333333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8294656"/>
        <c:crosses val="autoZero"/>
        <c:crossBetween val="between"/>
        <c:majorUnit val="10"/>
      </c:valAx>
      <c:catAx>
        <c:axId val="384700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8471552"/>
        <c:crosses val="autoZero"/>
        <c:auto val="1"/>
        <c:lblAlgn val="ctr"/>
        <c:lblOffset val="100"/>
        <c:noMultiLvlLbl val="0"/>
      </c:catAx>
      <c:valAx>
        <c:axId val="38471552"/>
        <c:scaling>
          <c:orientation val="minMax"/>
          <c:max val="100"/>
          <c:min val="0"/>
        </c:scaling>
        <c:delete val="0"/>
        <c:axPos val="r"/>
        <c:numFmt formatCode="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8470016"/>
        <c:crosses val="max"/>
        <c:crossBetween val="between"/>
        <c:majorUnit val="20"/>
      </c:valAx>
      <c:spPr>
        <a:solidFill>
          <a:srgbClr val="969696"/>
        </a:solidFill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 sz="14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Wind Speed / mh</a:t>
            </a:r>
            <a:r>
              <a:rPr lang="en-GB" sz="1400" b="1" i="0" u="none" strike="noStrike" baseline="30000">
                <a:solidFill>
                  <a:srgbClr val="000000"/>
                </a:solidFill>
                <a:latin typeface="Arial"/>
                <a:cs typeface="Arial"/>
              </a:rPr>
              <a:t>-1</a:t>
            </a:r>
          </a:p>
        </c:rich>
      </c:tx>
      <c:layout>
        <c:manualLayout>
          <c:xMode val="edge"/>
          <c:yMode val="edge"/>
          <c:x val="0.44800000000000001"/>
          <c:y val="1.990632318501171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4E-2"/>
          <c:y val="8.5480093676814986E-2"/>
          <c:w val="0.9563076923076923"/>
          <c:h val="0.86416861826697888"/>
        </c:manualLayout>
      </c:layout>
      <c:lineChart>
        <c:grouping val="standard"/>
        <c:varyColors val="0"/>
        <c:ser>
          <c:idx val="1"/>
          <c:order val="0"/>
          <c:tx>
            <c:v>Mean</c:v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800000"/>
              </a:solidFill>
              <a:ln>
                <a:solidFill>
                  <a:srgbClr val="800000"/>
                </a:solidFill>
                <a:prstDash val="solid"/>
              </a:ln>
            </c:spPr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4</c:v>
              </c:pt>
              <c:pt idx="1">
                <c:v>5.0999999999999996</c:v>
              </c:pt>
              <c:pt idx="2">
                <c:v>4.9000000000000004</c:v>
              </c:pt>
              <c:pt idx="3">
                <c:v>3.9</c:v>
              </c:pt>
              <c:pt idx="4">
                <c:v>3.1</c:v>
              </c:pt>
              <c:pt idx="5">
                <c:v>6.6</c:v>
              </c:pt>
              <c:pt idx="6">
                <c:v>5.5</c:v>
              </c:pt>
              <c:pt idx="7">
                <c:v>2.9</c:v>
              </c:pt>
              <c:pt idx="8">
                <c:v>3</c:v>
              </c:pt>
              <c:pt idx="9">
                <c:v>3.2</c:v>
              </c:pt>
              <c:pt idx="10">
                <c:v>4.7</c:v>
              </c:pt>
              <c:pt idx="11">
                <c:v>3.5</c:v>
              </c:pt>
              <c:pt idx="12">
                <c:v>5.6</c:v>
              </c:pt>
              <c:pt idx="13">
                <c:v>5</c:v>
              </c:pt>
              <c:pt idx="14">
                <c:v>5.6</c:v>
              </c:pt>
              <c:pt idx="15">
                <c:v>3.2</c:v>
              </c:pt>
              <c:pt idx="16">
                <c:v>3.3</c:v>
              </c:pt>
              <c:pt idx="17">
                <c:v>4.8</c:v>
              </c:pt>
              <c:pt idx="18">
                <c:v>2.4</c:v>
              </c:pt>
              <c:pt idx="19">
                <c:v>0.8</c:v>
              </c:pt>
              <c:pt idx="20">
                <c:v>3.5</c:v>
              </c:pt>
              <c:pt idx="21">
                <c:v>1.4</c:v>
              </c:pt>
              <c:pt idx="22">
                <c:v>2.2000000000000002</c:v>
              </c:pt>
              <c:pt idx="23">
                <c:v>5.9</c:v>
              </c:pt>
              <c:pt idx="24">
                <c:v>6.7</c:v>
              </c:pt>
              <c:pt idx="25">
                <c:v>7.7</c:v>
              </c:pt>
              <c:pt idx="26">
                <c:v>7.4</c:v>
              </c:pt>
              <c:pt idx="27">
                <c:v>3.4</c:v>
              </c:pt>
              <c:pt idx="28">
                <c:v>10</c:v>
              </c:pt>
              <c:pt idx="29">
                <c:v>6.8</c:v>
              </c:pt>
            </c:numLit>
          </c:val>
          <c:smooth val="0"/>
        </c:ser>
        <c:ser>
          <c:idx val="0"/>
          <c:order val="1"/>
          <c:tx>
            <c:v>E (Mean)</c:v>
          </c:tx>
          <c:spPr>
            <a:ln w="25400">
              <a:solidFill>
                <a:srgbClr val="FF99CC"/>
              </a:solidFill>
              <a:prstDash val="lgDash"/>
            </a:ln>
          </c:spPr>
          <c:marker>
            <c:symbol val="none"/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4.593</c:v>
              </c:pt>
              <c:pt idx="1">
                <c:v>4.593</c:v>
              </c:pt>
              <c:pt idx="2">
                <c:v>4.593</c:v>
              </c:pt>
              <c:pt idx="3">
                <c:v>4.593</c:v>
              </c:pt>
              <c:pt idx="4">
                <c:v>4.593</c:v>
              </c:pt>
              <c:pt idx="5">
                <c:v>4.593</c:v>
              </c:pt>
              <c:pt idx="6">
                <c:v>4.593</c:v>
              </c:pt>
              <c:pt idx="7">
                <c:v>4.593</c:v>
              </c:pt>
              <c:pt idx="8">
                <c:v>4.593</c:v>
              </c:pt>
              <c:pt idx="9">
                <c:v>4.593</c:v>
              </c:pt>
              <c:pt idx="10">
                <c:v>4.593</c:v>
              </c:pt>
              <c:pt idx="11">
                <c:v>4.593</c:v>
              </c:pt>
              <c:pt idx="12">
                <c:v>4.593</c:v>
              </c:pt>
              <c:pt idx="13">
                <c:v>4.593</c:v>
              </c:pt>
              <c:pt idx="14">
                <c:v>4.593</c:v>
              </c:pt>
              <c:pt idx="15">
                <c:v>4.593</c:v>
              </c:pt>
              <c:pt idx="16">
                <c:v>4.593</c:v>
              </c:pt>
              <c:pt idx="17">
                <c:v>4.593</c:v>
              </c:pt>
              <c:pt idx="18">
                <c:v>4.593</c:v>
              </c:pt>
              <c:pt idx="19">
                <c:v>4.593</c:v>
              </c:pt>
              <c:pt idx="20">
                <c:v>4.593</c:v>
              </c:pt>
              <c:pt idx="21">
                <c:v>4.593</c:v>
              </c:pt>
              <c:pt idx="22">
                <c:v>4.593</c:v>
              </c:pt>
              <c:pt idx="23">
                <c:v>4.593</c:v>
              </c:pt>
              <c:pt idx="24">
                <c:v>4.593</c:v>
              </c:pt>
              <c:pt idx="25">
                <c:v>4.593</c:v>
              </c:pt>
              <c:pt idx="26">
                <c:v>4.593</c:v>
              </c:pt>
              <c:pt idx="27">
                <c:v>4.593</c:v>
              </c:pt>
              <c:pt idx="28">
                <c:v>4.593</c:v>
              </c:pt>
              <c:pt idx="29">
                <c:v>4.593</c:v>
              </c:pt>
            </c:numLit>
          </c:val>
          <c:smooth val="0"/>
        </c:ser>
        <c:ser>
          <c:idx val="2"/>
          <c:order val="4"/>
          <c:tx>
            <c:v>Cumulative Mean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4</c:v>
              </c:pt>
              <c:pt idx="1">
                <c:v>4.55</c:v>
              </c:pt>
              <c:pt idx="2">
                <c:v>4.666666666666667</c:v>
              </c:pt>
              <c:pt idx="3">
                <c:v>4.4749999999999996</c:v>
              </c:pt>
              <c:pt idx="4">
                <c:v>4.2</c:v>
              </c:pt>
              <c:pt idx="5">
                <c:v>4.6000000000000005</c:v>
              </c:pt>
              <c:pt idx="6">
                <c:v>4.7285714285714286</c:v>
              </c:pt>
              <c:pt idx="7">
                <c:v>4.5</c:v>
              </c:pt>
              <c:pt idx="8">
                <c:v>4.333333333333333</c:v>
              </c:pt>
              <c:pt idx="9">
                <c:v>4.2200000000000006</c:v>
              </c:pt>
              <c:pt idx="10">
                <c:v>4.2636363636363646</c:v>
              </c:pt>
              <c:pt idx="11">
                <c:v>4.2</c:v>
              </c:pt>
              <c:pt idx="12">
                <c:v>4.3076923076923084</c:v>
              </c:pt>
              <c:pt idx="13">
                <c:v>4.3571428571428577</c:v>
              </c:pt>
              <c:pt idx="14">
                <c:v>4.4400000000000004</c:v>
              </c:pt>
              <c:pt idx="15">
                <c:v>4.3625000000000007</c:v>
              </c:pt>
              <c:pt idx="16">
                <c:v>4.3000000000000007</c:v>
              </c:pt>
              <c:pt idx="17">
                <c:v>4.3277777777777784</c:v>
              </c:pt>
              <c:pt idx="18">
                <c:v>4.2263157894736851</c:v>
              </c:pt>
              <c:pt idx="19">
                <c:v>4.0550000000000006</c:v>
              </c:pt>
              <c:pt idx="20">
                <c:v>4.0285714285714294</c:v>
              </c:pt>
              <c:pt idx="21">
                <c:v>3.9090909090909096</c:v>
              </c:pt>
              <c:pt idx="22">
                <c:v>3.8347826086956531</c:v>
              </c:pt>
              <c:pt idx="23">
                <c:v>3.9208333333333343</c:v>
              </c:pt>
              <c:pt idx="24">
                <c:v>4.0320000000000009</c:v>
              </c:pt>
              <c:pt idx="25">
                <c:v>4.1730769230769242</c:v>
              </c:pt>
              <c:pt idx="26">
                <c:v>4.2925925925925936</c:v>
              </c:pt>
              <c:pt idx="27">
                <c:v>4.260714285714287</c:v>
              </c:pt>
              <c:pt idx="28">
                <c:v>4.4586206896551737</c:v>
              </c:pt>
              <c:pt idx="29">
                <c:v>4.536666666666668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569472"/>
        <c:axId val="38571392"/>
      </c:lineChart>
      <c:lineChart>
        <c:grouping val="standard"/>
        <c:varyColors val="0"/>
        <c:ser>
          <c:idx val="3"/>
          <c:order val="2"/>
          <c:tx>
            <c:v>Max Gust</c:v>
          </c:tx>
          <c:spPr>
            <a:ln w="28575">
              <a:noFill/>
            </a:ln>
          </c:spPr>
          <c:marker>
            <c:symbol val="circle"/>
            <c:size val="9"/>
            <c:spPr>
              <a:solidFill>
                <a:srgbClr val="FFCC00"/>
              </a:solidFill>
              <a:ln>
                <a:solidFill>
                  <a:srgbClr val="FFCC00"/>
                </a:solidFill>
                <a:prstDash val="solid"/>
              </a:ln>
            </c:spPr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13.2</c:v>
              </c:pt>
              <c:pt idx="1">
                <c:v>19.399999999999999</c:v>
              </c:pt>
              <c:pt idx="2">
                <c:v>20.100000000000001</c:v>
              </c:pt>
              <c:pt idx="3">
                <c:v>16.3</c:v>
              </c:pt>
              <c:pt idx="4">
                <c:v>14.5</c:v>
              </c:pt>
              <c:pt idx="5">
                <c:v>20.399999999999999</c:v>
              </c:pt>
              <c:pt idx="6">
                <c:v>17.600000000000001</c:v>
              </c:pt>
              <c:pt idx="7">
                <c:v>21.3</c:v>
              </c:pt>
              <c:pt idx="8">
                <c:v>15.9</c:v>
              </c:pt>
              <c:pt idx="9">
                <c:v>13</c:v>
              </c:pt>
              <c:pt idx="10">
                <c:v>13</c:v>
              </c:pt>
              <c:pt idx="11">
                <c:v>14.7</c:v>
              </c:pt>
              <c:pt idx="12">
                <c:v>15.2</c:v>
              </c:pt>
              <c:pt idx="13">
                <c:v>13.8</c:v>
              </c:pt>
              <c:pt idx="14">
                <c:v>16.3</c:v>
              </c:pt>
              <c:pt idx="15">
                <c:v>11.8</c:v>
              </c:pt>
              <c:pt idx="16">
                <c:v>13.2</c:v>
              </c:pt>
              <c:pt idx="17">
                <c:v>17.600000000000001</c:v>
              </c:pt>
              <c:pt idx="18">
                <c:v>8.6999999999999993</c:v>
              </c:pt>
              <c:pt idx="19">
                <c:v>6</c:v>
              </c:pt>
              <c:pt idx="20">
                <c:v>13.2</c:v>
              </c:pt>
              <c:pt idx="21">
                <c:v>8.1</c:v>
              </c:pt>
              <c:pt idx="22">
                <c:v>10.199999999999999</c:v>
              </c:pt>
              <c:pt idx="23">
                <c:v>22.1</c:v>
              </c:pt>
              <c:pt idx="24">
                <c:v>22.1</c:v>
              </c:pt>
              <c:pt idx="25">
                <c:v>30.6</c:v>
              </c:pt>
              <c:pt idx="26">
                <c:v>29.7</c:v>
              </c:pt>
              <c:pt idx="27">
                <c:v>23.9</c:v>
              </c:pt>
              <c:pt idx="28">
                <c:v>32.200000000000003</c:v>
              </c:pt>
              <c:pt idx="29">
                <c:v>24.6</c:v>
              </c:pt>
            </c:numLit>
          </c:val>
          <c:smooth val="0"/>
        </c:ser>
        <c:ser>
          <c:idx val="4"/>
          <c:order val="3"/>
          <c:tx>
            <c:v>Max Average</c:v>
          </c:tx>
          <c:spPr>
            <a:ln w="28575">
              <a:noFill/>
            </a:ln>
          </c:spPr>
          <c:marker>
            <c:symbol val="circle"/>
            <c:size val="6"/>
            <c:spPr>
              <a:solidFill>
                <a:srgbClr val="800000"/>
              </a:solidFill>
              <a:ln>
                <a:solidFill>
                  <a:srgbClr val="800000"/>
                </a:solidFill>
                <a:prstDash val="solid"/>
              </a:ln>
            </c:spPr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10.199999999999999</c:v>
              </c:pt>
              <c:pt idx="1">
                <c:v>12.8</c:v>
              </c:pt>
              <c:pt idx="2">
                <c:v>13.8</c:v>
              </c:pt>
              <c:pt idx="3">
                <c:v>12.8</c:v>
              </c:pt>
              <c:pt idx="4">
                <c:v>10.5</c:v>
              </c:pt>
              <c:pt idx="5">
                <c:v>12.5</c:v>
              </c:pt>
              <c:pt idx="6">
                <c:v>13.7</c:v>
              </c:pt>
              <c:pt idx="7">
                <c:v>12.5</c:v>
              </c:pt>
              <c:pt idx="8">
                <c:v>10.9</c:v>
              </c:pt>
              <c:pt idx="9">
                <c:v>9</c:v>
              </c:pt>
              <c:pt idx="10">
                <c:v>9.4</c:v>
              </c:pt>
              <c:pt idx="11">
                <c:v>11.4</c:v>
              </c:pt>
              <c:pt idx="12">
                <c:v>12.3</c:v>
              </c:pt>
              <c:pt idx="13">
                <c:v>11.4</c:v>
              </c:pt>
              <c:pt idx="14">
                <c:v>11.8</c:v>
              </c:pt>
              <c:pt idx="15">
                <c:v>10</c:v>
              </c:pt>
              <c:pt idx="16">
                <c:v>10.9</c:v>
              </c:pt>
              <c:pt idx="17">
                <c:v>13.8</c:v>
              </c:pt>
              <c:pt idx="18">
                <c:v>5.9</c:v>
              </c:pt>
              <c:pt idx="19">
                <c:v>4.5</c:v>
              </c:pt>
              <c:pt idx="20">
                <c:v>10</c:v>
              </c:pt>
              <c:pt idx="21">
                <c:v>6.2</c:v>
              </c:pt>
              <c:pt idx="22">
                <c:v>7.8</c:v>
              </c:pt>
              <c:pt idx="23">
                <c:v>13.8</c:v>
              </c:pt>
              <c:pt idx="24">
                <c:v>14.5</c:v>
              </c:pt>
              <c:pt idx="25">
                <c:v>20.8</c:v>
              </c:pt>
              <c:pt idx="26">
                <c:v>18.7</c:v>
              </c:pt>
              <c:pt idx="27">
                <c:v>15.6</c:v>
              </c:pt>
              <c:pt idx="28">
                <c:v>22.8</c:v>
              </c:pt>
              <c:pt idx="29">
                <c:v>16.600000000000001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8230528"/>
        <c:axId val="128232064"/>
      </c:lineChart>
      <c:catAx>
        <c:axId val="385694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85713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38571392"/>
        <c:scaling>
          <c:orientation val="minMax"/>
          <c:max val="12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8569472"/>
        <c:crosses val="autoZero"/>
        <c:crossBetween val="between"/>
        <c:majorUnit val="2"/>
      </c:valAx>
      <c:catAx>
        <c:axId val="1282305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8232064"/>
        <c:crosses val="autoZero"/>
        <c:auto val="1"/>
        <c:lblAlgn val="ctr"/>
        <c:lblOffset val="100"/>
        <c:noMultiLvlLbl val="0"/>
      </c:catAx>
      <c:valAx>
        <c:axId val="128232064"/>
        <c:scaling>
          <c:orientation val="minMax"/>
          <c:max val="60"/>
          <c:min val="0"/>
        </c:scaling>
        <c:delete val="0"/>
        <c:axPos val="r"/>
        <c:numFmt formatCode="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8230528"/>
        <c:crosses val="max"/>
        <c:crossBetween val="between"/>
        <c:majorUnit val="10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4.6153846153846156E-2"/>
          <c:y val="0.12763466042154567"/>
          <c:w val="0.26523076923076921"/>
          <c:h val="0.2025761124121779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Sun Hours / h</a:t>
            </a:r>
          </a:p>
        </c:rich>
      </c:tx>
      <c:layout>
        <c:manualLayout>
          <c:xMode val="edge"/>
          <c:yMode val="edge"/>
          <c:x val="0.46040541433241655"/>
          <c:y val="2.803738317757009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1.841621730177238E-2"/>
          <c:y val="8.4112197512159981E-2"/>
          <c:w val="0.97912888654423158"/>
          <c:h val="0.86565469939597983"/>
        </c:manualLayout>
      </c:layout>
      <c:barChart>
        <c:barDir val="col"/>
        <c:grouping val="clustered"/>
        <c:varyColors val="0"/>
        <c:ser>
          <c:idx val="1"/>
          <c:order val="0"/>
          <c:tx>
            <c:v>Total</c:v>
          </c:tx>
          <c:spPr>
            <a:solidFill>
              <a:srgbClr val="FFFF00"/>
            </a:solidFill>
            <a:ln w="12700">
              <a:solidFill>
                <a:srgbClr val="C0C0C0"/>
              </a:solidFill>
              <a:prstDash val="solid"/>
            </a:ln>
          </c:spPr>
          <c:invertIfNegative val="0"/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3.5</c:v>
              </c:pt>
              <c:pt idx="1">
                <c:v>4</c:v>
              </c:pt>
              <c:pt idx="2">
                <c:v>0.1</c:v>
              </c:pt>
              <c:pt idx="3">
                <c:v>1.5</c:v>
              </c:pt>
              <c:pt idx="4">
                <c:v>0.5</c:v>
              </c:pt>
              <c:pt idx="5">
                <c:v>0.3</c:v>
              </c:pt>
              <c:pt idx="6">
                <c:v>0</c:v>
              </c:pt>
              <c:pt idx="7">
                <c:v>0</c:v>
              </c:pt>
              <c:pt idx="8">
                <c:v>1.5</c:v>
              </c:pt>
              <c:pt idx="9">
                <c:v>2</c:v>
              </c:pt>
              <c:pt idx="10">
                <c:v>0</c:v>
              </c:pt>
              <c:pt idx="11">
                <c:v>1</c:v>
              </c:pt>
              <c:pt idx="12">
                <c:v>7</c:v>
              </c:pt>
              <c:pt idx="13">
                <c:v>0</c:v>
              </c:pt>
              <c:pt idx="14">
                <c:v>6.5</c:v>
              </c:pt>
              <c:pt idx="15">
                <c:v>2</c:v>
              </c:pt>
              <c:pt idx="16">
                <c:v>2</c:v>
              </c:pt>
              <c:pt idx="17">
                <c:v>4</c:v>
              </c:pt>
              <c:pt idx="18">
                <c:v>5</c:v>
              </c:pt>
              <c:pt idx="19">
                <c:v>3</c:v>
              </c:pt>
              <c:pt idx="20">
                <c:v>0.5</c:v>
              </c:pt>
              <c:pt idx="21">
                <c:v>0</c:v>
              </c:pt>
              <c:pt idx="22">
                <c:v>2.5</c:v>
              </c:pt>
              <c:pt idx="23">
                <c:v>2</c:v>
              </c:pt>
              <c:pt idx="24">
                <c:v>5</c:v>
              </c:pt>
              <c:pt idx="25">
                <c:v>1</c:v>
              </c:pt>
              <c:pt idx="26">
                <c:v>6</c:v>
              </c:pt>
              <c:pt idx="27">
                <c:v>0.3</c:v>
              </c:pt>
              <c:pt idx="28">
                <c:v>0.1</c:v>
              </c:pt>
              <c:pt idx="29">
                <c:v>4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overlap val="100"/>
        <c:axId val="128248448"/>
        <c:axId val="128385408"/>
      </c:barChart>
      <c:catAx>
        <c:axId val="1282484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83854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8385408"/>
        <c:scaling>
          <c:orientation val="minMax"/>
          <c:max val="8.6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8248448"/>
        <c:crosses val="autoZero"/>
        <c:crossBetween val="between"/>
        <c:majorUnit val="2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Cumulative Rain / mm</a:t>
            </a:r>
          </a:p>
        </c:rich>
      </c:tx>
      <c:layout>
        <c:manualLayout>
          <c:xMode val="edge"/>
          <c:yMode val="edge"/>
          <c:x val="0.43726963096402616"/>
          <c:y val="1.97444831591173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985254257748993E-2"/>
          <c:y val="9.4076761755908997E-2"/>
          <c:w val="0.94649503340194097"/>
          <c:h val="0.85598238782845604"/>
        </c:manualLayout>
      </c:layout>
      <c:lineChart>
        <c:grouping val="standard"/>
        <c:varyColors val="0"/>
        <c:ser>
          <c:idx val="1"/>
          <c:order val="0"/>
          <c:tx>
            <c:v>Cumulative Rain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1.1000000000000001</c:v>
              </c:pt>
              <c:pt idx="1">
                <c:v>1.4000000000000001</c:v>
              </c:pt>
              <c:pt idx="2">
                <c:v>8</c:v>
              </c:pt>
              <c:pt idx="3">
                <c:v>21.4</c:v>
              </c:pt>
              <c:pt idx="4">
                <c:v>21.4</c:v>
              </c:pt>
              <c:pt idx="5">
                <c:v>21.4</c:v>
              </c:pt>
              <c:pt idx="6">
                <c:v>21.4</c:v>
              </c:pt>
              <c:pt idx="7">
                <c:v>22.5</c:v>
              </c:pt>
              <c:pt idx="8">
                <c:v>23.6</c:v>
              </c:pt>
              <c:pt idx="9">
                <c:v>23.6</c:v>
              </c:pt>
              <c:pt idx="10">
                <c:v>23.6</c:v>
              </c:pt>
              <c:pt idx="11">
                <c:v>23.6</c:v>
              </c:pt>
              <c:pt idx="12">
                <c:v>23.6</c:v>
              </c:pt>
              <c:pt idx="13">
                <c:v>23.6</c:v>
              </c:pt>
              <c:pt idx="14">
                <c:v>23.6</c:v>
              </c:pt>
              <c:pt idx="15">
                <c:v>23.6</c:v>
              </c:pt>
              <c:pt idx="16">
                <c:v>23.6</c:v>
              </c:pt>
              <c:pt idx="17">
                <c:v>23.6</c:v>
              </c:pt>
              <c:pt idx="18">
                <c:v>23.6</c:v>
              </c:pt>
              <c:pt idx="19">
                <c:v>23.6</c:v>
              </c:pt>
              <c:pt idx="20">
                <c:v>23.6</c:v>
              </c:pt>
              <c:pt idx="21">
                <c:v>24.1</c:v>
              </c:pt>
              <c:pt idx="22">
                <c:v>24.1</c:v>
              </c:pt>
              <c:pt idx="23">
                <c:v>24.1</c:v>
              </c:pt>
              <c:pt idx="24">
                <c:v>24.1</c:v>
              </c:pt>
              <c:pt idx="25">
                <c:v>24.1</c:v>
              </c:pt>
              <c:pt idx="26">
                <c:v>24.400000000000002</c:v>
              </c:pt>
              <c:pt idx="27">
                <c:v>24.400000000000002</c:v>
              </c:pt>
              <c:pt idx="28">
                <c:v>25.200000000000003</c:v>
              </c:pt>
              <c:pt idx="29">
                <c:v>25.200000000000003</c:v>
              </c:pt>
            </c:numLit>
          </c:val>
          <c:smooth val="0"/>
        </c:ser>
        <c:ser>
          <c:idx val="2"/>
          <c:order val="1"/>
          <c:tx>
            <c:v>E (Cumulative Rain)</c:v>
          </c:tx>
          <c:spPr>
            <a:ln w="25400">
              <a:solidFill>
                <a:srgbClr val="00CCFF"/>
              </a:solidFill>
              <a:prstDash val="lgDash"/>
            </a:ln>
          </c:spPr>
          <c:marker>
            <c:symbol val="none"/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2.1333333333333333</c:v>
              </c:pt>
              <c:pt idx="1">
                <c:v>4.2666666666666666</c:v>
              </c:pt>
              <c:pt idx="2">
                <c:v>6.4</c:v>
              </c:pt>
              <c:pt idx="3">
                <c:v>8.5333333333333332</c:v>
              </c:pt>
              <c:pt idx="4">
                <c:v>10.666666666666666</c:v>
              </c:pt>
              <c:pt idx="5">
                <c:v>12.8</c:v>
              </c:pt>
              <c:pt idx="6">
                <c:v>14.933333333333334</c:v>
              </c:pt>
              <c:pt idx="7">
                <c:v>17.066666666666666</c:v>
              </c:pt>
              <c:pt idx="8">
                <c:v>19.2</c:v>
              </c:pt>
              <c:pt idx="9">
                <c:v>21.333333333333332</c:v>
              </c:pt>
              <c:pt idx="10">
                <c:v>23.466666666666665</c:v>
              </c:pt>
              <c:pt idx="11">
                <c:v>25.6</c:v>
              </c:pt>
              <c:pt idx="12">
                <c:v>27.733333333333334</c:v>
              </c:pt>
              <c:pt idx="13">
                <c:v>29.866666666666667</c:v>
              </c:pt>
              <c:pt idx="14">
                <c:v>32</c:v>
              </c:pt>
              <c:pt idx="15">
                <c:v>34.133333333333333</c:v>
              </c:pt>
              <c:pt idx="16">
                <c:v>36.266666666666666</c:v>
              </c:pt>
              <c:pt idx="17">
                <c:v>38.4</c:v>
              </c:pt>
              <c:pt idx="18">
                <c:v>40.533333333333331</c:v>
              </c:pt>
              <c:pt idx="19">
                <c:v>42.666666666666664</c:v>
              </c:pt>
              <c:pt idx="20">
                <c:v>44.8</c:v>
              </c:pt>
              <c:pt idx="21">
                <c:v>46.93333333333333</c:v>
              </c:pt>
              <c:pt idx="22">
                <c:v>49.066666666666663</c:v>
              </c:pt>
              <c:pt idx="23">
                <c:v>51.2</c:v>
              </c:pt>
              <c:pt idx="24">
                <c:v>53.333333333333336</c:v>
              </c:pt>
              <c:pt idx="25">
                <c:v>55.466666666666669</c:v>
              </c:pt>
              <c:pt idx="26">
                <c:v>57.6</c:v>
              </c:pt>
              <c:pt idx="27">
                <c:v>59.733333333333334</c:v>
              </c:pt>
              <c:pt idx="28">
                <c:v>61.866666666666667</c:v>
              </c:pt>
              <c:pt idx="29">
                <c:v>64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8408960"/>
        <c:axId val="128423040"/>
      </c:lineChart>
      <c:lineChart>
        <c:grouping val="standard"/>
        <c:varyColors val="0"/>
        <c:ser>
          <c:idx val="0"/>
          <c:order val="2"/>
          <c:tx>
            <c:v>Cumulative Anomaly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circle"/>
            <c:size val="2"/>
            <c:spPr>
              <a:solidFill>
                <a:srgbClr val="333399"/>
              </a:solidFill>
              <a:ln>
                <a:solidFill>
                  <a:srgbClr val="333399"/>
                </a:solidFill>
                <a:prstDash val="solid"/>
              </a:ln>
            </c:spPr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0.515625</c:v>
              </c:pt>
              <c:pt idx="1">
                <c:v>0.32812500000000006</c:v>
              </c:pt>
              <c:pt idx="2">
                <c:v>1.25</c:v>
              </c:pt>
              <c:pt idx="3">
                <c:v>2.5078125</c:v>
              </c:pt>
              <c:pt idx="4">
                <c:v>2.0062500000000001</c:v>
              </c:pt>
              <c:pt idx="5">
                <c:v>1.6718749999999998</c:v>
              </c:pt>
              <c:pt idx="6">
                <c:v>1.4330357142857142</c:v>
              </c:pt>
              <c:pt idx="7">
                <c:v>1.318359375</c:v>
              </c:pt>
              <c:pt idx="8">
                <c:v>1.2291666666666667</c:v>
              </c:pt>
              <c:pt idx="9">
                <c:v>1.1062500000000002</c:v>
              </c:pt>
              <c:pt idx="10">
                <c:v>1.0056818181818183</c:v>
              </c:pt>
              <c:pt idx="11">
                <c:v>0.921875</c:v>
              </c:pt>
              <c:pt idx="12">
                <c:v>0.85096153846153844</c:v>
              </c:pt>
              <c:pt idx="13">
                <c:v>0.79017857142857151</c:v>
              </c:pt>
              <c:pt idx="14">
                <c:v>0.73750000000000004</c:v>
              </c:pt>
              <c:pt idx="15">
                <c:v>0.69140625</c:v>
              </c:pt>
              <c:pt idx="16">
                <c:v>0.65073529411764708</c:v>
              </c:pt>
              <c:pt idx="17">
                <c:v>0.61458333333333337</c:v>
              </c:pt>
              <c:pt idx="18">
                <c:v>0.58223684210526327</c:v>
              </c:pt>
              <c:pt idx="19">
                <c:v>0.55312500000000009</c:v>
              </c:pt>
              <c:pt idx="20">
                <c:v>0.5267857142857143</c:v>
              </c:pt>
              <c:pt idx="21">
                <c:v>0.51349431818181823</c:v>
              </c:pt>
              <c:pt idx="22">
                <c:v>0.49116847826086962</c:v>
              </c:pt>
              <c:pt idx="23">
                <c:v>0.470703125</c:v>
              </c:pt>
              <c:pt idx="24">
                <c:v>0.45187500000000003</c:v>
              </c:pt>
              <c:pt idx="25">
                <c:v>0.43449519230769235</c:v>
              </c:pt>
              <c:pt idx="26">
                <c:v>0.42361111111111116</c:v>
              </c:pt>
              <c:pt idx="27">
                <c:v>0.4084821428571429</c:v>
              </c:pt>
              <c:pt idx="28">
                <c:v>0.40732758620689657</c:v>
              </c:pt>
              <c:pt idx="29">
                <c:v>0.39375000000000004</c:v>
              </c:pt>
            </c:numLit>
          </c:val>
          <c:smooth val="0"/>
        </c:ser>
        <c:ser>
          <c:idx val="3"/>
          <c:order val="3"/>
          <c:tx>
            <c:v>E (Cumulative Anomaly)</c:v>
          </c:tx>
          <c:spPr>
            <a:ln w="3175">
              <a:solidFill>
                <a:srgbClr val="0000FF"/>
              </a:solidFill>
              <a:prstDash val="lgDash"/>
            </a:ln>
          </c:spPr>
          <c:marker>
            <c:symbol val="none"/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1</c:v>
              </c:pt>
              <c:pt idx="1">
                <c:v>1</c:v>
              </c:pt>
              <c:pt idx="2">
                <c:v>1</c:v>
              </c:pt>
              <c:pt idx="3">
                <c:v>1</c:v>
              </c:pt>
              <c:pt idx="4">
                <c:v>1</c:v>
              </c:pt>
              <c:pt idx="5">
                <c:v>1</c:v>
              </c:pt>
              <c:pt idx="6">
                <c:v>1</c:v>
              </c:pt>
              <c:pt idx="7">
                <c:v>1</c:v>
              </c:pt>
              <c:pt idx="8">
                <c:v>1</c:v>
              </c:pt>
              <c:pt idx="9">
                <c:v>1</c:v>
              </c:pt>
              <c:pt idx="10">
                <c:v>1</c:v>
              </c:pt>
              <c:pt idx="11">
                <c:v>1</c:v>
              </c:pt>
              <c:pt idx="12">
                <c:v>1</c:v>
              </c:pt>
              <c:pt idx="13">
                <c:v>1</c:v>
              </c:pt>
              <c:pt idx="14">
                <c:v>1</c:v>
              </c:pt>
              <c:pt idx="15">
                <c:v>1</c:v>
              </c:pt>
              <c:pt idx="16">
                <c:v>1</c:v>
              </c:pt>
              <c:pt idx="17">
                <c:v>1</c:v>
              </c:pt>
              <c:pt idx="18">
                <c:v>1</c:v>
              </c:pt>
              <c:pt idx="19">
                <c:v>1</c:v>
              </c:pt>
              <c:pt idx="20">
                <c:v>1</c:v>
              </c:pt>
              <c:pt idx="21">
                <c:v>1</c:v>
              </c:pt>
              <c:pt idx="22">
                <c:v>1</c:v>
              </c:pt>
              <c:pt idx="23">
                <c:v>1</c:v>
              </c:pt>
              <c:pt idx="24">
                <c:v>1</c:v>
              </c:pt>
              <c:pt idx="25">
                <c:v>1</c:v>
              </c:pt>
              <c:pt idx="26">
                <c:v>1</c:v>
              </c:pt>
              <c:pt idx="27">
                <c:v>1</c:v>
              </c:pt>
              <c:pt idx="28">
                <c:v>1</c:v>
              </c:pt>
              <c:pt idx="29">
                <c:v>1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8424576"/>
        <c:axId val="128434560"/>
      </c:lineChart>
      <c:catAx>
        <c:axId val="128408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84230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8423040"/>
        <c:scaling>
          <c:orientation val="minMax"/>
          <c:max val="7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8408960"/>
        <c:crosses val="autoZero"/>
        <c:crossBetween val="between"/>
        <c:majorUnit val="10"/>
      </c:valAx>
      <c:catAx>
        <c:axId val="12842457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8434560"/>
        <c:crosses val="autoZero"/>
        <c:auto val="1"/>
        <c:lblAlgn val="ctr"/>
        <c:lblOffset val="100"/>
        <c:noMultiLvlLbl val="0"/>
      </c:catAx>
      <c:valAx>
        <c:axId val="128434560"/>
        <c:scaling>
          <c:orientation val="minMax"/>
          <c:max val="1.75"/>
          <c:min val="0"/>
        </c:scaling>
        <c:delete val="0"/>
        <c:axPos val="r"/>
        <c:numFmt formatCode="0%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8424576"/>
        <c:crosses val="max"/>
        <c:crossBetween val="between"/>
        <c:majorUnit val="0.25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5.9040654973478865E-2"/>
          <c:y val="9.4076776988242322E-2"/>
          <c:w val="0.17712190035286179"/>
          <c:h val="0.2148666782505845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Mean Wind Direction Frequency</a:t>
            </a:r>
          </a:p>
        </c:rich>
      </c:tx>
      <c:layout>
        <c:manualLayout>
          <c:xMode val="edge"/>
          <c:yMode val="edge"/>
          <c:x val="0.40434296945276205"/>
          <c:y val="2.585193889541715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0809876812071785"/>
          <c:y val="0.15746180963572268"/>
          <c:w val="0.37323965052338393"/>
          <c:h val="0.74735605170387776"/>
        </c:manualLayout>
      </c:layout>
      <c:radarChart>
        <c:radarStyle val="filled"/>
        <c:varyColors val="1"/>
        <c:ser>
          <c:idx val="0"/>
          <c:order val="0"/>
          <c:tx>
            <c:v>Mean Wind Direction</c:v>
          </c:tx>
          <c:spPr>
            <a:solidFill>
              <a:srgbClr val="FF99CC"/>
            </a:solidFill>
            <a:ln w="38100">
              <a:solidFill>
                <a:srgbClr val="FF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</c:dPt>
          <c:dPt>
            <c:idx val="2"/>
            <c:bubble3D val="0"/>
          </c:dPt>
          <c:dPt>
            <c:idx val="3"/>
            <c:bubble3D val="0"/>
          </c:dPt>
          <c:dPt>
            <c:idx val="4"/>
            <c:bubble3D val="0"/>
          </c:dPt>
          <c:dPt>
            <c:idx val="5"/>
            <c:bubble3D val="0"/>
          </c:dPt>
          <c:dPt>
            <c:idx val="6"/>
            <c:bubble3D val="0"/>
          </c:dPt>
          <c:dPt>
            <c:idx val="7"/>
            <c:bubble3D val="0"/>
          </c:dPt>
          <c:dLbls>
            <c:dLbl>
              <c:idx val="0"/>
              <c:layout>
                <c:manualLayout>
                  <c:xMode val="edge"/>
                  <c:yMode val="edge"/>
                  <c:x val="0.49237117419672816"/>
                  <c:y val="6.11045828437132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Mode val="edge"/>
                  <c:yMode val="edge"/>
                  <c:x val="0.68309898303336303"/>
                  <c:y val="0.1351351351351351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layout>
                <c:manualLayout>
                  <c:xMode val="edge"/>
                  <c:yMode val="edge"/>
                  <c:x val="0.78286429842483363"/>
                  <c:y val="0.5099882491186839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layout>
                <c:manualLayout>
                  <c:xMode val="edge"/>
                  <c:yMode val="edge"/>
                  <c:x val="0.71009430366870208"/>
                  <c:y val="0.8954171562867214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4"/>
              <c:layout>
                <c:manualLayout>
                  <c:xMode val="edge"/>
                  <c:yMode val="edge"/>
                  <c:x val="0.4906106098074669"/>
                  <c:y val="0.9588719153936545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5"/>
              <c:layout>
                <c:manualLayout>
                  <c:xMode val="edge"/>
                  <c:yMode val="edge"/>
                  <c:x val="0.37323965052338393"/>
                  <c:y val="0.72502937720329019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6"/>
              <c:layout>
                <c:manualLayout>
                  <c:xMode val="edge"/>
                  <c:yMode val="edge"/>
                  <c:x val="0.3104461873063995"/>
                  <c:y val="0.5111633372502937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7"/>
              <c:layout>
                <c:manualLayout>
                  <c:xMode val="edge"/>
                  <c:yMode val="edge"/>
                  <c:x val="0.37147908613412267"/>
                  <c:y val="0.29729729729729731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375" b="1" i="0" u="none" strike="noStrike" baseline="0">
                    <a:solidFill>
                      <a:srgbClr val="FF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Lit>
              <c:ptCount val="8"/>
              <c:pt idx="0">
                <c:v>N</c:v>
              </c:pt>
              <c:pt idx="1">
                <c:v>NE</c:v>
              </c:pt>
              <c:pt idx="2">
                <c:v>E</c:v>
              </c:pt>
              <c:pt idx="3">
                <c:v>SE</c:v>
              </c:pt>
              <c:pt idx="4">
                <c:v>S</c:v>
              </c:pt>
              <c:pt idx="5">
                <c:v>SW</c:v>
              </c:pt>
              <c:pt idx="6">
                <c:v>W</c:v>
              </c:pt>
              <c:pt idx="7">
                <c:v>NW</c:v>
              </c:pt>
            </c:strLit>
          </c:cat>
          <c:val>
            <c:numLit>
              <c:formatCode>General</c:formatCode>
              <c:ptCount val="8"/>
              <c:pt idx="0">
                <c:v>3</c:v>
              </c:pt>
              <c:pt idx="1">
                <c:v>3</c:v>
              </c:pt>
              <c:pt idx="2">
                <c:v>8</c:v>
              </c:pt>
              <c:pt idx="3">
                <c:v>3</c:v>
              </c:pt>
              <c:pt idx="4">
                <c:v>7</c:v>
              </c:pt>
              <c:pt idx="5">
                <c:v>5</c:v>
              </c:pt>
              <c:pt idx="6">
                <c:v>1</c:v>
              </c:pt>
              <c:pt idx="7">
                <c:v>0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535552"/>
        <c:axId val="128553728"/>
      </c:radarChart>
      <c:catAx>
        <c:axId val="128535552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8553728"/>
        <c:crosses val="autoZero"/>
        <c:auto val="0"/>
        <c:lblAlgn val="ctr"/>
        <c:lblOffset val="100"/>
        <c:noMultiLvlLbl val="0"/>
      </c:catAx>
      <c:valAx>
        <c:axId val="128553728"/>
        <c:scaling>
          <c:orientation val="minMax"/>
          <c:max val="10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8535552"/>
        <c:crosses val="autoZero"/>
        <c:crossBetween val="between"/>
        <c:majorUnit val="2"/>
      </c:valAx>
      <c:spPr>
        <a:solidFill>
          <a:srgbClr val="C0C0C0"/>
        </a:solidFill>
        <a:ln w="25400">
          <a:noFill/>
        </a:ln>
      </c:spPr>
    </c:plotArea>
    <c:plotVisOnly val="1"/>
    <c:dispBlanksAs val="gap"/>
    <c:showDLblsOverMax val="0"/>
  </c:chart>
  <c:spPr>
    <a:solidFill>
      <a:srgbClr val="C0C0C0"/>
    </a:solidFill>
    <a:ln w="3175">
      <a:solidFill>
        <a:srgbClr val="000000"/>
      </a:solidFill>
      <a:prstDash val="solid"/>
    </a:ln>
  </c:spPr>
  <c:txPr>
    <a:bodyPr/>
    <a:lstStyle/>
    <a:p>
      <a:pPr>
        <a:defRPr sz="23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Cumulative Sun Hours / h</a:t>
            </a:r>
          </a:p>
        </c:rich>
      </c:tx>
      <c:layout>
        <c:manualLayout>
          <c:xMode val="edge"/>
          <c:yMode val="edge"/>
          <c:x val="0.42778132143439052"/>
          <c:y val="2.690058479532163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970505042623335E-2"/>
          <c:y val="8.7719398436812909E-2"/>
          <c:w val="0.94468375001312987"/>
          <c:h val="0.86198928863908153"/>
        </c:manualLayout>
      </c:layout>
      <c:lineChart>
        <c:grouping val="standard"/>
        <c:varyColors val="0"/>
        <c:ser>
          <c:idx val="1"/>
          <c:order val="0"/>
          <c:tx>
            <c:v>Cumulative Sun Hours</c:v>
          </c:tx>
          <c:spPr>
            <a:ln w="38100">
              <a:solidFill>
                <a:srgbClr val="FFFF00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99CC00"/>
              </a:solidFill>
              <a:ln>
                <a:solidFill>
                  <a:srgbClr val="99CC00"/>
                </a:solidFill>
                <a:prstDash val="solid"/>
              </a:ln>
            </c:spPr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3.5</c:v>
              </c:pt>
              <c:pt idx="1">
                <c:v>7.5</c:v>
              </c:pt>
              <c:pt idx="2">
                <c:v>7.6</c:v>
              </c:pt>
              <c:pt idx="3">
                <c:v>9.1</c:v>
              </c:pt>
              <c:pt idx="4">
                <c:v>9.6</c:v>
              </c:pt>
              <c:pt idx="5">
                <c:v>9.9</c:v>
              </c:pt>
              <c:pt idx="6">
                <c:v>9.9</c:v>
              </c:pt>
              <c:pt idx="7">
                <c:v>9.9</c:v>
              </c:pt>
              <c:pt idx="8">
                <c:v>11.4</c:v>
              </c:pt>
              <c:pt idx="9">
                <c:v>13.4</c:v>
              </c:pt>
              <c:pt idx="10">
                <c:v>13.4</c:v>
              </c:pt>
              <c:pt idx="11">
                <c:v>14.4</c:v>
              </c:pt>
              <c:pt idx="12">
                <c:v>21.4</c:v>
              </c:pt>
              <c:pt idx="13">
                <c:v>21.4</c:v>
              </c:pt>
              <c:pt idx="14">
                <c:v>27.9</c:v>
              </c:pt>
              <c:pt idx="15">
                <c:v>29.9</c:v>
              </c:pt>
              <c:pt idx="16">
                <c:v>31.9</c:v>
              </c:pt>
              <c:pt idx="17">
                <c:v>35.9</c:v>
              </c:pt>
              <c:pt idx="18">
                <c:v>40.9</c:v>
              </c:pt>
              <c:pt idx="19">
                <c:v>43.9</c:v>
              </c:pt>
              <c:pt idx="20">
                <c:v>44.4</c:v>
              </c:pt>
              <c:pt idx="21">
                <c:v>44.4</c:v>
              </c:pt>
              <c:pt idx="22">
                <c:v>46.9</c:v>
              </c:pt>
              <c:pt idx="23">
                <c:v>48.9</c:v>
              </c:pt>
              <c:pt idx="24">
                <c:v>53.9</c:v>
              </c:pt>
              <c:pt idx="25">
                <c:v>54.9</c:v>
              </c:pt>
              <c:pt idx="26">
                <c:v>60.9</c:v>
              </c:pt>
              <c:pt idx="27">
                <c:v>61.199999999999996</c:v>
              </c:pt>
              <c:pt idx="28">
                <c:v>61.3</c:v>
              </c:pt>
              <c:pt idx="29">
                <c:v>65.3</c:v>
              </c:pt>
            </c:numLit>
          </c:val>
          <c:smooth val="0"/>
        </c:ser>
        <c:ser>
          <c:idx val="2"/>
          <c:order val="1"/>
          <c:tx>
            <c:v>E (Cumulative Sun Hours)</c:v>
          </c:tx>
          <c:spPr>
            <a:ln w="25400">
              <a:solidFill>
                <a:srgbClr val="FFFF99"/>
              </a:solidFill>
              <a:prstDash val="lgDash"/>
            </a:ln>
          </c:spPr>
          <c:marker>
            <c:symbol val="diamond"/>
            <c:size val="2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2.4660421362409162</c:v>
              </c:pt>
              <c:pt idx="1">
                <c:v>4.9165567618896837</c:v>
              </c:pt>
              <c:pt idx="2">
                <c:v>7.3516892861279342</c:v>
              </c:pt>
              <c:pt idx="3">
                <c:v>9.7715911137826641</c:v>
              </c:pt>
              <c:pt idx="4">
                <c:v>12.176419791717262</c:v>
              </c:pt>
              <c:pt idx="5">
                <c:v>14.566339153487073</c:v>
              </c:pt>
              <c:pt idx="6">
                <c:v>16.941519461702665</c:v>
              </c:pt>
              <c:pt idx="7">
                <c:v>19.302137547513432</c:v>
              </c:pt>
              <c:pt idx="8">
                <c:v>21.648376946593856</c:v>
              </c:pt>
              <c:pt idx="9">
                <c:v>23.980428030984847</c:v>
              </c:pt>
              <c:pt idx="10">
                <c:v>26.298488136113395</c:v>
              </c:pt>
              <c:pt idx="11">
                <c:v>28.602761682285774</c:v>
              </c:pt>
              <c:pt idx="12">
                <c:v>30.893460289922722</c:v>
              </c:pt>
              <c:pt idx="13">
                <c:v>33.170802887780305</c:v>
              </c:pt>
              <c:pt idx="14">
                <c:v>35.435015813377476</c:v>
              </c:pt>
              <c:pt idx="15">
                <c:v>37.68633290483141</c:v>
              </c:pt>
              <c:pt idx="16">
                <c:v>39.924995583284954</c:v>
              </c:pt>
              <c:pt idx="17">
                <c:v>42.151252925097339</c:v>
              </c:pt>
              <c:pt idx="18">
                <c:v>44.365361722960358</c:v>
              </c:pt>
              <c:pt idx="19">
                <c:v>46.567586535097973</c:v>
              </c:pt>
              <c:pt idx="20">
                <c:v>48.758199721708181</c:v>
              </c:pt>
              <c:pt idx="21">
                <c:v>50.937481467812631</c:v>
              </c:pt>
              <c:pt idx="22">
                <c:v>53.105719791692572</c:v>
              </c:pt>
              <c:pt idx="23">
                <c:v>55.26321053810917</c:v>
              </c:pt>
              <c:pt idx="24">
                <c:v>57.410257355533304</c:v>
              </c:pt>
              <c:pt idx="25">
                <c:v>59.547171656644402</c:v>
              </c:pt>
              <c:pt idx="26">
                <c:v>61.6742725614004</c:v>
              </c:pt>
              <c:pt idx="27">
                <c:v>63.791886822031671</c:v>
              </c:pt>
              <c:pt idx="28">
                <c:v>65.900348729371061</c:v>
              </c:pt>
              <c:pt idx="29">
                <c:v>67.999999999999986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8790528"/>
        <c:axId val="128792064"/>
      </c:lineChart>
      <c:lineChart>
        <c:grouping val="standard"/>
        <c:varyColors val="0"/>
        <c:ser>
          <c:idx val="0"/>
          <c:order val="2"/>
          <c:tx>
            <c:v>Cumulative Anomaly</c:v>
          </c:tx>
          <c:spPr>
            <a:ln w="12700">
              <a:solidFill>
                <a:srgbClr val="99CC00"/>
              </a:solidFill>
              <a:prstDash val="solid"/>
            </a:ln>
          </c:spPr>
          <c:marker>
            <c:symbol val="circle"/>
            <c:size val="2"/>
            <c:spPr>
              <a:solidFill>
                <a:srgbClr val="808000"/>
              </a:solidFill>
              <a:ln>
                <a:solidFill>
                  <a:srgbClr val="808000"/>
                </a:solidFill>
                <a:prstDash val="solid"/>
              </a:ln>
            </c:spPr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1.4192782631586278</c:v>
              </c:pt>
              <c:pt idx="1">
                <c:v>1.5254578281564204</c:v>
              </c:pt>
              <c:pt idx="2">
                <c:v>1.0337760076912674</c:v>
              </c:pt>
              <c:pt idx="3">
                <c:v>0.93127105852439973</c:v>
              </c:pt>
              <c:pt idx="4">
                <c:v>0.78840908610346905</c:v>
              </c:pt>
              <c:pt idx="5">
                <c:v>0.67964914833319767</c:v>
              </c:pt>
              <c:pt idx="6">
                <c:v>0.58436316898136276</c:v>
              </c:pt>
              <c:pt idx="7">
                <c:v>0.51289656265429284</c:v>
              </c:pt>
              <c:pt idx="8">
                <c:v>0.52659836938924287</c:v>
              </c:pt>
              <c:pt idx="9">
                <c:v>0.5587890250618549</c:v>
              </c:pt>
              <c:pt idx="10">
                <c:v>0.50953499420367676</c:v>
              </c:pt>
              <c:pt idx="11">
                <c:v>0.50344788940146956</c:v>
              </c:pt>
              <c:pt idx="12">
                <c:v>0.6927032387815929</c:v>
              </c:pt>
              <c:pt idx="13">
                <c:v>0.64514567441728954</c:v>
              </c:pt>
              <c:pt idx="14">
                <c:v>0.78735678140905907</c:v>
              </c:pt>
              <c:pt idx="15">
                <c:v>0.7933910703253062</c:v>
              </c:pt>
              <c:pt idx="16">
                <c:v>0.79899820986718628</c:v>
              </c:pt>
              <c:pt idx="17">
                <c:v>0.85169473049340194</c:v>
              </c:pt>
              <c:pt idx="18">
                <c:v>0.92189037599648527</c:v>
              </c:pt>
              <c:pt idx="19">
                <c:v>0.94271580870768523</c:v>
              </c:pt>
              <c:pt idx="20">
                <c:v>0.91061606567545561</c:v>
              </c:pt>
              <c:pt idx="21">
                <c:v>0.87165675884576932</c:v>
              </c:pt>
              <c:pt idx="22">
                <c:v>0.88314404143217462</c:v>
              </c:pt>
              <c:pt idx="23">
                <c:v>0.88485629994802528</c:v>
              </c:pt>
              <c:pt idx="24">
                <c:v>0.93885661696663725</c:v>
              </c:pt>
              <c:pt idx="25">
                <c:v>0.92195814633412798</c:v>
              </c:pt>
              <c:pt idx="26">
                <c:v>0.98744577715724868</c:v>
              </c:pt>
              <c:pt idx="27">
                <c:v>0.95936964791051582</c:v>
              </c:pt>
              <c:pt idx="28">
                <c:v>0.93019234620042701</c:v>
              </c:pt>
              <c:pt idx="29">
                <c:v>0.96029411764705896</c:v>
              </c:pt>
            </c:numLit>
          </c:val>
          <c:smooth val="0"/>
        </c:ser>
        <c:ser>
          <c:idx val="3"/>
          <c:order val="3"/>
          <c:tx>
            <c:v>E (Cumulative Anomaly)</c:v>
          </c:tx>
          <c:spPr>
            <a:ln w="12700">
              <a:solidFill>
                <a:srgbClr val="808000"/>
              </a:solidFill>
              <a:prstDash val="lgDash"/>
            </a:ln>
          </c:spPr>
          <c:marker>
            <c:symbol val="none"/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1</c:v>
              </c:pt>
              <c:pt idx="1">
                <c:v>1</c:v>
              </c:pt>
              <c:pt idx="2">
                <c:v>1</c:v>
              </c:pt>
              <c:pt idx="3">
                <c:v>1</c:v>
              </c:pt>
              <c:pt idx="4">
                <c:v>1</c:v>
              </c:pt>
              <c:pt idx="5">
                <c:v>1</c:v>
              </c:pt>
              <c:pt idx="6">
                <c:v>1</c:v>
              </c:pt>
              <c:pt idx="7">
                <c:v>1</c:v>
              </c:pt>
              <c:pt idx="8">
                <c:v>1</c:v>
              </c:pt>
              <c:pt idx="9">
                <c:v>1</c:v>
              </c:pt>
              <c:pt idx="10">
                <c:v>1</c:v>
              </c:pt>
              <c:pt idx="11">
                <c:v>1</c:v>
              </c:pt>
              <c:pt idx="12">
                <c:v>1</c:v>
              </c:pt>
              <c:pt idx="13">
                <c:v>1</c:v>
              </c:pt>
              <c:pt idx="14">
                <c:v>1</c:v>
              </c:pt>
              <c:pt idx="15">
                <c:v>1</c:v>
              </c:pt>
              <c:pt idx="16">
                <c:v>1</c:v>
              </c:pt>
              <c:pt idx="17">
                <c:v>1</c:v>
              </c:pt>
              <c:pt idx="18">
                <c:v>1</c:v>
              </c:pt>
              <c:pt idx="19">
                <c:v>1</c:v>
              </c:pt>
              <c:pt idx="20">
                <c:v>1</c:v>
              </c:pt>
              <c:pt idx="21">
                <c:v>1</c:v>
              </c:pt>
              <c:pt idx="22">
                <c:v>1</c:v>
              </c:pt>
              <c:pt idx="23">
                <c:v>1</c:v>
              </c:pt>
              <c:pt idx="24">
                <c:v>1</c:v>
              </c:pt>
              <c:pt idx="25">
                <c:v>1</c:v>
              </c:pt>
              <c:pt idx="26">
                <c:v>1</c:v>
              </c:pt>
              <c:pt idx="27">
                <c:v>1</c:v>
              </c:pt>
              <c:pt idx="28">
                <c:v>1</c:v>
              </c:pt>
              <c:pt idx="29">
                <c:v>1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8793600"/>
        <c:axId val="128799488"/>
      </c:lineChart>
      <c:catAx>
        <c:axId val="128790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87920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8792064"/>
        <c:scaling>
          <c:orientation val="minMax"/>
          <c:max val="80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8790528"/>
        <c:crosses val="autoZero"/>
        <c:crossBetween val="between"/>
        <c:majorUnit val="20"/>
      </c:valAx>
      <c:catAx>
        <c:axId val="1287936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8799488"/>
        <c:crosses val="autoZero"/>
        <c:auto val="1"/>
        <c:lblAlgn val="ctr"/>
        <c:lblOffset val="100"/>
        <c:noMultiLvlLbl val="0"/>
      </c:catAx>
      <c:valAx>
        <c:axId val="128799488"/>
        <c:scaling>
          <c:orientation val="minMax"/>
          <c:max val="2"/>
          <c:min val="0"/>
        </c:scaling>
        <c:delete val="0"/>
        <c:axPos val="r"/>
        <c:numFmt formatCode="0%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8793600"/>
        <c:crosses val="max"/>
        <c:crossBetween val="between"/>
        <c:majorUnit val="0.5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5.162876459741856E-2"/>
          <c:y val="0.10643287132968028"/>
          <c:w val="0.17639834356906983"/>
          <c:h val="0.247953461957606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 horizontalDpi="-3"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 sz="14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Mean' &amp; Mean Temperature / </a:t>
            </a:r>
            <a:r>
              <a:rPr lang="en-GB" sz="1400" b="1" i="0" u="none" strike="noStrike" baseline="30000">
                <a:solidFill>
                  <a:srgbClr val="000000"/>
                </a:solidFill>
                <a:latin typeface="Arial"/>
                <a:cs typeface="Arial"/>
              </a:rPr>
              <a:t>o</a:t>
            </a:r>
            <a:r>
              <a:rPr lang="en-GB" sz="14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C</a:t>
            </a:r>
          </a:p>
        </c:rich>
      </c:tx>
      <c:layout>
        <c:manualLayout>
          <c:xMode val="edge"/>
          <c:yMode val="edge"/>
          <c:x val="0.40872784878534313"/>
          <c:y val="1.990632318501171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970505042623335E-2"/>
          <c:y val="8.5480093676814986E-2"/>
          <c:w val="0.96803962672132693"/>
          <c:h val="0.86416861826697888"/>
        </c:manualLayout>
      </c:layout>
      <c:lineChart>
        <c:grouping val="standard"/>
        <c:varyColors val="0"/>
        <c:ser>
          <c:idx val="2"/>
          <c:order val="0"/>
          <c:tx>
            <c:v>Mean Temperature</c:v>
          </c:tx>
          <c:spPr>
            <a:ln w="25400">
              <a:solidFill>
                <a:srgbClr val="666699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333399"/>
              </a:solidFill>
              <a:ln>
                <a:solidFill>
                  <a:srgbClr val="333399"/>
                </a:solidFill>
                <a:prstDash val="solid"/>
              </a:ln>
            </c:spPr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12.05</c:v>
              </c:pt>
              <c:pt idx="1">
                <c:v>11.95</c:v>
              </c:pt>
              <c:pt idx="2">
                <c:v>15.1</c:v>
              </c:pt>
              <c:pt idx="3">
                <c:v>13.45</c:v>
              </c:pt>
              <c:pt idx="4">
                <c:v>11.65</c:v>
              </c:pt>
              <c:pt idx="5">
                <c:v>10</c:v>
              </c:pt>
              <c:pt idx="6">
                <c:v>11.05</c:v>
              </c:pt>
              <c:pt idx="7">
                <c:v>9.9499999999999993</c:v>
              </c:pt>
              <c:pt idx="8">
                <c:v>12.25</c:v>
              </c:pt>
              <c:pt idx="9">
                <c:v>11.2</c:v>
              </c:pt>
              <c:pt idx="10">
                <c:v>10.45</c:v>
              </c:pt>
              <c:pt idx="11">
                <c:v>13.3</c:v>
              </c:pt>
              <c:pt idx="12">
                <c:v>12.3</c:v>
              </c:pt>
              <c:pt idx="13">
                <c:v>9.15</c:v>
              </c:pt>
              <c:pt idx="14">
                <c:v>8.4499999999999993</c:v>
              </c:pt>
              <c:pt idx="15">
                <c:v>6.5500000000000007</c:v>
              </c:pt>
              <c:pt idx="16">
                <c:v>11.2</c:v>
              </c:pt>
              <c:pt idx="17">
                <c:v>11.75</c:v>
              </c:pt>
              <c:pt idx="18">
                <c:v>9.65</c:v>
              </c:pt>
              <c:pt idx="19">
                <c:v>6.6000000000000005</c:v>
              </c:pt>
              <c:pt idx="20">
                <c:v>8.0500000000000007</c:v>
              </c:pt>
              <c:pt idx="21">
                <c:v>9.4</c:v>
              </c:pt>
              <c:pt idx="22">
                <c:v>6.5</c:v>
              </c:pt>
              <c:pt idx="23">
                <c:v>10.7</c:v>
              </c:pt>
              <c:pt idx="24">
                <c:v>10.1</c:v>
              </c:pt>
              <c:pt idx="25">
                <c:v>9.6</c:v>
              </c:pt>
              <c:pt idx="26">
                <c:v>8.4500000000000011</c:v>
              </c:pt>
              <c:pt idx="27">
                <c:v>6.55</c:v>
              </c:pt>
              <c:pt idx="28">
                <c:v>9.8000000000000007</c:v>
              </c:pt>
              <c:pt idx="29">
                <c:v>8.75</c:v>
              </c:pt>
            </c:numLit>
          </c:val>
          <c:smooth val="0"/>
        </c:ser>
        <c:ser>
          <c:idx val="0"/>
          <c:order val="1"/>
          <c:tx>
            <c:v>Mean' Temperature</c:v>
          </c:tx>
          <c:spPr>
            <a:ln w="38100">
              <a:solidFill>
                <a:srgbClr val="800080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666699"/>
              </a:solidFill>
              <a:ln>
                <a:solidFill>
                  <a:srgbClr val="666699"/>
                </a:solidFill>
                <a:prstDash val="solid"/>
              </a:ln>
            </c:spPr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12.9</c:v>
              </c:pt>
              <c:pt idx="1">
                <c:v>12.6</c:v>
              </c:pt>
              <c:pt idx="2">
                <c:v>15.3</c:v>
              </c:pt>
              <c:pt idx="3">
                <c:v>13.6</c:v>
              </c:pt>
              <c:pt idx="4">
                <c:v>11.7</c:v>
              </c:pt>
              <c:pt idx="5">
                <c:v>10.1</c:v>
              </c:pt>
              <c:pt idx="6">
                <c:v>10.9</c:v>
              </c:pt>
              <c:pt idx="7">
                <c:v>10.1</c:v>
              </c:pt>
              <c:pt idx="8">
                <c:v>11.9</c:v>
              </c:pt>
              <c:pt idx="9">
                <c:v>11.2</c:v>
              </c:pt>
              <c:pt idx="10">
                <c:v>9.9</c:v>
              </c:pt>
              <c:pt idx="11">
                <c:v>13.4</c:v>
              </c:pt>
              <c:pt idx="12">
                <c:v>11.8</c:v>
              </c:pt>
              <c:pt idx="13">
                <c:v>9.1</c:v>
              </c:pt>
              <c:pt idx="14">
                <c:v>8.6</c:v>
              </c:pt>
              <c:pt idx="15">
                <c:v>6.6</c:v>
              </c:pt>
              <c:pt idx="16">
                <c:v>11</c:v>
              </c:pt>
              <c:pt idx="17">
                <c:v>11.4</c:v>
              </c:pt>
              <c:pt idx="18">
                <c:v>9.3000000000000007</c:v>
              </c:pt>
              <c:pt idx="19">
                <c:v>6.6</c:v>
              </c:pt>
              <c:pt idx="20">
                <c:v>8.6</c:v>
              </c:pt>
              <c:pt idx="21">
                <c:v>10.4</c:v>
              </c:pt>
              <c:pt idx="22">
                <c:v>6.8</c:v>
              </c:pt>
              <c:pt idx="23">
                <c:v>10.3</c:v>
              </c:pt>
              <c:pt idx="24">
                <c:v>10.7</c:v>
              </c:pt>
              <c:pt idx="25">
                <c:v>9.9</c:v>
              </c:pt>
              <c:pt idx="26">
                <c:v>10.5</c:v>
              </c:pt>
              <c:pt idx="27">
                <c:v>6.2</c:v>
              </c:pt>
              <c:pt idx="28">
                <c:v>11.5</c:v>
              </c:pt>
              <c:pt idx="29">
                <c:v>8.8000000000000007</c:v>
              </c:pt>
            </c:numLit>
          </c:val>
          <c:smooth val="0"/>
        </c:ser>
        <c:ser>
          <c:idx val="1"/>
          <c:order val="2"/>
          <c:tx>
            <c:v>E (Mean)</c:v>
          </c:tx>
          <c:spPr>
            <a:ln w="38100">
              <a:solidFill>
                <a:srgbClr val="CC99FF"/>
              </a:solidFill>
              <a:prstDash val="lgDash"/>
            </a:ln>
          </c:spPr>
          <c:marker>
            <c:symbol val="none"/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9.5480000000000018</c:v>
              </c:pt>
              <c:pt idx="1">
                <c:v>9.3800000000000026</c:v>
              </c:pt>
              <c:pt idx="2">
                <c:v>9.2120000000000015</c:v>
              </c:pt>
              <c:pt idx="3">
                <c:v>9.0440000000000023</c:v>
              </c:pt>
              <c:pt idx="4">
                <c:v>8.876000000000003</c:v>
              </c:pt>
              <c:pt idx="5">
                <c:v>8.708000000000002</c:v>
              </c:pt>
              <c:pt idx="6">
                <c:v>8.5400000000000027</c:v>
              </c:pt>
              <c:pt idx="7">
                <c:v>8.3720000000000034</c:v>
              </c:pt>
              <c:pt idx="8">
                <c:v>8.2040000000000042</c:v>
              </c:pt>
              <c:pt idx="9">
                <c:v>8.0360000000000049</c:v>
              </c:pt>
              <c:pt idx="10">
                <c:v>7.8680000000000039</c:v>
              </c:pt>
              <c:pt idx="11">
                <c:v>7.7</c:v>
              </c:pt>
              <c:pt idx="12">
                <c:v>7.6166666666666671</c:v>
              </c:pt>
              <c:pt idx="13">
                <c:v>7.5333333333333341</c:v>
              </c:pt>
              <c:pt idx="14">
                <c:v>7.4500000000000011</c:v>
              </c:pt>
              <c:pt idx="15">
                <c:v>7.366666666666668</c:v>
              </c:pt>
              <c:pt idx="16">
                <c:v>7.283333333333335</c:v>
              </c:pt>
              <c:pt idx="17">
                <c:v>7.200000000000002</c:v>
              </c:pt>
              <c:pt idx="18">
                <c:v>7.1166666666666689</c:v>
              </c:pt>
              <c:pt idx="19">
                <c:v>7.0333333333333359</c:v>
              </c:pt>
              <c:pt idx="20">
                <c:v>6.9500000000000028</c:v>
              </c:pt>
              <c:pt idx="21">
                <c:v>6.8666666666666698</c:v>
              </c:pt>
              <c:pt idx="22">
                <c:v>6.7833333333333368</c:v>
              </c:pt>
              <c:pt idx="23">
                <c:v>6.7</c:v>
              </c:pt>
              <c:pt idx="24">
                <c:v>6.6420833333333329</c:v>
              </c:pt>
              <c:pt idx="25">
                <c:v>6.5841666666666656</c:v>
              </c:pt>
              <c:pt idx="26">
                <c:v>6.5262499999999992</c:v>
              </c:pt>
              <c:pt idx="27">
                <c:v>6.4683333333333319</c:v>
              </c:pt>
              <c:pt idx="28">
                <c:v>6.4104166666666647</c:v>
              </c:pt>
              <c:pt idx="29">
                <c:v>6.3524999999999974</c:v>
              </c:pt>
            </c:numLit>
          </c:val>
          <c:smooth val="0"/>
        </c:ser>
        <c:ser>
          <c:idx val="3"/>
          <c:order val="3"/>
          <c:tx>
            <c:v>E (Max)</c:v>
          </c:tx>
          <c:spPr>
            <a:ln w="12700">
              <a:solidFill>
                <a:srgbClr val="FFCC99"/>
              </a:solidFill>
              <a:prstDash val="lgDash"/>
            </a:ln>
          </c:spPr>
          <c:marker>
            <c:symbol val="none"/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12.2</c:v>
              </c:pt>
              <c:pt idx="1">
                <c:v>12</c:v>
              </c:pt>
              <c:pt idx="2">
                <c:v>11.8</c:v>
              </c:pt>
              <c:pt idx="3">
                <c:v>11.600000000000001</c:v>
              </c:pt>
              <c:pt idx="4">
                <c:v>11.400000000000002</c:v>
              </c:pt>
              <c:pt idx="5">
                <c:v>11.200000000000003</c:v>
              </c:pt>
              <c:pt idx="6">
                <c:v>11.000000000000004</c:v>
              </c:pt>
              <c:pt idx="7">
                <c:v>10.800000000000004</c:v>
              </c:pt>
              <c:pt idx="8">
                <c:v>10.600000000000005</c:v>
              </c:pt>
              <c:pt idx="9">
                <c:v>10.400000000000006</c:v>
              </c:pt>
              <c:pt idx="10">
                <c:v>10.200000000000006</c:v>
              </c:pt>
              <c:pt idx="11">
                <c:v>10</c:v>
              </c:pt>
              <c:pt idx="12">
                <c:v>9.9583333333333339</c:v>
              </c:pt>
              <c:pt idx="13">
                <c:v>9.9166666666666679</c:v>
              </c:pt>
              <c:pt idx="14">
                <c:v>9.8750000000000018</c:v>
              </c:pt>
              <c:pt idx="15">
                <c:v>9.8333333333333357</c:v>
              </c:pt>
              <c:pt idx="16">
                <c:v>9.7916666666666696</c:v>
              </c:pt>
              <c:pt idx="17">
                <c:v>9.7500000000000036</c:v>
              </c:pt>
              <c:pt idx="18">
                <c:v>9.7083333333333375</c:v>
              </c:pt>
              <c:pt idx="19">
                <c:v>9.6666666666666714</c:v>
              </c:pt>
              <c:pt idx="20">
                <c:v>9.6250000000000053</c:v>
              </c:pt>
              <c:pt idx="21">
                <c:v>9.5833333333333393</c:v>
              </c:pt>
              <c:pt idx="22">
                <c:v>9.5416666666666732</c:v>
              </c:pt>
              <c:pt idx="23">
                <c:v>9.5</c:v>
              </c:pt>
              <c:pt idx="24">
                <c:v>9.4187499999999993</c:v>
              </c:pt>
              <c:pt idx="25">
                <c:v>9.3374999999999986</c:v>
              </c:pt>
              <c:pt idx="26">
                <c:v>9.2562499999999979</c:v>
              </c:pt>
              <c:pt idx="27">
                <c:v>9.1749999999999972</c:v>
              </c:pt>
              <c:pt idx="28">
                <c:v>9.0937499999999964</c:v>
              </c:pt>
              <c:pt idx="29">
                <c:v>9.0124999999999957</c:v>
              </c:pt>
            </c:numLit>
          </c:val>
          <c:smooth val="0"/>
        </c:ser>
        <c:ser>
          <c:idx val="4"/>
          <c:order val="4"/>
          <c:tx>
            <c:v>E (Min)</c:v>
          </c:tx>
          <c:spPr>
            <a:ln w="12700">
              <a:solidFill>
                <a:srgbClr val="00CCFF"/>
              </a:solidFill>
              <a:prstDash val="lgDash"/>
            </a:ln>
          </c:spPr>
          <c:marker>
            <c:symbol val="none"/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6.8960000000000035</c:v>
              </c:pt>
              <c:pt idx="1">
                <c:v>6.7600000000000033</c:v>
              </c:pt>
              <c:pt idx="2">
                <c:v>6.6240000000000032</c:v>
              </c:pt>
              <c:pt idx="3">
                <c:v>6.4880000000000031</c:v>
              </c:pt>
              <c:pt idx="4">
                <c:v>6.352000000000003</c:v>
              </c:pt>
              <c:pt idx="5">
                <c:v>6.2160000000000029</c:v>
              </c:pt>
              <c:pt idx="6">
                <c:v>6.0800000000000027</c:v>
              </c:pt>
              <c:pt idx="7">
                <c:v>5.9440000000000026</c:v>
              </c:pt>
              <c:pt idx="8">
                <c:v>5.8080000000000025</c:v>
              </c:pt>
              <c:pt idx="9">
                <c:v>5.6720000000000024</c:v>
              </c:pt>
              <c:pt idx="10">
                <c:v>5.5360000000000023</c:v>
              </c:pt>
              <c:pt idx="11">
                <c:v>5.4</c:v>
              </c:pt>
              <c:pt idx="12">
                <c:v>5.2750000000000004</c:v>
              </c:pt>
              <c:pt idx="13">
                <c:v>5.15</c:v>
              </c:pt>
              <c:pt idx="14">
                <c:v>5.0250000000000004</c:v>
              </c:pt>
              <c:pt idx="15">
                <c:v>4.9000000000000004</c:v>
              </c:pt>
              <c:pt idx="16">
                <c:v>4.7750000000000004</c:v>
              </c:pt>
              <c:pt idx="17">
                <c:v>4.6500000000000004</c:v>
              </c:pt>
              <c:pt idx="18">
                <c:v>4.5250000000000004</c:v>
              </c:pt>
              <c:pt idx="19">
                <c:v>4.4000000000000004</c:v>
              </c:pt>
              <c:pt idx="20">
                <c:v>4.2750000000000004</c:v>
              </c:pt>
              <c:pt idx="21">
                <c:v>4.1500000000000004</c:v>
              </c:pt>
              <c:pt idx="22">
                <c:v>4.0250000000000004</c:v>
              </c:pt>
              <c:pt idx="23">
                <c:v>3.9</c:v>
              </c:pt>
              <c:pt idx="24">
                <c:v>3.8654166666666665</c:v>
              </c:pt>
              <c:pt idx="25">
                <c:v>3.8308333333333331</c:v>
              </c:pt>
              <c:pt idx="26">
                <c:v>3.7962499999999997</c:v>
              </c:pt>
              <c:pt idx="27">
                <c:v>3.7616666666666663</c:v>
              </c:pt>
              <c:pt idx="28">
                <c:v>3.7270833333333329</c:v>
              </c:pt>
              <c:pt idx="29">
                <c:v>3.6924999999999994</c:v>
              </c:pt>
            </c:numLit>
          </c:val>
          <c:smooth val="0"/>
        </c:ser>
        <c:ser>
          <c:idx val="5"/>
          <c:order val="5"/>
          <c:tx>
            <c:v>Cold Threshold</c:v>
          </c:tx>
          <c:spPr>
            <a:ln w="25400">
              <a:solidFill>
                <a:srgbClr val="0000FF"/>
              </a:solidFill>
              <a:prstDash val="sysDash"/>
            </a:ln>
          </c:spPr>
          <c:marker>
            <c:symbol val="none"/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7.7800000000000029</c:v>
              </c:pt>
              <c:pt idx="1">
                <c:v>7.6333333333333373</c:v>
              </c:pt>
              <c:pt idx="2">
                <c:v>7.486666666666669</c:v>
              </c:pt>
              <c:pt idx="3">
                <c:v>7.3400000000000025</c:v>
              </c:pt>
              <c:pt idx="4">
                <c:v>7.1933333333333369</c:v>
              </c:pt>
              <c:pt idx="5">
                <c:v>7.0466666666666686</c:v>
              </c:pt>
              <c:pt idx="6">
                <c:v>6.9000000000000021</c:v>
              </c:pt>
              <c:pt idx="7">
                <c:v>6.7533333333333365</c:v>
              </c:pt>
              <c:pt idx="8">
                <c:v>6.60666666666667</c:v>
              </c:pt>
              <c:pt idx="9">
                <c:v>6.4600000000000035</c:v>
              </c:pt>
              <c:pt idx="10">
                <c:v>6.3133333333333361</c:v>
              </c:pt>
              <c:pt idx="11">
                <c:v>6.166666666666667</c:v>
              </c:pt>
              <c:pt idx="12">
                <c:v>6.0555555555555562</c:v>
              </c:pt>
              <c:pt idx="13">
                <c:v>5.9444444444444446</c:v>
              </c:pt>
              <c:pt idx="14">
                <c:v>5.8333333333333339</c:v>
              </c:pt>
              <c:pt idx="15">
                <c:v>5.7222222222222232</c:v>
              </c:pt>
              <c:pt idx="16">
                <c:v>5.6111111111111116</c:v>
              </c:pt>
              <c:pt idx="17">
                <c:v>5.5000000000000009</c:v>
              </c:pt>
              <c:pt idx="18">
                <c:v>5.3888888888888902</c:v>
              </c:pt>
              <c:pt idx="19">
                <c:v>5.2777777777777786</c:v>
              </c:pt>
              <c:pt idx="20">
                <c:v>5.1666666666666679</c:v>
              </c:pt>
              <c:pt idx="21">
                <c:v>5.0555555555555571</c:v>
              </c:pt>
              <c:pt idx="22">
                <c:v>4.9444444444444455</c:v>
              </c:pt>
              <c:pt idx="23">
                <c:v>4.8333333333333339</c:v>
              </c:pt>
              <c:pt idx="24">
                <c:v>4.790972222222222</c:v>
              </c:pt>
              <c:pt idx="25">
                <c:v>4.74861111111111</c:v>
              </c:pt>
              <c:pt idx="26">
                <c:v>4.7062499999999998</c:v>
              </c:pt>
              <c:pt idx="27">
                <c:v>4.6638888888888888</c:v>
              </c:pt>
              <c:pt idx="28">
                <c:v>4.6215277777777768</c:v>
              </c:pt>
              <c:pt idx="29">
                <c:v>4.5791666666666648</c:v>
              </c:pt>
            </c:numLit>
          </c:val>
          <c:smooth val="0"/>
        </c:ser>
        <c:ser>
          <c:idx val="6"/>
          <c:order val="6"/>
          <c:tx>
            <c:v>Mild Threshold</c:v>
          </c:tx>
          <c:spPr>
            <a:ln w="25400">
              <a:solidFill>
                <a:srgbClr val="FF6600"/>
              </a:solidFill>
              <a:prstDash val="sysDash"/>
            </a:ln>
          </c:spPr>
          <c:marker>
            <c:symbol val="none"/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11.316000000000001</c:v>
              </c:pt>
              <c:pt idx="1">
                <c:v>11.126666666666669</c:v>
              </c:pt>
              <c:pt idx="2">
                <c:v>10.937333333333335</c:v>
              </c:pt>
              <c:pt idx="3">
                <c:v>10.748000000000001</c:v>
              </c:pt>
              <c:pt idx="4">
                <c:v>10.558666666666669</c:v>
              </c:pt>
              <c:pt idx="5">
                <c:v>10.369333333333335</c:v>
              </c:pt>
              <c:pt idx="6">
                <c:v>10.180000000000003</c:v>
              </c:pt>
              <c:pt idx="7">
                <c:v>9.9906666666666712</c:v>
              </c:pt>
              <c:pt idx="8">
                <c:v>9.8013333333333392</c:v>
              </c:pt>
              <c:pt idx="9">
                <c:v>9.6120000000000054</c:v>
              </c:pt>
              <c:pt idx="10">
                <c:v>9.4226666666666716</c:v>
              </c:pt>
              <c:pt idx="11">
                <c:v>9.2333333333333343</c:v>
              </c:pt>
              <c:pt idx="12">
                <c:v>9.1777777777777789</c:v>
              </c:pt>
              <c:pt idx="13">
                <c:v>9.1222222222222236</c:v>
              </c:pt>
              <c:pt idx="14">
                <c:v>9.0666666666666682</c:v>
              </c:pt>
              <c:pt idx="15">
                <c:v>9.0111111111111128</c:v>
              </c:pt>
              <c:pt idx="16">
                <c:v>8.9555555555555575</c:v>
              </c:pt>
              <c:pt idx="17">
                <c:v>8.9000000000000021</c:v>
              </c:pt>
              <c:pt idx="18">
                <c:v>8.8444444444444485</c:v>
              </c:pt>
              <c:pt idx="19">
                <c:v>8.7888888888888932</c:v>
              </c:pt>
              <c:pt idx="20">
                <c:v>8.7333333333333378</c:v>
              </c:pt>
              <c:pt idx="21">
                <c:v>8.6777777777777825</c:v>
              </c:pt>
              <c:pt idx="22">
                <c:v>8.6222222222222271</c:v>
              </c:pt>
              <c:pt idx="23">
                <c:v>8.5666666666666664</c:v>
              </c:pt>
              <c:pt idx="24">
                <c:v>8.4931944444444447</c:v>
              </c:pt>
              <c:pt idx="25">
                <c:v>8.4197222222222212</c:v>
              </c:pt>
              <c:pt idx="26">
                <c:v>8.3462499999999977</c:v>
              </c:pt>
              <c:pt idx="27">
                <c:v>8.272777777777776</c:v>
              </c:pt>
              <c:pt idx="28">
                <c:v>8.1993055555555525</c:v>
              </c:pt>
              <c:pt idx="29">
                <c:v>8.125833333333329</c:v>
              </c:pt>
            </c:numLit>
          </c:val>
          <c:smooth val="0"/>
        </c:ser>
        <c:ser>
          <c:idx val="7"/>
          <c:order val="7"/>
          <c:tx>
            <c:v>Freezing Point</c:v>
          </c:tx>
          <c:spPr>
            <a:ln w="38100">
              <a:solidFill>
                <a:srgbClr val="0000FF"/>
              </a:solidFill>
              <a:prstDash val="sysDash"/>
            </a:ln>
          </c:spPr>
          <c:marker>
            <c:symbol val="none"/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</c:numLit>
          </c:val>
          <c:smooth val="0"/>
        </c:ser>
        <c:ser>
          <c:idx val="8"/>
          <c:order val="8"/>
          <c:tx>
            <c:v>Cum. Mean</c:v>
          </c:tx>
          <c:spPr>
            <a:ln w="12700">
              <a:solidFill>
                <a:srgbClr val="993366"/>
              </a:solidFill>
              <a:prstDash val="solid"/>
            </a:ln>
          </c:spPr>
          <c:marker>
            <c:symbol val="circle"/>
            <c:size val="2"/>
            <c:spPr>
              <a:solidFill>
                <a:srgbClr val="800080"/>
              </a:solidFill>
              <a:ln>
                <a:solidFill>
                  <a:srgbClr val="800080"/>
                </a:solidFill>
                <a:prstDash val="solid"/>
              </a:ln>
            </c:spPr>
          </c:marker>
          <c:val>
            <c:numLit>
              <c:formatCode>General</c:formatCode>
              <c:ptCount val="30"/>
              <c:pt idx="0">
                <c:v>12.9</c:v>
              </c:pt>
              <c:pt idx="1">
                <c:v>12.75</c:v>
              </c:pt>
              <c:pt idx="2">
                <c:v>13.6</c:v>
              </c:pt>
              <c:pt idx="3">
                <c:v>13.6</c:v>
              </c:pt>
              <c:pt idx="4">
                <c:v>13.219999999999999</c:v>
              </c:pt>
              <c:pt idx="5">
                <c:v>12.699999999999998</c:v>
              </c:pt>
              <c:pt idx="6">
                <c:v>12.442857142857141</c:v>
              </c:pt>
              <c:pt idx="7">
                <c:v>12.149999999999999</c:v>
              </c:pt>
              <c:pt idx="8">
                <c:v>12.122222222222222</c:v>
              </c:pt>
              <c:pt idx="9">
                <c:v>12.03</c:v>
              </c:pt>
              <c:pt idx="10">
                <c:v>11.836363636363636</c:v>
              </c:pt>
              <c:pt idx="11">
                <c:v>11.966666666666667</c:v>
              </c:pt>
              <c:pt idx="12">
                <c:v>11.953846153846154</c:v>
              </c:pt>
              <c:pt idx="13">
                <c:v>11.75</c:v>
              </c:pt>
              <c:pt idx="14">
                <c:v>11.54</c:v>
              </c:pt>
              <c:pt idx="15">
                <c:v>11.231249999999999</c:v>
              </c:pt>
              <c:pt idx="16">
                <c:v>11.217647058823529</c:v>
              </c:pt>
              <c:pt idx="17">
                <c:v>11.227777777777778</c:v>
              </c:pt>
              <c:pt idx="18">
                <c:v>11.126315789473685</c:v>
              </c:pt>
              <c:pt idx="19">
                <c:v>10.9</c:v>
              </c:pt>
              <c:pt idx="20">
                <c:v>10.790476190476189</c:v>
              </c:pt>
              <c:pt idx="21">
                <c:v>10.772727272727273</c:v>
              </c:pt>
              <c:pt idx="22">
                <c:v>10.6</c:v>
              </c:pt>
              <c:pt idx="23">
                <c:v>10.5875</c:v>
              </c:pt>
              <c:pt idx="24">
                <c:v>10.592000000000001</c:v>
              </c:pt>
              <c:pt idx="25">
                <c:v>10.565384615384614</c:v>
              </c:pt>
              <c:pt idx="26">
                <c:v>10.562962962962963</c:v>
              </c:pt>
              <c:pt idx="27">
                <c:v>10.407142857142857</c:v>
              </c:pt>
              <c:pt idx="28">
                <c:v>10.444827586206896</c:v>
              </c:pt>
              <c:pt idx="29">
                <c:v>10.389999999999999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8977536"/>
        <c:axId val="128983808"/>
      </c:lineChart>
      <c:catAx>
        <c:axId val="1289775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8983808"/>
        <c:crossesAt val="-5"/>
        <c:auto val="1"/>
        <c:lblAlgn val="ctr"/>
        <c:lblOffset val="100"/>
        <c:tickLblSkip val="1"/>
        <c:tickMarkSkip val="1"/>
        <c:noMultiLvlLbl val="0"/>
      </c:catAx>
      <c:valAx>
        <c:axId val="128983808"/>
        <c:scaling>
          <c:orientation val="minMax"/>
          <c:max val="16"/>
          <c:min val="2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8977536"/>
        <c:crosses val="autoZero"/>
        <c:crossBetween val="between"/>
        <c:majorUnit val="2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7.3755377996312238E-2"/>
          <c:y val="0.86182669789227162"/>
          <c:w val="0.47203454823217778"/>
          <c:h val="0.92505854800936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Pressure / Temperature</a:t>
            </a:r>
          </a:p>
        </c:rich>
      </c:tx>
      <c:layout>
        <c:manualLayout>
          <c:xMode val="edge"/>
          <c:yMode val="edge"/>
          <c:x val="0.41566820276497696"/>
          <c:y val="5.251141552511415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0829493087557605E-2"/>
          <c:y val="0.13013727645475809"/>
          <c:w val="0.9244239631336405"/>
          <c:h val="0.7579925575961348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993366"/>
              </a:solidFill>
              <a:ln>
                <a:solidFill>
                  <a:srgbClr val="993366"/>
                </a:solidFill>
                <a:prstDash val="solid"/>
              </a:ln>
            </c:spPr>
          </c:marker>
          <c:trendline>
            <c:spPr>
              <a:ln w="12700">
                <a:solidFill>
                  <a:srgbClr val="000080"/>
                </a:solidFill>
                <a:prstDash val="solid"/>
              </a:ln>
            </c:spPr>
            <c:trendlineType val="linear"/>
            <c:forward val="0.5"/>
            <c:backward val="3"/>
            <c:dispRSqr val="1"/>
            <c:dispEq val="1"/>
            <c:trendlineLbl>
              <c:layout>
                <c:manualLayout>
                  <c:xMode val="edge"/>
                  <c:yMode val="edge"/>
                  <c:x val="4.608294930875576E-3"/>
                  <c:y val="1.1415550566206849E-2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175" b="0" i="0" u="none" strike="noStrike" baseline="0">
                      <a:solidFill>
                        <a:srgbClr val="00000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en-US"/>
                </a:p>
              </c:txPr>
            </c:trendlineLbl>
          </c:trendline>
          <c:xVal>
            <c:numLit>
              <c:formatCode>General</c:formatCode>
              <c:ptCount val="30"/>
              <c:pt idx="0">
                <c:v>12.9</c:v>
              </c:pt>
              <c:pt idx="1">
                <c:v>12.6</c:v>
              </c:pt>
              <c:pt idx="2">
                <c:v>15.3</c:v>
              </c:pt>
              <c:pt idx="3">
                <c:v>13.6</c:v>
              </c:pt>
              <c:pt idx="4">
                <c:v>11.7</c:v>
              </c:pt>
              <c:pt idx="5">
                <c:v>10.1</c:v>
              </c:pt>
              <c:pt idx="6">
                <c:v>10.9</c:v>
              </c:pt>
              <c:pt idx="7">
                <c:v>10.1</c:v>
              </c:pt>
              <c:pt idx="8">
                <c:v>11.9</c:v>
              </c:pt>
              <c:pt idx="9">
                <c:v>11.2</c:v>
              </c:pt>
              <c:pt idx="10">
                <c:v>9.9</c:v>
              </c:pt>
              <c:pt idx="11">
                <c:v>13.4</c:v>
              </c:pt>
              <c:pt idx="12">
                <c:v>11.8</c:v>
              </c:pt>
              <c:pt idx="13">
                <c:v>9.1</c:v>
              </c:pt>
              <c:pt idx="14">
                <c:v>8.6</c:v>
              </c:pt>
              <c:pt idx="15">
                <c:v>6.6</c:v>
              </c:pt>
              <c:pt idx="16">
                <c:v>11</c:v>
              </c:pt>
              <c:pt idx="17">
                <c:v>11.4</c:v>
              </c:pt>
              <c:pt idx="18">
                <c:v>9.3000000000000007</c:v>
              </c:pt>
              <c:pt idx="19">
                <c:v>6.6</c:v>
              </c:pt>
              <c:pt idx="20">
                <c:v>8.6</c:v>
              </c:pt>
              <c:pt idx="21">
                <c:v>10.4</c:v>
              </c:pt>
              <c:pt idx="22">
                <c:v>6.8</c:v>
              </c:pt>
              <c:pt idx="23">
                <c:v>10.3</c:v>
              </c:pt>
              <c:pt idx="24">
                <c:v>10.7</c:v>
              </c:pt>
              <c:pt idx="25">
                <c:v>9.9</c:v>
              </c:pt>
              <c:pt idx="26">
                <c:v>10.5</c:v>
              </c:pt>
              <c:pt idx="27">
                <c:v>6.2</c:v>
              </c:pt>
              <c:pt idx="28">
                <c:v>11.5</c:v>
              </c:pt>
              <c:pt idx="29">
                <c:v>8.8000000000000007</c:v>
              </c:pt>
            </c:numLit>
          </c:xVal>
          <c:yVal>
            <c:numLit>
              <c:formatCode>General</c:formatCode>
              <c:ptCount val="30"/>
              <c:pt idx="0">
                <c:v>1009.5</c:v>
              </c:pt>
              <c:pt idx="1">
                <c:v>1004</c:v>
              </c:pt>
              <c:pt idx="2">
                <c:v>993.5</c:v>
              </c:pt>
              <c:pt idx="3">
                <c:v>996</c:v>
              </c:pt>
              <c:pt idx="4">
                <c:v>1010</c:v>
              </c:pt>
              <c:pt idx="5">
                <c:v>1021.5</c:v>
              </c:pt>
              <c:pt idx="6">
                <c:v>1020.5</c:v>
              </c:pt>
              <c:pt idx="7">
                <c:v>1014.5</c:v>
              </c:pt>
              <c:pt idx="8">
                <c:v>1016</c:v>
              </c:pt>
              <c:pt idx="9">
                <c:v>1018</c:v>
              </c:pt>
              <c:pt idx="10">
                <c:v>1017</c:v>
              </c:pt>
              <c:pt idx="11">
                <c:v>1024</c:v>
              </c:pt>
              <c:pt idx="12">
                <c:v>1028.0000500000001</c:v>
              </c:pt>
              <c:pt idx="13">
                <c:v>1023.5</c:v>
              </c:pt>
              <c:pt idx="14">
                <c:v>1018.5</c:v>
              </c:pt>
              <c:pt idx="15">
                <c:v>1017</c:v>
              </c:pt>
              <c:pt idx="16">
                <c:v>1018</c:v>
              </c:pt>
              <c:pt idx="17">
                <c:v>1017.5</c:v>
              </c:pt>
              <c:pt idx="18">
                <c:v>1017.5</c:v>
              </c:pt>
              <c:pt idx="19">
                <c:v>1018.5</c:v>
              </c:pt>
              <c:pt idx="20">
                <c:v>1015.5</c:v>
              </c:pt>
              <c:pt idx="21">
                <c:v>1019.5</c:v>
              </c:pt>
              <c:pt idx="22">
                <c:v>1026.5</c:v>
              </c:pt>
              <c:pt idx="23">
                <c:v>1025.5</c:v>
              </c:pt>
              <c:pt idx="24">
                <c:v>1025</c:v>
              </c:pt>
              <c:pt idx="25">
                <c:v>1024.5</c:v>
              </c:pt>
              <c:pt idx="26">
                <c:v>1021.5</c:v>
              </c:pt>
              <c:pt idx="27">
                <c:v>1021</c:v>
              </c:pt>
              <c:pt idx="28">
                <c:v>1009</c:v>
              </c:pt>
              <c:pt idx="29">
                <c:v>1016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021824"/>
        <c:axId val="129023360"/>
      </c:scatterChart>
      <c:valAx>
        <c:axId val="129021824"/>
        <c:scaling>
          <c:orientation val="minMax"/>
          <c:max val="16"/>
          <c:min val="6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9023360"/>
        <c:crosses val="autoZero"/>
        <c:crossBetween val="midCat"/>
        <c:majorUnit val="1"/>
      </c:valAx>
      <c:valAx>
        <c:axId val="129023360"/>
        <c:scaling>
          <c:orientation val="minMax"/>
          <c:max val="1030"/>
          <c:min val="99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9021824"/>
        <c:crossesAt val="-3"/>
        <c:crossBetween val="midCat"/>
        <c:majorUnit val="5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Relative Humidity Range / Temperature Range </a:t>
            </a:r>
          </a:p>
        </c:rich>
      </c:tx>
      <c:layout>
        <c:manualLayout>
          <c:xMode val="edge"/>
          <c:yMode val="edge"/>
          <c:x val="0.34658040665434381"/>
          <c:y val="3.009259259259259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4.4362292051756007E-2"/>
          <c:y val="0.12037064247559154"/>
          <c:w val="0.94085027726432535"/>
          <c:h val="0.766205435758092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993366"/>
              </a:solidFill>
              <a:ln>
                <a:solidFill>
                  <a:srgbClr val="993366"/>
                </a:solidFill>
                <a:prstDash val="solid"/>
              </a:ln>
            </c:spPr>
          </c:marker>
          <c:trendline>
            <c:spPr>
              <a:ln w="12700">
                <a:solidFill>
                  <a:srgbClr val="0000FF"/>
                </a:solidFill>
                <a:prstDash val="solid"/>
              </a:ln>
            </c:spPr>
            <c:trendlineType val="linear"/>
            <c:forward val="0.5"/>
            <c:backward val="2.5"/>
            <c:dispRSqr val="1"/>
            <c:dispEq val="1"/>
            <c:trendlineLbl>
              <c:layout>
                <c:manualLayout>
                  <c:xMode val="edge"/>
                  <c:yMode val="edge"/>
                  <c:x val="4.6210720887245845E-3"/>
                  <c:y val="7.1759421475833418E-2"/>
                </c:manualLayout>
              </c:layout>
              <c:numFmt formatCode="0.00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200" b="0" i="0" u="none" strike="noStrike" baseline="0">
                      <a:solidFill>
                        <a:srgbClr val="00000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en-US"/>
                </a:p>
              </c:txPr>
            </c:trendlineLbl>
          </c:trendline>
          <c:xVal>
            <c:numLit>
              <c:formatCode>General</c:formatCode>
              <c:ptCount val="30"/>
              <c:pt idx="0">
                <c:v>5.0999999999999996</c:v>
              </c:pt>
              <c:pt idx="1">
                <c:v>6.5</c:v>
              </c:pt>
              <c:pt idx="2">
                <c:v>4.5999999999999996</c:v>
              </c:pt>
              <c:pt idx="3">
                <c:v>4.0999999999999996</c:v>
              </c:pt>
              <c:pt idx="4">
                <c:v>3.5</c:v>
              </c:pt>
              <c:pt idx="5">
                <c:v>3</c:v>
              </c:pt>
              <c:pt idx="6">
                <c:v>2.9</c:v>
              </c:pt>
              <c:pt idx="7">
                <c:v>1.7</c:v>
              </c:pt>
              <c:pt idx="8">
                <c:v>4.7</c:v>
              </c:pt>
              <c:pt idx="9">
                <c:v>4.4000000000000004</c:v>
              </c:pt>
              <c:pt idx="10">
                <c:v>3.5</c:v>
              </c:pt>
              <c:pt idx="11">
                <c:v>4.4000000000000004</c:v>
              </c:pt>
              <c:pt idx="12">
                <c:v>4.8</c:v>
              </c:pt>
              <c:pt idx="13">
                <c:v>1.7</c:v>
              </c:pt>
              <c:pt idx="14">
                <c:v>5.3</c:v>
              </c:pt>
              <c:pt idx="15">
                <c:v>3.5</c:v>
              </c:pt>
              <c:pt idx="16">
                <c:v>5.8</c:v>
              </c:pt>
              <c:pt idx="17">
                <c:v>5.7</c:v>
              </c:pt>
              <c:pt idx="18">
                <c:v>6.3</c:v>
              </c:pt>
              <c:pt idx="19">
                <c:v>4.4000000000000004</c:v>
              </c:pt>
              <c:pt idx="20">
                <c:v>4.0999999999999996</c:v>
              </c:pt>
              <c:pt idx="21">
                <c:v>6.2</c:v>
              </c:pt>
              <c:pt idx="22">
                <c:v>7</c:v>
              </c:pt>
              <c:pt idx="23">
                <c:v>4</c:v>
              </c:pt>
              <c:pt idx="24">
                <c:v>5.8</c:v>
              </c:pt>
              <c:pt idx="25">
                <c:v>6.2</c:v>
              </c:pt>
              <c:pt idx="26">
                <c:v>9.6999999999999993</c:v>
              </c:pt>
              <c:pt idx="27">
                <c:v>12.3</c:v>
              </c:pt>
              <c:pt idx="28">
                <c:v>7</c:v>
              </c:pt>
              <c:pt idx="29">
                <c:v>5.7</c:v>
              </c:pt>
            </c:numLit>
          </c:xVal>
          <c:yVal>
            <c:numLit>
              <c:formatCode>General</c:formatCode>
              <c:ptCount val="30"/>
              <c:pt idx="0">
                <c:v>23</c:v>
              </c:pt>
              <c:pt idx="1">
                <c:v>24</c:v>
              </c:pt>
              <c:pt idx="2">
                <c:v>17</c:v>
              </c:pt>
              <c:pt idx="3">
                <c:v>16</c:v>
              </c:pt>
              <c:pt idx="4">
                <c:v>8</c:v>
              </c:pt>
              <c:pt idx="5">
                <c:v>22</c:v>
              </c:pt>
              <c:pt idx="6">
                <c:v>13</c:v>
              </c:pt>
              <c:pt idx="7">
                <c:v>6</c:v>
              </c:pt>
              <c:pt idx="8">
                <c:v>23</c:v>
              </c:pt>
              <c:pt idx="9">
                <c:v>9</c:v>
              </c:pt>
              <c:pt idx="10">
                <c:v>5</c:v>
              </c:pt>
              <c:pt idx="11">
                <c:v>9</c:v>
              </c:pt>
              <c:pt idx="12">
                <c:v>19</c:v>
              </c:pt>
              <c:pt idx="13">
                <c:v>6</c:v>
              </c:pt>
              <c:pt idx="14">
                <c:v>22</c:v>
              </c:pt>
              <c:pt idx="15">
                <c:v>10</c:v>
              </c:pt>
              <c:pt idx="16">
                <c:v>26</c:v>
              </c:pt>
              <c:pt idx="17">
                <c:v>23</c:v>
              </c:pt>
              <c:pt idx="18">
                <c:v>14</c:v>
              </c:pt>
              <c:pt idx="19">
                <c:v>2</c:v>
              </c:pt>
              <c:pt idx="20">
                <c:v>2</c:v>
              </c:pt>
              <c:pt idx="21">
                <c:v>7</c:v>
              </c:pt>
              <c:pt idx="22">
                <c:v>6</c:v>
              </c:pt>
              <c:pt idx="23">
                <c:v>19</c:v>
              </c:pt>
              <c:pt idx="24">
                <c:v>34</c:v>
              </c:pt>
              <c:pt idx="25">
                <c:v>24</c:v>
              </c:pt>
              <c:pt idx="26">
                <c:v>38</c:v>
              </c:pt>
              <c:pt idx="27">
                <c:v>23</c:v>
              </c:pt>
              <c:pt idx="28">
                <c:v>24</c:v>
              </c:pt>
              <c:pt idx="29">
                <c:v>15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138688"/>
        <c:axId val="129140224"/>
      </c:scatterChart>
      <c:valAx>
        <c:axId val="129138688"/>
        <c:scaling>
          <c:orientation val="minMax"/>
          <c:max val="13"/>
          <c:min val="0"/>
        </c:scaling>
        <c:delete val="0"/>
        <c:axPos val="b"/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9140224"/>
        <c:crossesAt val="0"/>
        <c:crossBetween val="midCat"/>
        <c:majorUnit val="1"/>
      </c:valAx>
      <c:valAx>
        <c:axId val="129140224"/>
        <c:scaling>
          <c:orientation val="minMax"/>
          <c:max val="40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9138688"/>
        <c:crosses val="autoZero"/>
        <c:crossBetween val="midCat"/>
        <c:majorUnit val="10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 horizontalDpi="-3"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Time of Temperature Extremes</a:t>
            </a:r>
          </a:p>
        </c:rich>
      </c:tx>
      <c:layout>
        <c:manualLayout>
          <c:xMode val="edge"/>
          <c:yMode val="edge"/>
          <c:x val="0.41718183558328387"/>
          <c:y val="2.115158636897767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893697095932809E-2"/>
          <c:y val="8.3431257344300819E-2"/>
          <c:w val="0.95859114218917252"/>
          <c:h val="0.86603995299647474"/>
        </c:manualLayout>
      </c:layout>
      <c:lineChart>
        <c:grouping val="standard"/>
        <c:varyColors val="0"/>
        <c:ser>
          <c:idx val="1"/>
          <c:order val="0"/>
          <c:tx>
            <c:v>T Min</c:v>
          </c:tx>
          <c:spPr>
            <a:ln w="28575">
              <a:noFill/>
            </a:ln>
          </c:spPr>
          <c:marker>
            <c:symbol val="circle"/>
            <c:size val="10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0.36458333333333331</c:v>
              </c:pt>
              <c:pt idx="1">
                <c:v>0.1423611111111111</c:v>
              </c:pt>
              <c:pt idx="2">
                <c:v>#N/A</c:v>
              </c:pt>
              <c:pt idx="3">
                <c:v>0.31944444444444448</c:v>
              </c:pt>
              <c:pt idx="4">
                <c:v>0.1125</c:v>
              </c:pt>
              <c:pt idx="5">
                <c:v>0.28819444444444448</c:v>
              </c:pt>
              <c:pt idx="6">
                <c:v>8.4027777777777771E-2</c:v>
              </c:pt>
              <c:pt idx="7">
                <c:v>0.35555555555555557</c:v>
              </c:pt>
              <c:pt idx="8">
                <c:v>3.125E-2</c:v>
              </c:pt>
              <c:pt idx="9">
                <c:v>0.14791666666666667</c:v>
              </c:pt>
              <c:pt idx="10">
                <c:v>0.34166666666666662</c:v>
              </c:pt>
              <c:pt idx="11">
                <c:v>#N/A</c:v>
              </c:pt>
              <c:pt idx="12">
                <c:v>0.33333333333333331</c:v>
              </c:pt>
              <c:pt idx="13">
                <c:v>0.29166666666666669</c:v>
              </c:pt>
              <c:pt idx="14">
                <c:v>8.3333333333333329E-2</c:v>
              </c:pt>
              <c:pt idx="15">
                <c:v>0.14652777777777778</c:v>
              </c:pt>
              <c:pt idx="16">
                <c:v>#N/A</c:v>
              </c:pt>
              <c:pt idx="17">
                <c:v>0.22916666666666666</c:v>
              </c:pt>
              <c:pt idx="18">
                <c:v>0.33333333333333331</c:v>
              </c:pt>
              <c:pt idx="19">
                <c:v>0.29305555555555557</c:v>
              </c:pt>
              <c:pt idx="20">
                <c:v>9.2361111111111116E-2</c:v>
              </c:pt>
              <c:pt idx="21">
                <c:v>#N/A</c:v>
              </c:pt>
              <c:pt idx="22">
                <c:v>0.23541666666666669</c:v>
              </c:pt>
              <c:pt idx="23">
                <c:v>4.1666666666666664E-2</c:v>
              </c:pt>
              <c:pt idx="24">
                <c:v>#N/A</c:v>
              </c:pt>
              <c:pt idx="25">
                <c:v>7.2916666666666671E-2</c:v>
              </c:pt>
              <c:pt idx="26">
                <c:v>#N/A</c:v>
              </c:pt>
              <c:pt idx="27">
                <c:v>0.26319444444444445</c:v>
              </c:pt>
              <c:pt idx="28">
                <c:v>0.29166666666666669</c:v>
              </c:pt>
              <c:pt idx="29">
                <c:v>7.9861111111111105E-2</c:v>
              </c:pt>
            </c:numLit>
          </c:val>
          <c:smooth val="0"/>
        </c:ser>
        <c:ser>
          <c:idx val="2"/>
          <c:order val="1"/>
          <c:tx>
            <c:v>T Max</c:v>
          </c:tx>
          <c:spPr>
            <a:ln w="28575">
              <a:noFill/>
            </a:ln>
          </c:spPr>
          <c:marker>
            <c:symbol val="circle"/>
            <c:size val="10"/>
            <c:spPr>
              <a:solidFill>
                <a:srgbClr val="FF6600"/>
              </a:solidFill>
              <a:ln>
                <a:solidFill>
                  <a:srgbClr val="FF6600"/>
                </a:solidFill>
                <a:prstDash val="solid"/>
              </a:ln>
            </c:spPr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0.59861111111111109</c:v>
              </c:pt>
              <c:pt idx="1">
                <c:v>0.58333333333333337</c:v>
              </c:pt>
              <c:pt idx="2">
                <c:v>0.61597222222222225</c:v>
              </c:pt>
              <c:pt idx="3">
                <c:v>0.53888888888888886</c:v>
              </c:pt>
              <c:pt idx="4">
                <c:v>0.60416666666666663</c:v>
              </c:pt>
              <c:pt idx="5">
                <c:v>0.5805555555555556</c:v>
              </c:pt>
              <c:pt idx="6">
                <c:v>0.57777777777777783</c:v>
              </c:pt>
              <c:pt idx="7">
                <c:v>0.57291666666666663</c:v>
              </c:pt>
              <c:pt idx="8">
                <c:v>0.55763888888888891</c:v>
              </c:pt>
              <c:pt idx="9">
                <c:v>0.57361111111111118</c:v>
              </c:pt>
              <c:pt idx="10">
                <c:v>0.59375</c:v>
              </c:pt>
              <c:pt idx="11">
                <c:v>0.55694444444444446</c:v>
              </c:pt>
              <c:pt idx="12">
                <c:v>0.54097222222222219</c:v>
              </c:pt>
              <c:pt idx="13">
                <c:v>0.65625</c:v>
              </c:pt>
              <c:pt idx="14">
                <c:v>0.53749999999999998</c:v>
              </c:pt>
              <c:pt idx="15">
                <c:v>0.30694444444444441</c:v>
              </c:pt>
              <c:pt idx="16">
                <c:v>0.52777777777777779</c:v>
              </c:pt>
              <c:pt idx="17">
                <c:v>0.56527777777777777</c:v>
              </c:pt>
              <c:pt idx="18">
                <c:v>0.60624999999999996</c:v>
              </c:pt>
              <c:pt idx="19">
                <c:v>0.62638888888888888</c:v>
              </c:pt>
              <c:pt idx="20">
                <c:v>0.53749999999999998</c:v>
              </c:pt>
              <c:pt idx="21">
                <c:v>0.63055555555555554</c:v>
              </c:pt>
              <c:pt idx="22">
                <c:v>0.63402777777777775</c:v>
              </c:pt>
              <c:pt idx="23">
                <c:v>0.57847222222222217</c:v>
              </c:pt>
              <c:pt idx="24">
                <c:v>0.55555555555555558</c:v>
              </c:pt>
              <c:pt idx="25">
                <c:v>0.59097222222222223</c:v>
              </c:pt>
              <c:pt idx="26">
                <c:v>0.43263888888888885</c:v>
              </c:pt>
              <c:pt idx="27">
                <c:v>0.625</c:v>
              </c:pt>
              <c:pt idx="28">
                <c:v>0.58472222222222225</c:v>
              </c:pt>
              <c:pt idx="29">
                <c:v>0.58194444444444449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9164800"/>
        <c:axId val="129166720"/>
      </c:lineChart>
      <c:catAx>
        <c:axId val="1291648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91667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9166720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hh:mm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9164800"/>
        <c:crosses val="autoZero"/>
        <c:crossBetween val="between"/>
        <c:majorUnit val="8.3333333300000006E-2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0.63288029354797892"/>
          <c:y val="0.17156286721504113"/>
          <c:w val="0.79542671195766779"/>
          <c:h val="0.223266745005875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Time of Humidity Extremes</a:t>
            </a:r>
          </a:p>
        </c:rich>
      </c:tx>
      <c:layout>
        <c:manualLayout>
          <c:xMode val="edge"/>
          <c:yMode val="edge"/>
          <c:x val="0.42433600988264358"/>
          <c:y val="1.9953051643192488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891290920321186E-2"/>
          <c:y val="8.4507139115613902E-2"/>
          <c:w val="0.95861642989499696"/>
          <c:h val="0.86502446566954783"/>
        </c:manualLayout>
      </c:layout>
      <c:lineChart>
        <c:grouping val="standard"/>
        <c:varyColors val="0"/>
        <c:ser>
          <c:idx val="0"/>
          <c:order val="0"/>
          <c:tx>
            <c:v>H Min</c:v>
          </c:tx>
          <c:spPr>
            <a:ln w="28575">
              <a:noFill/>
            </a:ln>
          </c:spPr>
          <c:marker>
            <c:symbol val="circle"/>
            <c:size val="10"/>
            <c:spPr>
              <a:solidFill>
                <a:srgbClr val="FF9900"/>
              </a:solidFill>
              <a:ln>
                <a:solidFill>
                  <a:srgbClr val="FF9900"/>
                </a:solidFill>
                <a:prstDash val="solid"/>
              </a:ln>
            </c:spPr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0.6777777777777777</c:v>
              </c:pt>
              <c:pt idx="1">
                <c:v>0.56874999999999998</c:v>
              </c:pt>
              <c:pt idx="2">
                <c:v>0.62708333333333333</c:v>
              </c:pt>
              <c:pt idx="3">
                <c:v>0.55833333333333335</c:v>
              </c:pt>
              <c:pt idx="4">
                <c:v>0.73888888888888893</c:v>
              </c:pt>
              <c:pt idx="5">
                <c:v>0.66736111111111107</c:v>
              </c:pt>
              <c:pt idx="6">
                <c:v>#N/A</c:v>
              </c:pt>
              <c:pt idx="7">
                <c:v>0.61111111111111105</c:v>
              </c:pt>
              <c:pt idx="8">
                <c:v>0.65069444444444446</c:v>
              </c:pt>
              <c:pt idx="9">
                <c:v>0.64583333333333337</c:v>
              </c:pt>
              <c:pt idx="10">
                <c:v>#N/A</c:v>
              </c:pt>
              <c:pt idx="11">
                <c:v>0.60347222222222219</c:v>
              </c:pt>
              <c:pt idx="12">
                <c:v>0.62222222222222223</c:v>
              </c:pt>
              <c:pt idx="13">
                <c:v>#N/A</c:v>
              </c:pt>
              <c:pt idx="14">
                <c:v>0.63611111111111118</c:v>
              </c:pt>
              <c:pt idx="15">
                <c:v>0.64375000000000004</c:v>
              </c:pt>
              <c:pt idx="16">
                <c:v>0.66666666666666663</c:v>
              </c:pt>
              <c:pt idx="17">
                <c:v>0.63749999999999996</c:v>
              </c:pt>
              <c:pt idx="18">
                <c:v>0.65</c:v>
              </c:pt>
              <c:pt idx="19">
                <c:v>#N/A</c:v>
              </c:pt>
              <c:pt idx="20">
                <c:v>0.60138888888888886</c:v>
              </c:pt>
              <c:pt idx="21">
                <c:v>#N/A</c:v>
              </c:pt>
              <c:pt idx="22">
                <c:v>0.67222222222222217</c:v>
              </c:pt>
              <c:pt idx="23">
                <c:v>0.65625</c:v>
              </c:pt>
              <c:pt idx="24">
                <c:v>0.57986111111111105</c:v>
              </c:pt>
              <c:pt idx="25">
                <c:v>0.58888888888888891</c:v>
              </c:pt>
              <c:pt idx="26">
                <c:v>0.58402777777777781</c:v>
              </c:pt>
              <c:pt idx="27">
                <c:v>0.625</c:v>
              </c:pt>
              <c:pt idx="28">
                <c:v>0.7680555555555556</c:v>
              </c:pt>
              <c:pt idx="29">
                <c:v>0.62013888888888891</c:v>
              </c:pt>
            </c:numLit>
          </c:val>
          <c:smooth val="0"/>
        </c:ser>
        <c:ser>
          <c:idx val="3"/>
          <c:order val="1"/>
          <c:tx>
            <c:v>H Max</c:v>
          </c:tx>
          <c:spPr>
            <a:ln w="28575">
              <a:noFill/>
            </a:ln>
          </c:spPr>
          <c:marker>
            <c:symbol val="circle"/>
            <c:size val="10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0.26527777777777778</c:v>
              </c:pt>
              <c:pt idx="1">
                <c:v>0.29166666666666669</c:v>
              </c:pt>
              <c:pt idx="2">
                <c:v>#N/A</c:v>
              </c:pt>
              <c:pt idx="3">
                <c:v>0.35416666666666669</c:v>
              </c:pt>
              <c:pt idx="4">
                <c:v>0.33888888888888885</c:v>
              </c:pt>
              <c:pt idx="5">
                <c:v>2.2916666666666669E-2</c:v>
              </c:pt>
              <c:pt idx="6">
                <c:v>#N/A</c:v>
              </c:pt>
              <c:pt idx="7">
                <c:v>0.2722222222222222</c:v>
              </c:pt>
              <c:pt idx="8">
                <c:v>0.3298611111111111</c:v>
              </c:pt>
              <c:pt idx="9">
                <c:v>0.3354166666666667</c:v>
              </c:pt>
              <c:pt idx="10">
                <c:v>#N/A</c:v>
              </c:pt>
              <c:pt idx="11">
                <c:v>#N/A</c:v>
              </c:pt>
              <c:pt idx="12">
                <c:v>0.125</c:v>
              </c:pt>
              <c:pt idx="13">
                <c:v>#N/A</c:v>
              </c:pt>
              <c:pt idx="14">
                <c:v>0.32916666666666666</c:v>
              </c:pt>
              <c:pt idx="15">
                <c:v>0.28749999999999998</c:v>
              </c:pt>
              <c:pt idx="16">
                <c:v>0.30555555555555552</c:v>
              </c:pt>
              <c:pt idx="17">
                <c:v>0.35347222222222219</c:v>
              </c:pt>
              <c:pt idx="18">
                <c:v>0.39583333333333331</c:v>
              </c:pt>
              <c:pt idx="19">
                <c:v>#N/A</c:v>
              </c:pt>
              <c:pt idx="20">
                <c:v>#N/A</c:v>
              </c:pt>
              <c:pt idx="21">
                <c:v>#N/A</c:v>
              </c:pt>
              <c:pt idx="22">
                <c:v>0.36249999999999999</c:v>
              </c:pt>
              <c:pt idx="23">
                <c:v>0.27152777777777776</c:v>
              </c:pt>
              <c:pt idx="24">
                <c:v>0.24861111111111112</c:v>
              </c:pt>
              <c:pt idx="25">
                <c:v>0.33750000000000002</c:v>
              </c:pt>
              <c:pt idx="26">
                <c:v>0.36180555555555555</c:v>
              </c:pt>
              <c:pt idx="27">
                <c:v>0.40277777777777773</c:v>
              </c:pt>
              <c:pt idx="28">
                <c:v>2.0833333333333333E-3</c:v>
              </c:pt>
              <c:pt idx="29">
                <c:v>#N/A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9200128"/>
        <c:axId val="129202048"/>
      </c:lineChart>
      <c:catAx>
        <c:axId val="1292001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92020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9202048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hh:mm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9200128"/>
        <c:crosses val="autoZero"/>
        <c:crossBetween val="between"/>
        <c:majorUnit val="8.3333333300000006E-2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0.46263125386040765"/>
          <c:y val="0.10563392604093502"/>
          <c:w val="0.66213712168004946"/>
          <c:h val="0.1478874471676955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Time of Max Gust</a:t>
            </a:r>
          </a:p>
        </c:rich>
      </c:tx>
      <c:layout>
        <c:manualLayout>
          <c:xMode val="edge"/>
          <c:yMode val="edge"/>
          <c:x val="0.44814840737500405"/>
          <c:y val="1.99296600234466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8888912331761387E-2"/>
          <c:y val="8.4408020181539978E-2"/>
          <c:w val="0.95864255319405456"/>
          <c:h val="0.86518220686078484"/>
        </c:manualLayout>
      </c:layout>
      <c:lineChart>
        <c:grouping val="standard"/>
        <c:varyColors val="0"/>
        <c:ser>
          <c:idx val="4"/>
          <c:order val="0"/>
          <c:tx>
            <c:v>Gust</c:v>
          </c:tx>
          <c:spPr>
            <a:ln w="28575">
              <a:noFill/>
            </a:ln>
          </c:spPr>
          <c:marker>
            <c:symbol val="circle"/>
            <c:size val="1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0.17083333333333331</c:v>
              </c:pt>
              <c:pt idx="1">
                <c:v>0.4680555555555555</c:v>
              </c:pt>
              <c:pt idx="2">
                <c:v>0.46736111111111112</c:v>
              </c:pt>
              <c:pt idx="3">
                <c:v>0.59097222222222223</c:v>
              </c:pt>
              <c:pt idx="4">
                <c:v>0.92500000000000004</c:v>
              </c:pt>
              <c:pt idx="5">
                <c:v>0.67083333333333339</c:v>
              </c:pt>
              <c:pt idx="6">
                <c:v>0.50972222222222219</c:v>
              </c:pt>
              <c:pt idx="7">
                <c:v>0.31944444444444448</c:v>
              </c:pt>
              <c:pt idx="8">
                <c:v>0.53333333333333333</c:v>
              </c:pt>
              <c:pt idx="9">
                <c:v>0.59930555555555554</c:v>
              </c:pt>
              <c:pt idx="10">
                <c:v>0.66874999999999996</c:v>
              </c:pt>
              <c:pt idx="11">
                <c:v>4.8611111111111112E-3</c:v>
              </c:pt>
              <c:pt idx="12">
                <c:v>7.3611111111111113E-2</c:v>
              </c:pt>
              <c:pt idx="13">
                <c:v>0.89861111111111114</c:v>
              </c:pt>
              <c:pt idx="14">
                <c:v>0.60763888888888895</c:v>
              </c:pt>
              <c:pt idx="15">
                <c:v>0.15763888888888888</c:v>
              </c:pt>
              <c:pt idx="16">
                <c:v>0.51944444444444449</c:v>
              </c:pt>
              <c:pt idx="17">
                <c:v>0.49444444444444446</c:v>
              </c:pt>
              <c:pt idx="18">
                <c:v>0.36388888888888887</c:v>
              </c:pt>
              <c:pt idx="19">
                <c:v>0.3034722222222222</c:v>
              </c:pt>
              <c:pt idx="20">
                <c:v>0.69930555555555562</c:v>
              </c:pt>
              <c:pt idx="21">
                <c:v>0.68055555555555547</c:v>
              </c:pt>
              <c:pt idx="22">
                <c:v>0.55138888888888882</c:v>
              </c:pt>
              <c:pt idx="23">
                <c:v>0.9902777777777777</c:v>
              </c:pt>
              <c:pt idx="24">
                <c:v>0.16944444444444443</c:v>
              </c:pt>
              <c:pt idx="25">
                <c:v>0.56527777777777777</c:v>
              </c:pt>
              <c:pt idx="26">
                <c:v>0.28680555555555554</c:v>
              </c:pt>
              <c:pt idx="27">
                <c:v>0.59583333333333333</c:v>
              </c:pt>
              <c:pt idx="28">
                <c:v>0.61527777777777781</c:v>
              </c:pt>
              <c:pt idx="29">
                <c:v>0.93263888888888891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9222144"/>
        <c:axId val="129224064"/>
      </c:lineChart>
      <c:catAx>
        <c:axId val="1292221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92240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9224064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hh:mm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9222144"/>
        <c:crosses val="autoZero"/>
        <c:crossBetween val="between"/>
        <c:majorUnit val="8.3333333300000006E-2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 sz="14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Rain Rate / mmh</a:t>
            </a:r>
            <a:r>
              <a:rPr lang="en-GB" sz="1400" b="1" i="0" u="none" strike="noStrike" baseline="30000">
                <a:solidFill>
                  <a:srgbClr val="000000"/>
                </a:solidFill>
                <a:latin typeface="Arial"/>
                <a:cs typeface="Arial"/>
              </a:rPr>
              <a:t>-1</a:t>
            </a:r>
          </a:p>
        </c:rich>
      </c:tx>
      <c:layout>
        <c:manualLayout>
          <c:xMode val="edge"/>
          <c:yMode val="edge"/>
          <c:x val="0.44963144963144963"/>
          <c:y val="1.954022988505747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1.8427518427518427E-2"/>
          <c:y val="9.3103552783262378E-2"/>
          <c:w val="0.95884520884520885"/>
          <c:h val="0.85747222686807079"/>
        </c:manualLayout>
      </c:layout>
      <c:barChart>
        <c:barDir val="col"/>
        <c:grouping val="clustered"/>
        <c:varyColors val="0"/>
        <c:ser>
          <c:idx val="1"/>
          <c:order val="0"/>
          <c:tx>
            <c:v>Mean</c:v>
          </c:tx>
          <c:spPr>
            <a:solidFill>
              <a:srgbClr val="CCFFFF"/>
            </a:solidFill>
            <a:ln w="3175">
              <a:solidFill>
                <a:srgbClr val="333399"/>
              </a:solidFill>
              <a:prstDash val="solid"/>
            </a:ln>
          </c:spPr>
          <c:invertIfNegative val="0"/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2.2000000000000002</c:v>
              </c:pt>
              <c:pt idx="1">
                <c:v>0.6</c:v>
              </c:pt>
              <c:pt idx="2">
                <c:v>2.1999999999999997</c:v>
              </c:pt>
              <c:pt idx="3">
                <c:v>1.675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0.3666666666666667</c:v>
              </c:pt>
              <c:pt idx="8">
                <c:v>0.55000000000000004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0.5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0.6</c:v>
              </c:pt>
              <c:pt idx="27">
                <c:v>0</c:v>
              </c:pt>
              <c:pt idx="28">
                <c:v>0.8</c:v>
              </c:pt>
              <c:pt idx="29">
                <c:v>0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-80"/>
        <c:axId val="129479808"/>
        <c:axId val="129481344"/>
      </c:barChart>
      <c:barChart>
        <c:barDir val="col"/>
        <c:grouping val="clustered"/>
        <c:varyColors val="0"/>
        <c:ser>
          <c:idx val="0"/>
          <c:order val="1"/>
          <c:tx>
            <c:v>Max</c:v>
          </c:tx>
          <c:spPr>
            <a:solidFill>
              <a:srgbClr val="9999FF"/>
            </a:solidFill>
            <a:ln w="12700">
              <a:solidFill>
                <a:srgbClr val="000080"/>
              </a:solidFill>
              <a:prstDash val="solid"/>
            </a:ln>
          </c:spPr>
          <c:invertIfNegative val="0"/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5</c:v>
              </c:pt>
              <c:pt idx="1">
                <c:v>0</c:v>
              </c:pt>
              <c:pt idx="2">
                <c:v>15</c:v>
              </c:pt>
              <c:pt idx="3">
                <c:v>10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0.7</c:v>
              </c:pt>
              <c:pt idx="8">
                <c:v>1.5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5</c:v>
              </c:pt>
              <c:pt idx="29">
                <c:v>0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0"/>
        <c:overlap val="-100"/>
        <c:axId val="129483136"/>
        <c:axId val="129484672"/>
      </c:barChart>
      <c:catAx>
        <c:axId val="1294798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94813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9481344"/>
        <c:scaling>
          <c:orientation val="minMax"/>
          <c:max val="5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9479808"/>
        <c:crosses val="autoZero"/>
        <c:crossBetween val="between"/>
        <c:majorUnit val="1"/>
      </c:valAx>
      <c:catAx>
        <c:axId val="1294831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9484672"/>
        <c:crosses val="autoZero"/>
        <c:auto val="1"/>
        <c:lblAlgn val="ctr"/>
        <c:lblOffset val="100"/>
        <c:noMultiLvlLbl val="0"/>
      </c:catAx>
      <c:valAx>
        <c:axId val="129484672"/>
        <c:scaling>
          <c:orientation val="minMax"/>
          <c:max val="100"/>
          <c:min val="0"/>
        </c:scaling>
        <c:delete val="0"/>
        <c:axPos val="r"/>
        <c:numFmt formatCode="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9483136"/>
        <c:crosses val="max"/>
        <c:crossBetween val="between"/>
        <c:majorUnit val="20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9.5823095823095825E-2"/>
          <c:y val="0.13448287929526051"/>
          <c:w val="0.24262899262899262"/>
          <c:h val="0.1804598907895133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01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Rainfall / mm</a:t>
            </a:r>
          </a:p>
        </c:rich>
      </c:tx>
      <c:layout>
        <c:manualLayout>
          <c:xMode val="edge"/>
          <c:yMode val="edge"/>
          <c:x val="0.47051597051597049"/>
          <c:y val="1.509872241579558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955773955773956E-2"/>
          <c:y val="8.9430995743271527E-2"/>
          <c:w val="0.9735872235872236"/>
          <c:h val="0.85017518031265915"/>
        </c:manualLayout>
      </c:layout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rgbClr val="3366FF"/>
            </a:solidFill>
            <a:ln w="12700">
              <a:solidFill>
                <a:srgbClr val="000080"/>
              </a:solidFill>
              <a:prstDash val="solid"/>
            </a:ln>
          </c:spPr>
          <c:invertIfNegative val="0"/>
          <c:dPt>
            <c:idx val="29"/>
            <c:invertIfNegative val="0"/>
            <c:bubble3D val="0"/>
            <c:spPr>
              <a:solidFill>
                <a:srgbClr val="00FFFF"/>
              </a:solidFill>
              <a:ln w="12700">
                <a:solidFill>
                  <a:srgbClr val="000080"/>
                </a:solidFill>
                <a:prstDash val="solid"/>
              </a:ln>
            </c:spPr>
          </c:dPt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1.1000000000000001</c:v>
              </c:pt>
              <c:pt idx="1">
                <c:v>0.3</c:v>
              </c:pt>
              <c:pt idx="2">
                <c:v>6.6</c:v>
              </c:pt>
              <c:pt idx="3">
                <c:v>13.4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1.1000000000000001</c:v>
              </c:pt>
              <c:pt idx="8">
                <c:v>1.1000000000000001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0.5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0.3</c:v>
              </c:pt>
              <c:pt idx="27">
                <c:v>0</c:v>
              </c:pt>
              <c:pt idx="28">
                <c:v>0.8</c:v>
              </c:pt>
              <c:pt idx="29">
                <c:v>0</c:v>
              </c:pt>
            </c:numLit>
          </c:val>
        </c:ser>
        <c:ser>
          <c:idx val="1"/>
          <c:order val="1"/>
          <c:tx>
            <c:v>Max In One Hour</c:v>
          </c:tx>
          <c:spPr>
            <a:solidFill>
              <a:srgbClr val="00CCFF"/>
            </a:solidFill>
            <a:ln w="12700">
              <a:solidFill>
                <a:srgbClr val="0000FF"/>
              </a:solidFill>
              <a:prstDash val="solid"/>
            </a:ln>
          </c:spPr>
          <c:invertIfNegative val="0"/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1.1000000000000001</c:v>
              </c:pt>
              <c:pt idx="1">
                <c:v>0</c:v>
              </c:pt>
              <c:pt idx="2">
                <c:v>5</c:v>
              </c:pt>
              <c:pt idx="3">
                <c:v>4.0999999999999996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0.5</c:v>
              </c:pt>
              <c:pt idx="8">
                <c:v>0.8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0.5</c:v>
              </c:pt>
              <c:pt idx="29">
                <c:v>0</c:v>
              </c:pt>
            </c:numLit>
          </c:val>
        </c:ser>
        <c:ser>
          <c:idx val="2"/>
          <c:order val="2"/>
          <c:tx>
            <c:v>Max in 10 Minutes</c:v>
          </c:tx>
          <c:spPr>
            <a:solidFill>
              <a:srgbClr val="99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0.8</c:v>
              </c:pt>
              <c:pt idx="1">
                <c:v>0</c:v>
              </c:pt>
              <c:pt idx="2">
                <c:v>1.6</c:v>
              </c:pt>
              <c:pt idx="3">
                <c:v>1.4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0.3</c:v>
              </c:pt>
              <c:pt idx="8">
                <c:v>0.3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0.5</c:v>
              </c:pt>
              <c:pt idx="29">
                <c:v>0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overlap val="100"/>
        <c:axId val="129651072"/>
        <c:axId val="129652608"/>
      </c:barChart>
      <c:catAx>
        <c:axId val="1296510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96526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9652608"/>
        <c:scaling>
          <c:orientation val="minMax"/>
          <c:max val="15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9651072"/>
        <c:crosses val="autoZero"/>
        <c:crossBetween val="between"/>
        <c:majorUnit val="2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0.20270270270270271"/>
          <c:y val="0.1602788675805768"/>
          <c:w val="0.33845208845208846"/>
          <c:h val="0.2508713240113278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3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 horizontalDpi="-3"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Wet Hours / h</a:t>
            </a:r>
          </a:p>
        </c:rich>
      </c:tx>
      <c:layout>
        <c:manualLayout>
          <c:xMode val="edge"/>
          <c:yMode val="edge"/>
          <c:x val="0.47116577299003271"/>
          <c:y val="2.2016222479721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926387535464059E-2"/>
          <c:y val="8.4588644264194671E-2"/>
          <c:w val="0.97361992355849891"/>
          <c:h val="0.86558516801854002"/>
        </c:manualLayout>
      </c:layout>
      <c:barChart>
        <c:barDir val="col"/>
        <c:grouping val="clustered"/>
        <c:varyColors val="0"/>
        <c:ser>
          <c:idx val="2"/>
          <c:order val="0"/>
          <c:tx>
            <c:v>Total</c:v>
          </c:tx>
          <c:spPr>
            <a:solidFill>
              <a:srgbClr val="00FFFF"/>
            </a:solidFill>
            <a:ln w="12700">
              <a:solidFill>
                <a:srgbClr val="3366FF"/>
              </a:solidFill>
              <a:prstDash val="solid"/>
            </a:ln>
          </c:spPr>
          <c:invertIfNegative val="0"/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0.5</c:v>
              </c:pt>
              <c:pt idx="1">
                <c:v>0.5</c:v>
              </c:pt>
              <c:pt idx="2">
                <c:v>3</c:v>
              </c:pt>
              <c:pt idx="3">
                <c:v>8</c:v>
              </c:pt>
              <c:pt idx="4">
                <c:v>0.2</c:v>
              </c:pt>
              <c:pt idx="5">
                <c:v>0</c:v>
              </c:pt>
              <c:pt idx="6">
                <c:v>0.3</c:v>
              </c:pt>
              <c:pt idx="7">
                <c:v>3</c:v>
              </c:pt>
              <c:pt idx="8">
                <c:v>2</c:v>
              </c:pt>
              <c:pt idx="9">
                <c:v>0</c:v>
              </c:pt>
              <c:pt idx="10">
                <c:v>0.3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1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0.5</c:v>
              </c:pt>
              <c:pt idx="27">
                <c:v>0</c:v>
              </c:pt>
              <c:pt idx="28">
                <c:v>1</c:v>
              </c:pt>
              <c:pt idx="29">
                <c:v>0.5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overlap val="-10"/>
        <c:axId val="129771392"/>
        <c:axId val="129772928"/>
      </c:barChart>
      <c:catAx>
        <c:axId val="129771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97729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9772928"/>
        <c:scaling>
          <c:orientation val="minMax"/>
          <c:max val="1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9771392"/>
        <c:crosses val="autoZero"/>
        <c:crossBetween val="between"/>
        <c:majorUnit val="2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Wind Direction Frequency</a:t>
            </a:r>
          </a:p>
        </c:rich>
      </c:tx>
      <c:layout>
        <c:manualLayout>
          <c:xMode val="edge"/>
          <c:yMode val="edge"/>
          <c:x val="0.41263028816676883"/>
          <c:y val="2.243211334120424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9552421827099939"/>
          <c:y val="0.17001190438444533"/>
          <c:w val="0.38320049049662785"/>
          <c:h val="0.73789889055748836"/>
        </c:manualLayout>
      </c:layout>
      <c:radarChart>
        <c:radarStyle val="filled"/>
        <c:varyColors val="1"/>
        <c:ser>
          <c:idx val="0"/>
          <c:order val="0"/>
          <c:tx>
            <c:v>Mean Wind Direction</c:v>
          </c:tx>
          <c:spPr>
            <a:solidFill>
              <a:srgbClr val="FF99CC"/>
            </a:solidFill>
            <a:ln w="38100">
              <a:solidFill>
                <a:srgbClr val="FF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</c:dPt>
          <c:dPt>
            <c:idx val="2"/>
            <c:bubble3D val="0"/>
          </c:dPt>
          <c:dPt>
            <c:idx val="3"/>
            <c:bubble3D val="0"/>
          </c:dPt>
          <c:dPt>
            <c:idx val="4"/>
            <c:bubble3D val="0"/>
          </c:dPt>
          <c:dPt>
            <c:idx val="5"/>
            <c:bubble3D val="0"/>
          </c:dPt>
          <c:dPt>
            <c:idx val="6"/>
            <c:bubble3D val="0"/>
          </c:dPt>
          <c:dPt>
            <c:idx val="7"/>
            <c:bubble3D val="0"/>
          </c:dPt>
          <c:dPt>
            <c:idx val="8"/>
            <c:bubble3D val="0"/>
          </c:dPt>
          <c:dPt>
            <c:idx val="9"/>
            <c:bubble3D val="0"/>
          </c:dPt>
          <c:dPt>
            <c:idx val="10"/>
            <c:bubble3D val="0"/>
          </c:dPt>
          <c:dPt>
            <c:idx val="11"/>
            <c:bubble3D val="0"/>
          </c:dPt>
          <c:dPt>
            <c:idx val="12"/>
            <c:bubble3D val="0"/>
          </c:dPt>
          <c:dPt>
            <c:idx val="13"/>
            <c:bubble3D val="0"/>
          </c:dPt>
          <c:dPt>
            <c:idx val="14"/>
            <c:bubble3D val="0"/>
          </c:dPt>
          <c:dPt>
            <c:idx val="15"/>
            <c:bubble3D val="0"/>
          </c:dPt>
          <c:dLbls>
            <c:dLbl>
              <c:idx val="0"/>
              <c:layout>
                <c:manualLayout>
                  <c:xMode val="edge"/>
                  <c:yMode val="edge"/>
                  <c:x val="0.47455548743102394"/>
                  <c:y val="0.116883184264306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Mode val="edge"/>
                  <c:yMode val="edge"/>
                  <c:x val="0.57939914163090134"/>
                  <c:y val="0.1357733958625778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layout>
                <c:manualLayout>
                  <c:xMode val="edge"/>
                  <c:yMode val="edge"/>
                  <c:x val="0.67688534641324338"/>
                  <c:y val="0.1546636074608495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layout>
                <c:manualLayout>
                  <c:xMode val="edge"/>
                  <c:yMode val="edge"/>
                  <c:x val="0.81483752299202938"/>
                  <c:y val="0.27508870639983168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4"/>
              <c:layout>
                <c:manualLayout>
                  <c:xMode val="edge"/>
                  <c:yMode val="edge"/>
                  <c:x val="0.76701410177805029"/>
                  <c:y val="0.52184209540225579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5"/>
              <c:layout>
                <c:manualLayout>
                  <c:xMode val="edge"/>
                  <c:yMode val="edge"/>
                  <c:x val="0.7572041692213366"/>
                  <c:y val="0.7378988905574883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6"/>
              <c:layout>
                <c:manualLayout>
                  <c:xMode val="edge"/>
                  <c:yMode val="edge"/>
                  <c:x val="0.67995095033721642"/>
                  <c:y val="0.8701303717453903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7"/>
              <c:layout>
                <c:manualLayout>
                  <c:xMode val="edge"/>
                  <c:yMode val="edge"/>
                  <c:x val="0.60453709380748011"/>
                  <c:y val="0.9610395150620728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8"/>
              <c:layout>
                <c:manualLayout>
                  <c:xMode val="edge"/>
                  <c:yMode val="edge"/>
                  <c:x val="0.47455548743102394"/>
                  <c:y val="0.9610395150620728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9"/>
              <c:layout>
                <c:manualLayout>
                  <c:xMode val="edge"/>
                  <c:yMode val="edge"/>
                  <c:x val="0.34825260576333539"/>
                  <c:y val="0.9527750474878290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0"/>
              <c:layout>
                <c:manualLayout>
                  <c:xMode val="edge"/>
                  <c:yMode val="edge"/>
                  <c:x val="0.31759656652360513"/>
                  <c:y val="0.7756793137540317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1"/>
              <c:layout>
                <c:manualLayout>
                  <c:xMode val="edge"/>
                  <c:yMode val="edge"/>
                  <c:x val="0.29613733905579398"/>
                  <c:y val="0.63164145031721008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2"/>
              <c:layout>
                <c:manualLayout>
                  <c:xMode val="edge"/>
                  <c:yMode val="edge"/>
                  <c:x val="0.30349478847332922"/>
                  <c:y val="0.52184209540225579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3"/>
              <c:layout>
                <c:manualLayout>
                  <c:xMode val="edge"/>
                  <c:yMode val="edge"/>
                  <c:x val="0.28877988963825874"/>
                  <c:y val="0.3966944435637057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4"/>
              <c:layout>
                <c:manualLayout>
                  <c:xMode val="edge"/>
                  <c:yMode val="edge"/>
                  <c:x val="0.31820968730839977"/>
                  <c:y val="0.25501785657666798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5"/>
              <c:layout>
                <c:manualLayout>
                  <c:xMode val="edge"/>
                  <c:yMode val="edge"/>
                  <c:x val="0.38320049049662785"/>
                  <c:y val="0.1818182866333651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1" i="0" u="none" strike="noStrike" baseline="0">
                    <a:solidFill>
                      <a:srgbClr val="FF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Lit>
              <c:ptCount val="16"/>
              <c:pt idx="0">
                <c:v>N</c:v>
              </c:pt>
              <c:pt idx="1">
                <c:v>NNE</c:v>
              </c:pt>
              <c:pt idx="2">
                <c:v>NE</c:v>
              </c:pt>
              <c:pt idx="3">
                <c:v>ENE</c:v>
              </c:pt>
              <c:pt idx="4">
                <c:v>E</c:v>
              </c:pt>
              <c:pt idx="5">
                <c:v>ESE</c:v>
              </c:pt>
              <c:pt idx="6">
                <c:v>SE</c:v>
              </c:pt>
              <c:pt idx="7">
                <c:v>SSE</c:v>
              </c:pt>
              <c:pt idx="8">
                <c:v>S</c:v>
              </c:pt>
              <c:pt idx="9">
                <c:v>SSW</c:v>
              </c:pt>
              <c:pt idx="10">
                <c:v>SW</c:v>
              </c:pt>
              <c:pt idx="11">
                <c:v>WSW</c:v>
              </c:pt>
              <c:pt idx="12">
                <c:v>W</c:v>
              </c:pt>
              <c:pt idx="13">
                <c:v>WNW</c:v>
              </c:pt>
              <c:pt idx="14">
                <c:v>NW</c:v>
              </c:pt>
              <c:pt idx="15">
                <c:v>NNW</c:v>
              </c:pt>
            </c:strLit>
          </c:cat>
          <c:val>
            <c:numLit>
              <c:formatCode>General</c:formatCode>
              <c:ptCount val="16"/>
              <c:pt idx="0">
                <c:v>5.1999999999999998E-2</c:v>
              </c:pt>
              <c:pt idx="1">
                <c:v>3.5999999999999997E-2</c:v>
              </c:pt>
              <c:pt idx="2">
                <c:v>6.2E-2</c:v>
              </c:pt>
              <c:pt idx="3">
                <c:v>0.13800000000000001</c:v>
              </c:pt>
              <c:pt idx="4">
                <c:v>9.6000000000000002E-2</c:v>
              </c:pt>
              <c:pt idx="5">
                <c:v>8.1000000000000003E-2</c:v>
              </c:pt>
              <c:pt idx="6">
                <c:v>5.0999999999999997E-2</c:v>
              </c:pt>
              <c:pt idx="7">
                <c:v>5.0999999999999997E-2</c:v>
              </c:pt>
              <c:pt idx="8">
                <c:v>0.112</c:v>
              </c:pt>
              <c:pt idx="9">
                <c:v>0.123</c:v>
              </c:pt>
              <c:pt idx="10">
                <c:v>7.2999999999999995E-2</c:v>
              </c:pt>
              <c:pt idx="11">
                <c:v>4.3999999999999997E-2</c:v>
              </c:pt>
              <c:pt idx="12">
                <c:v>0.02</c:v>
              </c:pt>
              <c:pt idx="13">
                <c:v>1.4E-2</c:v>
              </c:pt>
              <c:pt idx="14">
                <c:v>1.9E-2</c:v>
              </c:pt>
              <c:pt idx="15">
                <c:v>2.8000000000000001E-2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925120"/>
        <c:axId val="129926656"/>
      </c:radarChart>
      <c:catAx>
        <c:axId val="129925120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9926656"/>
        <c:crosses val="autoZero"/>
        <c:auto val="0"/>
        <c:lblAlgn val="ctr"/>
        <c:lblOffset val="100"/>
        <c:noMultiLvlLbl val="0"/>
      </c:catAx>
      <c:valAx>
        <c:axId val="129926656"/>
        <c:scaling>
          <c:orientation val="minMax"/>
          <c:max val="0.16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General" sourceLinked="1"/>
        <c:majorTickMark val="cross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9925120"/>
        <c:crosses val="autoZero"/>
        <c:crossBetween val="between"/>
        <c:majorUnit val="0.05"/>
      </c:valAx>
      <c:spPr>
        <a:solidFill>
          <a:srgbClr val="C0C0C0"/>
        </a:solidFill>
        <a:ln w="25400">
          <a:noFill/>
        </a:ln>
      </c:spPr>
    </c:plotArea>
    <c:plotVisOnly val="1"/>
    <c:dispBlanksAs val="gap"/>
    <c:showDLblsOverMax val="0"/>
  </c:chart>
  <c:spPr>
    <a:solidFill>
      <a:srgbClr val="C0C0C0"/>
    </a:solidFill>
    <a:ln w="3175">
      <a:solidFill>
        <a:srgbClr val="000000"/>
      </a:solidFill>
      <a:prstDash val="solid"/>
    </a:ln>
  </c:spPr>
  <c:txPr>
    <a:bodyPr/>
    <a:lstStyle/>
    <a:p>
      <a:pPr>
        <a:defRPr sz="23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 horizontalDpi="-3"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7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 sz="14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Temperature / °C   </a:t>
            </a:r>
          </a:p>
        </c:rich>
      </c:tx>
      <c:layout>
        <c:manualLayout>
          <c:xMode val="edge"/>
          <c:yMode val="edge"/>
          <c:x val="0.44996905529754716"/>
          <c:y val="2.093023255813953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4238664906951896E-2"/>
          <c:y val="8.2558139534883723E-2"/>
          <c:w val="0.95711651171040812"/>
          <c:h val="0.86744186046511629"/>
        </c:manualLayout>
      </c:layout>
      <c:lineChart>
        <c:grouping val="standard"/>
        <c:varyColors val="0"/>
        <c:ser>
          <c:idx val="0"/>
          <c:order val="0"/>
          <c:tx>
            <c:v>Min</c:v>
          </c:tx>
          <c:spPr>
            <a:ln w="38100">
              <a:solidFill>
                <a:srgbClr val="0000FF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9.5</c:v>
              </c:pt>
              <c:pt idx="1">
                <c:v>8.6999999999999993</c:v>
              </c:pt>
              <c:pt idx="2">
                <c:v>12.8</c:v>
              </c:pt>
              <c:pt idx="3">
                <c:v>11.4</c:v>
              </c:pt>
              <c:pt idx="4">
                <c:v>9.9</c:v>
              </c:pt>
              <c:pt idx="5">
                <c:v>8.5</c:v>
              </c:pt>
              <c:pt idx="6">
                <c:v>9.6</c:v>
              </c:pt>
              <c:pt idx="7">
                <c:v>9.1</c:v>
              </c:pt>
              <c:pt idx="8">
                <c:v>9.9</c:v>
              </c:pt>
              <c:pt idx="9">
                <c:v>9</c:v>
              </c:pt>
              <c:pt idx="10">
                <c:v>8.6999999999999993</c:v>
              </c:pt>
              <c:pt idx="11">
                <c:v>11.1</c:v>
              </c:pt>
              <c:pt idx="12">
                <c:v>9.9</c:v>
              </c:pt>
              <c:pt idx="13">
                <c:v>8.3000000000000007</c:v>
              </c:pt>
              <c:pt idx="14">
                <c:v>5.8</c:v>
              </c:pt>
              <c:pt idx="15">
                <c:v>4.8</c:v>
              </c:pt>
              <c:pt idx="16">
                <c:v>8.3000000000000007</c:v>
              </c:pt>
              <c:pt idx="17">
                <c:v>8.9</c:v>
              </c:pt>
              <c:pt idx="18">
                <c:v>6.5</c:v>
              </c:pt>
              <c:pt idx="19">
                <c:v>4.4000000000000004</c:v>
              </c:pt>
              <c:pt idx="20">
                <c:v>6</c:v>
              </c:pt>
              <c:pt idx="21">
                <c:v>6.3</c:v>
              </c:pt>
              <c:pt idx="22">
                <c:v>3</c:v>
              </c:pt>
              <c:pt idx="23">
                <c:v>8.6999999999999993</c:v>
              </c:pt>
              <c:pt idx="24">
                <c:v>7.2</c:v>
              </c:pt>
              <c:pt idx="25">
                <c:v>6.5</c:v>
              </c:pt>
              <c:pt idx="26">
                <c:v>3.6</c:v>
              </c:pt>
              <c:pt idx="27">
                <c:v>0.4</c:v>
              </c:pt>
              <c:pt idx="28">
                <c:v>6.3</c:v>
              </c:pt>
              <c:pt idx="29">
                <c:v>5.9</c:v>
              </c:pt>
            </c:numLit>
          </c:val>
          <c:smooth val="0"/>
        </c:ser>
        <c:ser>
          <c:idx val="1"/>
          <c:order val="1"/>
          <c:tx>
            <c:v>Max</c:v>
          </c:tx>
          <c:spPr>
            <a:ln w="38100">
              <a:solidFill>
                <a:srgbClr val="FF6600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993300"/>
              </a:solidFill>
              <a:ln>
                <a:solidFill>
                  <a:srgbClr val="993300"/>
                </a:solidFill>
                <a:prstDash val="solid"/>
              </a:ln>
            </c:spPr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14.6</c:v>
              </c:pt>
              <c:pt idx="1">
                <c:v>15.2</c:v>
              </c:pt>
              <c:pt idx="2">
                <c:v>17.399999999999999</c:v>
              </c:pt>
              <c:pt idx="3">
                <c:v>15.5</c:v>
              </c:pt>
              <c:pt idx="4">
                <c:v>13.4</c:v>
              </c:pt>
              <c:pt idx="5">
                <c:v>11.5</c:v>
              </c:pt>
              <c:pt idx="6">
                <c:v>12.5</c:v>
              </c:pt>
              <c:pt idx="7">
                <c:v>10.8</c:v>
              </c:pt>
              <c:pt idx="8">
                <c:v>14.6</c:v>
              </c:pt>
              <c:pt idx="9">
                <c:v>13.4</c:v>
              </c:pt>
              <c:pt idx="10">
                <c:v>12.2</c:v>
              </c:pt>
              <c:pt idx="11">
                <c:v>15.5</c:v>
              </c:pt>
              <c:pt idx="12">
                <c:v>14.7</c:v>
              </c:pt>
              <c:pt idx="13">
                <c:v>10</c:v>
              </c:pt>
              <c:pt idx="14">
                <c:v>11.1</c:v>
              </c:pt>
              <c:pt idx="15">
                <c:v>8.3000000000000007</c:v>
              </c:pt>
              <c:pt idx="16">
                <c:v>14.1</c:v>
              </c:pt>
              <c:pt idx="17">
                <c:v>14.6</c:v>
              </c:pt>
              <c:pt idx="18">
                <c:v>12.8</c:v>
              </c:pt>
              <c:pt idx="19">
                <c:v>8.8000000000000007</c:v>
              </c:pt>
              <c:pt idx="20">
                <c:v>10.1</c:v>
              </c:pt>
              <c:pt idx="21">
                <c:v>12.5</c:v>
              </c:pt>
              <c:pt idx="22">
                <c:v>10</c:v>
              </c:pt>
              <c:pt idx="23">
                <c:v>12.7</c:v>
              </c:pt>
              <c:pt idx="24">
                <c:v>13</c:v>
              </c:pt>
              <c:pt idx="25">
                <c:v>12.7</c:v>
              </c:pt>
              <c:pt idx="26">
                <c:v>13.3</c:v>
              </c:pt>
              <c:pt idx="27">
                <c:v>12.7</c:v>
              </c:pt>
              <c:pt idx="28">
                <c:v>13.3</c:v>
              </c:pt>
              <c:pt idx="29">
                <c:v>11.6</c:v>
              </c:pt>
            </c:numLit>
          </c:val>
          <c:smooth val="0"/>
        </c:ser>
        <c:ser>
          <c:idx val="7"/>
          <c:order val="2"/>
          <c:tx>
            <c:v>Cumulative Min</c:v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x"/>
            <c:size val="2"/>
            <c:spPr>
              <a:noFill/>
              <a:ln>
                <a:solidFill>
                  <a:srgbClr val="0000FF"/>
                </a:solidFill>
                <a:prstDash val="solid"/>
              </a:ln>
            </c:spPr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9.5</c:v>
              </c:pt>
              <c:pt idx="1">
                <c:v>9.1</c:v>
              </c:pt>
              <c:pt idx="2">
                <c:v>10.333333333333334</c:v>
              </c:pt>
              <c:pt idx="3">
                <c:v>10.6</c:v>
              </c:pt>
              <c:pt idx="4">
                <c:v>10.459999999999999</c:v>
              </c:pt>
              <c:pt idx="5">
                <c:v>10.133333333333333</c:v>
              </c:pt>
              <c:pt idx="6">
                <c:v>10.057142857142855</c:v>
              </c:pt>
              <c:pt idx="7">
                <c:v>9.9374999999999982</c:v>
              </c:pt>
              <c:pt idx="8">
                <c:v>9.9333333333333318</c:v>
              </c:pt>
              <c:pt idx="9">
                <c:v>9.84</c:v>
              </c:pt>
              <c:pt idx="10">
                <c:v>9.7363636363636363</c:v>
              </c:pt>
              <c:pt idx="11">
                <c:v>9.85</c:v>
              </c:pt>
              <c:pt idx="12">
                <c:v>9.8538461538461526</c:v>
              </c:pt>
              <c:pt idx="13">
                <c:v>9.7428571428571438</c:v>
              </c:pt>
              <c:pt idx="14">
                <c:v>9.48</c:v>
              </c:pt>
              <c:pt idx="15">
                <c:v>9.1875000000000018</c:v>
              </c:pt>
              <c:pt idx="16">
                <c:v>9.1352941176470619</c:v>
              </c:pt>
              <c:pt idx="17">
                <c:v>9.1222222222222253</c:v>
              </c:pt>
              <c:pt idx="18">
                <c:v>8.9842105263157919</c:v>
              </c:pt>
              <c:pt idx="19">
                <c:v>8.7550000000000026</c:v>
              </c:pt>
              <c:pt idx="20">
                <c:v>8.6238095238095269</c:v>
              </c:pt>
              <c:pt idx="21">
                <c:v>8.5181818181818212</c:v>
              </c:pt>
              <c:pt idx="22">
                <c:v>8.2782608695652193</c:v>
              </c:pt>
              <c:pt idx="23">
                <c:v>8.2958333333333361</c:v>
              </c:pt>
              <c:pt idx="24">
                <c:v>8.2520000000000024</c:v>
              </c:pt>
              <c:pt idx="25">
                <c:v>8.1846153846153857</c:v>
              </c:pt>
              <c:pt idx="26">
                <c:v>8.0148148148148159</c:v>
              </c:pt>
              <c:pt idx="27">
                <c:v>7.7428571428571447</c:v>
              </c:pt>
              <c:pt idx="28">
                <c:v>7.6931034482758642</c:v>
              </c:pt>
              <c:pt idx="29">
                <c:v>7.6333333333333355</c:v>
              </c:pt>
            </c:numLit>
          </c:val>
          <c:smooth val="0"/>
        </c:ser>
        <c:ser>
          <c:idx val="6"/>
          <c:order val="3"/>
          <c:tx>
            <c:v>Cumulative Max</c:v>
          </c:tx>
          <c:spPr>
            <a:ln w="12700">
              <a:solidFill>
                <a:srgbClr val="FF9900"/>
              </a:solidFill>
              <a:prstDash val="solid"/>
            </a:ln>
          </c:spPr>
          <c:marker>
            <c:symbol val="plus"/>
            <c:size val="2"/>
            <c:spPr>
              <a:noFill/>
              <a:ln>
                <a:solidFill>
                  <a:srgbClr val="FF6600"/>
                </a:solidFill>
                <a:prstDash val="solid"/>
              </a:ln>
            </c:spPr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14.6</c:v>
              </c:pt>
              <c:pt idx="1">
                <c:v>14.899999999999999</c:v>
              </c:pt>
              <c:pt idx="2">
                <c:v>15.733333333333333</c:v>
              </c:pt>
              <c:pt idx="3">
                <c:v>15.674999999999999</c:v>
              </c:pt>
              <c:pt idx="4">
                <c:v>15.219999999999999</c:v>
              </c:pt>
              <c:pt idx="5">
                <c:v>14.6</c:v>
              </c:pt>
              <c:pt idx="6">
                <c:v>14.299999999999999</c:v>
              </c:pt>
              <c:pt idx="7">
                <c:v>13.862499999999999</c:v>
              </c:pt>
              <c:pt idx="8">
                <c:v>13.944444444444443</c:v>
              </c:pt>
              <c:pt idx="9">
                <c:v>13.889999999999997</c:v>
              </c:pt>
              <c:pt idx="10">
                <c:v>13.736363636363633</c:v>
              </c:pt>
              <c:pt idx="11">
                <c:v>13.883333333333331</c:v>
              </c:pt>
              <c:pt idx="12">
                <c:v>13.946153846153843</c:v>
              </c:pt>
              <c:pt idx="13">
                <c:v>13.664285714285711</c:v>
              </c:pt>
              <c:pt idx="14">
                <c:v>13.493333333333331</c:v>
              </c:pt>
              <c:pt idx="15">
                <c:v>13.168749999999998</c:v>
              </c:pt>
              <c:pt idx="16">
                <c:v>13.223529411764703</c:v>
              </c:pt>
              <c:pt idx="17">
                <c:v>13.299999999999997</c:v>
              </c:pt>
              <c:pt idx="18">
                <c:v>13.273684210526314</c:v>
              </c:pt>
              <c:pt idx="19">
                <c:v>13.049999999999997</c:v>
              </c:pt>
              <c:pt idx="20">
                <c:v>12.909523809523808</c:v>
              </c:pt>
              <c:pt idx="21">
                <c:v>12.890909090909089</c:v>
              </c:pt>
              <c:pt idx="22">
                <c:v>12.765217391304347</c:v>
              </c:pt>
              <c:pt idx="23">
                <c:v>12.762499999999998</c:v>
              </c:pt>
              <c:pt idx="24">
                <c:v>12.771999999999998</c:v>
              </c:pt>
              <c:pt idx="25">
                <c:v>12.769230769230766</c:v>
              </c:pt>
              <c:pt idx="26">
                <c:v>12.788888888888888</c:v>
              </c:pt>
              <c:pt idx="27">
                <c:v>12.785714285714283</c:v>
              </c:pt>
              <c:pt idx="28">
                <c:v>12.803448275862067</c:v>
              </c:pt>
              <c:pt idx="29">
                <c:v>12.763333333333332</c:v>
              </c:pt>
            </c:numLit>
          </c:val>
          <c:smooth val="0"/>
        </c:ser>
        <c:ser>
          <c:idx val="9"/>
          <c:order val="6"/>
          <c:tx>
            <c:v>E (Min)</c:v>
          </c:tx>
          <c:spPr>
            <a:ln w="25400">
              <a:solidFill>
                <a:srgbClr val="00CCFF"/>
              </a:solidFill>
              <a:prstDash val="lgDash"/>
            </a:ln>
          </c:spPr>
          <c:marker>
            <c:symbol val="star"/>
            <c:size val="2"/>
            <c:spPr>
              <a:noFill/>
              <a:ln>
                <a:solidFill>
                  <a:srgbClr val="000080"/>
                </a:solidFill>
                <a:prstDash val="solid"/>
              </a:ln>
            </c:spPr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6.8960000000000035</c:v>
              </c:pt>
              <c:pt idx="1">
                <c:v>6.7600000000000033</c:v>
              </c:pt>
              <c:pt idx="2">
                <c:v>6.6240000000000032</c:v>
              </c:pt>
              <c:pt idx="3">
                <c:v>6.4880000000000031</c:v>
              </c:pt>
              <c:pt idx="4">
                <c:v>6.352000000000003</c:v>
              </c:pt>
              <c:pt idx="5">
                <c:v>6.2160000000000029</c:v>
              </c:pt>
              <c:pt idx="6">
                <c:v>6.0800000000000027</c:v>
              </c:pt>
              <c:pt idx="7">
                <c:v>5.9440000000000026</c:v>
              </c:pt>
              <c:pt idx="8">
                <c:v>5.8080000000000025</c:v>
              </c:pt>
              <c:pt idx="9">
                <c:v>5.6720000000000024</c:v>
              </c:pt>
              <c:pt idx="10">
                <c:v>5.5360000000000023</c:v>
              </c:pt>
              <c:pt idx="11">
                <c:v>5.4</c:v>
              </c:pt>
              <c:pt idx="12">
                <c:v>5.2750000000000004</c:v>
              </c:pt>
              <c:pt idx="13">
                <c:v>5.15</c:v>
              </c:pt>
              <c:pt idx="14">
                <c:v>5.0250000000000004</c:v>
              </c:pt>
              <c:pt idx="15">
                <c:v>4.9000000000000004</c:v>
              </c:pt>
              <c:pt idx="16">
                <c:v>4.7750000000000004</c:v>
              </c:pt>
              <c:pt idx="17">
                <c:v>4.6500000000000004</c:v>
              </c:pt>
              <c:pt idx="18">
                <c:v>4.5250000000000004</c:v>
              </c:pt>
              <c:pt idx="19">
                <c:v>4.4000000000000004</c:v>
              </c:pt>
              <c:pt idx="20">
                <c:v>4.2750000000000004</c:v>
              </c:pt>
              <c:pt idx="21">
                <c:v>4.1500000000000004</c:v>
              </c:pt>
              <c:pt idx="22">
                <c:v>4.0250000000000004</c:v>
              </c:pt>
              <c:pt idx="23">
                <c:v>3.9</c:v>
              </c:pt>
              <c:pt idx="24">
                <c:v>3.8654166666666665</c:v>
              </c:pt>
              <c:pt idx="25">
                <c:v>3.8308333333333331</c:v>
              </c:pt>
              <c:pt idx="26">
                <c:v>3.7962499999999997</c:v>
              </c:pt>
              <c:pt idx="27">
                <c:v>3.7616666666666663</c:v>
              </c:pt>
              <c:pt idx="28">
                <c:v>3.7270833333333329</c:v>
              </c:pt>
              <c:pt idx="29">
                <c:v>3.6924999999999994</c:v>
              </c:pt>
            </c:numLit>
          </c:val>
          <c:smooth val="0"/>
        </c:ser>
        <c:ser>
          <c:idx val="8"/>
          <c:order val="7"/>
          <c:tx>
            <c:v>E (Max)</c:v>
          </c:tx>
          <c:spPr>
            <a:ln w="25400">
              <a:solidFill>
                <a:srgbClr val="FFCC00"/>
              </a:solidFill>
              <a:prstDash val="lgDash"/>
            </a:ln>
          </c:spPr>
          <c:marker>
            <c:symbol val="diamond"/>
            <c:size val="2"/>
            <c:spPr>
              <a:noFill/>
              <a:ln>
                <a:solidFill>
                  <a:srgbClr val="FFCC00"/>
                </a:solidFill>
                <a:prstDash val="solid"/>
              </a:ln>
            </c:spPr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12.2</c:v>
              </c:pt>
              <c:pt idx="1">
                <c:v>12</c:v>
              </c:pt>
              <c:pt idx="2">
                <c:v>11.8</c:v>
              </c:pt>
              <c:pt idx="3">
                <c:v>11.600000000000001</c:v>
              </c:pt>
              <c:pt idx="4">
                <c:v>11.400000000000002</c:v>
              </c:pt>
              <c:pt idx="5">
                <c:v>11.200000000000003</c:v>
              </c:pt>
              <c:pt idx="6">
                <c:v>11.000000000000004</c:v>
              </c:pt>
              <c:pt idx="7">
                <c:v>10.800000000000004</c:v>
              </c:pt>
              <c:pt idx="8">
                <c:v>10.600000000000005</c:v>
              </c:pt>
              <c:pt idx="9">
                <c:v>10.400000000000006</c:v>
              </c:pt>
              <c:pt idx="10">
                <c:v>10.200000000000006</c:v>
              </c:pt>
              <c:pt idx="11">
                <c:v>10</c:v>
              </c:pt>
              <c:pt idx="12">
                <c:v>9.9583333333333339</c:v>
              </c:pt>
              <c:pt idx="13">
                <c:v>9.9166666666666679</c:v>
              </c:pt>
              <c:pt idx="14">
                <c:v>9.8750000000000018</c:v>
              </c:pt>
              <c:pt idx="15">
                <c:v>9.8333333333333357</c:v>
              </c:pt>
              <c:pt idx="16">
                <c:v>9.7916666666666696</c:v>
              </c:pt>
              <c:pt idx="17">
                <c:v>9.7500000000000036</c:v>
              </c:pt>
              <c:pt idx="18">
                <c:v>9.7083333333333375</c:v>
              </c:pt>
              <c:pt idx="19">
                <c:v>9.6666666666666714</c:v>
              </c:pt>
              <c:pt idx="20">
                <c:v>9.6250000000000053</c:v>
              </c:pt>
              <c:pt idx="21">
                <c:v>9.5833333333333393</c:v>
              </c:pt>
              <c:pt idx="22">
                <c:v>9.5416666666666732</c:v>
              </c:pt>
              <c:pt idx="23">
                <c:v>9.5</c:v>
              </c:pt>
              <c:pt idx="24">
                <c:v>9.4187499999999993</c:v>
              </c:pt>
              <c:pt idx="25">
                <c:v>9.3374999999999986</c:v>
              </c:pt>
              <c:pt idx="26">
                <c:v>9.2562499999999979</c:v>
              </c:pt>
              <c:pt idx="27">
                <c:v>9.1749999999999972</c:v>
              </c:pt>
              <c:pt idx="28">
                <c:v>9.0937499999999964</c:v>
              </c:pt>
              <c:pt idx="29">
                <c:v>9.0124999999999957</c:v>
              </c:pt>
            </c:numLit>
          </c:val>
          <c:smooth val="0"/>
        </c:ser>
        <c:ser>
          <c:idx val="4"/>
          <c:order val="8"/>
          <c:tx>
            <c:v>E (Mean)</c:v>
          </c:tx>
          <c:spPr>
            <a:ln w="25400">
              <a:solidFill>
                <a:srgbClr val="CC99FF"/>
              </a:solidFill>
              <a:prstDash val="lgDash"/>
            </a:ln>
          </c:spPr>
          <c:marker>
            <c:symbol val="square"/>
            <c:size val="2"/>
            <c:spPr>
              <a:noFill/>
              <a:ln w="9525">
                <a:noFill/>
              </a:ln>
            </c:spPr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9.5480000000000018</c:v>
              </c:pt>
              <c:pt idx="1">
                <c:v>9.3800000000000026</c:v>
              </c:pt>
              <c:pt idx="2">
                <c:v>9.2120000000000015</c:v>
              </c:pt>
              <c:pt idx="3">
                <c:v>9.0440000000000023</c:v>
              </c:pt>
              <c:pt idx="4">
                <c:v>8.876000000000003</c:v>
              </c:pt>
              <c:pt idx="5">
                <c:v>8.708000000000002</c:v>
              </c:pt>
              <c:pt idx="6">
                <c:v>8.5400000000000027</c:v>
              </c:pt>
              <c:pt idx="7">
                <c:v>8.3720000000000034</c:v>
              </c:pt>
              <c:pt idx="8">
                <c:v>8.2040000000000042</c:v>
              </c:pt>
              <c:pt idx="9">
                <c:v>8.0360000000000049</c:v>
              </c:pt>
              <c:pt idx="10">
                <c:v>7.8680000000000039</c:v>
              </c:pt>
              <c:pt idx="11">
                <c:v>7.7</c:v>
              </c:pt>
              <c:pt idx="12">
                <c:v>7.6166666666666671</c:v>
              </c:pt>
              <c:pt idx="13">
                <c:v>7.5333333333333341</c:v>
              </c:pt>
              <c:pt idx="14">
                <c:v>7.4500000000000011</c:v>
              </c:pt>
              <c:pt idx="15">
                <c:v>7.366666666666668</c:v>
              </c:pt>
              <c:pt idx="16">
                <c:v>7.283333333333335</c:v>
              </c:pt>
              <c:pt idx="17">
                <c:v>7.200000000000002</c:v>
              </c:pt>
              <c:pt idx="18">
                <c:v>7.1166666666666689</c:v>
              </c:pt>
              <c:pt idx="19">
                <c:v>7.0333333333333359</c:v>
              </c:pt>
              <c:pt idx="20">
                <c:v>6.9500000000000028</c:v>
              </c:pt>
              <c:pt idx="21">
                <c:v>6.8666666666666698</c:v>
              </c:pt>
              <c:pt idx="22">
                <c:v>6.7833333333333368</c:v>
              </c:pt>
              <c:pt idx="23">
                <c:v>6.7</c:v>
              </c:pt>
              <c:pt idx="24">
                <c:v>6.6420833333333329</c:v>
              </c:pt>
              <c:pt idx="25">
                <c:v>6.5841666666666656</c:v>
              </c:pt>
              <c:pt idx="26">
                <c:v>6.5262499999999992</c:v>
              </c:pt>
              <c:pt idx="27">
                <c:v>6.4683333333333319</c:v>
              </c:pt>
              <c:pt idx="28">
                <c:v>6.4104166666666647</c:v>
              </c:pt>
              <c:pt idx="29">
                <c:v>6.3524999999999974</c:v>
              </c:pt>
            </c:numLit>
          </c:val>
          <c:smooth val="1"/>
        </c:ser>
        <c:ser>
          <c:idx val="14"/>
          <c:order val="10"/>
          <c:tx>
            <c:v>Freezing Level</c:v>
          </c:tx>
          <c:spPr>
            <a:ln w="38100">
              <a:solidFill>
                <a:srgbClr val="000080"/>
              </a:solidFill>
              <a:prstDash val="sysDash"/>
            </a:ln>
          </c:spPr>
          <c:marker>
            <c:symbol val="none"/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0005248"/>
        <c:axId val="130023424"/>
      </c:lineChart>
      <c:lineChart>
        <c:grouping val="standard"/>
        <c:varyColors val="0"/>
        <c:ser>
          <c:idx val="3"/>
          <c:order val="4"/>
          <c:tx>
            <c:v>Range</c:v>
          </c:tx>
          <c:spPr>
            <a:ln w="38100">
              <a:solidFill>
                <a:srgbClr val="339966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5.0999999999999996</c:v>
              </c:pt>
              <c:pt idx="1">
                <c:v>6.5</c:v>
              </c:pt>
              <c:pt idx="2">
                <c:v>4.5999999999999996</c:v>
              </c:pt>
              <c:pt idx="3">
                <c:v>4.0999999999999996</c:v>
              </c:pt>
              <c:pt idx="4">
                <c:v>3.5</c:v>
              </c:pt>
              <c:pt idx="5">
                <c:v>3</c:v>
              </c:pt>
              <c:pt idx="6">
                <c:v>2.9</c:v>
              </c:pt>
              <c:pt idx="7">
                <c:v>1.7</c:v>
              </c:pt>
              <c:pt idx="8">
                <c:v>4.7</c:v>
              </c:pt>
              <c:pt idx="9">
                <c:v>4.4000000000000004</c:v>
              </c:pt>
              <c:pt idx="10">
                <c:v>3.5</c:v>
              </c:pt>
              <c:pt idx="11">
                <c:v>4.4000000000000004</c:v>
              </c:pt>
              <c:pt idx="12">
                <c:v>4.8</c:v>
              </c:pt>
              <c:pt idx="13">
                <c:v>1.7</c:v>
              </c:pt>
              <c:pt idx="14">
                <c:v>5.3</c:v>
              </c:pt>
              <c:pt idx="15">
                <c:v>3.5</c:v>
              </c:pt>
              <c:pt idx="16">
                <c:v>5.8</c:v>
              </c:pt>
              <c:pt idx="17">
                <c:v>5.7</c:v>
              </c:pt>
              <c:pt idx="18">
                <c:v>6.3</c:v>
              </c:pt>
              <c:pt idx="19">
                <c:v>4.4000000000000004</c:v>
              </c:pt>
              <c:pt idx="20">
                <c:v>4.0999999999999996</c:v>
              </c:pt>
              <c:pt idx="21">
                <c:v>6.2</c:v>
              </c:pt>
              <c:pt idx="22">
                <c:v>7</c:v>
              </c:pt>
              <c:pt idx="23">
                <c:v>4</c:v>
              </c:pt>
              <c:pt idx="24">
                <c:v>5.8</c:v>
              </c:pt>
              <c:pt idx="25">
                <c:v>6.2</c:v>
              </c:pt>
              <c:pt idx="26">
                <c:v>9.6999999999999993</c:v>
              </c:pt>
              <c:pt idx="27">
                <c:v>12.3</c:v>
              </c:pt>
              <c:pt idx="28">
                <c:v>7</c:v>
              </c:pt>
              <c:pt idx="29">
                <c:v>5.7</c:v>
              </c:pt>
            </c:numLit>
          </c:val>
          <c:smooth val="0"/>
        </c:ser>
        <c:ser>
          <c:idx val="12"/>
          <c:order val="5"/>
          <c:tx>
            <c:v>Cumulative Range</c:v>
          </c:tx>
          <c:spPr>
            <a:ln w="12700">
              <a:solidFill>
                <a:srgbClr val="008000"/>
              </a:solidFill>
              <a:prstDash val="solid"/>
            </a:ln>
          </c:spPr>
          <c:marker>
            <c:symbol val="none"/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5.0999999999999996</c:v>
              </c:pt>
              <c:pt idx="1">
                <c:v>5.8</c:v>
              </c:pt>
              <c:pt idx="2">
                <c:v>5.3999999999999995</c:v>
              </c:pt>
              <c:pt idx="3">
                <c:v>5.0749999999999993</c:v>
              </c:pt>
              <c:pt idx="4">
                <c:v>4.76</c:v>
              </c:pt>
              <c:pt idx="5">
                <c:v>4.4666666666666659</c:v>
              </c:pt>
              <c:pt idx="6">
                <c:v>4.242857142857142</c:v>
              </c:pt>
              <c:pt idx="7">
                <c:v>3.9249999999999994</c:v>
              </c:pt>
              <c:pt idx="8">
                <c:v>4.0111111111111102</c:v>
              </c:pt>
              <c:pt idx="9">
                <c:v>4.0499999999999989</c:v>
              </c:pt>
              <c:pt idx="10">
                <c:v>3.9999999999999996</c:v>
              </c:pt>
              <c:pt idx="11">
                <c:v>4.0333333333333323</c:v>
              </c:pt>
              <c:pt idx="12">
                <c:v>4.0923076923076911</c:v>
              </c:pt>
              <c:pt idx="13">
                <c:v>3.9214285714285708</c:v>
              </c:pt>
              <c:pt idx="14">
                <c:v>4.0133333333333328</c:v>
              </c:pt>
              <c:pt idx="15">
                <c:v>3.9812499999999993</c:v>
              </c:pt>
              <c:pt idx="16">
                <c:v>4.0882352941176459</c:v>
              </c:pt>
              <c:pt idx="17">
                <c:v>4.1777777777777771</c:v>
              </c:pt>
              <c:pt idx="18">
                <c:v>4.2894736842105257</c:v>
              </c:pt>
              <c:pt idx="19">
                <c:v>4.2949999999999999</c:v>
              </c:pt>
              <c:pt idx="20">
                <c:v>4.2857142857142847</c:v>
              </c:pt>
              <c:pt idx="21">
                <c:v>4.3727272727272721</c:v>
              </c:pt>
              <c:pt idx="22">
                <c:v>4.4869565217391303</c:v>
              </c:pt>
              <c:pt idx="23">
                <c:v>4.4666666666666659</c:v>
              </c:pt>
              <c:pt idx="24">
                <c:v>4.5199999999999996</c:v>
              </c:pt>
              <c:pt idx="25">
                <c:v>4.5846153846153843</c:v>
              </c:pt>
              <c:pt idx="26">
                <c:v>4.7740740740740728</c:v>
              </c:pt>
              <c:pt idx="27">
                <c:v>5.0428571428571427</c:v>
              </c:pt>
              <c:pt idx="28">
                <c:v>5.1103448275862062</c:v>
              </c:pt>
              <c:pt idx="29">
                <c:v>5.129999999999999</c:v>
              </c:pt>
            </c:numLit>
          </c:val>
          <c:smooth val="0"/>
        </c:ser>
        <c:ser>
          <c:idx val="11"/>
          <c:order val="9"/>
          <c:tx>
            <c:v>E (Range)</c:v>
          </c:tx>
          <c:spPr>
            <a:ln w="25400">
              <a:solidFill>
                <a:srgbClr val="00FF00"/>
              </a:solidFill>
              <a:prstDash val="lgDash"/>
            </a:ln>
          </c:spPr>
          <c:marker>
            <c:symbol val="none"/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5.3039999999999958</c:v>
              </c:pt>
              <c:pt idx="1">
                <c:v>5.2399999999999967</c:v>
              </c:pt>
              <c:pt idx="2">
                <c:v>5.1759999999999975</c:v>
              </c:pt>
              <c:pt idx="3">
                <c:v>5.1119999999999983</c:v>
              </c:pt>
              <c:pt idx="4">
                <c:v>5.0479999999999992</c:v>
              </c:pt>
              <c:pt idx="5">
                <c:v>4.984</c:v>
              </c:pt>
              <c:pt idx="6">
                <c:v>4.9200000000000008</c:v>
              </c:pt>
              <c:pt idx="7">
                <c:v>4.8560000000000016</c:v>
              </c:pt>
              <c:pt idx="8">
                <c:v>4.7920000000000025</c:v>
              </c:pt>
              <c:pt idx="9">
                <c:v>4.7280000000000033</c:v>
              </c:pt>
              <c:pt idx="10">
                <c:v>4.6640000000000041</c:v>
              </c:pt>
              <c:pt idx="11">
                <c:v>4.5999999999999996</c:v>
              </c:pt>
              <c:pt idx="12">
                <c:v>4.6833333333333336</c:v>
              </c:pt>
              <c:pt idx="13">
                <c:v>4.7666666666666675</c:v>
              </c:pt>
              <c:pt idx="14">
                <c:v>4.8500000000000014</c:v>
              </c:pt>
              <c:pt idx="15">
                <c:v>4.9333333333333353</c:v>
              </c:pt>
              <c:pt idx="16">
                <c:v>5.0166666666666693</c:v>
              </c:pt>
              <c:pt idx="17">
                <c:v>5.1000000000000032</c:v>
              </c:pt>
              <c:pt idx="18">
                <c:v>5.1833333333333371</c:v>
              </c:pt>
              <c:pt idx="19">
                <c:v>5.266666666666671</c:v>
              </c:pt>
              <c:pt idx="20">
                <c:v>5.350000000000005</c:v>
              </c:pt>
              <c:pt idx="21">
                <c:v>5.4333333333333389</c:v>
              </c:pt>
              <c:pt idx="22">
                <c:v>5.5166666666666728</c:v>
              </c:pt>
              <c:pt idx="23">
                <c:v>5.6</c:v>
              </c:pt>
              <c:pt idx="24">
                <c:v>5.5533333333333328</c:v>
              </c:pt>
              <c:pt idx="25">
                <c:v>5.5066666666666659</c:v>
              </c:pt>
              <c:pt idx="26">
                <c:v>5.4599999999999982</c:v>
              </c:pt>
              <c:pt idx="27">
                <c:v>5.4133333333333304</c:v>
              </c:pt>
              <c:pt idx="28">
                <c:v>5.3666666666666636</c:v>
              </c:pt>
              <c:pt idx="29">
                <c:v>5.3199999999999967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0024960"/>
        <c:axId val="130026496"/>
      </c:lineChart>
      <c:catAx>
        <c:axId val="1300052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0023424"/>
        <c:crossesAt val="-10"/>
        <c:auto val="1"/>
        <c:lblAlgn val="ctr"/>
        <c:lblOffset val="100"/>
        <c:tickLblSkip val="1"/>
        <c:tickMarkSkip val="1"/>
        <c:noMultiLvlLbl val="0"/>
      </c:catAx>
      <c:valAx>
        <c:axId val="130023424"/>
        <c:scaling>
          <c:orientation val="minMax"/>
          <c:max val="20"/>
          <c:min val="-5"/>
        </c:scaling>
        <c:delete val="0"/>
        <c:axPos val="l"/>
        <c:majorGridlines>
          <c:spPr>
            <a:ln w="12700">
              <a:solidFill>
                <a:srgbClr val="333333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0005248"/>
        <c:crosses val="autoZero"/>
        <c:crossBetween val="between"/>
        <c:majorUnit val="5"/>
      </c:valAx>
      <c:catAx>
        <c:axId val="1300249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0026496"/>
        <c:crosses val="autoZero"/>
        <c:auto val="1"/>
        <c:lblAlgn val="ctr"/>
        <c:lblOffset val="100"/>
        <c:noMultiLvlLbl val="0"/>
      </c:catAx>
      <c:valAx>
        <c:axId val="130026496"/>
        <c:scaling>
          <c:orientation val="minMax"/>
          <c:max val="50"/>
          <c:min val="0"/>
        </c:scaling>
        <c:delete val="0"/>
        <c:axPos val="r"/>
        <c:numFmt formatCode="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0024960"/>
        <c:crosses val="max"/>
        <c:crossBetween val="between"/>
        <c:majorUnit val="10"/>
      </c:valAx>
      <c:spPr>
        <a:solidFill>
          <a:srgbClr val="969696"/>
        </a:solidFill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7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Relative Humidity / %</a:t>
            </a:r>
          </a:p>
        </c:rich>
      </c:tx>
      <c:layout>
        <c:manualLayout>
          <c:xMode val="edge"/>
          <c:yMode val="edge"/>
          <c:x val="0.43932794026135658"/>
          <c:y val="2.552204176334106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869321717485998E-2"/>
          <c:y val="9.7447851023153717E-2"/>
          <c:w val="0.94710640945861857"/>
          <c:h val="0.85266869645259502"/>
        </c:manualLayout>
      </c:layout>
      <c:lineChart>
        <c:grouping val="standard"/>
        <c:varyColors val="0"/>
        <c:ser>
          <c:idx val="2"/>
          <c:order val="0"/>
          <c:tx>
            <c:v>Max</c:v>
          </c:tx>
          <c:spPr>
            <a:ln w="38100">
              <a:solidFill>
                <a:srgbClr val="008000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003300"/>
              </a:solidFill>
              <a:ln>
                <a:solidFill>
                  <a:srgbClr val="003300"/>
                </a:solidFill>
                <a:prstDash val="solid"/>
              </a:ln>
            </c:spPr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91</c:v>
              </c:pt>
              <c:pt idx="1">
                <c:v>93</c:v>
              </c:pt>
              <c:pt idx="2">
                <c:v>95</c:v>
              </c:pt>
              <c:pt idx="3">
                <c:v>96</c:v>
              </c:pt>
              <c:pt idx="4">
                <c:v>98</c:v>
              </c:pt>
              <c:pt idx="5">
                <c:v>96</c:v>
              </c:pt>
              <c:pt idx="6">
                <c:v>96</c:v>
              </c:pt>
              <c:pt idx="7">
                <c:v>97</c:v>
              </c:pt>
              <c:pt idx="8">
                <c:v>97</c:v>
              </c:pt>
              <c:pt idx="9">
                <c:v>98</c:v>
              </c:pt>
              <c:pt idx="10">
                <c:v>98</c:v>
              </c:pt>
              <c:pt idx="11">
                <c:v>97</c:v>
              </c:pt>
              <c:pt idx="12">
                <c:v>98</c:v>
              </c:pt>
              <c:pt idx="13">
                <c:v>98</c:v>
              </c:pt>
              <c:pt idx="14">
                <c:v>95</c:v>
              </c:pt>
              <c:pt idx="15">
                <c:v>96</c:v>
              </c:pt>
              <c:pt idx="16">
                <c:v>98</c:v>
              </c:pt>
              <c:pt idx="17">
                <c:v>95</c:v>
              </c:pt>
              <c:pt idx="18">
                <c:v>96</c:v>
              </c:pt>
              <c:pt idx="19">
                <c:v>98</c:v>
              </c:pt>
              <c:pt idx="20">
                <c:v>98</c:v>
              </c:pt>
              <c:pt idx="21">
                <c:v>98</c:v>
              </c:pt>
              <c:pt idx="22">
                <c:v>98</c:v>
              </c:pt>
              <c:pt idx="23">
                <c:v>98</c:v>
              </c:pt>
              <c:pt idx="24">
                <c:v>92</c:v>
              </c:pt>
              <c:pt idx="25">
                <c:v>92</c:v>
              </c:pt>
              <c:pt idx="26">
                <c:v>85</c:v>
              </c:pt>
              <c:pt idx="27">
                <c:v>92</c:v>
              </c:pt>
              <c:pt idx="28">
                <c:v>91</c:v>
              </c:pt>
              <c:pt idx="29">
                <c:v>83</c:v>
              </c:pt>
            </c:numLit>
          </c:val>
          <c:smooth val="0"/>
        </c:ser>
        <c:ser>
          <c:idx val="1"/>
          <c:order val="1"/>
          <c:tx>
            <c:v>Min</c:v>
          </c:tx>
          <c:spPr>
            <a:ln w="38100">
              <a:solidFill>
                <a:srgbClr val="FF9900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FF6600"/>
              </a:solidFill>
              <a:ln>
                <a:solidFill>
                  <a:srgbClr val="FF6600"/>
                </a:solidFill>
                <a:prstDash val="solid"/>
              </a:ln>
            </c:spPr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68</c:v>
              </c:pt>
              <c:pt idx="1">
                <c:v>69</c:v>
              </c:pt>
              <c:pt idx="2">
                <c:v>78</c:v>
              </c:pt>
              <c:pt idx="3">
                <c:v>80</c:v>
              </c:pt>
              <c:pt idx="4">
                <c:v>90</c:v>
              </c:pt>
              <c:pt idx="5">
                <c:v>74</c:v>
              </c:pt>
              <c:pt idx="6">
                <c:v>83</c:v>
              </c:pt>
              <c:pt idx="7">
                <c:v>91</c:v>
              </c:pt>
              <c:pt idx="8">
                <c:v>74</c:v>
              </c:pt>
              <c:pt idx="9">
                <c:v>89</c:v>
              </c:pt>
              <c:pt idx="10">
                <c:v>93</c:v>
              </c:pt>
              <c:pt idx="11">
                <c:v>88</c:v>
              </c:pt>
              <c:pt idx="12">
                <c:v>79</c:v>
              </c:pt>
              <c:pt idx="13">
                <c:v>92</c:v>
              </c:pt>
              <c:pt idx="14">
                <c:v>73</c:v>
              </c:pt>
              <c:pt idx="15">
                <c:v>86</c:v>
              </c:pt>
              <c:pt idx="16">
                <c:v>72</c:v>
              </c:pt>
              <c:pt idx="17">
                <c:v>72</c:v>
              </c:pt>
              <c:pt idx="18">
                <c:v>82</c:v>
              </c:pt>
              <c:pt idx="19">
                <c:v>96</c:v>
              </c:pt>
              <c:pt idx="20">
                <c:v>96</c:v>
              </c:pt>
              <c:pt idx="21">
                <c:v>91</c:v>
              </c:pt>
              <c:pt idx="22">
                <c:v>92</c:v>
              </c:pt>
              <c:pt idx="23">
                <c:v>79</c:v>
              </c:pt>
              <c:pt idx="24">
                <c:v>58</c:v>
              </c:pt>
              <c:pt idx="25">
                <c:v>68</c:v>
              </c:pt>
              <c:pt idx="26">
                <c:v>47</c:v>
              </c:pt>
              <c:pt idx="27">
                <c:v>69</c:v>
              </c:pt>
              <c:pt idx="28">
                <c:v>67</c:v>
              </c:pt>
              <c:pt idx="29">
                <c:v>68</c:v>
              </c:pt>
            </c:numLit>
          </c:val>
          <c:smooth val="0"/>
        </c:ser>
        <c:ser>
          <c:idx val="3"/>
          <c:order val="2"/>
          <c:tx>
            <c:v>Mean</c:v>
          </c:tx>
          <c:spPr>
            <a:ln w="38100">
              <a:solidFill>
                <a:srgbClr val="993366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800080"/>
              </a:solidFill>
              <a:ln>
                <a:solidFill>
                  <a:srgbClr val="800080"/>
                </a:solidFill>
                <a:prstDash val="solid"/>
              </a:ln>
            </c:spPr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82</c:v>
              </c:pt>
              <c:pt idx="1">
                <c:v>85</c:v>
              </c:pt>
              <c:pt idx="2">
                <c:v>87</c:v>
              </c:pt>
              <c:pt idx="3">
                <c:v>90</c:v>
              </c:pt>
              <c:pt idx="4">
                <c:v>94</c:v>
              </c:pt>
              <c:pt idx="5">
                <c:v>82</c:v>
              </c:pt>
              <c:pt idx="6">
                <c:v>91</c:v>
              </c:pt>
              <c:pt idx="7">
                <c:v>95</c:v>
              </c:pt>
              <c:pt idx="8">
                <c:v>89</c:v>
              </c:pt>
              <c:pt idx="9">
                <c:v>94</c:v>
              </c:pt>
              <c:pt idx="10">
                <c:v>97</c:v>
              </c:pt>
              <c:pt idx="11">
                <c:v>94</c:v>
              </c:pt>
              <c:pt idx="12">
                <c:v>92</c:v>
              </c:pt>
              <c:pt idx="13">
                <c:v>96</c:v>
              </c:pt>
              <c:pt idx="14">
                <c:v>87</c:v>
              </c:pt>
              <c:pt idx="15">
                <c:v>93</c:v>
              </c:pt>
              <c:pt idx="16">
                <c:v>88</c:v>
              </c:pt>
              <c:pt idx="17">
                <c:v>85</c:v>
              </c:pt>
              <c:pt idx="18">
                <c:v>91</c:v>
              </c:pt>
              <c:pt idx="19">
                <c:v>98</c:v>
              </c:pt>
              <c:pt idx="20">
                <c:v>98</c:v>
              </c:pt>
              <c:pt idx="21">
                <c:v>97</c:v>
              </c:pt>
              <c:pt idx="22">
                <c:v>96</c:v>
              </c:pt>
              <c:pt idx="23">
                <c:v>91</c:v>
              </c:pt>
              <c:pt idx="24">
                <c:v>78</c:v>
              </c:pt>
              <c:pt idx="25">
                <c:v>80</c:v>
              </c:pt>
              <c:pt idx="26">
                <c:v>68</c:v>
              </c:pt>
              <c:pt idx="27">
                <c:v>82</c:v>
              </c:pt>
              <c:pt idx="28">
                <c:v>80</c:v>
              </c:pt>
              <c:pt idx="29">
                <c:v>76</c:v>
              </c:pt>
            </c:numLit>
          </c:val>
          <c:smooth val="0"/>
        </c:ser>
        <c:ser>
          <c:idx val="5"/>
          <c:order val="5"/>
          <c:tx>
            <c:v>Cumulative Mean</c:v>
          </c:tx>
          <c:spPr>
            <a:ln w="12700">
              <a:solidFill>
                <a:srgbClr val="CC99FF"/>
              </a:solidFill>
              <a:prstDash val="solid"/>
            </a:ln>
          </c:spPr>
          <c:marker>
            <c:symbol val="none"/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82</c:v>
              </c:pt>
              <c:pt idx="1">
                <c:v>83.5</c:v>
              </c:pt>
              <c:pt idx="2">
                <c:v>84.666666666666671</c:v>
              </c:pt>
              <c:pt idx="3">
                <c:v>86</c:v>
              </c:pt>
              <c:pt idx="4">
                <c:v>87.6</c:v>
              </c:pt>
              <c:pt idx="5">
                <c:v>86.666666666666671</c:v>
              </c:pt>
              <c:pt idx="6">
                <c:v>87.285714285714292</c:v>
              </c:pt>
              <c:pt idx="7">
                <c:v>88.25</c:v>
              </c:pt>
              <c:pt idx="8">
                <c:v>88.333333333333329</c:v>
              </c:pt>
              <c:pt idx="9">
                <c:v>88.9</c:v>
              </c:pt>
              <c:pt idx="10">
                <c:v>89.63636363636364</c:v>
              </c:pt>
              <c:pt idx="11">
                <c:v>90</c:v>
              </c:pt>
              <c:pt idx="12">
                <c:v>90.15384615384616</c:v>
              </c:pt>
              <c:pt idx="13">
                <c:v>90.571428571428569</c:v>
              </c:pt>
              <c:pt idx="14">
                <c:v>90.333333333333329</c:v>
              </c:pt>
              <c:pt idx="15">
                <c:v>90.5</c:v>
              </c:pt>
              <c:pt idx="16">
                <c:v>90.352941176470594</c:v>
              </c:pt>
              <c:pt idx="17">
                <c:v>90.055555555555557</c:v>
              </c:pt>
              <c:pt idx="18">
                <c:v>90.10526315789474</c:v>
              </c:pt>
              <c:pt idx="19">
                <c:v>90.5</c:v>
              </c:pt>
              <c:pt idx="20">
                <c:v>90.857142857142861</c:v>
              </c:pt>
              <c:pt idx="21">
                <c:v>91.13636363636364</c:v>
              </c:pt>
              <c:pt idx="22">
                <c:v>91.347826086956516</c:v>
              </c:pt>
              <c:pt idx="23">
                <c:v>91.333333333333329</c:v>
              </c:pt>
              <c:pt idx="24">
                <c:v>90.8</c:v>
              </c:pt>
              <c:pt idx="25">
                <c:v>90.384615384615387</c:v>
              </c:pt>
              <c:pt idx="26">
                <c:v>89.555555555555557</c:v>
              </c:pt>
              <c:pt idx="27">
                <c:v>89.285714285714292</c:v>
              </c:pt>
              <c:pt idx="28">
                <c:v>88.965517241379317</c:v>
              </c:pt>
              <c:pt idx="29">
                <c:v>88.533333333333331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0060288"/>
        <c:axId val="130061824"/>
      </c:lineChart>
      <c:lineChart>
        <c:grouping val="standard"/>
        <c:varyColors val="0"/>
        <c:ser>
          <c:idx val="0"/>
          <c:order val="3"/>
          <c:tx>
            <c:v>Range</c:v>
          </c:tx>
          <c:spPr>
            <a:ln w="25400">
              <a:solidFill>
                <a:srgbClr val="00FF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339966"/>
              </a:solidFill>
              <a:ln>
                <a:solidFill>
                  <a:srgbClr val="339966"/>
                </a:solidFill>
                <a:prstDash val="solid"/>
              </a:ln>
            </c:spPr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23</c:v>
              </c:pt>
              <c:pt idx="1">
                <c:v>24</c:v>
              </c:pt>
              <c:pt idx="2">
                <c:v>17</c:v>
              </c:pt>
              <c:pt idx="3">
                <c:v>16</c:v>
              </c:pt>
              <c:pt idx="4">
                <c:v>8</c:v>
              </c:pt>
              <c:pt idx="5">
                <c:v>22</c:v>
              </c:pt>
              <c:pt idx="6">
                <c:v>13</c:v>
              </c:pt>
              <c:pt idx="7">
                <c:v>6</c:v>
              </c:pt>
              <c:pt idx="8">
                <c:v>23</c:v>
              </c:pt>
              <c:pt idx="9">
                <c:v>9</c:v>
              </c:pt>
              <c:pt idx="10">
                <c:v>5</c:v>
              </c:pt>
              <c:pt idx="11">
                <c:v>9</c:v>
              </c:pt>
              <c:pt idx="12">
                <c:v>19</c:v>
              </c:pt>
              <c:pt idx="13">
                <c:v>6</c:v>
              </c:pt>
              <c:pt idx="14">
                <c:v>22</c:v>
              </c:pt>
              <c:pt idx="15">
                <c:v>10</c:v>
              </c:pt>
              <c:pt idx="16">
                <c:v>26</c:v>
              </c:pt>
              <c:pt idx="17">
                <c:v>23</c:v>
              </c:pt>
              <c:pt idx="18">
                <c:v>14</c:v>
              </c:pt>
              <c:pt idx="19">
                <c:v>2</c:v>
              </c:pt>
              <c:pt idx="20">
                <c:v>2</c:v>
              </c:pt>
              <c:pt idx="21">
                <c:v>7</c:v>
              </c:pt>
              <c:pt idx="22">
                <c:v>6</c:v>
              </c:pt>
              <c:pt idx="23">
                <c:v>19</c:v>
              </c:pt>
              <c:pt idx="24">
                <c:v>34</c:v>
              </c:pt>
              <c:pt idx="25">
                <c:v>24</c:v>
              </c:pt>
              <c:pt idx="26">
                <c:v>38</c:v>
              </c:pt>
              <c:pt idx="27">
                <c:v>23</c:v>
              </c:pt>
              <c:pt idx="28">
                <c:v>24</c:v>
              </c:pt>
              <c:pt idx="29">
                <c:v>15</c:v>
              </c:pt>
            </c:numLit>
          </c:val>
          <c:smooth val="0"/>
        </c:ser>
        <c:ser>
          <c:idx val="4"/>
          <c:order val="4"/>
          <c:tx>
            <c:v>Rainfall</c:v>
          </c:tx>
          <c:spPr>
            <a:ln w="25400">
              <a:solidFill>
                <a:srgbClr val="33CCCC"/>
              </a:solidFill>
              <a:prstDash val="solid"/>
            </a:ln>
          </c:spPr>
          <c:marker>
            <c:symbol val="none"/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1.1000000000000001</c:v>
              </c:pt>
              <c:pt idx="1">
                <c:v>0.3</c:v>
              </c:pt>
              <c:pt idx="2">
                <c:v>6.6</c:v>
              </c:pt>
              <c:pt idx="3">
                <c:v>13.4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1.1000000000000001</c:v>
              </c:pt>
              <c:pt idx="8">
                <c:v>1.1000000000000001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0.5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0.3</c:v>
              </c:pt>
              <c:pt idx="27">
                <c:v>0</c:v>
              </c:pt>
              <c:pt idx="28">
                <c:v>0.8</c:v>
              </c:pt>
              <c:pt idx="29">
                <c:v>0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0063360"/>
        <c:axId val="130159360"/>
      </c:lineChart>
      <c:catAx>
        <c:axId val="130060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00618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30061824"/>
        <c:scaling>
          <c:orientation val="minMax"/>
          <c:max val="100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0060288"/>
        <c:crosses val="autoZero"/>
        <c:crossBetween val="between"/>
        <c:majorUnit val="20"/>
      </c:valAx>
      <c:catAx>
        <c:axId val="1300633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0159360"/>
        <c:crosses val="autoZero"/>
        <c:auto val="1"/>
        <c:lblAlgn val="ctr"/>
        <c:lblOffset val="100"/>
        <c:noMultiLvlLbl val="0"/>
      </c:catAx>
      <c:valAx>
        <c:axId val="130159360"/>
        <c:scaling>
          <c:orientation val="minMax"/>
          <c:max val="200"/>
          <c:min val="0"/>
        </c:scaling>
        <c:delete val="0"/>
        <c:axPos val="r"/>
        <c:numFmt formatCode="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0063360"/>
        <c:crosses val="max"/>
        <c:crossBetween val="between"/>
        <c:majorUnit val="40"/>
      </c:valAx>
      <c:spPr>
        <a:solidFill>
          <a:srgbClr val="969696"/>
        </a:solidFill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6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 sz="14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Dew Point / </a:t>
            </a:r>
            <a:r>
              <a:rPr lang="en-GB" sz="1400" b="1" i="0" u="none" strike="noStrike" baseline="30000">
                <a:solidFill>
                  <a:srgbClr val="000000"/>
                </a:solidFill>
                <a:latin typeface="Arial"/>
                <a:cs typeface="Arial"/>
              </a:rPr>
              <a:t>o</a:t>
            </a:r>
            <a:r>
              <a:rPr lang="en-GB" sz="14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C</a:t>
            </a:r>
          </a:p>
        </c:rich>
      </c:tx>
      <c:layout>
        <c:manualLayout>
          <c:xMode val="edge"/>
          <c:yMode val="edge"/>
          <c:x val="0.45755332081617139"/>
          <c:y val="1.990632318501171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4344584128594218E-2"/>
          <c:y val="8.6651053864168617E-2"/>
          <c:w val="0.97315914503790735"/>
          <c:h val="0.86299765807962525"/>
        </c:manualLayout>
      </c:layout>
      <c:lineChart>
        <c:grouping val="standard"/>
        <c:varyColors val="0"/>
        <c:ser>
          <c:idx val="2"/>
          <c:order val="0"/>
          <c:tx>
            <c:v>Min Dew Point</c:v>
          </c:tx>
          <c:spPr>
            <a:ln w="38100">
              <a:solidFill>
                <a:srgbClr val="99CC00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808000"/>
              </a:solidFill>
              <a:ln>
                <a:solidFill>
                  <a:srgbClr val="808000"/>
                </a:solidFill>
                <a:prstDash val="solid"/>
              </a:ln>
            </c:spPr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7.3</c:v>
              </c:pt>
              <c:pt idx="1">
                <c:v>7.2</c:v>
              </c:pt>
              <c:pt idx="2">
                <c:v>11.5</c:v>
              </c:pt>
              <c:pt idx="3">
                <c:v>9.8000000000000007</c:v>
              </c:pt>
              <c:pt idx="4">
                <c:v>8.9</c:v>
              </c:pt>
              <c:pt idx="5">
                <c:v>6.5</c:v>
              </c:pt>
              <c:pt idx="6">
                <c:v>7.1</c:v>
              </c:pt>
              <c:pt idx="7">
                <c:v>8.4</c:v>
              </c:pt>
              <c:pt idx="8">
                <c:v>8.9</c:v>
              </c:pt>
              <c:pt idx="9">
                <c:v>8.1</c:v>
              </c:pt>
              <c:pt idx="10">
                <c:v>8.1999999999999993</c:v>
              </c:pt>
              <c:pt idx="11">
                <c:v>10</c:v>
              </c:pt>
              <c:pt idx="12">
                <c:v>8.6</c:v>
              </c:pt>
              <c:pt idx="13">
                <c:v>7.5</c:v>
              </c:pt>
              <c:pt idx="14">
                <c:v>3.6</c:v>
              </c:pt>
              <c:pt idx="15">
                <c:v>3.9</c:v>
              </c:pt>
              <c:pt idx="16">
                <c:v>6.5</c:v>
              </c:pt>
              <c:pt idx="17">
                <c:v>6.5</c:v>
              </c:pt>
              <c:pt idx="18">
                <c:v>5.9</c:v>
              </c:pt>
              <c:pt idx="19">
                <c:v>4.0999999999999996</c:v>
              </c:pt>
              <c:pt idx="20">
                <c:v>5.7</c:v>
              </c:pt>
              <c:pt idx="21">
                <c:v>5.3</c:v>
              </c:pt>
              <c:pt idx="22">
                <c:v>2.7</c:v>
              </c:pt>
              <c:pt idx="23">
                <c:v>7</c:v>
              </c:pt>
              <c:pt idx="24">
                <c:v>3.5</c:v>
              </c:pt>
              <c:pt idx="25">
                <c:v>4.3</c:v>
              </c:pt>
              <c:pt idx="26">
                <c:v>-1</c:v>
              </c:pt>
              <c:pt idx="27">
                <c:v>-1.9</c:v>
              </c:pt>
              <c:pt idx="28">
                <c:v>2.2000000000000002</c:v>
              </c:pt>
              <c:pt idx="29">
                <c:v>2.2000000000000002</c:v>
              </c:pt>
            </c:numLit>
          </c:val>
          <c:smooth val="0"/>
        </c:ser>
        <c:ser>
          <c:idx val="3"/>
          <c:order val="1"/>
          <c:tx>
            <c:v>Frost Point</c:v>
          </c:tx>
          <c:spPr>
            <a:ln w="38100">
              <a:solidFill>
                <a:srgbClr val="000080"/>
              </a:solidFill>
              <a:prstDash val="sysDash"/>
            </a:ln>
          </c:spPr>
          <c:marker>
            <c:symbol val="none"/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</c:numLit>
          </c:val>
          <c:smooth val="0"/>
        </c:ser>
        <c:ser>
          <c:idx val="0"/>
          <c:order val="2"/>
          <c:tx>
            <c:v>Mean' Dew Point</c:v>
          </c:tx>
          <c:spPr>
            <a:ln w="38100">
              <a:solidFill>
                <a:srgbClr val="008080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666699"/>
              </a:solidFill>
              <a:ln>
                <a:solidFill>
                  <a:srgbClr val="666699"/>
                </a:solidFill>
                <a:prstDash val="solid"/>
              </a:ln>
            </c:spPr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9.8000000000000007</c:v>
              </c:pt>
              <c:pt idx="1">
                <c:v>10.1</c:v>
              </c:pt>
              <c:pt idx="2">
                <c:v>13.1</c:v>
              </c:pt>
              <c:pt idx="3">
                <c:v>11.9</c:v>
              </c:pt>
              <c:pt idx="4">
                <c:v>10.8</c:v>
              </c:pt>
              <c:pt idx="5">
                <c:v>7.1</c:v>
              </c:pt>
              <c:pt idx="6">
                <c:v>9.5</c:v>
              </c:pt>
              <c:pt idx="7">
                <c:v>9.1999999999999993</c:v>
              </c:pt>
              <c:pt idx="8">
                <c:v>10.1</c:v>
              </c:pt>
              <c:pt idx="9">
                <c:v>10.199999999999999</c:v>
              </c:pt>
              <c:pt idx="10">
                <c:v>9.4</c:v>
              </c:pt>
              <c:pt idx="11">
                <c:v>12.4</c:v>
              </c:pt>
              <c:pt idx="12">
                <c:v>10.5</c:v>
              </c:pt>
              <c:pt idx="13">
                <c:v>8.5</c:v>
              </c:pt>
              <c:pt idx="14">
                <c:v>6.5</c:v>
              </c:pt>
              <c:pt idx="15">
                <c:v>5.5</c:v>
              </c:pt>
              <c:pt idx="16">
                <c:v>9</c:v>
              </c:pt>
              <c:pt idx="17">
                <c:v>8.9</c:v>
              </c:pt>
              <c:pt idx="18">
                <c:v>7.9</c:v>
              </c:pt>
              <c:pt idx="19">
                <c:v>6.3</c:v>
              </c:pt>
              <c:pt idx="20">
                <c:v>8.1999999999999993</c:v>
              </c:pt>
              <c:pt idx="21">
                <c:v>10</c:v>
              </c:pt>
              <c:pt idx="22">
                <c:v>6.2</c:v>
              </c:pt>
              <c:pt idx="23">
                <c:v>8.9</c:v>
              </c:pt>
              <c:pt idx="24">
                <c:v>6.9</c:v>
              </c:pt>
              <c:pt idx="25">
                <c:v>6.6</c:v>
              </c:pt>
              <c:pt idx="26">
                <c:v>4.8</c:v>
              </c:pt>
              <c:pt idx="27">
                <c:v>3.3</c:v>
              </c:pt>
              <c:pt idx="28">
                <c:v>8.1999999999999993</c:v>
              </c:pt>
              <c:pt idx="29">
                <c:v>4.7</c:v>
              </c:pt>
            </c:numLit>
          </c:val>
          <c:smooth val="0"/>
        </c:ser>
        <c:ser>
          <c:idx val="4"/>
          <c:order val="3"/>
          <c:tx>
            <c:v>Max Dew Point</c:v>
          </c:tx>
          <c:spPr>
            <a:ln w="38100">
              <a:solidFill>
                <a:srgbClr val="003300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003366"/>
              </a:solidFill>
              <a:ln>
                <a:solidFill>
                  <a:srgbClr val="003366"/>
                </a:solidFill>
                <a:prstDash val="solid"/>
              </a:ln>
            </c:spPr>
          </c:marker>
          <c:cat>
            <c:numLit>
              <c:formatCode>General</c:formatCode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</c:numLit>
          </c:cat>
          <c:val>
            <c:numLit>
              <c:formatCode>General</c:formatCode>
              <c:ptCount val="30"/>
              <c:pt idx="0">
                <c:v>12.7</c:v>
              </c:pt>
              <c:pt idx="1">
                <c:v>13</c:v>
              </c:pt>
              <c:pt idx="2">
                <c:v>14.3</c:v>
              </c:pt>
              <c:pt idx="3">
                <c:v>13.3</c:v>
              </c:pt>
              <c:pt idx="4">
                <c:v>12.6</c:v>
              </c:pt>
              <c:pt idx="5">
                <c:v>9.9</c:v>
              </c:pt>
              <c:pt idx="6">
                <c:v>10.9</c:v>
              </c:pt>
              <c:pt idx="7">
                <c:v>10.199999999999999</c:v>
              </c:pt>
              <c:pt idx="8">
                <c:v>12.6</c:v>
              </c:pt>
              <c:pt idx="9">
                <c:v>12.2</c:v>
              </c:pt>
              <c:pt idx="10">
                <c:v>11.4</c:v>
              </c:pt>
              <c:pt idx="11">
                <c:v>13.9</c:v>
              </c:pt>
              <c:pt idx="12">
                <c:v>12.1</c:v>
              </c:pt>
              <c:pt idx="13">
                <c:v>9.3000000000000007</c:v>
              </c:pt>
              <c:pt idx="14">
                <c:v>8.8000000000000007</c:v>
              </c:pt>
              <c:pt idx="15">
                <c:v>7.5</c:v>
              </c:pt>
              <c:pt idx="16">
                <c:v>12.4</c:v>
              </c:pt>
              <c:pt idx="17">
                <c:v>11.9</c:v>
              </c:pt>
              <c:pt idx="18">
                <c:v>10.4</c:v>
              </c:pt>
              <c:pt idx="19">
                <c:v>8.5</c:v>
              </c:pt>
              <c:pt idx="20">
                <c:v>9.6999999999999993</c:v>
              </c:pt>
              <c:pt idx="21">
                <c:v>12.2</c:v>
              </c:pt>
              <c:pt idx="22">
                <c:v>9</c:v>
              </c:pt>
              <c:pt idx="23">
                <c:v>11.4</c:v>
              </c:pt>
              <c:pt idx="24">
                <c:v>11.2</c:v>
              </c:pt>
              <c:pt idx="25">
                <c:v>8.1999999999999993</c:v>
              </c:pt>
              <c:pt idx="26">
                <c:v>10.4</c:v>
              </c:pt>
              <c:pt idx="27">
                <c:v>11.3</c:v>
              </c:pt>
              <c:pt idx="28">
                <c:v>11.2</c:v>
              </c:pt>
              <c:pt idx="29">
                <c:v>7.1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0177280"/>
        <c:axId val="130187648"/>
      </c:lineChart>
      <c:catAx>
        <c:axId val="130177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0187648"/>
        <c:crossesAt val="-10"/>
        <c:auto val="1"/>
        <c:lblAlgn val="ctr"/>
        <c:lblOffset val="100"/>
        <c:tickLblSkip val="1"/>
        <c:tickMarkSkip val="1"/>
        <c:noMultiLvlLbl val="0"/>
      </c:catAx>
      <c:valAx>
        <c:axId val="130187648"/>
        <c:scaling>
          <c:orientation val="minMax"/>
          <c:max val="16"/>
          <c:min val="-2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0177280"/>
        <c:crosses val="autoZero"/>
        <c:crossBetween val="between"/>
        <c:majorUnit val="2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Relative Humidity / %</a:t>
            </a:r>
          </a:p>
        </c:rich>
      </c:tx>
      <c:layout>
        <c:manualLayout>
          <c:xMode val="edge"/>
          <c:yMode val="edge"/>
          <c:x val="0.44022072348252606"/>
          <c:y val="2.555168408826945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429797670141016E-2"/>
          <c:y val="9.5238203259068371E-2"/>
          <c:w val="0.94788473329245859"/>
          <c:h val="0.85482094632529659"/>
        </c:manualLayout>
      </c:layout>
      <c:lineChart>
        <c:grouping val="standard"/>
        <c:varyColors val="0"/>
        <c:ser>
          <c:idx val="2"/>
          <c:order val="0"/>
          <c:tx>
            <c:v>Max</c:v>
          </c:tx>
          <c:spPr>
            <a:ln w="38100">
              <a:solidFill>
                <a:srgbClr val="008000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003300"/>
              </a:solidFill>
              <a:ln>
                <a:solidFill>
                  <a:srgbClr val="003300"/>
                </a:solidFill>
                <a:prstDash val="solid"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93</c:v>
              </c:pt>
              <c:pt idx="1">
                <c:v>95</c:v>
              </c:pt>
              <c:pt idx="2">
                <c:v>94</c:v>
              </c:pt>
              <c:pt idx="3">
                <c:v>85</c:v>
              </c:pt>
              <c:pt idx="4">
                <c:v>84</c:v>
              </c:pt>
              <c:pt idx="5">
                <c:v>87</c:v>
              </c:pt>
              <c:pt idx="6">
                <c:v>89</c:v>
              </c:pt>
              <c:pt idx="7">
                <c:v>87</c:v>
              </c:pt>
              <c:pt idx="8">
                <c:v>77</c:v>
              </c:pt>
              <c:pt idx="9">
                <c:v>84</c:v>
              </c:pt>
              <c:pt idx="10">
                <c:v>93</c:v>
              </c:pt>
              <c:pt idx="11">
                <c:v>94</c:v>
              </c:pt>
              <c:pt idx="12">
                <c:v>96</c:v>
              </c:pt>
              <c:pt idx="13">
                <c:v>80</c:v>
              </c:pt>
              <c:pt idx="14">
                <c:v>84</c:v>
              </c:pt>
              <c:pt idx="15">
                <c:v>97</c:v>
              </c:pt>
              <c:pt idx="16">
                <c:v>95</c:v>
              </c:pt>
              <c:pt idx="17">
                <c:v>92</c:v>
              </c:pt>
              <c:pt idx="18">
                <c:v>97</c:v>
              </c:pt>
              <c:pt idx="19">
                <c:v>97</c:v>
              </c:pt>
              <c:pt idx="20">
                <c:v>98</c:v>
              </c:pt>
              <c:pt idx="21">
                <c:v>96</c:v>
              </c:pt>
              <c:pt idx="22">
                <c:v>92</c:v>
              </c:pt>
              <c:pt idx="23">
                <c:v>86</c:v>
              </c:pt>
              <c:pt idx="24">
                <c:v>87</c:v>
              </c:pt>
              <c:pt idx="25">
                <c:v>90</c:v>
              </c:pt>
              <c:pt idx="26">
                <c:v>81</c:v>
              </c:pt>
              <c:pt idx="27">
                <c:v>87</c:v>
              </c:pt>
              <c:pt idx="28">
                <c:v>83</c:v>
              </c:pt>
              <c:pt idx="29">
                <c:v>96</c:v>
              </c:pt>
              <c:pt idx="30">
                <c:v>96</c:v>
              </c:pt>
            </c:numLit>
          </c:val>
          <c:smooth val="0"/>
        </c:ser>
        <c:ser>
          <c:idx val="1"/>
          <c:order val="1"/>
          <c:tx>
            <c:v>Min</c:v>
          </c:tx>
          <c:spPr>
            <a:ln w="38100">
              <a:solidFill>
                <a:srgbClr val="FF9900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FF6600"/>
              </a:solidFill>
              <a:ln>
                <a:solidFill>
                  <a:srgbClr val="FF6600"/>
                </a:solidFill>
                <a:prstDash val="solid"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66</c:v>
              </c:pt>
              <c:pt idx="1">
                <c:v>77</c:v>
              </c:pt>
              <c:pt idx="2">
                <c:v>56</c:v>
              </c:pt>
              <c:pt idx="3">
                <c:v>73</c:v>
              </c:pt>
              <c:pt idx="4">
                <c:v>57</c:v>
              </c:pt>
              <c:pt idx="5">
                <c:v>71</c:v>
              </c:pt>
              <c:pt idx="6">
                <c:v>45</c:v>
              </c:pt>
              <c:pt idx="7">
                <c:v>67</c:v>
              </c:pt>
              <c:pt idx="8">
                <c:v>58</c:v>
              </c:pt>
              <c:pt idx="9">
                <c:v>69</c:v>
              </c:pt>
              <c:pt idx="10">
                <c:v>75</c:v>
              </c:pt>
              <c:pt idx="11">
                <c:v>72</c:v>
              </c:pt>
              <c:pt idx="12">
                <c:v>57</c:v>
              </c:pt>
              <c:pt idx="13">
                <c:v>67</c:v>
              </c:pt>
              <c:pt idx="14">
                <c:v>65</c:v>
              </c:pt>
              <c:pt idx="15">
                <c:v>77</c:v>
              </c:pt>
              <c:pt idx="16">
                <c:v>77</c:v>
              </c:pt>
              <c:pt idx="17">
                <c:v>76</c:v>
              </c:pt>
              <c:pt idx="18">
                <c:v>84</c:v>
              </c:pt>
              <c:pt idx="19">
                <c:v>68</c:v>
              </c:pt>
              <c:pt idx="20">
                <c:v>87</c:v>
              </c:pt>
              <c:pt idx="21">
                <c:v>80</c:v>
              </c:pt>
              <c:pt idx="22">
                <c:v>77</c:v>
              </c:pt>
              <c:pt idx="23">
                <c:v>74</c:v>
              </c:pt>
              <c:pt idx="24">
                <c:v>77</c:v>
              </c:pt>
              <c:pt idx="25">
                <c:v>72</c:v>
              </c:pt>
              <c:pt idx="26">
                <c:v>68</c:v>
              </c:pt>
              <c:pt idx="27">
                <c:v>60</c:v>
              </c:pt>
              <c:pt idx="28">
                <c:v>69</c:v>
              </c:pt>
              <c:pt idx="29">
                <c:v>91</c:v>
              </c:pt>
              <c:pt idx="30">
                <c:v>86</c:v>
              </c:pt>
            </c:numLit>
          </c:val>
          <c:smooth val="0"/>
        </c:ser>
        <c:ser>
          <c:idx val="3"/>
          <c:order val="2"/>
          <c:tx>
            <c:v>Mean</c:v>
          </c:tx>
          <c:spPr>
            <a:ln w="38100">
              <a:solidFill>
                <a:srgbClr val="993366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800080"/>
              </a:solidFill>
              <a:ln>
                <a:solidFill>
                  <a:srgbClr val="800080"/>
                </a:solidFill>
                <a:prstDash val="solid"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81</c:v>
              </c:pt>
              <c:pt idx="1">
                <c:v>88</c:v>
              </c:pt>
              <c:pt idx="2">
                <c:v>78</c:v>
              </c:pt>
              <c:pt idx="3">
                <c:v>79</c:v>
              </c:pt>
              <c:pt idx="4">
                <c:v>75</c:v>
              </c:pt>
              <c:pt idx="5">
                <c:v>80</c:v>
              </c:pt>
              <c:pt idx="6">
                <c:v>66</c:v>
              </c:pt>
              <c:pt idx="7">
                <c:v>79</c:v>
              </c:pt>
              <c:pt idx="8">
                <c:v>68</c:v>
              </c:pt>
              <c:pt idx="9">
                <c:v>78</c:v>
              </c:pt>
              <c:pt idx="10">
                <c:v>84</c:v>
              </c:pt>
              <c:pt idx="11">
                <c:v>87</c:v>
              </c:pt>
              <c:pt idx="12">
                <c:v>75</c:v>
              </c:pt>
              <c:pt idx="13">
                <c:v>75</c:v>
              </c:pt>
              <c:pt idx="14">
                <c:v>75</c:v>
              </c:pt>
              <c:pt idx="15">
                <c:v>89</c:v>
              </c:pt>
              <c:pt idx="16">
                <c:v>87</c:v>
              </c:pt>
              <c:pt idx="17">
                <c:v>84</c:v>
              </c:pt>
              <c:pt idx="18">
                <c:v>94</c:v>
              </c:pt>
              <c:pt idx="19">
                <c:v>83</c:v>
              </c:pt>
              <c:pt idx="20">
                <c:v>94</c:v>
              </c:pt>
              <c:pt idx="21">
                <c:v>89</c:v>
              </c:pt>
              <c:pt idx="22">
                <c:v>85</c:v>
              </c:pt>
              <c:pt idx="23">
                <c:v>80</c:v>
              </c:pt>
              <c:pt idx="24">
                <c:v>83</c:v>
              </c:pt>
              <c:pt idx="25">
                <c:v>83</c:v>
              </c:pt>
              <c:pt idx="26">
                <c:v>71</c:v>
              </c:pt>
              <c:pt idx="27">
                <c:v>74</c:v>
              </c:pt>
              <c:pt idx="28">
                <c:v>73</c:v>
              </c:pt>
              <c:pt idx="29">
                <c:v>80</c:v>
              </c:pt>
              <c:pt idx="30">
                <c:v>91</c:v>
              </c:pt>
            </c:numLit>
          </c:val>
          <c:smooth val="0"/>
        </c:ser>
        <c:ser>
          <c:idx val="5"/>
          <c:order val="5"/>
          <c:tx>
            <c:v>Cumulative Mean</c:v>
          </c:tx>
          <c:spPr>
            <a:ln w="12700">
              <a:solidFill>
                <a:srgbClr val="CC99FF"/>
              </a:solidFill>
              <a:prstDash val="solid"/>
            </a:ln>
          </c:spPr>
          <c:marker>
            <c:symbol val="none"/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81</c:v>
              </c:pt>
              <c:pt idx="1">
                <c:v>84.5</c:v>
              </c:pt>
              <c:pt idx="2">
                <c:v>82.333333333333329</c:v>
              </c:pt>
              <c:pt idx="3">
                <c:v>81.5</c:v>
              </c:pt>
              <c:pt idx="4">
                <c:v>80.2</c:v>
              </c:pt>
              <c:pt idx="5">
                <c:v>80.166666666666671</c:v>
              </c:pt>
              <c:pt idx="6">
                <c:v>78.142857142857139</c:v>
              </c:pt>
              <c:pt idx="7">
                <c:v>78.25</c:v>
              </c:pt>
              <c:pt idx="8">
                <c:v>77.111111111111114</c:v>
              </c:pt>
              <c:pt idx="9">
                <c:v>77.2</c:v>
              </c:pt>
              <c:pt idx="10">
                <c:v>77.818181818181813</c:v>
              </c:pt>
              <c:pt idx="11">
                <c:v>78.583333333333329</c:v>
              </c:pt>
              <c:pt idx="12">
                <c:v>78.307692307692307</c:v>
              </c:pt>
              <c:pt idx="13">
                <c:v>78.071428571428569</c:v>
              </c:pt>
              <c:pt idx="14">
                <c:v>77.86666666666666</c:v>
              </c:pt>
              <c:pt idx="15">
                <c:v>78.5625</c:v>
              </c:pt>
              <c:pt idx="16">
                <c:v>79.058823529411768</c:v>
              </c:pt>
              <c:pt idx="17">
                <c:v>79.333333333333329</c:v>
              </c:pt>
              <c:pt idx="18">
                <c:v>80.10526315789474</c:v>
              </c:pt>
              <c:pt idx="19">
                <c:v>80.25</c:v>
              </c:pt>
              <c:pt idx="20">
                <c:v>80.904761904761898</c:v>
              </c:pt>
              <c:pt idx="21">
                <c:v>81.272727272727266</c:v>
              </c:pt>
              <c:pt idx="22">
                <c:v>81.434782608695656</c:v>
              </c:pt>
              <c:pt idx="23">
                <c:v>81.375</c:v>
              </c:pt>
              <c:pt idx="24">
                <c:v>81.44</c:v>
              </c:pt>
              <c:pt idx="25">
                <c:v>81.5</c:v>
              </c:pt>
              <c:pt idx="26">
                <c:v>81.111111111111114</c:v>
              </c:pt>
              <c:pt idx="27">
                <c:v>80.857142857142861</c:v>
              </c:pt>
              <c:pt idx="28">
                <c:v>80.58620689655173</c:v>
              </c:pt>
              <c:pt idx="29">
                <c:v>80.566666666666663</c:v>
              </c:pt>
              <c:pt idx="30">
                <c:v>80.903225806451616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518080"/>
        <c:axId val="47519616"/>
      </c:lineChart>
      <c:lineChart>
        <c:grouping val="standard"/>
        <c:varyColors val="0"/>
        <c:ser>
          <c:idx val="0"/>
          <c:order val="3"/>
          <c:tx>
            <c:v>Range</c:v>
          </c:tx>
          <c:spPr>
            <a:ln w="25400">
              <a:solidFill>
                <a:srgbClr val="00FF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339966"/>
              </a:solidFill>
              <a:ln>
                <a:solidFill>
                  <a:srgbClr val="339966"/>
                </a:solidFill>
                <a:prstDash val="solid"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27</c:v>
              </c:pt>
              <c:pt idx="1">
                <c:v>18</c:v>
              </c:pt>
              <c:pt idx="2">
                <c:v>38</c:v>
              </c:pt>
              <c:pt idx="3">
                <c:v>12</c:v>
              </c:pt>
              <c:pt idx="4">
                <c:v>27</c:v>
              </c:pt>
              <c:pt idx="5">
                <c:v>16</c:v>
              </c:pt>
              <c:pt idx="6">
                <c:v>44</c:v>
              </c:pt>
              <c:pt idx="7">
                <c:v>20</c:v>
              </c:pt>
              <c:pt idx="8">
                <c:v>19</c:v>
              </c:pt>
              <c:pt idx="9">
                <c:v>15</c:v>
              </c:pt>
              <c:pt idx="10">
                <c:v>18</c:v>
              </c:pt>
              <c:pt idx="11">
                <c:v>22</c:v>
              </c:pt>
              <c:pt idx="12">
                <c:v>39</c:v>
              </c:pt>
              <c:pt idx="13">
                <c:v>13</c:v>
              </c:pt>
              <c:pt idx="14">
                <c:v>19</c:v>
              </c:pt>
              <c:pt idx="15">
                <c:v>20</c:v>
              </c:pt>
              <c:pt idx="16">
                <c:v>18</c:v>
              </c:pt>
              <c:pt idx="17">
                <c:v>16</c:v>
              </c:pt>
              <c:pt idx="18">
                <c:v>13</c:v>
              </c:pt>
              <c:pt idx="19">
                <c:v>29</c:v>
              </c:pt>
              <c:pt idx="20">
                <c:v>11</c:v>
              </c:pt>
              <c:pt idx="21">
                <c:v>16</c:v>
              </c:pt>
              <c:pt idx="22">
                <c:v>15</c:v>
              </c:pt>
              <c:pt idx="23">
                <c:v>12</c:v>
              </c:pt>
              <c:pt idx="24">
                <c:v>10</c:v>
              </c:pt>
              <c:pt idx="25">
                <c:v>18</c:v>
              </c:pt>
              <c:pt idx="26">
                <c:v>13</c:v>
              </c:pt>
              <c:pt idx="27">
                <c:v>27</c:v>
              </c:pt>
              <c:pt idx="28">
                <c:v>14</c:v>
              </c:pt>
              <c:pt idx="29">
                <c:v>5</c:v>
              </c:pt>
              <c:pt idx="30">
                <c:v>10</c:v>
              </c:pt>
            </c:numLit>
          </c:val>
          <c:smooth val="0"/>
        </c:ser>
        <c:ser>
          <c:idx val="4"/>
          <c:order val="4"/>
          <c:tx>
            <c:v>Rainfall</c:v>
          </c:tx>
          <c:spPr>
            <a:ln w="25400">
              <a:solidFill>
                <a:srgbClr val="33CCCC"/>
              </a:solidFill>
              <a:prstDash val="solid"/>
            </a:ln>
          </c:spPr>
          <c:marker>
            <c:symbol val="none"/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6.1</c:v>
              </c:pt>
              <c:pt idx="1">
                <c:v>0.3</c:v>
              </c:pt>
              <c:pt idx="2">
                <c:v>0.5</c:v>
              </c:pt>
              <c:pt idx="3">
                <c:v>0.3</c:v>
              </c:pt>
              <c:pt idx="4">
                <c:v>0</c:v>
              </c:pt>
              <c:pt idx="5">
                <c:v>0</c:v>
              </c:pt>
              <c:pt idx="6">
                <c:v>0.3</c:v>
              </c:pt>
              <c:pt idx="7">
                <c:v>0.8</c:v>
              </c:pt>
              <c:pt idx="8">
                <c:v>0</c:v>
              </c:pt>
              <c:pt idx="9">
                <c:v>0</c:v>
              </c:pt>
              <c:pt idx="10">
                <c:v>5.6</c:v>
              </c:pt>
              <c:pt idx="11">
                <c:v>4.9000000000000004</c:v>
              </c:pt>
              <c:pt idx="12">
                <c:v>9.1</c:v>
              </c:pt>
              <c:pt idx="13">
                <c:v>0.3</c:v>
              </c:pt>
              <c:pt idx="14">
                <c:v>2.2000000000000002</c:v>
              </c:pt>
              <c:pt idx="15">
                <c:v>6.3</c:v>
              </c:pt>
              <c:pt idx="16">
                <c:v>0.5</c:v>
              </c:pt>
              <c:pt idx="17">
                <c:v>0</c:v>
              </c:pt>
              <c:pt idx="18">
                <c:v>3.6</c:v>
              </c:pt>
              <c:pt idx="19">
                <c:v>0.9</c:v>
              </c:pt>
              <c:pt idx="20">
                <c:v>1.7</c:v>
              </c:pt>
              <c:pt idx="21">
                <c:v>0</c:v>
              </c:pt>
              <c:pt idx="22">
                <c:v>4.0999999999999996</c:v>
              </c:pt>
              <c:pt idx="23">
                <c:v>0.3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3.3</c:v>
              </c:pt>
              <c:pt idx="29">
                <c:v>4.8</c:v>
              </c:pt>
              <c:pt idx="30">
                <c:v>0.3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521152"/>
        <c:axId val="48137344"/>
      </c:lineChart>
      <c:catAx>
        <c:axId val="47518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75196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7519616"/>
        <c:scaling>
          <c:orientation val="minMax"/>
          <c:max val="100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7518080"/>
        <c:crosses val="autoZero"/>
        <c:crossBetween val="between"/>
        <c:majorUnit val="20"/>
      </c:valAx>
      <c:catAx>
        <c:axId val="475211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8137344"/>
        <c:crosses val="autoZero"/>
        <c:auto val="1"/>
        <c:lblAlgn val="ctr"/>
        <c:lblOffset val="100"/>
        <c:noMultiLvlLbl val="0"/>
      </c:catAx>
      <c:valAx>
        <c:axId val="48137344"/>
        <c:scaling>
          <c:orientation val="minMax"/>
          <c:max val="100"/>
          <c:min val="0"/>
        </c:scaling>
        <c:delete val="0"/>
        <c:axPos val="r"/>
        <c:numFmt formatCode="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7521152"/>
        <c:crosses val="max"/>
        <c:crossBetween val="between"/>
        <c:majorUnit val="20"/>
      </c:valAx>
      <c:spPr>
        <a:solidFill>
          <a:srgbClr val="969696"/>
        </a:solidFill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6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Pressure / hPa</a:t>
            </a:r>
          </a:p>
        </c:rich>
      </c:tx>
      <c:layout>
        <c:manualLayout>
          <c:xMode val="edge"/>
          <c:yMode val="edge"/>
          <c:x val="0.45677498467198036"/>
          <c:y val="1.858304297328687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94788473329246E-2"/>
          <c:y val="8.5946671233793417E-2"/>
          <c:w val="0.94236664622930721"/>
          <c:h val="0.86411247835057159"/>
        </c:manualLayout>
      </c:layout>
      <c:lineChart>
        <c:grouping val="standard"/>
        <c:varyColors val="0"/>
        <c:ser>
          <c:idx val="5"/>
          <c:order val="0"/>
          <c:tx>
            <c:v>Cum. Mean</c:v>
          </c:tx>
          <c:spPr>
            <a:ln w="12700">
              <a:solidFill>
                <a:srgbClr val="993366"/>
              </a:solidFill>
              <a:prstDash val="solid"/>
            </a:ln>
          </c:spPr>
          <c:marker>
            <c:symbol val="square"/>
            <c:size val="2"/>
            <c:spPr>
              <a:noFill/>
              <a:ln>
                <a:solidFill>
                  <a:srgbClr val="808080"/>
                </a:solidFill>
                <a:prstDash val="solid"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1007</c:v>
              </c:pt>
              <c:pt idx="1">
                <c:v>1008.5</c:v>
              </c:pt>
              <c:pt idx="2">
                <c:v>1006.6666666666666</c:v>
              </c:pt>
              <c:pt idx="3">
                <c:v>1005</c:v>
              </c:pt>
              <c:pt idx="4">
                <c:v>1004.9</c:v>
              </c:pt>
              <c:pt idx="5">
                <c:v>1005.25</c:v>
              </c:pt>
              <c:pt idx="6">
                <c:v>1006.0714285714286</c:v>
              </c:pt>
              <c:pt idx="7">
                <c:v>1006.625</c:v>
              </c:pt>
              <c:pt idx="8">
                <c:v>1007</c:v>
              </c:pt>
              <c:pt idx="9">
                <c:v>1007.8</c:v>
              </c:pt>
              <c:pt idx="10">
                <c:v>1007.8636363636364</c:v>
              </c:pt>
              <c:pt idx="11">
                <c:v>1007.0416666666666</c:v>
              </c:pt>
              <c:pt idx="12">
                <c:v>1005.7307692307693</c:v>
              </c:pt>
              <c:pt idx="13">
                <c:v>1004.9285714285714</c:v>
              </c:pt>
              <c:pt idx="14">
                <c:v>1004.2333333333333</c:v>
              </c:pt>
              <c:pt idx="15">
                <c:v>1003.4375</c:v>
              </c:pt>
              <c:pt idx="16">
                <c:v>1003.7352941176471</c:v>
              </c:pt>
              <c:pt idx="17">
                <c:v>1004.4444444444445</c:v>
              </c:pt>
              <c:pt idx="18">
                <c:v>1004.9473684210526</c:v>
              </c:pt>
              <c:pt idx="19">
                <c:v>1005.475</c:v>
              </c:pt>
              <c:pt idx="20">
                <c:v>1006.0952380952381</c:v>
              </c:pt>
              <c:pt idx="21">
                <c:v>1006.9318181818181</c:v>
              </c:pt>
              <c:pt idx="22">
                <c:v>1007.3260869565217</c:v>
              </c:pt>
              <c:pt idx="23">
                <c:v>1008.1458333333334</c:v>
              </c:pt>
              <c:pt idx="24">
                <c:v>1008.98</c:v>
              </c:pt>
              <c:pt idx="25">
                <c:v>1009.8846153846154</c:v>
              </c:pt>
              <c:pt idx="26">
                <c:v>1010.6666666666666</c:v>
              </c:pt>
              <c:pt idx="27">
                <c:v>1011.1071428571429</c:v>
              </c:pt>
              <c:pt idx="28">
                <c:v>1011.3965517241379</c:v>
              </c:pt>
              <c:pt idx="29">
                <c:v>1011.5</c:v>
              </c:pt>
              <c:pt idx="30">
                <c:v>1011.4354838709677</c:v>
              </c:pt>
            </c:numLit>
          </c:val>
          <c:smooth val="0"/>
        </c:ser>
        <c:ser>
          <c:idx val="1"/>
          <c:order val="1"/>
          <c:tx>
            <c:v>Max</c:v>
          </c:tx>
          <c:spPr>
            <a:ln w="38100">
              <a:solidFill>
                <a:srgbClr val="00CCFF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1009</c:v>
              </c:pt>
              <c:pt idx="1">
                <c:v>1014</c:v>
              </c:pt>
              <c:pt idx="2">
                <c:v>1006</c:v>
              </c:pt>
              <c:pt idx="3">
                <c:v>1004</c:v>
              </c:pt>
              <c:pt idx="4">
                <c:v>1007</c:v>
              </c:pt>
              <c:pt idx="5">
                <c:v>1009</c:v>
              </c:pt>
              <c:pt idx="6">
                <c:v>1020</c:v>
              </c:pt>
              <c:pt idx="7">
                <c:v>1020</c:v>
              </c:pt>
              <c:pt idx="8">
                <c:v>1014</c:v>
              </c:pt>
              <c:pt idx="9">
                <c:v>1016</c:v>
              </c:pt>
              <c:pt idx="10">
                <c:v>1016</c:v>
              </c:pt>
              <c:pt idx="11">
                <c:v>1008</c:v>
              </c:pt>
              <c:pt idx="12">
                <c:v>995</c:v>
              </c:pt>
              <c:pt idx="13">
                <c:v>998</c:v>
              </c:pt>
              <c:pt idx="14">
                <c:v>1001</c:v>
              </c:pt>
              <c:pt idx="15">
                <c:v>1003</c:v>
              </c:pt>
              <c:pt idx="16">
                <c:v>1014</c:v>
              </c:pt>
              <c:pt idx="17">
                <c:v>1019</c:v>
              </c:pt>
              <c:pt idx="18">
                <c:v>1019</c:v>
              </c:pt>
              <c:pt idx="19">
                <c:v>1020</c:v>
              </c:pt>
              <c:pt idx="20">
                <c:v>1023</c:v>
              </c:pt>
              <c:pt idx="21">
                <c:v>1026</c:v>
              </c:pt>
              <c:pt idx="22">
                <c:v>1024</c:v>
              </c:pt>
              <c:pt idx="23">
                <c:v>1032</c:v>
              </c:pt>
              <c:pt idx="24">
                <c:v>1031</c:v>
              </c:pt>
              <c:pt idx="25">
                <c:v>1034</c:v>
              </c:pt>
              <c:pt idx="26">
                <c:v>1035</c:v>
              </c:pt>
              <c:pt idx="27">
                <c:v>1027</c:v>
              </c:pt>
              <c:pt idx="28">
                <c:v>1025</c:v>
              </c:pt>
              <c:pt idx="29">
                <c:v>1020</c:v>
              </c:pt>
              <c:pt idx="30">
                <c:v>1011</c:v>
              </c:pt>
            </c:numLit>
          </c:val>
          <c:smooth val="0"/>
        </c:ser>
        <c:ser>
          <c:idx val="0"/>
          <c:order val="3"/>
          <c:tx>
            <c:v>Min</c:v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1005</c:v>
              </c:pt>
              <c:pt idx="1">
                <c:v>1006</c:v>
              </c:pt>
              <c:pt idx="2">
                <c:v>1000</c:v>
              </c:pt>
              <c:pt idx="3">
                <c:v>996</c:v>
              </c:pt>
              <c:pt idx="4">
                <c:v>1002</c:v>
              </c:pt>
              <c:pt idx="5">
                <c:v>1005</c:v>
              </c:pt>
              <c:pt idx="6">
                <c:v>1002</c:v>
              </c:pt>
              <c:pt idx="7">
                <c:v>1001</c:v>
              </c:pt>
              <c:pt idx="8">
                <c:v>1006</c:v>
              </c:pt>
              <c:pt idx="9">
                <c:v>1014</c:v>
              </c:pt>
              <c:pt idx="10">
                <c:v>1001</c:v>
              </c:pt>
              <c:pt idx="11">
                <c:v>988</c:v>
              </c:pt>
              <c:pt idx="12">
                <c:v>985</c:v>
              </c:pt>
              <c:pt idx="13">
                <c:v>991</c:v>
              </c:pt>
              <c:pt idx="14">
                <c:v>988</c:v>
              </c:pt>
              <c:pt idx="15">
                <c:v>980</c:v>
              </c:pt>
              <c:pt idx="16">
                <c:v>1003</c:v>
              </c:pt>
              <c:pt idx="17">
                <c:v>1014</c:v>
              </c:pt>
              <c:pt idx="18">
                <c:v>1009</c:v>
              </c:pt>
              <c:pt idx="19">
                <c:v>1011</c:v>
              </c:pt>
              <c:pt idx="20">
                <c:v>1014</c:v>
              </c:pt>
              <c:pt idx="21">
                <c:v>1023</c:v>
              </c:pt>
              <c:pt idx="22">
                <c:v>1008</c:v>
              </c:pt>
              <c:pt idx="23">
                <c:v>1022</c:v>
              </c:pt>
              <c:pt idx="24">
                <c:v>1027</c:v>
              </c:pt>
              <c:pt idx="25">
                <c:v>1031</c:v>
              </c:pt>
              <c:pt idx="26">
                <c:v>1027</c:v>
              </c:pt>
              <c:pt idx="27">
                <c:v>1019</c:v>
              </c:pt>
              <c:pt idx="28">
                <c:v>1014</c:v>
              </c:pt>
              <c:pt idx="29">
                <c:v>1009</c:v>
              </c:pt>
              <c:pt idx="30">
                <c:v>1008</c:v>
              </c:pt>
            </c:numLit>
          </c:val>
          <c:smooth val="0"/>
        </c:ser>
        <c:ser>
          <c:idx val="4"/>
          <c:order val="4"/>
          <c:tx>
            <c:v>MSLP</c:v>
          </c:tx>
          <c:spPr>
            <a:ln w="25400">
              <a:solidFill>
                <a:srgbClr val="CC99FF"/>
              </a:solidFill>
              <a:prstDash val="lgDash"/>
            </a:ln>
          </c:spPr>
          <c:marker>
            <c:symbol val="none"/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1013.25</c:v>
              </c:pt>
              <c:pt idx="1">
                <c:v>1013.25</c:v>
              </c:pt>
              <c:pt idx="2">
                <c:v>1013.25</c:v>
              </c:pt>
              <c:pt idx="3">
                <c:v>1013.25</c:v>
              </c:pt>
              <c:pt idx="4">
                <c:v>1013.25</c:v>
              </c:pt>
              <c:pt idx="5">
                <c:v>1013.25</c:v>
              </c:pt>
              <c:pt idx="6">
                <c:v>1013.25</c:v>
              </c:pt>
              <c:pt idx="7">
                <c:v>1013.25</c:v>
              </c:pt>
              <c:pt idx="8">
                <c:v>1013.25</c:v>
              </c:pt>
              <c:pt idx="9">
                <c:v>1013.25</c:v>
              </c:pt>
              <c:pt idx="10">
                <c:v>1013.25</c:v>
              </c:pt>
              <c:pt idx="11">
                <c:v>1013.25</c:v>
              </c:pt>
              <c:pt idx="12">
                <c:v>1013.25</c:v>
              </c:pt>
              <c:pt idx="13">
                <c:v>1013.25</c:v>
              </c:pt>
              <c:pt idx="14">
                <c:v>1013.25</c:v>
              </c:pt>
              <c:pt idx="15">
                <c:v>1013.25</c:v>
              </c:pt>
              <c:pt idx="16">
                <c:v>1013.25</c:v>
              </c:pt>
              <c:pt idx="17">
                <c:v>1013.25</c:v>
              </c:pt>
              <c:pt idx="18">
                <c:v>1013.25</c:v>
              </c:pt>
              <c:pt idx="19">
                <c:v>1013.25</c:v>
              </c:pt>
              <c:pt idx="20">
                <c:v>1013.25</c:v>
              </c:pt>
              <c:pt idx="21">
                <c:v>1013.25</c:v>
              </c:pt>
              <c:pt idx="22">
                <c:v>1013.25</c:v>
              </c:pt>
              <c:pt idx="23">
                <c:v>1013.25</c:v>
              </c:pt>
              <c:pt idx="24">
                <c:v>1013.25</c:v>
              </c:pt>
              <c:pt idx="25">
                <c:v>1013.25</c:v>
              </c:pt>
              <c:pt idx="26">
                <c:v>1013.25</c:v>
              </c:pt>
              <c:pt idx="27">
                <c:v>1013.25</c:v>
              </c:pt>
              <c:pt idx="28">
                <c:v>1013.25</c:v>
              </c:pt>
              <c:pt idx="29">
                <c:v>1013.25</c:v>
              </c:pt>
              <c:pt idx="30">
                <c:v>1013.25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199552"/>
        <c:axId val="48201088"/>
      </c:lineChart>
      <c:lineChart>
        <c:grouping val="standard"/>
        <c:varyColors val="0"/>
        <c:ser>
          <c:idx val="3"/>
          <c:order val="2"/>
          <c:tx>
            <c:v>Range</c:v>
          </c:tx>
          <c:spPr>
            <a:ln w="25400">
              <a:solidFill>
                <a:srgbClr val="00FF00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4</c:v>
              </c:pt>
              <c:pt idx="1">
                <c:v>8</c:v>
              </c:pt>
              <c:pt idx="2">
                <c:v>6</c:v>
              </c:pt>
              <c:pt idx="3">
                <c:v>8</c:v>
              </c:pt>
              <c:pt idx="4">
                <c:v>5</c:v>
              </c:pt>
              <c:pt idx="5">
                <c:v>4</c:v>
              </c:pt>
              <c:pt idx="6">
                <c:v>18</c:v>
              </c:pt>
              <c:pt idx="7">
                <c:v>19</c:v>
              </c:pt>
              <c:pt idx="8">
                <c:v>8</c:v>
              </c:pt>
              <c:pt idx="9">
                <c:v>2</c:v>
              </c:pt>
              <c:pt idx="10">
                <c:v>15</c:v>
              </c:pt>
              <c:pt idx="11">
                <c:v>20</c:v>
              </c:pt>
              <c:pt idx="12">
                <c:v>10</c:v>
              </c:pt>
              <c:pt idx="13">
                <c:v>7</c:v>
              </c:pt>
              <c:pt idx="14">
                <c:v>13</c:v>
              </c:pt>
              <c:pt idx="15">
                <c:v>23</c:v>
              </c:pt>
              <c:pt idx="16">
                <c:v>11</c:v>
              </c:pt>
              <c:pt idx="17">
                <c:v>5</c:v>
              </c:pt>
              <c:pt idx="18">
                <c:v>10</c:v>
              </c:pt>
              <c:pt idx="19">
                <c:v>9</c:v>
              </c:pt>
              <c:pt idx="20">
                <c:v>9</c:v>
              </c:pt>
              <c:pt idx="21">
                <c:v>3</c:v>
              </c:pt>
              <c:pt idx="22">
                <c:v>16</c:v>
              </c:pt>
              <c:pt idx="23">
                <c:v>10</c:v>
              </c:pt>
              <c:pt idx="24">
                <c:v>4</c:v>
              </c:pt>
              <c:pt idx="25">
                <c:v>3</c:v>
              </c:pt>
              <c:pt idx="26">
                <c:v>8</c:v>
              </c:pt>
              <c:pt idx="27">
                <c:v>8</c:v>
              </c:pt>
              <c:pt idx="28">
                <c:v>11</c:v>
              </c:pt>
              <c:pt idx="29">
                <c:v>11</c:v>
              </c:pt>
              <c:pt idx="30">
                <c:v>3</c:v>
              </c:pt>
            </c:numLit>
          </c:val>
          <c:smooth val="0"/>
        </c:ser>
        <c:ser>
          <c:idx val="6"/>
          <c:order val="5"/>
          <c:tx>
            <c:v>Rainfall/3</c:v>
          </c:tx>
          <c:spPr>
            <a:ln w="12700">
              <a:solidFill>
                <a:srgbClr val="33CCCC"/>
              </a:solidFill>
              <a:prstDash val="solid"/>
            </a:ln>
          </c:spPr>
          <c:marker>
            <c:symbol val="none"/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2.0333333333333332</c:v>
              </c:pt>
              <c:pt idx="1">
                <c:v>9.9999999999999992E-2</c:v>
              </c:pt>
              <c:pt idx="2">
                <c:v>0.16666666666666666</c:v>
              </c:pt>
              <c:pt idx="3">
                <c:v>9.9999999999999992E-2</c:v>
              </c:pt>
              <c:pt idx="4">
                <c:v>0</c:v>
              </c:pt>
              <c:pt idx="5">
                <c:v>0</c:v>
              </c:pt>
              <c:pt idx="6">
                <c:v>9.9999999999999992E-2</c:v>
              </c:pt>
              <c:pt idx="7">
                <c:v>0.26666666666666666</c:v>
              </c:pt>
              <c:pt idx="8">
                <c:v>0</c:v>
              </c:pt>
              <c:pt idx="9">
                <c:v>0</c:v>
              </c:pt>
              <c:pt idx="10">
                <c:v>1.8666666666666665</c:v>
              </c:pt>
              <c:pt idx="11">
                <c:v>1.6333333333333335</c:v>
              </c:pt>
              <c:pt idx="12">
                <c:v>3.0333333333333332</c:v>
              </c:pt>
              <c:pt idx="13">
                <c:v>9.9999999999999992E-2</c:v>
              </c:pt>
              <c:pt idx="14">
                <c:v>0.73333333333333339</c:v>
              </c:pt>
              <c:pt idx="15">
                <c:v>2.1</c:v>
              </c:pt>
              <c:pt idx="16">
                <c:v>0.16666666666666666</c:v>
              </c:pt>
              <c:pt idx="17">
                <c:v>0</c:v>
              </c:pt>
              <c:pt idx="18">
                <c:v>1.2</c:v>
              </c:pt>
              <c:pt idx="19">
                <c:v>0.3</c:v>
              </c:pt>
              <c:pt idx="20">
                <c:v>0.56666666666666665</c:v>
              </c:pt>
              <c:pt idx="21">
                <c:v>0</c:v>
              </c:pt>
              <c:pt idx="22">
                <c:v>1.3666666666666665</c:v>
              </c:pt>
              <c:pt idx="23">
                <c:v>9.9999999999999992E-2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1.0999999999999999</c:v>
              </c:pt>
              <c:pt idx="29">
                <c:v>1.5999999999999999</c:v>
              </c:pt>
              <c:pt idx="30">
                <c:v>9.9999999999999992E-2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211072"/>
        <c:axId val="48212608"/>
      </c:lineChart>
      <c:catAx>
        <c:axId val="48199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82010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8201088"/>
        <c:scaling>
          <c:orientation val="minMax"/>
          <c:max val="1040"/>
          <c:min val="975"/>
        </c:scaling>
        <c:delete val="0"/>
        <c:axPos val="l"/>
        <c:majorGridlines>
          <c:spPr>
            <a:ln w="3175">
              <a:solidFill>
                <a:srgbClr val="333333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8199552"/>
        <c:crosses val="autoZero"/>
        <c:crossBetween val="between"/>
        <c:majorUnit val="10"/>
      </c:valAx>
      <c:catAx>
        <c:axId val="482110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8212608"/>
        <c:crosses val="autoZero"/>
        <c:auto val="1"/>
        <c:lblAlgn val="ctr"/>
        <c:lblOffset val="100"/>
        <c:noMultiLvlLbl val="0"/>
      </c:catAx>
      <c:valAx>
        <c:axId val="48212608"/>
        <c:scaling>
          <c:orientation val="minMax"/>
          <c:max val="110"/>
          <c:min val="0"/>
        </c:scaling>
        <c:delete val="0"/>
        <c:axPos val="r"/>
        <c:numFmt formatCode="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8211072"/>
        <c:crosses val="max"/>
        <c:crossBetween val="between"/>
        <c:majorUnit val="20"/>
      </c:valAx>
      <c:spPr>
        <a:solidFill>
          <a:srgbClr val="969696"/>
        </a:solidFill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 sz="14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Wind Speed / mh</a:t>
            </a:r>
            <a:r>
              <a:rPr lang="en-GB" sz="1400" b="1" i="0" u="none" strike="noStrike" baseline="30000">
                <a:solidFill>
                  <a:srgbClr val="000000"/>
                </a:solidFill>
                <a:latin typeface="Arial"/>
                <a:cs typeface="Arial"/>
              </a:rPr>
              <a:t>-1</a:t>
            </a:r>
          </a:p>
        </c:rich>
      </c:tx>
      <c:layout>
        <c:manualLayout>
          <c:xMode val="edge"/>
          <c:yMode val="edge"/>
          <c:x val="0.44800000000000001"/>
          <c:y val="1.990632318501171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4E-2"/>
          <c:y val="8.6651053864168617E-2"/>
          <c:w val="0.95753846153846156"/>
          <c:h val="0.86299765807962525"/>
        </c:manualLayout>
      </c:layout>
      <c:lineChart>
        <c:grouping val="standard"/>
        <c:varyColors val="0"/>
        <c:ser>
          <c:idx val="1"/>
          <c:order val="0"/>
          <c:tx>
            <c:v>Mean</c:v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800000"/>
              </a:solidFill>
              <a:ln>
                <a:solidFill>
                  <a:srgbClr val="800000"/>
                </a:solidFill>
                <a:prstDash val="solid"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4.2</c:v>
              </c:pt>
              <c:pt idx="1">
                <c:v>4.4000000000000004</c:v>
              </c:pt>
              <c:pt idx="2">
                <c:v>7</c:v>
              </c:pt>
              <c:pt idx="3">
                <c:v>5.3</c:v>
              </c:pt>
              <c:pt idx="4">
                <c:v>6.1</c:v>
              </c:pt>
              <c:pt idx="5">
                <c:v>5.7</c:v>
              </c:pt>
              <c:pt idx="6">
                <c:v>7.9</c:v>
              </c:pt>
              <c:pt idx="7">
                <c:v>9.5</c:v>
              </c:pt>
              <c:pt idx="8">
                <c:v>6.5</c:v>
              </c:pt>
              <c:pt idx="9">
                <c:v>4.7</c:v>
              </c:pt>
              <c:pt idx="10">
                <c:v>5.7</c:v>
              </c:pt>
              <c:pt idx="11">
                <c:v>7.5</c:v>
              </c:pt>
              <c:pt idx="12">
                <c:v>9.6</c:v>
              </c:pt>
              <c:pt idx="13">
                <c:v>6.3</c:v>
              </c:pt>
              <c:pt idx="14">
                <c:v>7.0579600000000005</c:v>
              </c:pt>
              <c:pt idx="15">
                <c:v>5.8094400000000004</c:v>
              </c:pt>
              <c:pt idx="16">
                <c:v>4.68832</c:v>
              </c:pt>
              <c:pt idx="17">
                <c:v>4.1787200000000002</c:v>
              </c:pt>
              <c:pt idx="18">
                <c:v>4.1277600000000003</c:v>
              </c:pt>
              <c:pt idx="19">
                <c:v>5.14696</c:v>
              </c:pt>
              <c:pt idx="20">
                <c:v>4.0258400000000005</c:v>
              </c:pt>
              <c:pt idx="21">
                <c:v>5.3</c:v>
              </c:pt>
              <c:pt idx="22">
                <c:v>7.8</c:v>
              </c:pt>
              <c:pt idx="23">
                <c:v>5.7</c:v>
              </c:pt>
              <c:pt idx="24">
                <c:v>7.4</c:v>
              </c:pt>
              <c:pt idx="25">
                <c:v>7.4</c:v>
              </c:pt>
              <c:pt idx="26">
                <c:v>5.7</c:v>
              </c:pt>
              <c:pt idx="27">
                <c:v>8.1999999999999993</c:v>
              </c:pt>
              <c:pt idx="28">
                <c:v>7.8</c:v>
              </c:pt>
              <c:pt idx="29">
                <c:v>5.2</c:v>
              </c:pt>
              <c:pt idx="30">
                <c:v>7.5</c:v>
              </c:pt>
            </c:numLit>
          </c:val>
          <c:smooth val="0"/>
        </c:ser>
        <c:ser>
          <c:idx val="0"/>
          <c:order val="1"/>
          <c:tx>
            <c:v>E (Mean)</c:v>
          </c:tx>
          <c:spPr>
            <a:ln w="25400">
              <a:solidFill>
                <a:srgbClr val="FF99CC"/>
              </a:solidFill>
              <a:prstDash val="lgDash"/>
            </a:ln>
          </c:spPr>
          <c:marker>
            <c:symbol val="none"/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5.0969999999999986</c:v>
              </c:pt>
              <c:pt idx="1">
                <c:v>5.0969999999999986</c:v>
              </c:pt>
              <c:pt idx="2">
                <c:v>5.0969999999999986</c:v>
              </c:pt>
              <c:pt idx="3">
                <c:v>5.0969999999999986</c:v>
              </c:pt>
              <c:pt idx="4">
                <c:v>5.0969999999999986</c:v>
              </c:pt>
              <c:pt idx="5">
                <c:v>5.0969999999999986</c:v>
              </c:pt>
              <c:pt idx="6">
                <c:v>5.0969999999999986</c:v>
              </c:pt>
              <c:pt idx="7">
                <c:v>5.0969999999999986</c:v>
              </c:pt>
              <c:pt idx="8">
                <c:v>5.0969999999999986</c:v>
              </c:pt>
              <c:pt idx="9">
                <c:v>5.0969999999999986</c:v>
              </c:pt>
              <c:pt idx="10">
                <c:v>5.0969999999999986</c:v>
              </c:pt>
              <c:pt idx="11">
                <c:v>5.0969999999999986</c:v>
              </c:pt>
              <c:pt idx="12">
                <c:v>5.0969999999999986</c:v>
              </c:pt>
              <c:pt idx="13">
                <c:v>5.0969999999999986</c:v>
              </c:pt>
              <c:pt idx="14">
                <c:v>5.0969999999999986</c:v>
              </c:pt>
              <c:pt idx="15">
                <c:v>5.0969999999999986</c:v>
              </c:pt>
              <c:pt idx="16">
                <c:v>5.0969999999999986</c:v>
              </c:pt>
              <c:pt idx="17">
                <c:v>5.0969999999999986</c:v>
              </c:pt>
              <c:pt idx="18">
                <c:v>5.0969999999999986</c:v>
              </c:pt>
              <c:pt idx="19">
                <c:v>5.0969999999999986</c:v>
              </c:pt>
              <c:pt idx="20">
                <c:v>5.0969999999999986</c:v>
              </c:pt>
              <c:pt idx="21">
                <c:v>5.0969999999999986</c:v>
              </c:pt>
              <c:pt idx="22">
                <c:v>5.0969999999999986</c:v>
              </c:pt>
              <c:pt idx="23">
                <c:v>5.0969999999999986</c:v>
              </c:pt>
              <c:pt idx="24">
                <c:v>5.0969999999999986</c:v>
              </c:pt>
              <c:pt idx="25">
                <c:v>5.0969999999999986</c:v>
              </c:pt>
              <c:pt idx="26">
                <c:v>5.0969999999999986</c:v>
              </c:pt>
              <c:pt idx="27">
                <c:v>5.0969999999999986</c:v>
              </c:pt>
              <c:pt idx="28">
                <c:v>5.0969999999999986</c:v>
              </c:pt>
              <c:pt idx="29">
                <c:v>5.0969999999999986</c:v>
              </c:pt>
              <c:pt idx="30">
                <c:v>5.0969999999999986</c:v>
              </c:pt>
            </c:numLit>
          </c:val>
          <c:smooth val="0"/>
        </c:ser>
        <c:ser>
          <c:idx val="2"/>
          <c:order val="4"/>
          <c:tx>
            <c:v>Cumulative Mean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4.2</c:v>
              </c:pt>
              <c:pt idx="1">
                <c:v>4.3000000000000007</c:v>
              </c:pt>
              <c:pt idx="2">
                <c:v>5.2</c:v>
              </c:pt>
              <c:pt idx="3">
                <c:v>5.2250000000000005</c:v>
              </c:pt>
              <c:pt idx="4">
                <c:v>5.4</c:v>
              </c:pt>
              <c:pt idx="5">
                <c:v>5.45</c:v>
              </c:pt>
              <c:pt idx="6">
                <c:v>5.8</c:v>
              </c:pt>
              <c:pt idx="7">
                <c:v>6.2625000000000002</c:v>
              </c:pt>
              <c:pt idx="8">
                <c:v>6.2888888888888888</c:v>
              </c:pt>
              <c:pt idx="9">
                <c:v>6.1300000000000008</c:v>
              </c:pt>
              <c:pt idx="10">
                <c:v>6.0909090909090908</c:v>
              </c:pt>
              <c:pt idx="11">
                <c:v>6.208333333333333</c:v>
              </c:pt>
              <c:pt idx="12">
                <c:v>6.4692307692307685</c:v>
              </c:pt>
              <c:pt idx="13">
                <c:v>6.4571428571428564</c:v>
              </c:pt>
              <c:pt idx="14">
                <c:v>6.4971973333333324</c:v>
              </c:pt>
              <c:pt idx="15">
                <c:v>6.4542124999999988</c:v>
              </c:pt>
              <c:pt idx="16">
                <c:v>6.3503364705882346</c:v>
              </c:pt>
              <c:pt idx="17">
                <c:v>6.2296911111111104</c:v>
              </c:pt>
              <c:pt idx="18">
                <c:v>6.1190631578947361</c:v>
              </c:pt>
              <c:pt idx="19">
                <c:v>6.0704579999999995</c:v>
              </c:pt>
              <c:pt idx="20">
                <c:v>5.9730952380952376</c:v>
              </c:pt>
              <c:pt idx="21">
                <c:v>5.942499999999999</c:v>
              </c:pt>
              <c:pt idx="22">
                <c:v>6.0232608695652177</c:v>
              </c:pt>
              <c:pt idx="23">
                <c:v>6.0097916666666658</c:v>
              </c:pt>
              <c:pt idx="24">
                <c:v>6.0653999999999995</c:v>
              </c:pt>
              <c:pt idx="25">
                <c:v>6.1167307692307693</c:v>
              </c:pt>
              <c:pt idx="26">
                <c:v>6.1012962962962956</c:v>
              </c:pt>
              <c:pt idx="27">
                <c:v>6.1762499999999987</c:v>
              </c:pt>
              <c:pt idx="28">
                <c:v>6.2322413793103442</c:v>
              </c:pt>
              <c:pt idx="29">
                <c:v>6.1978333333333326</c:v>
              </c:pt>
              <c:pt idx="30">
                <c:v>6.2398387096774188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1319296"/>
        <c:axId val="111325568"/>
      </c:lineChart>
      <c:lineChart>
        <c:grouping val="standard"/>
        <c:varyColors val="0"/>
        <c:ser>
          <c:idx val="3"/>
          <c:order val="2"/>
          <c:tx>
            <c:v>Max Gust</c:v>
          </c:tx>
          <c:spPr>
            <a:ln w="28575">
              <a:noFill/>
            </a:ln>
          </c:spPr>
          <c:marker>
            <c:symbol val="circle"/>
            <c:size val="9"/>
            <c:spPr>
              <a:solidFill>
                <a:srgbClr val="FFCC00"/>
              </a:solidFill>
              <a:ln>
                <a:solidFill>
                  <a:srgbClr val="FFCC00"/>
                </a:solidFill>
                <a:prstDash val="solid"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28.6</c:v>
              </c:pt>
              <c:pt idx="1">
                <c:v>24.4</c:v>
              </c:pt>
              <c:pt idx="2">
                <c:v>23.5</c:v>
              </c:pt>
              <c:pt idx="3">
                <c:v>16.8</c:v>
              </c:pt>
              <c:pt idx="4">
                <c:v>21.5</c:v>
              </c:pt>
              <c:pt idx="5">
                <c:v>15.2</c:v>
              </c:pt>
              <c:pt idx="6">
                <c:v>32</c:v>
              </c:pt>
              <c:pt idx="7">
                <c:v>36.5</c:v>
              </c:pt>
              <c:pt idx="8">
                <c:v>21.3</c:v>
              </c:pt>
              <c:pt idx="9">
                <c:v>12.8</c:v>
              </c:pt>
              <c:pt idx="10">
                <c:v>22.5</c:v>
              </c:pt>
              <c:pt idx="11">
                <c:v>40.9</c:v>
              </c:pt>
              <c:pt idx="12">
                <c:v>32.200000000000003</c:v>
              </c:pt>
              <c:pt idx="13">
                <c:v>26.3</c:v>
              </c:pt>
              <c:pt idx="14">
                <c:v>27.7</c:v>
              </c:pt>
              <c:pt idx="15">
                <c:v>19.785500000000003</c:v>
              </c:pt>
              <c:pt idx="16">
                <c:v>18.089600000000001</c:v>
              </c:pt>
              <c:pt idx="17">
                <c:v>16.959</c:v>
              </c:pt>
              <c:pt idx="18">
                <c:v>15.8284</c:v>
              </c:pt>
              <c:pt idx="19">
                <c:v>19.220200000000002</c:v>
              </c:pt>
              <c:pt idx="20">
                <c:v>18.089600000000001</c:v>
              </c:pt>
              <c:pt idx="21">
                <c:v>18.5</c:v>
              </c:pt>
              <c:pt idx="22">
                <c:v>26.3</c:v>
              </c:pt>
              <c:pt idx="23">
                <c:v>15.9</c:v>
              </c:pt>
              <c:pt idx="24">
                <c:v>21</c:v>
              </c:pt>
              <c:pt idx="25">
                <c:v>23.7</c:v>
              </c:pt>
              <c:pt idx="26">
                <c:v>17.5</c:v>
              </c:pt>
              <c:pt idx="27">
                <c:v>27.9</c:v>
              </c:pt>
              <c:pt idx="28">
                <c:v>26.6</c:v>
              </c:pt>
              <c:pt idx="29">
                <c:v>21.9</c:v>
              </c:pt>
              <c:pt idx="30">
                <c:v>21</c:v>
              </c:pt>
            </c:numLit>
          </c:val>
          <c:smooth val="0"/>
        </c:ser>
        <c:ser>
          <c:idx val="4"/>
          <c:order val="3"/>
          <c:tx>
            <c:v>Max Average</c:v>
          </c:tx>
          <c:spPr>
            <a:ln w="28575">
              <a:noFill/>
            </a:ln>
          </c:spPr>
          <c:marker>
            <c:symbol val="circle"/>
            <c:size val="6"/>
            <c:spPr>
              <a:solidFill>
                <a:srgbClr val="800000"/>
              </a:solidFill>
              <a:ln>
                <a:solidFill>
                  <a:srgbClr val="800000"/>
                </a:solidFill>
                <a:prstDash val="solid"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20.6</c:v>
              </c:pt>
              <c:pt idx="1">
                <c:v>16.3</c:v>
              </c:pt>
              <c:pt idx="2">
                <c:v>16.100000000000001</c:v>
              </c:pt>
              <c:pt idx="3">
                <c:v>11.8</c:v>
              </c:pt>
              <c:pt idx="4">
                <c:v>15.9</c:v>
              </c:pt>
              <c:pt idx="5">
                <c:v>12.1</c:v>
              </c:pt>
              <c:pt idx="6">
                <c:v>20.100000000000001</c:v>
              </c:pt>
              <c:pt idx="7">
                <c:v>22.5</c:v>
              </c:pt>
              <c:pt idx="8">
                <c:v>15.2</c:v>
              </c:pt>
              <c:pt idx="9">
                <c:v>8.6999999999999993</c:v>
              </c:pt>
              <c:pt idx="10">
                <c:v>15.9</c:v>
              </c:pt>
              <c:pt idx="11">
                <c:v>22.5</c:v>
              </c:pt>
              <c:pt idx="12">
                <c:v>20.8</c:v>
              </c:pt>
              <c:pt idx="13">
                <c:v>19.399999999999999</c:v>
              </c:pt>
              <c:pt idx="14">
                <c:v>19.2</c:v>
              </c:pt>
              <c:pt idx="15">
                <c:v>13.459523809523812</c:v>
              </c:pt>
              <c:pt idx="16">
                <c:v>12.305850340136056</c:v>
              </c:pt>
              <c:pt idx="17">
                <c:v>11.53673469387755</c:v>
              </c:pt>
              <c:pt idx="18">
                <c:v>10.767619047619048</c:v>
              </c:pt>
              <c:pt idx="19">
                <c:v>13.07496598639456</c:v>
              </c:pt>
              <c:pt idx="20">
                <c:v>12.305850340136056</c:v>
              </c:pt>
              <c:pt idx="21">
                <c:v>12.5</c:v>
              </c:pt>
              <c:pt idx="22">
                <c:v>17.600000000000001</c:v>
              </c:pt>
              <c:pt idx="23">
                <c:v>12.5</c:v>
              </c:pt>
              <c:pt idx="24">
                <c:v>14.5</c:v>
              </c:pt>
              <c:pt idx="25">
                <c:v>16.600000000000001</c:v>
              </c:pt>
              <c:pt idx="26">
                <c:v>12.5</c:v>
              </c:pt>
              <c:pt idx="27">
                <c:v>18.100000000000001</c:v>
              </c:pt>
              <c:pt idx="28">
                <c:v>17.8</c:v>
              </c:pt>
              <c:pt idx="29">
                <c:v>12.5</c:v>
              </c:pt>
              <c:pt idx="30">
                <c:v>14.3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1327104"/>
        <c:axId val="111328640"/>
      </c:lineChart>
      <c:catAx>
        <c:axId val="111319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13255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1325568"/>
        <c:scaling>
          <c:orientation val="minMax"/>
          <c:max val="1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1319296"/>
        <c:crosses val="autoZero"/>
        <c:crossBetween val="between"/>
        <c:majorUnit val="2"/>
      </c:valAx>
      <c:catAx>
        <c:axId val="1113271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1328640"/>
        <c:crosses val="autoZero"/>
        <c:auto val="1"/>
        <c:lblAlgn val="ctr"/>
        <c:lblOffset val="100"/>
        <c:noMultiLvlLbl val="0"/>
      </c:catAx>
      <c:valAx>
        <c:axId val="111328640"/>
        <c:scaling>
          <c:orientation val="minMax"/>
          <c:max val="55"/>
          <c:min val="0"/>
        </c:scaling>
        <c:delete val="0"/>
        <c:axPos val="r"/>
        <c:numFmt formatCode="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1327104"/>
        <c:crosses val="max"/>
        <c:crossBetween val="between"/>
        <c:majorUnit val="10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0.49538461538461537"/>
          <c:y val="0.19086651053864168"/>
          <c:w val="0.86215384615384616"/>
          <c:h val="0.272833723653395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1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Sun Hours / h</a:t>
            </a:r>
          </a:p>
        </c:rich>
      </c:tx>
      <c:layout>
        <c:manualLayout>
          <c:xMode val="edge"/>
          <c:yMode val="edge"/>
          <c:x val="0.46040541433241655"/>
          <c:y val="2.803738317757009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6396578132540413E-2"/>
          <c:y val="9.2289772270286646E-2"/>
          <c:w val="0.97114852571346355"/>
          <c:h val="0.85747712463785308"/>
        </c:manualLayout>
      </c:layout>
      <c:barChart>
        <c:barDir val="col"/>
        <c:grouping val="clustered"/>
        <c:varyColors val="0"/>
        <c:ser>
          <c:idx val="1"/>
          <c:order val="0"/>
          <c:tx>
            <c:v>Sun</c:v>
          </c:tx>
          <c:spPr>
            <a:solidFill>
              <a:srgbClr val="FFFF00"/>
            </a:solidFill>
            <a:ln w="12700">
              <a:solidFill>
                <a:srgbClr val="C0C0C0"/>
              </a:solidFill>
              <a:prstDash val="solid"/>
            </a:ln>
          </c:spPr>
          <c:invertIfNegative val="0"/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1</c:v>
              </c:pt>
              <c:pt idx="1">
                <c:v>5</c:v>
              </c:pt>
              <c:pt idx="2">
                <c:v>1.5</c:v>
              </c:pt>
              <c:pt idx="3">
                <c:v>0.1</c:v>
              </c:pt>
              <c:pt idx="4">
                <c:v>4</c:v>
              </c:pt>
              <c:pt idx="5">
                <c:v>2</c:v>
              </c:pt>
              <c:pt idx="6">
                <c:v>5.5</c:v>
              </c:pt>
              <c:pt idx="7">
                <c:v>0</c:v>
              </c:pt>
              <c:pt idx="8">
                <c:v>6</c:v>
              </c:pt>
              <c:pt idx="9">
                <c:v>6.5</c:v>
              </c:pt>
              <c:pt idx="10">
                <c:v>0</c:v>
              </c:pt>
              <c:pt idx="11">
                <c:v>6</c:v>
              </c:pt>
              <c:pt idx="12">
                <c:v>5</c:v>
              </c:pt>
              <c:pt idx="13">
                <c:v>2.5</c:v>
              </c:pt>
              <c:pt idx="14">
                <c:v>3</c:v>
              </c:pt>
              <c:pt idx="15">
                <c:v>0.5</c:v>
              </c:pt>
              <c:pt idx="16">
                <c:v>4</c:v>
              </c:pt>
              <c:pt idx="17">
                <c:v>1.5</c:v>
              </c:pt>
              <c:pt idx="18">
                <c:v>0.1</c:v>
              </c:pt>
              <c:pt idx="19">
                <c:v>3.5</c:v>
              </c:pt>
              <c:pt idx="20">
                <c:v>0</c:v>
              </c:pt>
              <c:pt idx="21">
                <c:v>6.5</c:v>
              </c:pt>
              <c:pt idx="22">
                <c:v>0</c:v>
              </c:pt>
              <c:pt idx="23">
                <c:v>0.7</c:v>
              </c:pt>
              <c:pt idx="24">
                <c:v>0.1</c:v>
              </c:pt>
              <c:pt idx="25">
                <c:v>0.1</c:v>
              </c:pt>
              <c:pt idx="26">
                <c:v>0</c:v>
              </c:pt>
              <c:pt idx="27">
                <c:v>2</c:v>
              </c:pt>
              <c:pt idx="28">
                <c:v>0.5</c:v>
              </c:pt>
              <c:pt idx="29">
                <c:v>0.1</c:v>
              </c:pt>
              <c:pt idx="30">
                <c:v>0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overlap val="-10"/>
        <c:axId val="111340928"/>
        <c:axId val="111350912"/>
      </c:barChart>
      <c:catAx>
        <c:axId val="111340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13509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1350912"/>
        <c:scaling>
          <c:orientation val="minMax"/>
          <c:max val="7.3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1340928"/>
        <c:crosses val="autoZero"/>
        <c:crossBetween val="between"/>
        <c:majorUnit val="2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Cumulative Rain / mm</a:t>
            </a:r>
          </a:p>
        </c:rich>
      </c:tx>
      <c:layout>
        <c:manualLayout>
          <c:xMode val="edge"/>
          <c:yMode val="edge"/>
          <c:x val="0.43726963096402616"/>
          <c:y val="1.97444831591173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985254257748993E-2"/>
          <c:y val="9.2915320252749636E-2"/>
          <c:w val="0.95818015727110073"/>
          <c:h val="0.85714382933161537"/>
        </c:manualLayout>
      </c:layout>
      <c:lineChart>
        <c:grouping val="standard"/>
        <c:varyColors val="0"/>
        <c:ser>
          <c:idx val="1"/>
          <c:order val="0"/>
          <c:tx>
            <c:v>Cumulative Rain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6.1</c:v>
              </c:pt>
              <c:pt idx="1">
                <c:v>6.3999999999999995</c:v>
              </c:pt>
              <c:pt idx="2">
                <c:v>6.8999999999999995</c:v>
              </c:pt>
              <c:pt idx="3">
                <c:v>7.1999999999999993</c:v>
              </c:pt>
              <c:pt idx="4">
                <c:v>7.1999999999999993</c:v>
              </c:pt>
              <c:pt idx="5">
                <c:v>7.1999999999999993</c:v>
              </c:pt>
              <c:pt idx="6">
                <c:v>7.4999999999999991</c:v>
              </c:pt>
              <c:pt idx="7">
                <c:v>8.2999999999999989</c:v>
              </c:pt>
              <c:pt idx="8">
                <c:v>8.2999999999999989</c:v>
              </c:pt>
              <c:pt idx="9">
                <c:v>8.2999999999999989</c:v>
              </c:pt>
              <c:pt idx="10">
                <c:v>13.899999999999999</c:v>
              </c:pt>
              <c:pt idx="11">
                <c:v>18.799999999999997</c:v>
              </c:pt>
              <c:pt idx="12">
                <c:v>27.9</c:v>
              </c:pt>
              <c:pt idx="13">
                <c:v>28.2</c:v>
              </c:pt>
              <c:pt idx="14">
                <c:v>30.4</c:v>
              </c:pt>
              <c:pt idx="15">
                <c:v>36.699999999999996</c:v>
              </c:pt>
              <c:pt idx="16">
                <c:v>37.199999999999996</c:v>
              </c:pt>
              <c:pt idx="17">
                <c:v>37.199999999999996</c:v>
              </c:pt>
              <c:pt idx="18">
                <c:v>40.799999999999997</c:v>
              </c:pt>
              <c:pt idx="19">
                <c:v>41.699999999999996</c:v>
              </c:pt>
              <c:pt idx="20">
                <c:v>43.4</c:v>
              </c:pt>
              <c:pt idx="21">
                <c:v>43.4</c:v>
              </c:pt>
              <c:pt idx="22">
                <c:v>47.5</c:v>
              </c:pt>
              <c:pt idx="23">
                <c:v>47.8</c:v>
              </c:pt>
              <c:pt idx="24">
                <c:v>47.8</c:v>
              </c:pt>
              <c:pt idx="25">
                <c:v>47.8</c:v>
              </c:pt>
              <c:pt idx="26">
                <c:v>47.8</c:v>
              </c:pt>
              <c:pt idx="27">
                <c:v>47.8</c:v>
              </c:pt>
              <c:pt idx="28">
                <c:v>51.099999999999994</c:v>
              </c:pt>
              <c:pt idx="29">
                <c:v>55.899999999999991</c:v>
              </c:pt>
              <c:pt idx="30">
                <c:v>56.199999999999989</c:v>
              </c:pt>
            </c:numLit>
          </c:val>
          <c:smooth val="0"/>
        </c:ser>
        <c:ser>
          <c:idx val="2"/>
          <c:order val="1"/>
          <c:tx>
            <c:v>E (Cumulative Rain)</c:v>
          </c:tx>
          <c:spPr>
            <a:ln w="25400">
              <a:solidFill>
                <a:srgbClr val="00CCFF"/>
              </a:solidFill>
              <a:prstDash val="lgDash"/>
            </a:ln>
          </c:spPr>
          <c:marker>
            <c:symbol val="none"/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2.129032258064516</c:v>
              </c:pt>
              <c:pt idx="1">
                <c:v>4.258064516129032</c:v>
              </c:pt>
              <c:pt idx="2">
                <c:v>6.387096774193548</c:v>
              </c:pt>
              <c:pt idx="3">
                <c:v>8.5161290322580641</c:v>
              </c:pt>
              <c:pt idx="4">
                <c:v>10.64516129032258</c:v>
              </c:pt>
              <c:pt idx="5">
                <c:v>12.774193548387096</c:v>
              </c:pt>
              <c:pt idx="6">
                <c:v>14.903225806451612</c:v>
              </c:pt>
              <c:pt idx="7">
                <c:v>17.032258064516128</c:v>
              </c:pt>
              <c:pt idx="8">
                <c:v>19.161290322580644</c:v>
              </c:pt>
              <c:pt idx="9">
                <c:v>21.29032258064516</c:v>
              </c:pt>
              <c:pt idx="10">
                <c:v>23.419354838709676</c:v>
              </c:pt>
              <c:pt idx="11">
                <c:v>25.548387096774192</c:v>
              </c:pt>
              <c:pt idx="12">
                <c:v>27.677419354838708</c:v>
              </c:pt>
              <c:pt idx="13">
                <c:v>29.806451612903224</c:v>
              </c:pt>
              <c:pt idx="14">
                <c:v>31.93548387096774</c:v>
              </c:pt>
              <c:pt idx="15">
                <c:v>34.064516129032256</c:v>
              </c:pt>
              <c:pt idx="16">
                <c:v>36.193548387096769</c:v>
              </c:pt>
              <c:pt idx="17">
                <c:v>38.322580645161288</c:v>
              </c:pt>
              <c:pt idx="18">
                <c:v>40.451612903225808</c:v>
              </c:pt>
              <c:pt idx="19">
                <c:v>42.58064516129032</c:v>
              </c:pt>
              <c:pt idx="20">
                <c:v>44.709677419354833</c:v>
              </c:pt>
              <c:pt idx="21">
                <c:v>46.838709677419352</c:v>
              </c:pt>
              <c:pt idx="22">
                <c:v>48.967741935483872</c:v>
              </c:pt>
              <c:pt idx="23">
                <c:v>51.096774193548384</c:v>
              </c:pt>
              <c:pt idx="24">
                <c:v>53.225806451612897</c:v>
              </c:pt>
              <c:pt idx="25">
                <c:v>55.354838709677416</c:v>
              </c:pt>
              <c:pt idx="26">
                <c:v>57.483870967741936</c:v>
              </c:pt>
              <c:pt idx="27">
                <c:v>59.612903225806448</c:v>
              </c:pt>
              <c:pt idx="28">
                <c:v>61.741935483870961</c:v>
              </c:pt>
              <c:pt idx="29">
                <c:v>63.87096774193548</c:v>
              </c:pt>
              <c:pt idx="30">
                <c:v>66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1382912"/>
        <c:axId val="111384448"/>
      </c:lineChart>
      <c:lineChart>
        <c:grouping val="standard"/>
        <c:varyColors val="0"/>
        <c:ser>
          <c:idx val="0"/>
          <c:order val="2"/>
          <c:tx>
            <c:v>Cumulative Anomaly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circle"/>
            <c:size val="2"/>
            <c:spPr>
              <a:solidFill>
                <a:srgbClr val="333399"/>
              </a:solidFill>
              <a:ln>
                <a:solidFill>
                  <a:srgbClr val="333399"/>
                </a:solidFill>
                <a:prstDash val="solid"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2.8651515151515152</c:v>
              </c:pt>
              <c:pt idx="1">
                <c:v>1.5030303030303029</c:v>
              </c:pt>
              <c:pt idx="2">
                <c:v>1.0803030303030303</c:v>
              </c:pt>
              <c:pt idx="3">
                <c:v>0.84545454545454546</c:v>
              </c:pt>
              <c:pt idx="4">
                <c:v>0.67636363636363628</c:v>
              </c:pt>
              <c:pt idx="5">
                <c:v>0.5636363636363636</c:v>
              </c:pt>
              <c:pt idx="6">
                <c:v>0.50324675324675316</c:v>
              </c:pt>
              <c:pt idx="7">
                <c:v>0.487310606060606</c:v>
              </c:pt>
              <c:pt idx="8">
                <c:v>0.43316498316498314</c:v>
              </c:pt>
              <c:pt idx="9">
                <c:v>0.38984848484848483</c:v>
              </c:pt>
              <c:pt idx="10">
                <c:v>0.59352617079889802</c:v>
              </c:pt>
              <c:pt idx="11">
                <c:v>0.73585858585858577</c:v>
              </c:pt>
              <c:pt idx="12">
                <c:v>1.008041958041958</c:v>
              </c:pt>
              <c:pt idx="13">
                <c:v>0.94610389610389611</c:v>
              </c:pt>
              <c:pt idx="14">
                <c:v>0.95191919191919194</c:v>
              </c:pt>
              <c:pt idx="15">
                <c:v>1.0773674242424243</c:v>
              </c:pt>
              <c:pt idx="16">
                <c:v>1.0278074866310161</c:v>
              </c:pt>
              <c:pt idx="17">
                <c:v>0.97070707070707063</c:v>
              </c:pt>
              <c:pt idx="18">
                <c:v>1.0086124401913874</c:v>
              </c:pt>
              <c:pt idx="19">
                <c:v>0.97931818181818175</c:v>
              </c:pt>
              <c:pt idx="20">
                <c:v>0.97070707070707085</c:v>
              </c:pt>
              <c:pt idx="21">
                <c:v>0.92658402203856749</c:v>
              </c:pt>
              <c:pt idx="22">
                <c:v>0.97002635046113306</c:v>
              </c:pt>
              <c:pt idx="23">
                <c:v>0.93547979797979797</c:v>
              </c:pt>
              <c:pt idx="24">
                <c:v>0.89806060606060611</c:v>
              </c:pt>
              <c:pt idx="25">
                <c:v>0.86351981351981355</c:v>
              </c:pt>
              <c:pt idx="26">
                <c:v>0.83153759820426476</c:v>
              </c:pt>
              <c:pt idx="27">
                <c:v>0.8018398268398268</c:v>
              </c:pt>
              <c:pt idx="28">
                <c:v>0.82763845350052245</c:v>
              </c:pt>
              <c:pt idx="29">
                <c:v>0.87520202020202009</c:v>
              </c:pt>
              <c:pt idx="30">
                <c:v>0.85151515151515134</c:v>
              </c:pt>
            </c:numLit>
          </c:val>
          <c:smooth val="0"/>
        </c:ser>
        <c:ser>
          <c:idx val="3"/>
          <c:order val="3"/>
          <c:tx>
            <c:v>E (Cumulative Anomaly)</c:v>
          </c:tx>
          <c:spPr>
            <a:ln w="3175">
              <a:solidFill>
                <a:srgbClr val="0000FF"/>
              </a:solidFill>
              <a:prstDash val="lgDash"/>
            </a:ln>
          </c:spPr>
          <c:marker>
            <c:symbol val="none"/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1</c:v>
              </c:pt>
              <c:pt idx="1">
                <c:v>1</c:v>
              </c:pt>
              <c:pt idx="2">
                <c:v>1</c:v>
              </c:pt>
              <c:pt idx="3">
                <c:v>1</c:v>
              </c:pt>
              <c:pt idx="4">
                <c:v>1</c:v>
              </c:pt>
              <c:pt idx="5">
                <c:v>1</c:v>
              </c:pt>
              <c:pt idx="6">
                <c:v>1</c:v>
              </c:pt>
              <c:pt idx="7">
                <c:v>1</c:v>
              </c:pt>
              <c:pt idx="8">
                <c:v>1</c:v>
              </c:pt>
              <c:pt idx="9">
                <c:v>1</c:v>
              </c:pt>
              <c:pt idx="10">
                <c:v>1</c:v>
              </c:pt>
              <c:pt idx="11">
                <c:v>1</c:v>
              </c:pt>
              <c:pt idx="12">
                <c:v>1</c:v>
              </c:pt>
              <c:pt idx="13">
                <c:v>1</c:v>
              </c:pt>
              <c:pt idx="14">
                <c:v>1</c:v>
              </c:pt>
              <c:pt idx="15">
                <c:v>1</c:v>
              </c:pt>
              <c:pt idx="16">
                <c:v>1</c:v>
              </c:pt>
              <c:pt idx="17">
                <c:v>1</c:v>
              </c:pt>
              <c:pt idx="18">
                <c:v>1</c:v>
              </c:pt>
              <c:pt idx="19">
                <c:v>1</c:v>
              </c:pt>
              <c:pt idx="20">
                <c:v>1</c:v>
              </c:pt>
              <c:pt idx="21">
                <c:v>1</c:v>
              </c:pt>
              <c:pt idx="22">
                <c:v>1</c:v>
              </c:pt>
              <c:pt idx="23">
                <c:v>1</c:v>
              </c:pt>
              <c:pt idx="24">
                <c:v>1</c:v>
              </c:pt>
              <c:pt idx="25">
                <c:v>1</c:v>
              </c:pt>
              <c:pt idx="26">
                <c:v>1</c:v>
              </c:pt>
              <c:pt idx="27">
                <c:v>1</c:v>
              </c:pt>
              <c:pt idx="28">
                <c:v>1</c:v>
              </c:pt>
              <c:pt idx="29">
                <c:v>1</c:v>
              </c:pt>
              <c:pt idx="30">
                <c:v>1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1385984"/>
        <c:axId val="111404160"/>
      </c:lineChart>
      <c:catAx>
        <c:axId val="1113829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1384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1384448"/>
        <c:scaling>
          <c:orientation val="minMax"/>
          <c:max val="7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1382912"/>
        <c:crosses val="autoZero"/>
        <c:crossBetween val="between"/>
        <c:majorUnit val="10"/>
      </c:valAx>
      <c:catAx>
        <c:axId val="111385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1404160"/>
        <c:crosses val="autoZero"/>
        <c:auto val="1"/>
        <c:lblAlgn val="ctr"/>
        <c:lblOffset val="100"/>
        <c:noMultiLvlLbl val="0"/>
      </c:catAx>
      <c:valAx>
        <c:axId val="111404160"/>
        <c:scaling>
          <c:orientation val="minMax"/>
          <c:max val="1.4"/>
          <c:min val="0"/>
        </c:scaling>
        <c:delete val="0"/>
        <c:axPos val="r"/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1385984"/>
        <c:crosses val="max"/>
        <c:crossBetween val="between"/>
        <c:majorUnit val="0.2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 sz="14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Dew Point / </a:t>
            </a:r>
            <a:r>
              <a:rPr lang="en-GB" sz="1400" b="1" i="0" u="none" strike="noStrike" baseline="30000">
                <a:solidFill>
                  <a:srgbClr val="000000"/>
                </a:solidFill>
                <a:latin typeface="Arial"/>
                <a:cs typeface="Arial"/>
              </a:rPr>
              <a:t>o</a:t>
            </a:r>
            <a:r>
              <a:rPr lang="en-GB" sz="14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C</a:t>
            </a:r>
          </a:p>
        </c:rich>
      </c:tx>
      <c:layout>
        <c:manualLayout>
          <c:xMode val="edge"/>
          <c:yMode val="edge"/>
          <c:x val="0.45817984006611717"/>
          <c:y val="1.99296600234466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4600260777178452E-2"/>
          <c:y val="8.5580353795172481E-2"/>
          <c:w val="0.97355532025683733"/>
          <c:h val="0.86400987324715228"/>
        </c:manualLayout>
      </c:layout>
      <c:lineChart>
        <c:grouping val="standard"/>
        <c:varyColors val="0"/>
        <c:ser>
          <c:idx val="2"/>
          <c:order val="0"/>
          <c:tx>
            <c:v>Min Dew Point</c:v>
          </c:tx>
          <c:spPr>
            <a:ln w="38100">
              <a:solidFill>
                <a:srgbClr val="99CC00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808000"/>
              </a:solidFill>
              <a:ln>
                <a:solidFill>
                  <a:srgbClr val="808000"/>
                </a:solidFill>
                <a:prstDash val="solid"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4.2</c:v>
              </c:pt>
              <c:pt idx="1">
                <c:v>1.3</c:v>
              </c:pt>
              <c:pt idx="2">
                <c:v>2.2000000000000002</c:v>
              </c:pt>
              <c:pt idx="3">
                <c:v>1.4</c:v>
              </c:pt>
              <c:pt idx="4">
                <c:v>-1.2</c:v>
              </c:pt>
              <c:pt idx="5">
                <c:v>-0.5</c:v>
              </c:pt>
              <c:pt idx="6">
                <c:v>-2.9</c:v>
              </c:pt>
              <c:pt idx="7">
                <c:v>-1.3</c:v>
              </c:pt>
              <c:pt idx="8">
                <c:v>-1.8</c:v>
              </c:pt>
              <c:pt idx="9">
                <c:v>-2.5</c:v>
              </c:pt>
              <c:pt idx="10">
                <c:v>0.3</c:v>
              </c:pt>
              <c:pt idx="11">
                <c:v>1.5</c:v>
              </c:pt>
              <c:pt idx="12">
                <c:v>-1.3</c:v>
              </c:pt>
              <c:pt idx="13">
                <c:v>0</c:v>
              </c:pt>
              <c:pt idx="14">
                <c:v>0.5</c:v>
              </c:pt>
              <c:pt idx="15">
                <c:v>-0.1</c:v>
              </c:pt>
              <c:pt idx="16">
                <c:v>-1.1000000000000001</c:v>
              </c:pt>
              <c:pt idx="17">
                <c:v>-3.3</c:v>
              </c:pt>
              <c:pt idx="18">
                <c:v>-3.6</c:v>
              </c:pt>
              <c:pt idx="19">
                <c:v>1.9</c:v>
              </c:pt>
              <c:pt idx="20">
                <c:v>4.0999999999999996</c:v>
              </c:pt>
              <c:pt idx="21">
                <c:v>7</c:v>
              </c:pt>
              <c:pt idx="22">
                <c:v>0.9</c:v>
              </c:pt>
              <c:pt idx="23">
                <c:v>-0.4</c:v>
              </c:pt>
              <c:pt idx="24">
                <c:v>6</c:v>
              </c:pt>
              <c:pt idx="25">
                <c:v>5.2</c:v>
              </c:pt>
              <c:pt idx="26">
                <c:v>3.9</c:v>
              </c:pt>
              <c:pt idx="27">
                <c:v>0.5</c:v>
              </c:pt>
              <c:pt idx="28">
                <c:v>0</c:v>
              </c:pt>
              <c:pt idx="29">
                <c:v>5.4</c:v>
              </c:pt>
              <c:pt idx="30">
                <c:v>9.8000000000000007</c:v>
              </c:pt>
            </c:numLit>
          </c:val>
          <c:smooth val="0"/>
        </c:ser>
        <c:ser>
          <c:idx val="3"/>
          <c:order val="1"/>
          <c:tx>
            <c:v>Frost Point</c:v>
          </c:tx>
          <c:spPr>
            <a:ln w="38100">
              <a:solidFill>
                <a:srgbClr val="000080"/>
              </a:solidFill>
              <a:prstDash val="sysDash"/>
            </a:ln>
          </c:spPr>
          <c:marker>
            <c:symbol val="none"/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</c:numLit>
          </c:val>
          <c:smooth val="0"/>
        </c:ser>
        <c:ser>
          <c:idx val="0"/>
          <c:order val="2"/>
          <c:tx>
            <c:v>Mean' Dew Point</c:v>
          </c:tx>
          <c:spPr>
            <a:ln w="38100">
              <a:solidFill>
                <a:srgbClr val="008080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666699"/>
              </a:solidFill>
              <a:ln>
                <a:solidFill>
                  <a:srgbClr val="666699"/>
                </a:solidFill>
                <a:prstDash val="solid"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6.5</c:v>
              </c:pt>
              <c:pt idx="1">
                <c:v>3.5</c:v>
              </c:pt>
              <c:pt idx="2">
                <c:v>6.1</c:v>
              </c:pt>
              <c:pt idx="3">
                <c:v>4.0999999999999996</c:v>
              </c:pt>
              <c:pt idx="4">
                <c:v>0</c:v>
              </c:pt>
              <c:pt idx="5">
                <c:v>1.5</c:v>
              </c:pt>
              <c:pt idx="6">
                <c:v>0.9</c:v>
              </c:pt>
              <c:pt idx="7">
                <c:v>5.3</c:v>
              </c:pt>
              <c:pt idx="8">
                <c:v>-0.4</c:v>
              </c:pt>
              <c:pt idx="9">
                <c:v>-1</c:v>
              </c:pt>
              <c:pt idx="10">
                <c:v>4.2</c:v>
              </c:pt>
              <c:pt idx="11">
                <c:v>4.2</c:v>
              </c:pt>
              <c:pt idx="12">
                <c:v>3.2</c:v>
              </c:pt>
              <c:pt idx="13">
                <c:v>0.8</c:v>
              </c:pt>
              <c:pt idx="14">
                <c:v>1.8</c:v>
              </c:pt>
              <c:pt idx="15">
                <c:v>1.1000000000000001</c:v>
              </c:pt>
              <c:pt idx="16">
                <c:v>0.6</c:v>
              </c:pt>
              <c:pt idx="17">
                <c:v>-0.9</c:v>
              </c:pt>
              <c:pt idx="18">
                <c:v>2.2999999999999998</c:v>
              </c:pt>
              <c:pt idx="19">
                <c:v>3.6</c:v>
              </c:pt>
              <c:pt idx="20">
                <c:v>8.6</c:v>
              </c:pt>
              <c:pt idx="21">
                <c:v>8.1999999999999993</c:v>
              </c:pt>
              <c:pt idx="22">
                <c:v>6.8</c:v>
              </c:pt>
              <c:pt idx="23">
                <c:v>2.4</c:v>
              </c:pt>
              <c:pt idx="24">
                <c:v>7.8</c:v>
              </c:pt>
              <c:pt idx="25">
                <c:v>8.6999999999999993</c:v>
              </c:pt>
              <c:pt idx="26">
                <c:v>4.9000000000000004</c:v>
              </c:pt>
              <c:pt idx="27">
                <c:v>4.3</c:v>
              </c:pt>
              <c:pt idx="28">
                <c:v>2.5</c:v>
              </c:pt>
              <c:pt idx="29">
                <c:v>3.5</c:v>
              </c:pt>
              <c:pt idx="30">
                <c:v>10.3</c:v>
              </c:pt>
            </c:numLit>
          </c:val>
          <c:smooth val="0"/>
        </c:ser>
        <c:ser>
          <c:idx val="4"/>
          <c:order val="3"/>
          <c:tx>
            <c:v>Max Dew Point</c:v>
          </c:tx>
          <c:spPr>
            <a:ln w="38100">
              <a:solidFill>
                <a:srgbClr val="003300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003366"/>
              </a:solidFill>
              <a:ln>
                <a:solidFill>
                  <a:srgbClr val="003366"/>
                </a:solidFill>
                <a:prstDash val="solid"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10</c:v>
              </c:pt>
              <c:pt idx="1">
                <c:v>6.4</c:v>
              </c:pt>
              <c:pt idx="2">
                <c:v>9.9</c:v>
              </c:pt>
              <c:pt idx="3">
                <c:v>6.1</c:v>
              </c:pt>
              <c:pt idx="4">
                <c:v>1.8</c:v>
              </c:pt>
              <c:pt idx="5">
                <c:v>3.6</c:v>
              </c:pt>
              <c:pt idx="6">
                <c:v>5.8</c:v>
              </c:pt>
              <c:pt idx="7">
                <c:v>9.6</c:v>
              </c:pt>
              <c:pt idx="8">
                <c:v>1.4</c:v>
              </c:pt>
              <c:pt idx="9">
                <c:v>0.6</c:v>
              </c:pt>
              <c:pt idx="10">
                <c:v>7</c:v>
              </c:pt>
              <c:pt idx="11">
                <c:v>9</c:v>
              </c:pt>
              <c:pt idx="12">
                <c:v>10.9</c:v>
              </c:pt>
              <c:pt idx="13">
                <c:v>1.9</c:v>
              </c:pt>
              <c:pt idx="14">
                <c:v>3.4</c:v>
              </c:pt>
              <c:pt idx="15">
                <c:v>3.2</c:v>
              </c:pt>
              <c:pt idx="16">
                <c:v>3.3</c:v>
              </c:pt>
              <c:pt idx="17">
                <c:v>1.9</c:v>
              </c:pt>
              <c:pt idx="18">
                <c:v>5.9</c:v>
              </c:pt>
              <c:pt idx="19">
                <c:v>6</c:v>
              </c:pt>
              <c:pt idx="20">
                <c:v>11.2</c:v>
              </c:pt>
              <c:pt idx="21">
                <c:v>9.4</c:v>
              </c:pt>
              <c:pt idx="22">
                <c:v>9.3000000000000007</c:v>
              </c:pt>
              <c:pt idx="23">
                <c:v>6</c:v>
              </c:pt>
              <c:pt idx="24">
                <c:v>9.5</c:v>
              </c:pt>
              <c:pt idx="25">
                <c:v>10.7</c:v>
              </c:pt>
              <c:pt idx="26">
                <c:v>5.4</c:v>
              </c:pt>
              <c:pt idx="27">
                <c:v>8.4</c:v>
              </c:pt>
              <c:pt idx="28">
                <c:v>5.5</c:v>
              </c:pt>
              <c:pt idx="29">
                <c:v>10</c:v>
              </c:pt>
              <c:pt idx="30">
                <c:v>10.8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1426176"/>
        <c:axId val="111428352"/>
      </c:lineChart>
      <c:catAx>
        <c:axId val="111426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1428352"/>
        <c:crossesAt val="-10"/>
        <c:auto val="1"/>
        <c:lblAlgn val="ctr"/>
        <c:lblOffset val="100"/>
        <c:tickLblSkip val="1"/>
        <c:tickMarkSkip val="1"/>
        <c:noMultiLvlLbl val="0"/>
      </c:catAx>
      <c:valAx>
        <c:axId val="111428352"/>
        <c:scaling>
          <c:orientation val="minMax"/>
          <c:max val="12"/>
          <c:min val="-4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1426176"/>
        <c:crosses val="autoZero"/>
        <c:crossBetween val="between"/>
        <c:majorUnit val="2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Cumulative Sun Hours / h</a:t>
            </a:r>
          </a:p>
        </c:rich>
      </c:tx>
      <c:layout>
        <c:manualLayout>
          <c:xMode val="edge"/>
          <c:yMode val="edge"/>
          <c:x val="0.42778132143439052"/>
          <c:y val="2.690058479532163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970505042623335E-2"/>
          <c:y val="8.538021447849789E-2"/>
          <c:w val="0.9459130066819823"/>
          <c:h val="0.86432847259739654"/>
        </c:manualLayout>
      </c:layout>
      <c:lineChart>
        <c:grouping val="standard"/>
        <c:varyColors val="0"/>
        <c:ser>
          <c:idx val="1"/>
          <c:order val="0"/>
          <c:tx>
            <c:v>Cumulative Sun Hours</c:v>
          </c:tx>
          <c:spPr>
            <a:ln w="38100">
              <a:solidFill>
                <a:srgbClr val="FFFF00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99CC00"/>
              </a:solidFill>
              <a:ln>
                <a:solidFill>
                  <a:srgbClr val="99CC00"/>
                </a:solidFill>
                <a:prstDash val="solid"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1</c:v>
              </c:pt>
              <c:pt idx="1">
                <c:v>6</c:v>
              </c:pt>
              <c:pt idx="2">
                <c:v>7.5</c:v>
              </c:pt>
              <c:pt idx="3">
                <c:v>7.6</c:v>
              </c:pt>
              <c:pt idx="4">
                <c:v>11.6</c:v>
              </c:pt>
              <c:pt idx="5">
                <c:v>13.6</c:v>
              </c:pt>
              <c:pt idx="6">
                <c:v>19.100000000000001</c:v>
              </c:pt>
              <c:pt idx="7">
                <c:v>19.100000000000001</c:v>
              </c:pt>
              <c:pt idx="8">
                <c:v>25.1</c:v>
              </c:pt>
              <c:pt idx="9">
                <c:v>31.6</c:v>
              </c:pt>
              <c:pt idx="10">
                <c:v>31.6</c:v>
              </c:pt>
              <c:pt idx="11">
                <c:v>37.6</c:v>
              </c:pt>
              <c:pt idx="12">
                <c:v>42.6</c:v>
              </c:pt>
              <c:pt idx="13">
                <c:v>45.1</c:v>
              </c:pt>
              <c:pt idx="14">
                <c:v>48.1</c:v>
              </c:pt>
              <c:pt idx="15">
                <c:v>48.6</c:v>
              </c:pt>
              <c:pt idx="16">
                <c:v>52.6</c:v>
              </c:pt>
              <c:pt idx="17">
                <c:v>54.1</c:v>
              </c:pt>
              <c:pt idx="18">
                <c:v>54.2</c:v>
              </c:pt>
              <c:pt idx="19">
                <c:v>57.7</c:v>
              </c:pt>
              <c:pt idx="20">
                <c:v>57.7</c:v>
              </c:pt>
              <c:pt idx="21">
                <c:v>64.2</c:v>
              </c:pt>
              <c:pt idx="22">
                <c:v>64.2</c:v>
              </c:pt>
              <c:pt idx="23">
                <c:v>64.900000000000006</c:v>
              </c:pt>
              <c:pt idx="24">
                <c:v>65</c:v>
              </c:pt>
              <c:pt idx="25">
                <c:v>65.099999999999994</c:v>
              </c:pt>
              <c:pt idx="26">
                <c:v>65.099999999999994</c:v>
              </c:pt>
              <c:pt idx="27">
                <c:v>67.099999999999994</c:v>
              </c:pt>
              <c:pt idx="28">
                <c:v>67.599999999999994</c:v>
              </c:pt>
              <c:pt idx="29">
                <c:v>67.699999999999989</c:v>
              </c:pt>
              <c:pt idx="30">
                <c:v>67.699999999999989</c:v>
              </c:pt>
            </c:numLit>
          </c:val>
          <c:smooth val="0"/>
        </c:ser>
        <c:ser>
          <c:idx val="2"/>
          <c:order val="1"/>
          <c:tx>
            <c:v>E (Cumulative Sun Hours)</c:v>
          </c:tx>
          <c:spPr>
            <a:ln w="25400">
              <a:solidFill>
                <a:srgbClr val="FFFF99"/>
              </a:solidFill>
              <a:prstDash val="lgDash"/>
            </a:ln>
          </c:spPr>
          <c:marker>
            <c:symbol val="diamond"/>
            <c:size val="2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1.5968563450205124</c:v>
              </c:pt>
              <c:pt idx="1">
                <c:v>3.18752325563932</c:v>
              </c:pt>
              <c:pt idx="2">
                <c:v>4.772278013472719</c:v>
              </c:pt>
              <c:pt idx="3">
                <c:v>6.3514030735613822</c:v>
              </c:pt>
              <c:pt idx="4">
                <c:v>7.9251859012556487</c:v>
              </c:pt>
              <c:pt idx="5">
                <c:v>9.4939187935115719</c:v>
              </c:pt>
              <c:pt idx="6">
                <c:v>11.057898684734068</c:v>
              </c:pt>
              <c:pt idx="7">
                <c:v>12.61742693739909</c:v>
              </c:pt>
              <c:pt idx="8">
                <c:v>14.172809117785052</c:v>
              </c:pt>
              <c:pt idx="9">
                <c:v>15.724354757243836</c:v>
              </c:pt>
              <c:pt idx="10">
                <c:v>17.272377099542485</c:v>
              </c:pt>
              <c:pt idx="11">
                <c:v>18.817192834907125</c:v>
              </c:pt>
              <c:pt idx="12">
                <c:v>20.359121821499372</c:v>
              </c:pt>
              <c:pt idx="13">
                <c:v>21.898486795151506</c:v>
              </c:pt>
              <c:pt idx="14">
                <c:v>23.435613068278595</c:v>
              </c:pt>
              <c:pt idx="15">
                <c:v>24.970828218972279</c:v>
              </c:pt>
              <c:pt idx="16">
                <c:v>26.504461771361125</c:v>
              </c:pt>
              <c:pt idx="17">
                <c:v>28.036844868394901</c:v>
              </c:pt>
              <c:pt idx="18">
                <c:v>29.568309938273956</c:v>
              </c:pt>
              <c:pt idx="19">
                <c:v>31.099190355798992</c:v>
              </c:pt>
              <c:pt idx="20">
                <c:v>32.629820099960362</c:v>
              </c:pt>
              <c:pt idx="21">
                <c:v>34.160606522576749</c:v>
              </c:pt>
              <c:pt idx="22">
                <c:v>35.691894146003499</c:v>
              </c:pt>
              <c:pt idx="23">
                <c:v>37.224016528307125</c:v>
              </c:pt>
              <c:pt idx="24">
                <c:v>38.757306366256252</c:v>
              </c:pt>
              <c:pt idx="25">
                <c:v>40.292095155606134</c:v>
              </c:pt>
              <c:pt idx="26">
                <c:v>41.828712856136669</c:v>
              </c:pt>
              <c:pt idx="27">
                <c:v>43.367487562731185</c:v>
              </c:pt>
              <c:pt idx="28">
                <c:v>44.908745183731632</c:v>
              </c:pt>
              <c:pt idx="29">
                <c:v>46.452809127744317</c:v>
              </c:pt>
              <c:pt idx="30">
                <c:v>48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1755264"/>
        <c:axId val="111756800"/>
      </c:lineChart>
      <c:lineChart>
        <c:grouping val="standard"/>
        <c:varyColors val="0"/>
        <c:ser>
          <c:idx val="0"/>
          <c:order val="2"/>
          <c:tx>
            <c:v>Cumulative Anomaly</c:v>
          </c:tx>
          <c:spPr>
            <a:ln w="12700">
              <a:solidFill>
                <a:srgbClr val="99CC00"/>
              </a:solidFill>
              <a:prstDash val="solid"/>
            </a:ln>
          </c:spPr>
          <c:marker>
            <c:symbol val="circle"/>
            <c:size val="2"/>
            <c:spPr>
              <a:solidFill>
                <a:srgbClr val="808000"/>
              </a:solidFill>
              <a:ln>
                <a:solidFill>
                  <a:srgbClr val="808000"/>
                </a:solidFill>
                <a:prstDash val="solid"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0.6262304077121944</c:v>
              </c:pt>
              <c:pt idx="1">
                <c:v>1.8823392078426053</c:v>
              </c:pt>
              <c:pt idx="2">
                <c:v>1.5715765047272165</c:v>
              </c:pt>
              <c:pt idx="3">
                <c:v>1.196586000286469</c:v>
              </c:pt>
              <c:pt idx="4">
                <c:v>1.4636880629086721</c:v>
              </c:pt>
              <c:pt idx="5">
                <c:v>1.4324959266867383</c:v>
              </c:pt>
              <c:pt idx="6">
                <c:v>1.727272110601666</c:v>
              </c:pt>
              <c:pt idx="7">
                <c:v>1.5137793224215972</c:v>
              </c:pt>
              <c:pt idx="8">
                <c:v>1.7709968286034934</c:v>
              </c:pt>
              <c:pt idx="9">
                <c:v>2.0096214113614193</c:v>
              </c:pt>
              <c:pt idx="10">
                <c:v>1.8295107742197818</c:v>
              </c:pt>
              <c:pt idx="11">
                <c:v>1.9981726461478111</c:v>
              </c:pt>
              <c:pt idx="12">
                <c:v>2.0924281692255562</c:v>
              </c:pt>
              <c:pt idx="13">
                <c:v>2.0595030342455209</c:v>
              </c:pt>
              <c:pt idx="14">
                <c:v>2.0524319060851037</c:v>
              </c:pt>
              <c:pt idx="15">
                <c:v>1.946271047712979</c:v>
              </c:pt>
              <c:pt idx="16">
                <c:v>1.984571520589635</c:v>
              </c:pt>
              <c:pt idx="17">
                <c:v>1.9296037144673621</c:v>
              </c:pt>
              <c:pt idx="18">
                <c:v>1.8330435561973792</c:v>
              </c:pt>
              <c:pt idx="19">
                <c:v>1.8553537677305101</c:v>
              </c:pt>
              <c:pt idx="20">
                <c:v>1.7683211192473014</c:v>
              </c:pt>
              <c:pt idx="21">
                <c:v>1.8793577320581301</c:v>
              </c:pt>
              <c:pt idx="22">
                <c:v>1.7987277373786736</c:v>
              </c:pt>
              <c:pt idx="23">
                <c:v>1.7434980438139067</c:v>
              </c:pt>
              <c:pt idx="24">
                <c:v>1.6771031347160841</c:v>
              </c:pt>
              <c:pt idx="25">
                <c:v>1.615701535216447</c:v>
              </c:pt>
              <c:pt idx="26">
                <c:v>1.5563471968143339</c:v>
              </c:pt>
              <c:pt idx="27">
                <c:v>1.5472420417009325</c:v>
              </c:pt>
              <c:pt idx="28">
                <c:v>1.5052747460084535</c:v>
              </c:pt>
              <c:pt idx="29">
                <c:v>1.4573930246893425</c:v>
              </c:pt>
              <c:pt idx="30">
                <c:v>1.4104166666666664</c:v>
              </c:pt>
            </c:numLit>
          </c:val>
          <c:smooth val="0"/>
        </c:ser>
        <c:ser>
          <c:idx val="3"/>
          <c:order val="3"/>
          <c:tx>
            <c:v>E (Cumulative Anomaly)</c:v>
          </c:tx>
          <c:spPr>
            <a:ln w="12700">
              <a:solidFill>
                <a:srgbClr val="808000"/>
              </a:solidFill>
              <a:prstDash val="lgDash"/>
            </a:ln>
          </c:spPr>
          <c:marker>
            <c:symbol val="none"/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1</c:v>
              </c:pt>
              <c:pt idx="1">
                <c:v>1</c:v>
              </c:pt>
              <c:pt idx="2">
                <c:v>1</c:v>
              </c:pt>
              <c:pt idx="3">
                <c:v>1</c:v>
              </c:pt>
              <c:pt idx="4">
                <c:v>1</c:v>
              </c:pt>
              <c:pt idx="5">
                <c:v>1</c:v>
              </c:pt>
              <c:pt idx="6">
                <c:v>1</c:v>
              </c:pt>
              <c:pt idx="7">
                <c:v>1</c:v>
              </c:pt>
              <c:pt idx="8">
                <c:v>1</c:v>
              </c:pt>
              <c:pt idx="9">
                <c:v>1</c:v>
              </c:pt>
              <c:pt idx="10">
                <c:v>1</c:v>
              </c:pt>
              <c:pt idx="11">
                <c:v>1</c:v>
              </c:pt>
              <c:pt idx="12">
                <c:v>1</c:v>
              </c:pt>
              <c:pt idx="13">
                <c:v>1</c:v>
              </c:pt>
              <c:pt idx="14">
                <c:v>1</c:v>
              </c:pt>
              <c:pt idx="15">
                <c:v>1</c:v>
              </c:pt>
              <c:pt idx="16">
                <c:v>1</c:v>
              </c:pt>
              <c:pt idx="17">
                <c:v>1</c:v>
              </c:pt>
              <c:pt idx="18">
                <c:v>1</c:v>
              </c:pt>
              <c:pt idx="19">
                <c:v>1</c:v>
              </c:pt>
              <c:pt idx="20">
                <c:v>1</c:v>
              </c:pt>
              <c:pt idx="21">
                <c:v>1</c:v>
              </c:pt>
              <c:pt idx="22">
                <c:v>1</c:v>
              </c:pt>
              <c:pt idx="23">
                <c:v>1</c:v>
              </c:pt>
              <c:pt idx="24">
                <c:v>1</c:v>
              </c:pt>
              <c:pt idx="25">
                <c:v>1</c:v>
              </c:pt>
              <c:pt idx="26">
                <c:v>1</c:v>
              </c:pt>
              <c:pt idx="27">
                <c:v>1</c:v>
              </c:pt>
              <c:pt idx="28">
                <c:v>1</c:v>
              </c:pt>
              <c:pt idx="29">
                <c:v>1</c:v>
              </c:pt>
              <c:pt idx="30">
                <c:v>1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1758336"/>
        <c:axId val="111772416"/>
      </c:lineChart>
      <c:catAx>
        <c:axId val="111755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17568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1756800"/>
        <c:scaling>
          <c:orientation val="minMax"/>
          <c:max val="80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1755264"/>
        <c:crosses val="autoZero"/>
        <c:crossBetween val="between"/>
        <c:majorUnit val="10"/>
      </c:valAx>
      <c:catAx>
        <c:axId val="1117583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1772416"/>
        <c:crosses val="autoZero"/>
        <c:auto val="1"/>
        <c:lblAlgn val="ctr"/>
        <c:lblOffset val="100"/>
        <c:noMultiLvlLbl val="0"/>
      </c:catAx>
      <c:valAx>
        <c:axId val="111772416"/>
        <c:scaling>
          <c:orientation val="minMax"/>
          <c:max val="2"/>
          <c:min val="0"/>
        </c:scaling>
        <c:delete val="0"/>
        <c:axPos val="r"/>
        <c:numFmt formatCode="0%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1758336"/>
        <c:crosses val="max"/>
        <c:crossBetween val="between"/>
        <c:majorUnit val="0.25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 horizontalDpi="-3"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 sz="14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Mean' &amp; Mean Temperature / </a:t>
            </a:r>
            <a:r>
              <a:rPr lang="en-GB" sz="1400" b="1" i="0" u="none" strike="noStrike" baseline="30000">
                <a:solidFill>
                  <a:srgbClr val="000000"/>
                </a:solidFill>
                <a:latin typeface="Arial"/>
                <a:cs typeface="Arial"/>
              </a:rPr>
              <a:t>o</a:t>
            </a:r>
            <a:r>
              <a:rPr lang="en-GB" sz="14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C</a:t>
            </a:r>
          </a:p>
        </c:rich>
      </c:tx>
      <c:layout>
        <c:manualLayout>
          <c:xMode val="edge"/>
          <c:yMode val="edge"/>
          <c:x val="0.40872784878534313"/>
          <c:y val="1.990632318501171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970505042623335E-2"/>
          <c:y val="8.5480093676814986E-2"/>
          <c:w val="0.97172739672788444"/>
          <c:h val="0.86416861826697888"/>
        </c:manualLayout>
      </c:layout>
      <c:lineChart>
        <c:grouping val="standard"/>
        <c:varyColors val="0"/>
        <c:ser>
          <c:idx val="2"/>
          <c:order val="0"/>
          <c:tx>
            <c:v>Mean Temperature</c:v>
          </c:tx>
          <c:spPr>
            <a:ln w="25400">
              <a:solidFill>
                <a:srgbClr val="666699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333399"/>
              </a:solidFill>
              <a:ln>
                <a:solidFill>
                  <a:srgbClr val="333399"/>
                </a:solidFill>
                <a:prstDash val="solid"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8.75</c:v>
              </c:pt>
              <c:pt idx="1">
                <c:v>5.4</c:v>
              </c:pt>
              <c:pt idx="2">
                <c:v>9.5</c:v>
              </c:pt>
              <c:pt idx="3">
                <c:v>6.6000000000000005</c:v>
              </c:pt>
              <c:pt idx="4">
                <c:v>4.5999999999999996</c:v>
              </c:pt>
              <c:pt idx="5">
                <c:v>4.5999999999999996</c:v>
              </c:pt>
              <c:pt idx="6">
                <c:v>6.6</c:v>
              </c:pt>
              <c:pt idx="7">
                <c:v>8.25</c:v>
              </c:pt>
              <c:pt idx="8">
                <c:v>4.75</c:v>
              </c:pt>
              <c:pt idx="9">
                <c:v>2.6999999999999997</c:v>
              </c:pt>
              <c:pt idx="10">
                <c:v>5.8</c:v>
              </c:pt>
              <c:pt idx="11">
                <c:v>6.3000000000000007</c:v>
              </c:pt>
              <c:pt idx="12">
                <c:v>8</c:v>
              </c:pt>
              <c:pt idx="13">
                <c:v>4.95</c:v>
              </c:pt>
              <c:pt idx="14">
                <c:v>5.95</c:v>
              </c:pt>
              <c:pt idx="15">
                <c:v>2.5499999999999998</c:v>
              </c:pt>
              <c:pt idx="16">
                <c:v>2.8499999999999996</c:v>
              </c:pt>
              <c:pt idx="17">
                <c:v>1.95</c:v>
              </c:pt>
              <c:pt idx="18">
                <c:v>2.5</c:v>
              </c:pt>
              <c:pt idx="19">
                <c:v>6.5</c:v>
              </c:pt>
              <c:pt idx="20">
                <c:v>8.9499999999999993</c:v>
              </c:pt>
              <c:pt idx="21">
                <c:v>9.9499999999999993</c:v>
              </c:pt>
              <c:pt idx="22">
                <c:v>7.8999999999999995</c:v>
              </c:pt>
              <c:pt idx="23">
                <c:v>5.6</c:v>
              </c:pt>
              <c:pt idx="24">
                <c:v>10.050000000000001</c:v>
              </c:pt>
              <c:pt idx="25">
                <c:v>11.4</c:v>
              </c:pt>
              <c:pt idx="26">
                <c:v>9.3000000000000007</c:v>
              </c:pt>
              <c:pt idx="27">
                <c:v>8.1999999999999993</c:v>
              </c:pt>
              <c:pt idx="28">
                <c:v>7.35</c:v>
              </c:pt>
              <c:pt idx="29">
                <c:v>7.85</c:v>
              </c:pt>
              <c:pt idx="30">
                <c:v>11.55</c:v>
              </c:pt>
            </c:numLit>
          </c:val>
          <c:smooth val="0"/>
        </c:ser>
        <c:ser>
          <c:idx val="0"/>
          <c:order val="1"/>
          <c:tx>
            <c:v>Mean' Temperature</c:v>
          </c:tx>
          <c:spPr>
            <a:ln w="38100">
              <a:solidFill>
                <a:srgbClr val="800080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666699"/>
              </a:solidFill>
              <a:ln>
                <a:solidFill>
                  <a:srgbClr val="666699"/>
                </a:solidFill>
                <a:prstDash val="solid"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9.5</c:v>
              </c:pt>
              <c:pt idx="1">
                <c:v>5.3</c:v>
              </c:pt>
              <c:pt idx="2">
                <c:v>9.9</c:v>
              </c:pt>
              <c:pt idx="3">
                <c:v>7.5</c:v>
              </c:pt>
              <c:pt idx="4">
                <c:v>4.2</c:v>
              </c:pt>
              <c:pt idx="5">
                <c:v>4.5999999999999996</c:v>
              </c:pt>
              <c:pt idx="6">
                <c:v>7.1</c:v>
              </c:pt>
              <c:pt idx="7">
                <c:v>8.8000000000000007</c:v>
              </c:pt>
              <c:pt idx="8">
                <c:v>5</c:v>
              </c:pt>
              <c:pt idx="9">
                <c:v>2.6</c:v>
              </c:pt>
              <c:pt idx="10">
                <c:v>6.6</c:v>
              </c:pt>
              <c:pt idx="11">
                <c:v>6.3</c:v>
              </c:pt>
              <c:pt idx="12">
                <c:v>7.6</c:v>
              </c:pt>
              <c:pt idx="13">
                <c:v>4.9000000000000004</c:v>
              </c:pt>
              <c:pt idx="14">
                <c:v>5.8</c:v>
              </c:pt>
              <c:pt idx="15">
                <c:v>2.8</c:v>
              </c:pt>
              <c:pt idx="16">
                <c:v>2.6</c:v>
              </c:pt>
              <c:pt idx="17">
                <c:v>1.5</c:v>
              </c:pt>
              <c:pt idx="18">
                <c:v>3.1</c:v>
              </c:pt>
              <c:pt idx="19">
                <c:v>6.4</c:v>
              </c:pt>
              <c:pt idx="20">
                <c:v>9.4</c:v>
              </c:pt>
              <c:pt idx="21">
                <c:v>10</c:v>
              </c:pt>
              <c:pt idx="22">
                <c:v>9.1999999999999993</c:v>
              </c:pt>
              <c:pt idx="23">
                <c:v>5.6</c:v>
              </c:pt>
              <c:pt idx="24">
                <c:v>10.5</c:v>
              </c:pt>
              <c:pt idx="25">
                <c:v>11.6</c:v>
              </c:pt>
              <c:pt idx="26">
                <c:v>9.8000000000000007</c:v>
              </c:pt>
              <c:pt idx="27">
                <c:v>8.6999999999999993</c:v>
              </c:pt>
              <c:pt idx="28">
                <c:v>7</c:v>
              </c:pt>
              <c:pt idx="29">
                <c:v>6.7</c:v>
              </c:pt>
              <c:pt idx="30">
                <c:v>11.7</c:v>
              </c:pt>
            </c:numLit>
          </c:val>
          <c:smooth val="0"/>
        </c:ser>
        <c:ser>
          <c:idx val="1"/>
          <c:order val="2"/>
          <c:tx>
            <c:v>E (Mean)</c:v>
          </c:tx>
          <c:spPr>
            <a:ln w="38100">
              <a:solidFill>
                <a:srgbClr val="CC99FF"/>
              </a:solidFill>
              <a:prstDash val="lgDash"/>
            </a:ln>
          </c:spPr>
          <c:marker>
            <c:symbol val="none"/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5.5</c:v>
              </c:pt>
              <c:pt idx="1">
                <c:v>5.5</c:v>
              </c:pt>
              <c:pt idx="2">
                <c:v>5.5</c:v>
              </c:pt>
              <c:pt idx="3">
                <c:v>5.5</c:v>
              </c:pt>
              <c:pt idx="4">
                <c:v>5.5</c:v>
              </c:pt>
              <c:pt idx="5">
                <c:v>5.5</c:v>
              </c:pt>
              <c:pt idx="6">
                <c:v>5.5</c:v>
              </c:pt>
              <c:pt idx="7">
                <c:v>5.5</c:v>
              </c:pt>
              <c:pt idx="8">
                <c:v>5.5</c:v>
              </c:pt>
              <c:pt idx="9">
                <c:v>5.5</c:v>
              </c:pt>
              <c:pt idx="10">
                <c:v>5.5</c:v>
              </c:pt>
              <c:pt idx="11">
                <c:v>5.5</c:v>
              </c:pt>
              <c:pt idx="12">
                <c:v>5.5</c:v>
              </c:pt>
              <c:pt idx="13">
                <c:v>5.5</c:v>
              </c:pt>
              <c:pt idx="14">
                <c:v>5.5</c:v>
              </c:pt>
              <c:pt idx="15">
                <c:v>5.5</c:v>
              </c:pt>
              <c:pt idx="16">
                <c:v>5.5</c:v>
              </c:pt>
              <c:pt idx="17">
                <c:v>5.5</c:v>
              </c:pt>
              <c:pt idx="18">
                <c:v>5.5</c:v>
              </c:pt>
              <c:pt idx="19">
                <c:v>5.5</c:v>
              </c:pt>
              <c:pt idx="20">
                <c:v>5.5</c:v>
              </c:pt>
              <c:pt idx="21">
                <c:v>5.5</c:v>
              </c:pt>
              <c:pt idx="22">
                <c:v>5.5</c:v>
              </c:pt>
              <c:pt idx="23">
                <c:v>5.5</c:v>
              </c:pt>
              <c:pt idx="24">
                <c:v>5.5</c:v>
              </c:pt>
              <c:pt idx="25">
                <c:v>5.5</c:v>
              </c:pt>
              <c:pt idx="26">
                <c:v>5.5</c:v>
              </c:pt>
              <c:pt idx="27">
                <c:v>5.5</c:v>
              </c:pt>
              <c:pt idx="28">
                <c:v>5.5</c:v>
              </c:pt>
              <c:pt idx="29">
                <c:v>5.5</c:v>
              </c:pt>
              <c:pt idx="30">
                <c:v>5.5</c:v>
              </c:pt>
            </c:numLit>
          </c:val>
          <c:smooth val="0"/>
        </c:ser>
        <c:ser>
          <c:idx val="3"/>
          <c:order val="3"/>
          <c:tx>
            <c:v>E (Max)</c:v>
          </c:tx>
          <c:spPr>
            <a:ln w="12700">
              <a:solidFill>
                <a:srgbClr val="FFCC99"/>
              </a:solidFill>
              <a:prstDash val="lgDash"/>
            </a:ln>
          </c:spPr>
          <c:marker>
            <c:symbol val="none"/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7.8</c:v>
              </c:pt>
              <c:pt idx="1">
                <c:v>7.8</c:v>
              </c:pt>
              <c:pt idx="2">
                <c:v>7.8</c:v>
              </c:pt>
              <c:pt idx="3">
                <c:v>7.8</c:v>
              </c:pt>
              <c:pt idx="4">
                <c:v>7.8</c:v>
              </c:pt>
              <c:pt idx="5">
                <c:v>7.8</c:v>
              </c:pt>
              <c:pt idx="6">
                <c:v>7.8</c:v>
              </c:pt>
              <c:pt idx="7">
                <c:v>7.8</c:v>
              </c:pt>
              <c:pt idx="8">
                <c:v>7.8</c:v>
              </c:pt>
              <c:pt idx="9">
                <c:v>7.8</c:v>
              </c:pt>
              <c:pt idx="10">
                <c:v>7.8</c:v>
              </c:pt>
              <c:pt idx="11">
                <c:v>7.8</c:v>
              </c:pt>
              <c:pt idx="12">
                <c:v>7.8</c:v>
              </c:pt>
              <c:pt idx="13">
                <c:v>7.8</c:v>
              </c:pt>
              <c:pt idx="14">
                <c:v>7.8</c:v>
              </c:pt>
              <c:pt idx="15">
                <c:v>7.8</c:v>
              </c:pt>
              <c:pt idx="16">
                <c:v>7.8</c:v>
              </c:pt>
              <c:pt idx="17">
                <c:v>7.8</c:v>
              </c:pt>
              <c:pt idx="18">
                <c:v>7.8</c:v>
              </c:pt>
              <c:pt idx="19">
                <c:v>7.8</c:v>
              </c:pt>
              <c:pt idx="20">
                <c:v>7.8</c:v>
              </c:pt>
              <c:pt idx="21">
                <c:v>7.8</c:v>
              </c:pt>
              <c:pt idx="22">
                <c:v>7.8</c:v>
              </c:pt>
              <c:pt idx="23">
                <c:v>7.8</c:v>
              </c:pt>
              <c:pt idx="24">
                <c:v>7.8</c:v>
              </c:pt>
              <c:pt idx="25">
                <c:v>7.8</c:v>
              </c:pt>
              <c:pt idx="26">
                <c:v>7.8</c:v>
              </c:pt>
              <c:pt idx="27">
                <c:v>7.8</c:v>
              </c:pt>
              <c:pt idx="28">
                <c:v>7.8</c:v>
              </c:pt>
              <c:pt idx="29">
                <c:v>7.8</c:v>
              </c:pt>
              <c:pt idx="30">
                <c:v>7.8</c:v>
              </c:pt>
            </c:numLit>
          </c:val>
          <c:smooth val="0"/>
        </c:ser>
        <c:ser>
          <c:idx val="4"/>
          <c:order val="4"/>
          <c:tx>
            <c:v>E (Min)</c:v>
          </c:tx>
          <c:spPr>
            <a:ln w="12700">
              <a:solidFill>
                <a:srgbClr val="00CCFF"/>
              </a:solidFill>
              <a:prstDash val="lgDash"/>
            </a:ln>
          </c:spPr>
          <c:marker>
            <c:symbol val="none"/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3.2</c:v>
              </c:pt>
              <c:pt idx="1">
                <c:v>3.2</c:v>
              </c:pt>
              <c:pt idx="2">
                <c:v>3.2</c:v>
              </c:pt>
              <c:pt idx="3">
                <c:v>3.2</c:v>
              </c:pt>
              <c:pt idx="4">
                <c:v>3.2</c:v>
              </c:pt>
              <c:pt idx="5">
                <c:v>3.2</c:v>
              </c:pt>
              <c:pt idx="6">
                <c:v>3.2</c:v>
              </c:pt>
              <c:pt idx="7">
                <c:v>3.2</c:v>
              </c:pt>
              <c:pt idx="8">
                <c:v>3.2</c:v>
              </c:pt>
              <c:pt idx="9">
                <c:v>3.2</c:v>
              </c:pt>
              <c:pt idx="10">
                <c:v>3.2</c:v>
              </c:pt>
              <c:pt idx="11">
                <c:v>3.2</c:v>
              </c:pt>
              <c:pt idx="12">
                <c:v>3.2</c:v>
              </c:pt>
              <c:pt idx="13">
                <c:v>3.2</c:v>
              </c:pt>
              <c:pt idx="14">
                <c:v>3.2</c:v>
              </c:pt>
              <c:pt idx="15">
                <c:v>3.2</c:v>
              </c:pt>
              <c:pt idx="16">
                <c:v>3.2</c:v>
              </c:pt>
              <c:pt idx="17">
                <c:v>3.2</c:v>
              </c:pt>
              <c:pt idx="18">
                <c:v>3.2</c:v>
              </c:pt>
              <c:pt idx="19">
                <c:v>3.2</c:v>
              </c:pt>
              <c:pt idx="20">
                <c:v>3.2</c:v>
              </c:pt>
              <c:pt idx="21">
                <c:v>3.2</c:v>
              </c:pt>
              <c:pt idx="22">
                <c:v>3.2</c:v>
              </c:pt>
              <c:pt idx="23">
                <c:v>3.2</c:v>
              </c:pt>
              <c:pt idx="24">
                <c:v>3.2</c:v>
              </c:pt>
              <c:pt idx="25">
                <c:v>3.2</c:v>
              </c:pt>
              <c:pt idx="26">
                <c:v>3.2</c:v>
              </c:pt>
              <c:pt idx="27">
                <c:v>3.2</c:v>
              </c:pt>
              <c:pt idx="28">
                <c:v>3.2</c:v>
              </c:pt>
              <c:pt idx="29">
                <c:v>3.2</c:v>
              </c:pt>
              <c:pt idx="30">
                <c:v>3.2</c:v>
              </c:pt>
            </c:numLit>
          </c:val>
          <c:smooth val="0"/>
        </c:ser>
        <c:ser>
          <c:idx val="5"/>
          <c:order val="5"/>
          <c:tx>
            <c:v>Cold Threshold</c:v>
          </c:tx>
          <c:spPr>
            <a:ln w="25400">
              <a:solidFill>
                <a:srgbClr val="0000FF"/>
              </a:solidFill>
              <a:prstDash val="sysDash"/>
            </a:ln>
          </c:spPr>
          <c:marker>
            <c:symbol val="none"/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3.9666666666666668</c:v>
              </c:pt>
              <c:pt idx="1">
                <c:v>3.9666666666666668</c:v>
              </c:pt>
              <c:pt idx="2">
                <c:v>3.9666666666666668</c:v>
              </c:pt>
              <c:pt idx="3">
                <c:v>3.9666666666666668</c:v>
              </c:pt>
              <c:pt idx="4">
                <c:v>3.9666666666666668</c:v>
              </c:pt>
              <c:pt idx="5">
                <c:v>3.9666666666666668</c:v>
              </c:pt>
              <c:pt idx="6">
                <c:v>3.9666666666666668</c:v>
              </c:pt>
              <c:pt idx="7">
                <c:v>3.9666666666666668</c:v>
              </c:pt>
              <c:pt idx="8">
                <c:v>3.9666666666666668</c:v>
              </c:pt>
              <c:pt idx="9">
                <c:v>3.9666666666666668</c:v>
              </c:pt>
              <c:pt idx="10">
                <c:v>3.9666666666666668</c:v>
              </c:pt>
              <c:pt idx="11">
                <c:v>3.9666666666666668</c:v>
              </c:pt>
              <c:pt idx="12">
                <c:v>3.9666666666666668</c:v>
              </c:pt>
              <c:pt idx="13">
                <c:v>3.9666666666666668</c:v>
              </c:pt>
              <c:pt idx="14">
                <c:v>3.9666666666666668</c:v>
              </c:pt>
              <c:pt idx="15">
                <c:v>3.9666666666666668</c:v>
              </c:pt>
              <c:pt idx="16">
                <c:v>3.9666666666666668</c:v>
              </c:pt>
              <c:pt idx="17">
                <c:v>3.9666666666666668</c:v>
              </c:pt>
              <c:pt idx="18">
                <c:v>3.9666666666666668</c:v>
              </c:pt>
              <c:pt idx="19">
                <c:v>3.9666666666666668</c:v>
              </c:pt>
              <c:pt idx="20">
                <c:v>3.9666666666666668</c:v>
              </c:pt>
              <c:pt idx="21">
                <c:v>3.9666666666666668</c:v>
              </c:pt>
              <c:pt idx="22">
                <c:v>3.9666666666666668</c:v>
              </c:pt>
              <c:pt idx="23">
                <c:v>3.9666666666666668</c:v>
              </c:pt>
              <c:pt idx="24">
                <c:v>3.9666666666666668</c:v>
              </c:pt>
              <c:pt idx="25">
                <c:v>3.9666666666666668</c:v>
              </c:pt>
              <c:pt idx="26">
                <c:v>3.9666666666666668</c:v>
              </c:pt>
              <c:pt idx="27">
                <c:v>3.9666666666666668</c:v>
              </c:pt>
              <c:pt idx="28">
                <c:v>3.9666666666666668</c:v>
              </c:pt>
              <c:pt idx="29">
                <c:v>3.9666666666666668</c:v>
              </c:pt>
              <c:pt idx="30">
                <c:v>3.9666666666666668</c:v>
              </c:pt>
            </c:numLit>
          </c:val>
          <c:smooth val="0"/>
        </c:ser>
        <c:ser>
          <c:idx val="6"/>
          <c:order val="6"/>
          <c:tx>
            <c:v>Mild Threshold</c:v>
          </c:tx>
          <c:spPr>
            <a:ln w="25400">
              <a:solidFill>
                <a:srgbClr val="FF6600"/>
              </a:solidFill>
              <a:prstDash val="sysDash"/>
            </a:ln>
          </c:spPr>
          <c:marker>
            <c:symbol val="none"/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7.0333333333333332</c:v>
              </c:pt>
              <c:pt idx="1">
                <c:v>7.0333333333333332</c:v>
              </c:pt>
              <c:pt idx="2">
                <c:v>7.0333333333333332</c:v>
              </c:pt>
              <c:pt idx="3">
                <c:v>7.0333333333333332</c:v>
              </c:pt>
              <c:pt idx="4">
                <c:v>7.0333333333333332</c:v>
              </c:pt>
              <c:pt idx="5">
                <c:v>7.0333333333333332</c:v>
              </c:pt>
              <c:pt idx="6">
                <c:v>7.0333333333333332</c:v>
              </c:pt>
              <c:pt idx="7">
                <c:v>7.0333333333333332</c:v>
              </c:pt>
              <c:pt idx="8">
                <c:v>7.0333333333333332</c:v>
              </c:pt>
              <c:pt idx="9">
                <c:v>7.0333333333333332</c:v>
              </c:pt>
              <c:pt idx="10">
                <c:v>7.0333333333333332</c:v>
              </c:pt>
              <c:pt idx="11">
                <c:v>7.0333333333333332</c:v>
              </c:pt>
              <c:pt idx="12">
                <c:v>7.0333333333333332</c:v>
              </c:pt>
              <c:pt idx="13">
                <c:v>7.0333333333333332</c:v>
              </c:pt>
              <c:pt idx="14">
                <c:v>7.0333333333333332</c:v>
              </c:pt>
              <c:pt idx="15">
                <c:v>7.0333333333333332</c:v>
              </c:pt>
              <c:pt idx="16">
                <c:v>7.0333333333333332</c:v>
              </c:pt>
              <c:pt idx="17">
                <c:v>7.0333333333333332</c:v>
              </c:pt>
              <c:pt idx="18">
                <c:v>7.0333333333333332</c:v>
              </c:pt>
              <c:pt idx="19">
                <c:v>7.0333333333333332</c:v>
              </c:pt>
              <c:pt idx="20">
                <c:v>7.0333333333333332</c:v>
              </c:pt>
              <c:pt idx="21">
                <c:v>7.0333333333333332</c:v>
              </c:pt>
              <c:pt idx="22">
                <c:v>7.0333333333333332</c:v>
              </c:pt>
              <c:pt idx="23">
                <c:v>7.0333333333333332</c:v>
              </c:pt>
              <c:pt idx="24">
                <c:v>7.0333333333333332</c:v>
              </c:pt>
              <c:pt idx="25">
                <c:v>7.0333333333333332</c:v>
              </c:pt>
              <c:pt idx="26">
                <c:v>7.0333333333333332</c:v>
              </c:pt>
              <c:pt idx="27">
                <c:v>7.0333333333333332</c:v>
              </c:pt>
              <c:pt idx="28">
                <c:v>7.0333333333333332</c:v>
              </c:pt>
              <c:pt idx="29">
                <c:v>7.0333333333333332</c:v>
              </c:pt>
              <c:pt idx="30">
                <c:v>7.0333333333333332</c:v>
              </c:pt>
            </c:numLit>
          </c:val>
          <c:smooth val="0"/>
        </c:ser>
        <c:ser>
          <c:idx val="7"/>
          <c:order val="7"/>
          <c:tx>
            <c:v>Freezing Point</c:v>
          </c:tx>
          <c:spPr>
            <a:ln w="38100">
              <a:solidFill>
                <a:srgbClr val="0000FF"/>
              </a:solidFill>
              <a:prstDash val="sysDash"/>
            </a:ln>
          </c:spPr>
          <c:marker>
            <c:symbol val="none"/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</c:numLit>
          </c:val>
          <c:smooth val="0"/>
        </c:ser>
        <c:ser>
          <c:idx val="8"/>
          <c:order val="8"/>
          <c:tx>
            <c:v>Cum. Mean</c:v>
          </c:tx>
          <c:spPr>
            <a:ln w="12700">
              <a:solidFill>
                <a:srgbClr val="993366"/>
              </a:solidFill>
              <a:prstDash val="solid"/>
            </a:ln>
          </c:spPr>
          <c:marker>
            <c:symbol val="circle"/>
            <c:size val="2"/>
            <c:spPr>
              <a:solidFill>
                <a:srgbClr val="800080"/>
              </a:solidFill>
              <a:ln>
                <a:solidFill>
                  <a:srgbClr val="800080"/>
                </a:solidFill>
                <a:prstDash val="solid"/>
              </a:ln>
            </c:spPr>
          </c:marker>
          <c:val>
            <c:numLit>
              <c:formatCode>General</c:formatCode>
              <c:ptCount val="31"/>
              <c:pt idx="0">
                <c:v>9.5</c:v>
              </c:pt>
              <c:pt idx="1">
                <c:v>7.4</c:v>
              </c:pt>
              <c:pt idx="2">
                <c:v>8.2333333333333343</c:v>
              </c:pt>
              <c:pt idx="3">
                <c:v>8.0500000000000007</c:v>
              </c:pt>
              <c:pt idx="4">
                <c:v>7.2800000000000011</c:v>
              </c:pt>
              <c:pt idx="5">
                <c:v>6.8333333333333348</c:v>
              </c:pt>
              <c:pt idx="6">
                <c:v>6.8714285714285728</c:v>
              </c:pt>
              <c:pt idx="7">
                <c:v>7.1125000000000007</c:v>
              </c:pt>
              <c:pt idx="8">
                <c:v>6.8777777777777782</c:v>
              </c:pt>
              <c:pt idx="9">
                <c:v>6.45</c:v>
              </c:pt>
              <c:pt idx="10">
                <c:v>6.463636363636363</c:v>
              </c:pt>
              <c:pt idx="11">
                <c:v>6.4499999999999993</c:v>
              </c:pt>
              <c:pt idx="12">
                <c:v>6.5384615384615374</c:v>
              </c:pt>
              <c:pt idx="13">
                <c:v>6.4214285714285708</c:v>
              </c:pt>
              <c:pt idx="14">
                <c:v>6.379999999999999</c:v>
              </c:pt>
              <c:pt idx="15">
                <c:v>6.1562499999999991</c:v>
              </c:pt>
              <c:pt idx="16">
                <c:v>5.9470588235294102</c:v>
              </c:pt>
              <c:pt idx="17">
                <c:v>5.6999999999999993</c:v>
              </c:pt>
              <c:pt idx="18">
                <c:v>5.5631578947368405</c:v>
              </c:pt>
              <c:pt idx="19">
                <c:v>5.6049999999999986</c:v>
              </c:pt>
              <c:pt idx="20">
                <c:v>5.7857142857142847</c:v>
              </c:pt>
              <c:pt idx="21">
                <c:v>5.9772727272727275</c:v>
              </c:pt>
              <c:pt idx="22">
                <c:v>6.1173913043478256</c:v>
              </c:pt>
              <c:pt idx="23">
                <c:v>6.0958333333333323</c:v>
              </c:pt>
              <c:pt idx="24">
                <c:v>6.2719999999999994</c:v>
              </c:pt>
              <c:pt idx="25">
                <c:v>6.4769230769230761</c:v>
              </c:pt>
              <c:pt idx="26">
                <c:v>6.6</c:v>
              </c:pt>
              <c:pt idx="27">
                <c:v>6.6749999999999989</c:v>
              </c:pt>
              <c:pt idx="28">
                <c:v>6.686206896551723</c:v>
              </c:pt>
              <c:pt idx="29">
                <c:v>6.6866666666666656</c:v>
              </c:pt>
              <c:pt idx="30">
                <c:v>6.848387096774192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355584"/>
        <c:axId val="112361856"/>
      </c:lineChart>
      <c:catAx>
        <c:axId val="112355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2361856"/>
        <c:crossesAt val="-5"/>
        <c:auto val="1"/>
        <c:lblAlgn val="ctr"/>
        <c:lblOffset val="100"/>
        <c:tickLblSkip val="1"/>
        <c:tickMarkSkip val="1"/>
        <c:noMultiLvlLbl val="0"/>
      </c:catAx>
      <c:valAx>
        <c:axId val="112361856"/>
        <c:scaling>
          <c:orientation val="minMax"/>
          <c:max val="12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2355584"/>
        <c:crosses val="autoZero"/>
        <c:crossBetween val="between"/>
        <c:majorUnit val="2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Pressure / Temperature</a:t>
            </a:r>
          </a:p>
        </c:rich>
      </c:tx>
      <c:layout>
        <c:manualLayout>
          <c:xMode val="edge"/>
          <c:yMode val="edge"/>
          <c:x val="0.41566820276497696"/>
          <c:y val="5.251141552511415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5.9907834101382486E-2"/>
          <c:y val="0.12557105622827533"/>
          <c:w val="0.92534562211981564"/>
          <c:h val="0.7625587778226175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993366"/>
              </a:solidFill>
              <a:ln>
                <a:solidFill>
                  <a:srgbClr val="993366"/>
                </a:solidFill>
                <a:prstDash val="solid"/>
              </a:ln>
            </c:spPr>
          </c:marker>
          <c:trendline>
            <c:spPr>
              <a:ln w="12700">
                <a:solidFill>
                  <a:srgbClr val="000080"/>
                </a:solidFill>
                <a:prstDash val="solid"/>
              </a:ln>
            </c:spPr>
            <c:trendlineType val="linear"/>
            <c:forward val="0.5"/>
            <c:backward val="3"/>
            <c:dispRSqr val="1"/>
            <c:dispEq val="1"/>
            <c:trendlineLbl>
              <c:layout>
                <c:manualLayout>
                  <c:xMode val="edge"/>
                  <c:yMode val="edge"/>
                  <c:x val="2.488479262672811E-2"/>
                  <c:y val="0.22602790121089561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175" b="0" i="0" u="none" strike="noStrike" baseline="0">
                      <a:solidFill>
                        <a:srgbClr val="00000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en-US"/>
                </a:p>
              </c:txPr>
            </c:trendlineLbl>
          </c:trendline>
          <c:xVal>
            <c:numLit>
              <c:formatCode>General</c:formatCode>
              <c:ptCount val="31"/>
              <c:pt idx="0">
                <c:v>9.5</c:v>
              </c:pt>
              <c:pt idx="1">
                <c:v>5.3</c:v>
              </c:pt>
              <c:pt idx="2">
                <c:v>9.9</c:v>
              </c:pt>
              <c:pt idx="3">
                <c:v>7.5</c:v>
              </c:pt>
              <c:pt idx="4">
                <c:v>4.2</c:v>
              </c:pt>
              <c:pt idx="5">
                <c:v>4.5999999999999996</c:v>
              </c:pt>
              <c:pt idx="6">
                <c:v>7.1</c:v>
              </c:pt>
              <c:pt idx="7">
                <c:v>8.8000000000000007</c:v>
              </c:pt>
              <c:pt idx="8">
                <c:v>5</c:v>
              </c:pt>
              <c:pt idx="9">
                <c:v>2.6</c:v>
              </c:pt>
              <c:pt idx="10">
                <c:v>6.6</c:v>
              </c:pt>
              <c:pt idx="11">
                <c:v>6.3</c:v>
              </c:pt>
              <c:pt idx="12">
                <c:v>7.6</c:v>
              </c:pt>
              <c:pt idx="13">
                <c:v>4.9000000000000004</c:v>
              </c:pt>
              <c:pt idx="14">
                <c:v>5.8</c:v>
              </c:pt>
              <c:pt idx="15">
                <c:v>2.8</c:v>
              </c:pt>
              <c:pt idx="16">
                <c:v>2.6</c:v>
              </c:pt>
              <c:pt idx="17">
                <c:v>1.5</c:v>
              </c:pt>
              <c:pt idx="18">
                <c:v>3.1</c:v>
              </c:pt>
              <c:pt idx="19">
                <c:v>6.4</c:v>
              </c:pt>
              <c:pt idx="20">
                <c:v>9.4</c:v>
              </c:pt>
              <c:pt idx="21">
                <c:v>10</c:v>
              </c:pt>
              <c:pt idx="22">
                <c:v>9.1999999999999993</c:v>
              </c:pt>
              <c:pt idx="23">
                <c:v>5.6</c:v>
              </c:pt>
              <c:pt idx="24">
                <c:v>10.5</c:v>
              </c:pt>
              <c:pt idx="25">
                <c:v>11.6</c:v>
              </c:pt>
              <c:pt idx="26">
                <c:v>9.8000000000000007</c:v>
              </c:pt>
              <c:pt idx="27">
                <c:v>8.6999999999999993</c:v>
              </c:pt>
              <c:pt idx="28">
                <c:v>7</c:v>
              </c:pt>
              <c:pt idx="29">
                <c:v>6.7</c:v>
              </c:pt>
              <c:pt idx="30">
                <c:v>11.7</c:v>
              </c:pt>
            </c:numLit>
          </c:xVal>
          <c:yVal>
            <c:numLit>
              <c:formatCode>General</c:formatCode>
              <c:ptCount val="31"/>
              <c:pt idx="0">
                <c:v>1007</c:v>
              </c:pt>
              <c:pt idx="1">
                <c:v>1010</c:v>
              </c:pt>
              <c:pt idx="2">
                <c:v>1003</c:v>
              </c:pt>
              <c:pt idx="3">
                <c:v>1000</c:v>
              </c:pt>
              <c:pt idx="4">
                <c:v>1004.5</c:v>
              </c:pt>
              <c:pt idx="5">
                <c:v>1007</c:v>
              </c:pt>
              <c:pt idx="6">
                <c:v>1011</c:v>
              </c:pt>
              <c:pt idx="7">
                <c:v>1010.5</c:v>
              </c:pt>
              <c:pt idx="8">
                <c:v>1010</c:v>
              </c:pt>
              <c:pt idx="9">
                <c:v>1015</c:v>
              </c:pt>
              <c:pt idx="10">
                <c:v>1008.5</c:v>
              </c:pt>
              <c:pt idx="11">
                <c:v>998</c:v>
              </c:pt>
              <c:pt idx="12">
                <c:v>990</c:v>
              </c:pt>
              <c:pt idx="13">
                <c:v>994.5</c:v>
              </c:pt>
              <c:pt idx="14">
                <c:v>994.5</c:v>
              </c:pt>
              <c:pt idx="15">
                <c:v>991.5</c:v>
              </c:pt>
              <c:pt idx="16">
                <c:v>1008.5</c:v>
              </c:pt>
              <c:pt idx="17">
                <c:v>1016.5</c:v>
              </c:pt>
              <c:pt idx="18">
                <c:v>1014</c:v>
              </c:pt>
              <c:pt idx="19">
                <c:v>1015.5</c:v>
              </c:pt>
              <c:pt idx="20">
                <c:v>1018.5</c:v>
              </c:pt>
              <c:pt idx="21">
                <c:v>1024.5</c:v>
              </c:pt>
              <c:pt idx="22">
                <c:v>1016</c:v>
              </c:pt>
              <c:pt idx="23">
                <c:v>1027</c:v>
              </c:pt>
              <c:pt idx="24">
                <c:v>1029</c:v>
              </c:pt>
              <c:pt idx="25">
                <c:v>1032.5</c:v>
              </c:pt>
              <c:pt idx="26">
                <c:v>1031</c:v>
              </c:pt>
              <c:pt idx="27">
                <c:v>1023</c:v>
              </c:pt>
              <c:pt idx="28">
                <c:v>1019.5</c:v>
              </c:pt>
              <c:pt idx="29">
                <c:v>1014.5</c:v>
              </c:pt>
              <c:pt idx="30">
                <c:v>1009.5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526464"/>
        <c:axId val="112528000"/>
      </c:scatterChart>
      <c:valAx>
        <c:axId val="112526464"/>
        <c:scaling>
          <c:orientation val="minMax"/>
          <c:max val="12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2528000"/>
        <c:crosses val="autoZero"/>
        <c:crossBetween val="midCat"/>
        <c:majorUnit val="1"/>
      </c:valAx>
      <c:valAx>
        <c:axId val="112528000"/>
        <c:scaling>
          <c:orientation val="minMax"/>
          <c:max val="1030"/>
          <c:min val="995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2526464"/>
        <c:crossesAt val="-4"/>
        <c:crossBetween val="midCat"/>
        <c:majorUnit val="5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Relative Humidity Range / Temperature Range </a:t>
            </a:r>
          </a:p>
        </c:rich>
      </c:tx>
      <c:layout>
        <c:manualLayout>
          <c:xMode val="edge"/>
          <c:yMode val="edge"/>
          <c:x val="0.34658040665434381"/>
          <c:y val="3.009259259259259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4.3438077634011092E-2"/>
          <c:y val="0.12268546252319906"/>
          <c:w val="0.94177449168207028"/>
          <c:h val="0.76389061571048478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993366"/>
              </a:solidFill>
              <a:ln>
                <a:solidFill>
                  <a:srgbClr val="993366"/>
                </a:solidFill>
                <a:prstDash val="solid"/>
              </a:ln>
            </c:spPr>
          </c:marker>
          <c:trendline>
            <c:spPr>
              <a:ln w="12700">
                <a:solidFill>
                  <a:srgbClr val="0000FF"/>
                </a:solidFill>
                <a:prstDash val="solid"/>
              </a:ln>
            </c:spPr>
            <c:trendlineType val="linear"/>
            <c:forward val="0.5"/>
            <c:backward val="2.5"/>
            <c:dispRSqr val="1"/>
            <c:dispEq val="1"/>
            <c:trendlineLbl>
              <c:layout>
                <c:manualLayout>
                  <c:xMode val="edge"/>
                  <c:yMode val="edge"/>
                  <c:x val="0.12754158964879853"/>
                  <c:y val="2.3148200476075294E-2"/>
                </c:manualLayout>
              </c:layout>
              <c:numFmt formatCode="0.00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200" b="0" i="0" u="none" strike="noStrike" baseline="0">
                      <a:solidFill>
                        <a:srgbClr val="00000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en-US"/>
                </a:p>
              </c:txPr>
            </c:trendlineLbl>
          </c:trendline>
          <c:xVal>
            <c:numLit>
              <c:formatCode>General</c:formatCode>
              <c:ptCount val="31"/>
              <c:pt idx="0">
                <c:v>5.7</c:v>
              </c:pt>
              <c:pt idx="1">
                <c:v>5.4</c:v>
              </c:pt>
              <c:pt idx="2">
                <c:v>3.6</c:v>
              </c:pt>
              <c:pt idx="3">
                <c:v>5.4</c:v>
              </c:pt>
              <c:pt idx="4">
                <c:v>4.5999999999999996</c:v>
              </c:pt>
              <c:pt idx="5">
                <c:v>4</c:v>
              </c:pt>
              <c:pt idx="6">
                <c:v>4.2</c:v>
              </c:pt>
              <c:pt idx="7">
                <c:v>8.9</c:v>
              </c:pt>
              <c:pt idx="8">
                <c:v>5.7</c:v>
              </c:pt>
              <c:pt idx="9">
                <c:v>4.8</c:v>
              </c:pt>
              <c:pt idx="10">
                <c:v>5.5</c:v>
              </c:pt>
              <c:pt idx="11">
                <c:v>7.2</c:v>
              </c:pt>
              <c:pt idx="12">
                <c:v>7.2</c:v>
              </c:pt>
              <c:pt idx="13">
                <c:v>1.9</c:v>
              </c:pt>
              <c:pt idx="14">
                <c:v>3.9</c:v>
              </c:pt>
              <c:pt idx="15">
                <c:v>3.1</c:v>
              </c:pt>
              <c:pt idx="16">
                <c:v>4.5</c:v>
              </c:pt>
              <c:pt idx="17">
                <c:v>5.7</c:v>
              </c:pt>
              <c:pt idx="18">
                <c:v>7.6</c:v>
              </c:pt>
              <c:pt idx="19">
                <c:v>2.4</c:v>
              </c:pt>
              <c:pt idx="20">
                <c:v>5.7</c:v>
              </c:pt>
              <c:pt idx="21">
                <c:v>3.9</c:v>
              </c:pt>
              <c:pt idx="22">
                <c:v>6.6</c:v>
              </c:pt>
              <c:pt idx="23">
                <c:v>5.2</c:v>
              </c:pt>
              <c:pt idx="24">
                <c:v>3.7</c:v>
              </c:pt>
              <c:pt idx="25">
                <c:v>3</c:v>
              </c:pt>
              <c:pt idx="26">
                <c:v>2.2000000000000002</c:v>
              </c:pt>
              <c:pt idx="27">
                <c:v>5.2</c:v>
              </c:pt>
              <c:pt idx="28">
                <c:v>4.7</c:v>
              </c:pt>
              <c:pt idx="29">
                <c:v>5.5</c:v>
              </c:pt>
              <c:pt idx="30">
                <c:v>1.9</c:v>
              </c:pt>
            </c:numLit>
          </c:xVal>
          <c:yVal>
            <c:numLit>
              <c:formatCode>General</c:formatCode>
              <c:ptCount val="31"/>
              <c:pt idx="0">
                <c:v>27</c:v>
              </c:pt>
              <c:pt idx="1">
                <c:v>18</c:v>
              </c:pt>
              <c:pt idx="2">
                <c:v>38</c:v>
              </c:pt>
              <c:pt idx="3">
                <c:v>12</c:v>
              </c:pt>
              <c:pt idx="4">
                <c:v>27</c:v>
              </c:pt>
              <c:pt idx="5">
                <c:v>16</c:v>
              </c:pt>
              <c:pt idx="6">
                <c:v>44</c:v>
              </c:pt>
              <c:pt idx="7">
                <c:v>20</c:v>
              </c:pt>
              <c:pt idx="8">
                <c:v>19</c:v>
              </c:pt>
              <c:pt idx="9">
                <c:v>15</c:v>
              </c:pt>
              <c:pt idx="10">
                <c:v>18</c:v>
              </c:pt>
              <c:pt idx="11">
                <c:v>22</c:v>
              </c:pt>
              <c:pt idx="12">
                <c:v>39</c:v>
              </c:pt>
              <c:pt idx="13">
                <c:v>13</c:v>
              </c:pt>
              <c:pt idx="14">
                <c:v>19</c:v>
              </c:pt>
              <c:pt idx="15">
                <c:v>20</c:v>
              </c:pt>
              <c:pt idx="16">
                <c:v>18</c:v>
              </c:pt>
              <c:pt idx="17">
                <c:v>16</c:v>
              </c:pt>
              <c:pt idx="18">
                <c:v>13</c:v>
              </c:pt>
              <c:pt idx="19">
                <c:v>29</c:v>
              </c:pt>
              <c:pt idx="20">
                <c:v>11</c:v>
              </c:pt>
              <c:pt idx="21">
                <c:v>16</c:v>
              </c:pt>
              <c:pt idx="22">
                <c:v>15</c:v>
              </c:pt>
              <c:pt idx="23">
                <c:v>12</c:v>
              </c:pt>
              <c:pt idx="24">
                <c:v>10</c:v>
              </c:pt>
              <c:pt idx="25">
                <c:v>18</c:v>
              </c:pt>
              <c:pt idx="26">
                <c:v>13</c:v>
              </c:pt>
              <c:pt idx="27">
                <c:v>27</c:v>
              </c:pt>
              <c:pt idx="28">
                <c:v>14</c:v>
              </c:pt>
              <c:pt idx="29">
                <c:v>5</c:v>
              </c:pt>
              <c:pt idx="30">
                <c:v>10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540672"/>
        <c:axId val="112562944"/>
      </c:scatterChart>
      <c:valAx>
        <c:axId val="112540672"/>
        <c:scaling>
          <c:orientation val="minMax"/>
          <c:max val="10"/>
          <c:min val="0"/>
        </c:scaling>
        <c:delete val="0"/>
        <c:axPos val="b"/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2562944"/>
        <c:crossesAt val="0"/>
        <c:crossBetween val="midCat"/>
        <c:majorUnit val="1"/>
      </c:valAx>
      <c:valAx>
        <c:axId val="112562944"/>
        <c:scaling>
          <c:orientation val="minMax"/>
          <c:max val="50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2540672"/>
        <c:crosses val="autoZero"/>
        <c:crossBetween val="midCat"/>
        <c:majorUnit val="10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 horizontalDpi="-3"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Time of Temperature Extremes</a:t>
            </a:r>
          </a:p>
        </c:rich>
      </c:tx>
      <c:layout>
        <c:manualLayout>
          <c:xMode val="edge"/>
          <c:yMode val="edge"/>
          <c:x val="0.41718183558328387"/>
          <c:y val="2.115158636897767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893697095932809E-2"/>
          <c:y val="8.3431257344300819E-2"/>
          <c:w val="0.95859114218917252"/>
          <c:h val="0.86603995299647474"/>
        </c:manualLayout>
      </c:layout>
      <c:lineChart>
        <c:grouping val="standard"/>
        <c:varyColors val="0"/>
        <c:ser>
          <c:idx val="1"/>
          <c:order val="0"/>
          <c:tx>
            <c:v>T Min</c:v>
          </c:tx>
          <c:spPr>
            <a:ln w="28575">
              <a:noFill/>
            </a:ln>
          </c:spPr>
          <c:marker>
            <c:symbol val="circle"/>
            <c:size val="10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2.0833333333333332E-2</c:v>
              </c:pt>
              <c:pt idx="1">
                <c:v>0.31527777777777777</c:v>
              </c:pt>
              <c:pt idx="2">
                <c:v>#N/A</c:v>
              </c:pt>
              <c:pt idx="3">
                <c:v>0.2638888888888889</c:v>
              </c:pt>
              <c:pt idx="4">
                <c:v>0.33611111111111108</c:v>
              </c:pt>
              <c:pt idx="5">
                <c:v>0.16527777777777777</c:v>
              </c:pt>
              <c:pt idx="6">
                <c:v>#N/A</c:v>
              </c:pt>
              <c:pt idx="7">
                <c:v>7.013888888888889E-2</c:v>
              </c:pt>
              <c:pt idx="8">
                <c:v>0.35416666666666669</c:v>
              </c:pt>
              <c:pt idx="9">
                <c:v>0.30972222222222223</c:v>
              </c:pt>
              <c:pt idx="10">
                <c:v>6.1805555555555558E-2</c:v>
              </c:pt>
              <c:pt idx="11">
                <c:v>0.34027777777777773</c:v>
              </c:pt>
              <c:pt idx="12">
                <c:v>0.38194444444444442</c:v>
              </c:pt>
              <c:pt idx="13">
                <c:v>0.31944444444444448</c:v>
              </c:pt>
              <c:pt idx="14">
                <c:v>2.7777777777777779E-3</c:v>
              </c:pt>
              <c:pt idx="15">
                <c:v>0.32430555555555557</c:v>
              </c:pt>
              <c:pt idx="16">
                <c:v>0.30763888888888891</c:v>
              </c:pt>
              <c:pt idx="17">
                <c:v>0.3125</c:v>
              </c:pt>
              <c:pt idx="18">
                <c:v>1.8749999999999999E-2</c:v>
              </c:pt>
              <c:pt idx="19">
                <c:v>0.28611111111111115</c:v>
              </c:pt>
              <c:pt idx="20">
                <c:v>4.1666666666666664E-2</c:v>
              </c:pt>
              <c:pt idx="21">
                <c:v>0.31388888888888888</c:v>
              </c:pt>
              <c:pt idx="22">
                <c:v>0.35416666666666669</c:v>
              </c:pt>
              <c:pt idx="23">
                <c:v>0.34652777777777777</c:v>
              </c:pt>
              <c:pt idx="24">
                <c:v>#N/A</c:v>
              </c:pt>
              <c:pt idx="25">
                <c:v>0.35416666666666669</c:v>
              </c:pt>
              <c:pt idx="26">
                <c:v>0.33333333333333331</c:v>
              </c:pt>
              <c:pt idx="27">
                <c:v>0</c:v>
              </c:pt>
              <c:pt idx="28">
                <c:v>0.15416666666666667</c:v>
              </c:pt>
              <c:pt idx="29">
                <c:v>0.36805555555555558</c:v>
              </c:pt>
              <c:pt idx="30">
                <c:v>#N/A</c:v>
              </c:pt>
            </c:numLit>
          </c:val>
          <c:smooth val="0"/>
        </c:ser>
        <c:ser>
          <c:idx val="2"/>
          <c:order val="1"/>
          <c:tx>
            <c:v>T Max</c:v>
          </c:tx>
          <c:spPr>
            <a:ln w="28575">
              <a:noFill/>
            </a:ln>
          </c:spPr>
          <c:marker>
            <c:symbol val="circle"/>
            <c:size val="10"/>
            <c:spPr>
              <a:solidFill>
                <a:srgbClr val="FF6600"/>
              </a:solidFill>
              <a:ln>
                <a:solidFill>
                  <a:srgbClr val="FF6600"/>
                </a:solidFill>
                <a:prstDash val="solid"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0.5</c:v>
              </c:pt>
              <c:pt idx="1">
                <c:v>0.58333333333333337</c:v>
              </c:pt>
              <c:pt idx="2">
                <c:v>0.54027777777777775</c:v>
              </c:pt>
              <c:pt idx="3">
                <c:v>0.58958333333333335</c:v>
              </c:pt>
              <c:pt idx="4">
                <c:v>0.58194444444444449</c:v>
              </c:pt>
              <c:pt idx="5">
                <c:v>0.60277777777777775</c:v>
              </c:pt>
              <c:pt idx="6">
                <c:v>0.53472222222222221</c:v>
              </c:pt>
              <c:pt idx="7">
                <c:v>#N/A</c:v>
              </c:pt>
              <c:pt idx="8">
                <c:v>0.5854166666666667</c:v>
              </c:pt>
              <c:pt idx="9">
                <c:v>0.63958333333333328</c:v>
              </c:pt>
              <c:pt idx="10">
                <c:v>0.61041666666666672</c:v>
              </c:pt>
              <c:pt idx="11">
                <c:v>0.61111111111111105</c:v>
              </c:pt>
              <c:pt idx="12">
                <c:v>0.54166666666666663</c:v>
              </c:pt>
              <c:pt idx="13">
                <c:v>0.49305555555555558</c:v>
              </c:pt>
              <c:pt idx="14">
                <c:v>0.58750000000000002</c:v>
              </c:pt>
              <c:pt idx="15">
                <c:v>0.625</c:v>
              </c:pt>
              <c:pt idx="16">
                <c:v>0.6069444444444444</c:v>
              </c:pt>
              <c:pt idx="17">
                <c:v>0.58402777777777781</c:v>
              </c:pt>
              <c:pt idx="18">
                <c:v>#N/A</c:v>
              </c:pt>
              <c:pt idx="19">
                <c:v>0.52013888888888882</c:v>
              </c:pt>
              <c:pt idx="20">
                <c:v>#N/A</c:v>
              </c:pt>
              <c:pt idx="21">
                <c:v>0.59236111111111112</c:v>
              </c:pt>
              <c:pt idx="22">
                <c:v>0.47847222222222219</c:v>
              </c:pt>
              <c:pt idx="23">
                <c:v>0.64583333333333337</c:v>
              </c:pt>
              <c:pt idx="24">
                <c:v>0.59375</c:v>
              </c:pt>
              <c:pt idx="25">
                <c:v>0.55763888888888891</c:v>
              </c:pt>
              <c:pt idx="26">
                <c:v>0.47847222222222219</c:v>
              </c:pt>
              <c:pt idx="27">
                <c:v>0.47152777777777777</c:v>
              </c:pt>
              <c:pt idx="28">
                <c:v>0.67222222222222217</c:v>
              </c:pt>
              <c:pt idx="29">
                <c:v>0.58333333333333337</c:v>
              </c:pt>
              <c:pt idx="30">
                <c:v>0.625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5712"/>
        <c:axId val="112597632"/>
      </c:lineChart>
      <c:catAx>
        <c:axId val="1125957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25976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2597632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hh:mm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2595712"/>
        <c:crosses val="autoZero"/>
        <c:crossBetween val="between"/>
        <c:majorUnit val="8.3333333300000006E-2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0.63288029354797892"/>
          <c:y val="0.17156286721504113"/>
          <c:w val="0.79542671195766779"/>
          <c:h val="0.223266745005875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Time of Humidity Extremes</a:t>
            </a:r>
          </a:p>
        </c:rich>
      </c:tx>
      <c:layout>
        <c:manualLayout>
          <c:xMode val="edge"/>
          <c:yMode val="edge"/>
          <c:x val="0.42433600988264358"/>
          <c:y val="1.9953051643192488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891290920321186E-2"/>
          <c:y val="8.4507139115613902E-2"/>
          <c:w val="0.95861642989499696"/>
          <c:h val="0.86502446566954783"/>
        </c:manualLayout>
      </c:layout>
      <c:lineChart>
        <c:grouping val="standard"/>
        <c:varyColors val="0"/>
        <c:ser>
          <c:idx val="0"/>
          <c:order val="0"/>
          <c:tx>
            <c:v>H Min</c:v>
          </c:tx>
          <c:spPr>
            <a:ln w="28575">
              <a:noFill/>
            </a:ln>
          </c:spPr>
          <c:marker>
            <c:symbol val="circle"/>
            <c:size val="10"/>
            <c:spPr>
              <a:solidFill>
                <a:srgbClr val="FF9900"/>
              </a:solidFill>
              <a:ln>
                <a:solidFill>
                  <a:srgbClr val="FF9900"/>
                </a:solidFill>
                <a:prstDash val="solid"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0.55833333333333335</c:v>
              </c:pt>
              <c:pt idx="1">
                <c:v>#N/A</c:v>
              </c:pt>
              <c:pt idx="2">
                <c:v>0.59097222222222223</c:v>
              </c:pt>
              <c:pt idx="3">
                <c:v>0.52152777777777781</c:v>
              </c:pt>
              <c:pt idx="4">
                <c:v>0.60486111111111118</c:v>
              </c:pt>
              <c:pt idx="5">
                <c:v>0.61458333333333337</c:v>
              </c:pt>
              <c:pt idx="6">
                <c:v>0.62777777777777777</c:v>
              </c:pt>
              <c:pt idx="7">
                <c:v>#N/A</c:v>
              </c:pt>
              <c:pt idx="8">
                <c:v>0.56458333333333333</c:v>
              </c:pt>
              <c:pt idx="9">
                <c:v>0.63680555555555551</c:v>
              </c:pt>
              <c:pt idx="10">
                <c:v>0.62847222222222221</c:v>
              </c:pt>
              <c:pt idx="11">
                <c:v>0.65833333333333333</c:v>
              </c:pt>
              <c:pt idx="12">
                <c:v>0.56597222222222221</c:v>
              </c:pt>
              <c:pt idx="13">
                <c:v>0.5</c:v>
              </c:pt>
              <c:pt idx="14">
                <c:v>#N/A</c:v>
              </c:pt>
              <c:pt idx="15">
                <c:v>0.63472222222222219</c:v>
              </c:pt>
              <c:pt idx="16">
                <c:v>0.6479166666666667</c:v>
              </c:pt>
              <c:pt idx="17">
                <c:v>0.64375000000000004</c:v>
              </c:pt>
              <c:pt idx="18">
                <c:v>#N/A</c:v>
              </c:pt>
              <c:pt idx="19">
                <c:v>0.51736111111111105</c:v>
              </c:pt>
              <c:pt idx="20">
                <c:v>#N/A</c:v>
              </c:pt>
              <c:pt idx="21">
                <c:v>0.65277777777777779</c:v>
              </c:pt>
              <c:pt idx="22">
                <c:v>0.4375</c:v>
              </c:pt>
              <c:pt idx="23">
                <c:v>#N/A</c:v>
              </c:pt>
              <c:pt idx="24">
                <c:v>0.63611111111111118</c:v>
              </c:pt>
              <c:pt idx="25">
                <c:v>#N/A</c:v>
              </c:pt>
              <c:pt idx="26">
                <c:v>0.72361111111111109</c:v>
              </c:pt>
              <c:pt idx="27">
                <c:v>0.6791666666666667</c:v>
              </c:pt>
              <c:pt idx="28">
                <c:v>#N/A</c:v>
              </c:pt>
              <c:pt idx="29">
                <c:v>#N/A</c:v>
              </c:pt>
              <c:pt idx="30">
                <c:v>0.61875000000000002</c:v>
              </c:pt>
            </c:numLit>
          </c:val>
          <c:smooth val="0"/>
        </c:ser>
        <c:ser>
          <c:idx val="3"/>
          <c:order val="1"/>
          <c:tx>
            <c:v>H Max</c:v>
          </c:tx>
          <c:spPr>
            <a:ln w="28575">
              <a:noFill/>
            </a:ln>
          </c:spPr>
          <c:marker>
            <c:symbol val="circle"/>
            <c:size val="10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7.7083333333333337E-2</c:v>
              </c:pt>
              <c:pt idx="1">
                <c:v>0.3833333333333333</c:v>
              </c:pt>
              <c:pt idx="2">
                <c:v>0.27083333333333331</c:v>
              </c:pt>
              <c:pt idx="3">
                <c:v>#N/A</c:v>
              </c:pt>
              <c:pt idx="4">
                <c:v>1.7361111111111112E-2</c:v>
              </c:pt>
              <c:pt idx="5">
                <c:v>#N/A</c:v>
              </c:pt>
              <c:pt idx="6">
                <c:v>5.4166666666666669E-2</c:v>
              </c:pt>
              <c:pt idx="7">
                <c:v>#N/A</c:v>
              </c:pt>
              <c:pt idx="8">
                <c:v>#N/A</c:v>
              </c:pt>
              <c:pt idx="9">
                <c:v>0.3833333333333333</c:v>
              </c:pt>
              <c:pt idx="10">
                <c:v>#N/A</c:v>
              </c:pt>
              <c:pt idx="11">
                <c:v>#N/A</c:v>
              </c:pt>
              <c:pt idx="12">
                <c:v>6.5277777777777782E-2</c:v>
              </c:pt>
              <c:pt idx="13">
                <c:v>0.39166666666666666</c:v>
              </c:pt>
              <c:pt idx="14">
                <c:v>#N/A</c:v>
              </c:pt>
              <c:pt idx="15">
                <c:v>0.3979166666666667</c:v>
              </c:pt>
              <c:pt idx="16">
                <c:v>0.41666666666666669</c:v>
              </c:pt>
              <c:pt idx="17">
                <c:v>0.41249999999999998</c:v>
              </c:pt>
              <c:pt idx="18">
                <c:v>#N/A</c:v>
              </c:pt>
              <c:pt idx="19">
                <c:v>0</c:v>
              </c:pt>
              <c:pt idx="20">
                <c:v>0.47638888888888892</c:v>
              </c:pt>
              <c:pt idx="21">
                <c:v>0.39652777777777781</c:v>
              </c:pt>
              <c:pt idx="22">
                <c:v>#N/A</c:v>
              </c:pt>
              <c:pt idx="23">
                <c:v>#N/A</c:v>
              </c:pt>
              <c:pt idx="24">
                <c:v>8.819444444444445E-2</c:v>
              </c:pt>
              <c:pt idx="25">
                <c:v>0.40625</c:v>
              </c:pt>
              <c:pt idx="26">
                <c:v>#N/A</c:v>
              </c:pt>
              <c:pt idx="27">
                <c:v>0.34375</c:v>
              </c:pt>
              <c:pt idx="28">
                <c:v>#N/A</c:v>
              </c:pt>
              <c:pt idx="29">
                <c:v>#N/A</c:v>
              </c:pt>
              <c:pt idx="30">
                <c:v>2.361111111111111E-2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675840"/>
        <c:axId val="112678016"/>
      </c:lineChart>
      <c:catAx>
        <c:axId val="1126758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26780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2678016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hh:mm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2675840"/>
        <c:crosses val="autoZero"/>
        <c:crossBetween val="between"/>
        <c:majorUnit val="8.3333333300000006E-2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0.46263125386040765"/>
          <c:y val="0.10446021712074723"/>
          <c:w val="0.66213712168004946"/>
          <c:h val="0.146713738247507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Time of Max Gust</a:t>
            </a:r>
          </a:p>
        </c:rich>
      </c:tx>
      <c:layout>
        <c:manualLayout>
          <c:xMode val="edge"/>
          <c:yMode val="edge"/>
          <c:x val="0.44814840737500405"/>
          <c:y val="1.99296600234466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8888912331761387E-2"/>
          <c:y val="8.4408020181539978E-2"/>
          <c:w val="0.95864255319405456"/>
          <c:h val="0.86518220686078484"/>
        </c:manualLayout>
      </c:layout>
      <c:lineChart>
        <c:grouping val="standard"/>
        <c:varyColors val="0"/>
        <c:ser>
          <c:idx val="4"/>
          <c:order val="0"/>
          <c:tx>
            <c:v>Gust</c:v>
          </c:tx>
          <c:spPr>
            <a:ln w="28575">
              <a:noFill/>
            </a:ln>
          </c:spPr>
          <c:marker>
            <c:symbol val="circle"/>
            <c:size val="1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7.1527777777777787E-2</c:v>
              </c:pt>
              <c:pt idx="1">
                <c:v>0.91388888888888886</c:v>
              </c:pt>
              <c:pt idx="2">
                <c:v>0.4916666666666667</c:v>
              </c:pt>
              <c:pt idx="3">
                <c:v>0.50208333333333333</c:v>
              </c:pt>
              <c:pt idx="4">
                <c:v>0.52430555555555558</c:v>
              </c:pt>
              <c:pt idx="5">
                <c:v>0.52361111111111114</c:v>
              </c:pt>
              <c:pt idx="6">
                <c:v>0.5444444444444444</c:v>
              </c:pt>
              <c:pt idx="7">
                <c:v>0.62222222222222223</c:v>
              </c:pt>
              <c:pt idx="8">
                <c:v>0.4604166666666667</c:v>
              </c:pt>
              <c:pt idx="9">
                <c:v>0.4381944444444445</c:v>
              </c:pt>
              <c:pt idx="10">
                <c:v>0.71597222222222223</c:v>
              </c:pt>
              <c:pt idx="11">
                <c:v>0.91805555555555562</c:v>
              </c:pt>
              <c:pt idx="12">
                <c:v>0.17499999999999999</c:v>
              </c:pt>
              <c:pt idx="13">
                <c:v>0.56388888888888888</c:v>
              </c:pt>
              <c:pt idx="14">
                <c:v>0.23611111111111113</c:v>
              </c:pt>
              <c:pt idx="20">
                <c:v>0.70833333333333337</c:v>
              </c:pt>
              <c:pt idx="21">
                <c:v>0.53055555555555556</c:v>
              </c:pt>
              <c:pt idx="22">
                <c:v>0.68541666666666667</c:v>
              </c:pt>
              <c:pt idx="23">
                <c:v>1.1805555555555555E-2</c:v>
              </c:pt>
              <c:pt idx="24">
                <c:v>0.62430555555555556</c:v>
              </c:pt>
              <c:pt idx="25">
                <c:v>0.87222222222222223</c:v>
              </c:pt>
              <c:pt idx="26">
                <c:v>1.6666666666666666E-2</c:v>
              </c:pt>
              <c:pt idx="27">
                <c:v>0.64236111111111105</c:v>
              </c:pt>
              <c:pt idx="28">
                <c:v>0.64027777777777783</c:v>
              </c:pt>
              <c:pt idx="29">
                <c:v>9.7222222222222224E-3</c:v>
              </c:pt>
              <c:pt idx="30">
                <c:v>0.57152777777777775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698112"/>
        <c:axId val="112700032"/>
      </c:lineChart>
      <c:catAx>
        <c:axId val="1126981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27000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2700032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hh:mm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2698112"/>
        <c:crosses val="autoZero"/>
        <c:crossBetween val="between"/>
        <c:majorUnit val="8.3333333300000006E-2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 sz="14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Rain Rate / mmh</a:t>
            </a:r>
            <a:r>
              <a:rPr lang="en-GB" sz="1400" b="1" i="0" u="none" strike="noStrike" baseline="30000">
                <a:solidFill>
                  <a:srgbClr val="000000"/>
                </a:solidFill>
                <a:latin typeface="Arial"/>
                <a:cs typeface="Arial"/>
              </a:rPr>
              <a:t>-1</a:t>
            </a:r>
          </a:p>
        </c:rich>
      </c:tx>
      <c:layout>
        <c:manualLayout>
          <c:xMode val="edge"/>
          <c:yMode val="edge"/>
          <c:x val="0.44963144963144963"/>
          <c:y val="1.954022988505747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1.8427518427518427E-2"/>
          <c:y val="9.3103552783262378E-2"/>
          <c:w val="0.96314496314496312"/>
          <c:h val="0.85747222686807079"/>
        </c:manualLayout>
      </c:layout>
      <c:barChart>
        <c:barDir val="col"/>
        <c:grouping val="clustered"/>
        <c:varyColors val="0"/>
        <c:ser>
          <c:idx val="1"/>
          <c:order val="0"/>
          <c:tx>
            <c:v>Mean</c:v>
          </c:tx>
          <c:spPr>
            <a:solidFill>
              <a:srgbClr val="CCFFFF"/>
            </a:solidFill>
            <a:ln w="3175">
              <a:solidFill>
                <a:srgbClr val="333399"/>
              </a:solidFill>
              <a:prstDash val="solid"/>
            </a:ln>
          </c:spPr>
          <c:invertIfNegative val="0"/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0.87142857142857133</c:v>
              </c:pt>
              <c:pt idx="1">
                <c:v>0.3</c:v>
              </c:pt>
              <c:pt idx="2">
                <c:v>0.5</c:v>
              </c:pt>
              <c:pt idx="3">
                <c:v>0.6</c:v>
              </c:pt>
              <c:pt idx="4">
                <c:v>0</c:v>
              </c:pt>
              <c:pt idx="5">
                <c:v>0</c:v>
              </c:pt>
              <c:pt idx="6">
                <c:v>1</c:v>
              </c:pt>
              <c:pt idx="7">
                <c:v>0.8</c:v>
              </c:pt>
              <c:pt idx="8">
                <c:v>0</c:v>
              </c:pt>
              <c:pt idx="9">
                <c:v>0</c:v>
              </c:pt>
              <c:pt idx="10">
                <c:v>2.8</c:v>
              </c:pt>
              <c:pt idx="11">
                <c:v>0.98000000000000009</c:v>
              </c:pt>
              <c:pt idx="12">
                <c:v>3.0333333333333332</c:v>
              </c:pt>
              <c:pt idx="13">
                <c:v>0.6</c:v>
              </c:pt>
              <c:pt idx="14">
                <c:v>0.88000000000000012</c:v>
              </c:pt>
              <c:pt idx="15">
                <c:v>0.78749999999999998</c:v>
              </c:pt>
              <c:pt idx="16">
                <c:v>0.5</c:v>
              </c:pt>
              <c:pt idx="17">
                <c:v>0</c:v>
              </c:pt>
              <c:pt idx="18">
                <c:v>0.65454545454545454</c:v>
              </c:pt>
              <c:pt idx="19">
                <c:v>0.3</c:v>
              </c:pt>
              <c:pt idx="20">
                <c:v>0.33999999999999997</c:v>
              </c:pt>
              <c:pt idx="21">
                <c:v>0</c:v>
              </c:pt>
              <c:pt idx="22">
                <c:v>1.0249999999999999</c:v>
              </c:pt>
              <c:pt idx="23">
                <c:v>0.19999999999999998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1.65</c:v>
              </c:pt>
              <c:pt idx="29">
                <c:v>0.96</c:v>
              </c:pt>
              <c:pt idx="30">
                <c:v>0.3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-80"/>
        <c:axId val="112730880"/>
        <c:axId val="112732416"/>
      </c:barChart>
      <c:barChart>
        <c:barDir val="col"/>
        <c:grouping val="clustered"/>
        <c:varyColors val="0"/>
        <c:ser>
          <c:idx val="0"/>
          <c:order val="1"/>
          <c:tx>
            <c:v>Max</c:v>
          </c:tx>
          <c:spPr>
            <a:solidFill>
              <a:srgbClr val="9999FF"/>
            </a:solidFill>
            <a:ln w="12700">
              <a:solidFill>
                <a:srgbClr val="000080"/>
              </a:solidFill>
              <a:prstDash val="solid"/>
            </a:ln>
          </c:spPr>
          <c:invertIfNegative val="0"/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3.4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1.2</c:v>
              </c:pt>
              <c:pt idx="8">
                <c:v>0</c:v>
              </c:pt>
              <c:pt idx="9">
                <c:v>0</c:v>
              </c:pt>
              <c:pt idx="10">
                <c:v>20</c:v>
              </c:pt>
              <c:pt idx="11">
                <c:v>2.5</c:v>
              </c:pt>
              <c:pt idx="12">
                <c:v>30</c:v>
              </c:pt>
              <c:pt idx="13">
                <c:v>0</c:v>
              </c:pt>
              <c:pt idx="14">
                <c:v>1.3</c:v>
              </c:pt>
              <c:pt idx="15">
                <c:v>1.7</c:v>
              </c:pt>
              <c:pt idx="16">
                <c:v>0</c:v>
              </c:pt>
              <c:pt idx="17">
                <c:v>0</c:v>
              </c:pt>
              <c:pt idx="18">
                <c:v>2.7</c:v>
              </c:pt>
              <c:pt idx="19">
                <c:v>0.5</c:v>
              </c:pt>
              <c:pt idx="20">
                <c:v>0.6</c:v>
              </c:pt>
              <c:pt idx="21">
                <c:v>0</c:v>
              </c:pt>
              <c:pt idx="22">
                <c:v>20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25</c:v>
              </c:pt>
              <c:pt idx="29">
                <c:v>24</c:v>
              </c:pt>
              <c:pt idx="30">
                <c:v>0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0"/>
        <c:overlap val="-100"/>
        <c:axId val="112754688"/>
        <c:axId val="112756224"/>
      </c:barChart>
      <c:catAx>
        <c:axId val="1127308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27324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2732416"/>
        <c:scaling>
          <c:orientation val="minMax"/>
          <c:max val="5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2730880"/>
        <c:crosses val="autoZero"/>
        <c:crossBetween val="between"/>
        <c:majorUnit val="1"/>
      </c:valAx>
      <c:catAx>
        <c:axId val="1127546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2756224"/>
        <c:crosses val="autoZero"/>
        <c:auto val="1"/>
        <c:lblAlgn val="ctr"/>
        <c:lblOffset val="100"/>
        <c:noMultiLvlLbl val="0"/>
      </c:catAx>
      <c:valAx>
        <c:axId val="112756224"/>
        <c:scaling>
          <c:orientation val="minMax"/>
          <c:max val="50"/>
          <c:min val="0"/>
        </c:scaling>
        <c:delete val="0"/>
        <c:axPos val="r"/>
        <c:numFmt formatCode="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2754688"/>
        <c:crosses val="max"/>
        <c:crossBetween val="between"/>
        <c:majorUnit val="10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9.5823095823095825E-2"/>
          <c:y val="0.11034494826077774"/>
          <c:w val="0.24262899262899262"/>
          <c:h val="0.156321959755030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01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Rainfall / mm</a:t>
            </a:r>
          </a:p>
        </c:rich>
      </c:tx>
      <c:layout>
        <c:manualLayout>
          <c:xMode val="edge"/>
          <c:yMode val="edge"/>
          <c:x val="0.47051597051597049"/>
          <c:y val="1.509872241579558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955773955773956E-2"/>
          <c:y val="8.8269554240112152E-2"/>
          <c:w val="0.97297297297297303"/>
          <c:h val="0.85133662181581848"/>
        </c:manualLayout>
      </c:layout>
      <c:barChart>
        <c:barDir val="col"/>
        <c:grouping val="clustered"/>
        <c:varyColors val="0"/>
        <c:ser>
          <c:idx val="0"/>
          <c:order val="0"/>
          <c:tx>
            <c:v>Rainfall</c:v>
          </c:tx>
          <c:spPr>
            <a:solidFill>
              <a:srgbClr val="3366FF"/>
            </a:solidFill>
            <a:ln w="12700">
              <a:solidFill>
                <a:srgbClr val="000080"/>
              </a:solidFill>
              <a:prstDash val="solid"/>
            </a:ln>
          </c:spPr>
          <c:invertIfNegative val="0"/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6.1</c:v>
              </c:pt>
              <c:pt idx="1">
                <c:v>0.3</c:v>
              </c:pt>
              <c:pt idx="2">
                <c:v>0.5</c:v>
              </c:pt>
              <c:pt idx="3">
                <c:v>0.3</c:v>
              </c:pt>
              <c:pt idx="4">
                <c:v>0</c:v>
              </c:pt>
              <c:pt idx="5">
                <c:v>0</c:v>
              </c:pt>
              <c:pt idx="6">
                <c:v>0.3</c:v>
              </c:pt>
              <c:pt idx="7">
                <c:v>0.8</c:v>
              </c:pt>
              <c:pt idx="8">
                <c:v>0</c:v>
              </c:pt>
              <c:pt idx="9">
                <c:v>0</c:v>
              </c:pt>
              <c:pt idx="10">
                <c:v>5.6</c:v>
              </c:pt>
              <c:pt idx="11">
                <c:v>4.9000000000000004</c:v>
              </c:pt>
              <c:pt idx="12">
                <c:v>9.1</c:v>
              </c:pt>
              <c:pt idx="13">
                <c:v>0.3</c:v>
              </c:pt>
              <c:pt idx="14">
                <c:v>2.2000000000000002</c:v>
              </c:pt>
              <c:pt idx="15">
                <c:v>6.3</c:v>
              </c:pt>
              <c:pt idx="16">
                <c:v>0.5</c:v>
              </c:pt>
              <c:pt idx="17">
                <c:v>0</c:v>
              </c:pt>
              <c:pt idx="18">
                <c:v>3.6</c:v>
              </c:pt>
              <c:pt idx="19">
                <c:v>0.9</c:v>
              </c:pt>
              <c:pt idx="20">
                <c:v>1.7</c:v>
              </c:pt>
              <c:pt idx="21">
                <c:v>0</c:v>
              </c:pt>
              <c:pt idx="22">
                <c:v>4.0999999999999996</c:v>
              </c:pt>
              <c:pt idx="23">
                <c:v>0.3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3.3</c:v>
              </c:pt>
              <c:pt idx="29">
                <c:v>4.8</c:v>
              </c:pt>
              <c:pt idx="30">
                <c:v>0.3</c:v>
              </c:pt>
            </c:numLit>
          </c:val>
        </c:ser>
        <c:ser>
          <c:idx val="1"/>
          <c:order val="1"/>
          <c:tx>
            <c:v>Max In Hour</c:v>
          </c:tx>
          <c:spPr>
            <a:solidFill>
              <a:srgbClr val="00CCFF"/>
            </a:solidFill>
            <a:ln w="12700">
              <a:solidFill>
                <a:srgbClr val="0000FF"/>
              </a:solidFill>
              <a:prstDash val="solid"/>
            </a:ln>
          </c:spPr>
          <c:invertIfNegative val="0"/>
          <c:dPt>
            <c:idx val="16"/>
            <c:invertIfNegative val="0"/>
            <c:bubble3D val="0"/>
            <c:spPr>
              <a:solidFill>
                <a:srgbClr val="CCFFFF"/>
              </a:solidFill>
              <a:ln w="12700">
                <a:solidFill>
                  <a:srgbClr val="0000FF"/>
                </a:solidFill>
                <a:prstDash val="solid"/>
              </a:ln>
            </c:spPr>
          </c:dPt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1.7</c:v>
              </c:pt>
              <c:pt idx="1">
                <c:v>0.3</c:v>
              </c:pt>
              <c:pt idx="2">
                <c:v>0.3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0.8</c:v>
              </c:pt>
              <c:pt idx="8">
                <c:v>0</c:v>
              </c:pt>
              <c:pt idx="9">
                <c:v>0</c:v>
              </c:pt>
              <c:pt idx="10">
                <c:v>5.3</c:v>
              </c:pt>
              <c:pt idx="11">
                <c:v>1.7</c:v>
              </c:pt>
              <c:pt idx="12">
                <c:v>4.9000000000000004</c:v>
              </c:pt>
              <c:pt idx="13">
                <c:v>0</c:v>
              </c:pt>
              <c:pt idx="14">
                <c:v>1.4</c:v>
              </c:pt>
              <c:pt idx="15">
                <c:v>1.6</c:v>
              </c:pt>
              <c:pt idx="16">
                <c:v>0.5</c:v>
              </c:pt>
              <c:pt idx="17">
                <c:v>0</c:v>
              </c:pt>
              <c:pt idx="18">
                <c:v>1.4</c:v>
              </c:pt>
              <c:pt idx="19">
                <c:v>0.5</c:v>
              </c:pt>
              <c:pt idx="20">
                <c:v>0.5</c:v>
              </c:pt>
              <c:pt idx="21">
                <c:v>0</c:v>
              </c:pt>
              <c:pt idx="22">
                <c:v>2.8</c:v>
              </c:pt>
              <c:pt idx="23">
                <c:v>0.3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3.3</c:v>
              </c:pt>
              <c:pt idx="29">
                <c:v>1.4</c:v>
              </c:pt>
              <c:pt idx="30">
                <c:v>0.3</c:v>
              </c:pt>
            </c:numLit>
          </c:val>
        </c:ser>
        <c:ser>
          <c:idx val="2"/>
          <c:order val="2"/>
          <c:tx>
            <c:v>Max in 10 Minutes</c:v>
          </c:tx>
          <c:spPr>
            <a:solidFill>
              <a:srgbClr val="99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0.5</c:v>
              </c:pt>
              <c:pt idx="1">
                <c:v>0</c:v>
              </c:pt>
              <c:pt idx="2">
                <c:v>0.3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0.3</c:v>
              </c:pt>
              <c:pt idx="8">
                <c:v>0</c:v>
              </c:pt>
              <c:pt idx="9">
                <c:v>0</c:v>
              </c:pt>
              <c:pt idx="10">
                <c:v>2</c:v>
              </c:pt>
              <c:pt idx="11">
                <c:v>0.6</c:v>
              </c:pt>
              <c:pt idx="12">
                <c:v>3</c:v>
              </c:pt>
              <c:pt idx="13">
                <c:v>0.3</c:v>
              </c:pt>
              <c:pt idx="14">
                <c:v>0.3</c:v>
              </c:pt>
              <c:pt idx="15">
                <c:v>0.5</c:v>
              </c:pt>
              <c:pt idx="16">
                <c:v>0.3</c:v>
              </c:pt>
              <c:pt idx="17">
                <c:v>0</c:v>
              </c:pt>
              <c:pt idx="18">
                <c:v>0.6</c:v>
              </c:pt>
              <c:pt idx="19">
                <c:v>0.3</c:v>
              </c:pt>
              <c:pt idx="20">
                <c:v>0.3</c:v>
              </c:pt>
              <c:pt idx="21">
                <c:v>0</c:v>
              </c:pt>
              <c:pt idx="22">
                <c:v>1.4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1.9</c:v>
              </c:pt>
              <c:pt idx="29">
                <c:v>0.5</c:v>
              </c:pt>
              <c:pt idx="30">
                <c:v>0.3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overlap val="100"/>
        <c:axId val="113323392"/>
        <c:axId val="113325184"/>
      </c:barChart>
      <c:catAx>
        <c:axId val="113323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33251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3325184"/>
        <c:scaling>
          <c:orientation val="minMax"/>
          <c:max val="10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3323392"/>
        <c:crosses val="autoZero"/>
        <c:crossBetween val="between"/>
        <c:majorUnit val="2"/>
      </c:valAx>
      <c:spPr>
        <a:solidFill>
          <a:srgbClr val="969696"/>
        </a:solidFill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3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 horizontalDpi="-3"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Wet Hours / h</a:t>
            </a:r>
          </a:p>
        </c:rich>
      </c:tx>
      <c:layout>
        <c:manualLayout>
          <c:xMode val="edge"/>
          <c:yMode val="edge"/>
          <c:x val="0.47116577299003271"/>
          <c:y val="2.2016222479721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926387535464059E-2"/>
          <c:y val="8.3429895712630361E-2"/>
          <c:w val="0.97361992355849891"/>
          <c:h val="0.8667439165701043"/>
        </c:manualLayout>
      </c:layout>
      <c:barChart>
        <c:barDir val="col"/>
        <c:grouping val="clustered"/>
        <c:varyColors val="0"/>
        <c:ser>
          <c:idx val="2"/>
          <c:order val="0"/>
          <c:tx>
            <c:v>Wet</c:v>
          </c:tx>
          <c:spPr>
            <a:solidFill>
              <a:srgbClr val="00FFFF"/>
            </a:solidFill>
            <a:ln w="12700">
              <a:solidFill>
                <a:srgbClr val="3366FF"/>
              </a:solidFill>
              <a:prstDash val="solid"/>
            </a:ln>
          </c:spPr>
          <c:invertIfNegative val="0"/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7</c:v>
              </c:pt>
              <c:pt idx="1">
                <c:v>1</c:v>
              </c:pt>
              <c:pt idx="2">
                <c:v>1</c:v>
              </c:pt>
              <c:pt idx="3">
                <c:v>0.5</c:v>
              </c:pt>
              <c:pt idx="4">
                <c:v>0</c:v>
              </c:pt>
              <c:pt idx="5">
                <c:v>0.5</c:v>
              </c:pt>
              <c:pt idx="6">
                <c:v>0.3</c:v>
              </c:pt>
              <c:pt idx="7">
                <c:v>1</c:v>
              </c:pt>
              <c:pt idx="8">
                <c:v>0</c:v>
              </c:pt>
              <c:pt idx="9">
                <c:v>0</c:v>
              </c:pt>
              <c:pt idx="10">
                <c:v>2</c:v>
              </c:pt>
              <c:pt idx="11">
                <c:v>5</c:v>
              </c:pt>
              <c:pt idx="12">
                <c:v>3</c:v>
              </c:pt>
              <c:pt idx="13">
                <c:v>0.5</c:v>
              </c:pt>
              <c:pt idx="14">
                <c:v>2.5</c:v>
              </c:pt>
              <c:pt idx="15">
                <c:v>8</c:v>
              </c:pt>
              <c:pt idx="16">
                <c:v>1</c:v>
              </c:pt>
              <c:pt idx="17">
                <c:v>0</c:v>
              </c:pt>
              <c:pt idx="18">
                <c:v>5.5</c:v>
              </c:pt>
              <c:pt idx="19">
                <c:v>3</c:v>
              </c:pt>
              <c:pt idx="20">
                <c:v>5</c:v>
              </c:pt>
              <c:pt idx="21">
                <c:v>0</c:v>
              </c:pt>
              <c:pt idx="22">
                <c:v>4</c:v>
              </c:pt>
              <c:pt idx="23">
                <c:v>1.5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2</c:v>
              </c:pt>
              <c:pt idx="29">
                <c:v>5</c:v>
              </c:pt>
              <c:pt idx="30">
                <c:v>1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overlap val="-10"/>
        <c:axId val="113357568"/>
        <c:axId val="113359104"/>
      </c:barChart>
      <c:catAx>
        <c:axId val="1133575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33591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3359104"/>
        <c:scaling>
          <c:orientation val="minMax"/>
          <c:max val="1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3357568"/>
        <c:crosses val="autoZero"/>
        <c:crossBetween val="between"/>
        <c:majorUnit val="2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Wind Direction Frequency</a:t>
            </a:r>
          </a:p>
        </c:rich>
      </c:tx>
      <c:layout>
        <c:manualLayout>
          <c:xMode val="edge"/>
          <c:yMode val="edge"/>
          <c:x val="0.41263028816676883"/>
          <c:y val="2.243211334120424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9552421827099939"/>
          <c:y val="0.17001190438444533"/>
          <c:w val="0.38320049049662785"/>
          <c:h val="0.73789889055748836"/>
        </c:manualLayout>
      </c:layout>
      <c:radarChart>
        <c:radarStyle val="filled"/>
        <c:varyColors val="1"/>
        <c:ser>
          <c:idx val="0"/>
          <c:order val="0"/>
          <c:tx>
            <c:v>Mean Wind Direction</c:v>
          </c:tx>
          <c:spPr>
            <a:solidFill>
              <a:srgbClr val="FF99CC"/>
            </a:solidFill>
            <a:ln w="38100">
              <a:solidFill>
                <a:srgbClr val="FF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</c:dPt>
          <c:dPt>
            <c:idx val="2"/>
            <c:bubble3D val="0"/>
          </c:dPt>
          <c:dPt>
            <c:idx val="3"/>
            <c:bubble3D val="0"/>
          </c:dPt>
          <c:dPt>
            <c:idx val="4"/>
            <c:bubble3D val="0"/>
          </c:dPt>
          <c:dPt>
            <c:idx val="5"/>
            <c:bubble3D val="0"/>
          </c:dPt>
          <c:dPt>
            <c:idx val="6"/>
            <c:bubble3D val="0"/>
          </c:dPt>
          <c:dPt>
            <c:idx val="7"/>
            <c:bubble3D val="0"/>
          </c:dPt>
          <c:dPt>
            <c:idx val="8"/>
            <c:bubble3D val="0"/>
          </c:dPt>
          <c:dPt>
            <c:idx val="9"/>
            <c:bubble3D val="0"/>
          </c:dPt>
          <c:dPt>
            <c:idx val="10"/>
            <c:bubble3D val="0"/>
          </c:dPt>
          <c:dPt>
            <c:idx val="11"/>
            <c:bubble3D val="0"/>
          </c:dPt>
          <c:dPt>
            <c:idx val="12"/>
            <c:bubble3D val="0"/>
          </c:dPt>
          <c:dPt>
            <c:idx val="13"/>
            <c:bubble3D val="0"/>
          </c:dPt>
          <c:dPt>
            <c:idx val="14"/>
            <c:bubble3D val="0"/>
          </c:dPt>
          <c:dPt>
            <c:idx val="15"/>
            <c:bubble3D val="0"/>
          </c:dPt>
          <c:dLbls>
            <c:dLbl>
              <c:idx val="0"/>
              <c:layout>
                <c:manualLayout>
                  <c:xMode val="edge"/>
                  <c:yMode val="edge"/>
                  <c:x val="0.47332924586143471"/>
                  <c:y val="0.28453381219896751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Mode val="edge"/>
                  <c:yMode val="edge"/>
                  <c:x val="0.54812998160637649"/>
                  <c:y val="0.28453381219896751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layout>
                <c:manualLayout>
                  <c:xMode val="edge"/>
                  <c:yMode val="edge"/>
                  <c:x val="0.63948497854077258"/>
                  <c:y val="0.23612764497839628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layout>
                <c:manualLayout>
                  <c:xMode val="edge"/>
                  <c:yMode val="edge"/>
                  <c:x val="0.77069282648681792"/>
                  <c:y val="0.3140497678212670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4"/>
              <c:layout>
                <c:manualLayout>
                  <c:xMode val="edge"/>
                  <c:yMode val="edge"/>
                  <c:x val="0.77498467198038012"/>
                  <c:y val="0.51948081895247178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5"/>
              <c:layout>
                <c:manualLayout>
                  <c:xMode val="edge"/>
                  <c:yMode val="edge"/>
                  <c:x val="0.76456161863887184"/>
                  <c:y val="0.74616335813173229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6"/>
              <c:layout>
                <c:manualLayout>
                  <c:xMode val="edge"/>
                  <c:yMode val="edge"/>
                  <c:x val="0.68853464132434095"/>
                  <c:y val="0.8736722864200662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7"/>
              <c:layout>
                <c:manualLayout>
                  <c:xMode val="edge"/>
                  <c:yMode val="edge"/>
                  <c:x val="0.59717964438994486"/>
                  <c:y val="0.9610395150620728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8"/>
              <c:layout>
                <c:manualLayout>
                  <c:xMode val="edge"/>
                  <c:yMode val="edge"/>
                  <c:x val="0.47455548743102394"/>
                  <c:y val="0.9610395150620728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9"/>
              <c:layout>
                <c:manualLayout>
                  <c:xMode val="edge"/>
                  <c:yMode val="edge"/>
                  <c:x val="0.33353770692826484"/>
                  <c:y val="0.9610395150620728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0"/>
              <c:layout>
                <c:manualLayout>
                  <c:xMode val="edge"/>
                  <c:yMode val="edge"/>
                  <c:x val="0.26670754138565295"/>
                  <c:y val="0.88311739221920205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1"/>
              <c:layout>
                <c:manualLayout>
                  <c:xMode val="edge"/>
                  <c:yMode val="edge"/>
                  <c:x val="0.25567136725935008"/>
                  <c:y val="0.674144426413321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2"/>
              <c:layout>
                <c:manualLayout>
                  <c:xMode val="edge"/>
                  <c:yMode val="edge"/>
                  <c:x val="0.26977314530962598"/>
                  <c:y val="0.5230227336271478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3"/>
              <c:layout>
                <c:manualLayout>
                  <c:xMode val="edge"/>
                  <c:yMode val="edge"/>
                  <c:x val="0.27038626609442062"/>
                  <c:y val="0.3837074230898939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4"/>
              <c:layout>
                <c:manualLayout>
                  <c:xMode val="edge"/>
                  <c:yMode val="edge"/>
                  <c:x val="0.32127529123237275"/>
                  <c:y val="0.26564360060069581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5"/>
              <c:layout>
                <c:manualLayout>
                  <c:xMode val="edge"/>
                  <c:yMode val="edge"/>
                  <c:x val="0.39239730226854691"/>
                  <c:y val="0.22904381562904438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1" i="0" u="none" strike="noStrike" baseline="0">
                    <a:solidFill>
                      <a:srgbClr val="FF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Lit>
              <c:ptCount val="16"/>
              <c:pt idx="0">
                <c:v>N</c:v>
              </c:pt>
              <c:pt idx="1">
                <c:v>NNE</c:v>
              </c:pt>
              <c:pt idx="2">
                <c:v>NE</c:v>
              </c:pt>
              <c:pt idx="3">
                <c:v>ENE</c:v>
              </c:pt>
              <c:pt idx="4">
                <c:v>E</c:v>
              </c:pt>
              <c:pt idx="5">
                <c:v>ESE</c:v>
              </c:pt>
              <c:pt idx="6">
                <c:v>SE</c:v>
              </c:pt>
              <c:pt idx="7">
                <c:v>SSE</c:v>
              </c:pt>
              <c:pt idx="8">
                <c:v>S</c:v>
              </c:pt>
              <c:pt idx="9">
                <c:v>SSW</c:v>
              </c:pt>
              <c:pt idx="10">
                <c:v>SW</c:v>
              </c:pt>
              <c:pt idx="11">
                <c:v>WSW</c:v>
              </c:pt>
              <c:pt idx="12">
                <c:v>W</c:v>
              </c:pt>
              <c:pt idx="13">
                <c:v>WNW</c:v>
              </c:pt>
              <c:pt idx="14">
                <c:v>NW</c:v>
              </c:pt>
              <c:pt idx="15">
                <c:v>NNW</c:v>
              </c:pt>
            </c:strLit>
          </c:cat>
          <c:val>
            <c:numLit>
              <c:formatCode>General</c:formatCode>
              <c:ptCount val="16"/>
              <c:pt idx="0">
                <c:v>5.1999999999999998E-2</c:v>
              </c:pt>
              <c:pt idx="1">
                <c:v>3.5999999999999997E-2</c:v>
              </c:pt>
              <c:pt idx="2">
                <c:v>6.2E-2</c:v>
              </c:pt>
              <c:pt idx="3">
                <c:v>0.13800000000000001</c:v>
              </c:pt>
              <c:pt idx="4">
                <c:v>9.6000000000000002E-2</c:v>
              </c:pt>
              <c:pt idx="5">
                <c:v>8.1000000000000003E-2</c:v>
              </c:pt>
              <c:pt idx="6">
                <c:v>5.0999999999999997E-2</c:v>
              </c:pt>
              <c:pt idx="7">
                <c:v>5.0999999999999997E-2</c:v>
              </c:pt>
              <c:pt idx="8">
                <c:v>0.112</c:v>
              </c:pt>
              <c:pt idx="9">
                <c:v>0.123</c:v>
              </c:pt>
              <c:pt idx="10">
                <c:v>7.2999999999999995E-2</c:v>
              </c:pt>
              <c:pt idx="11">
                <c:v>4.3999999999999997E-2</c:v>
              </c:pt>
              <c:pt idx="12">
                <c:v>0.02</c:v>
              </c:pt>
              <c:pt idx="13">
                <c:v>1.4E-2</c:v>
              </c:pt>
              <c:pt idx="14">
                <c:v>1.9E-2</c:v>
              </c:pt>
              <c:pt idx="15">
                <c:v>2.8000000000000001E-2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511424"/>
        <c:axId val="113537792"/>
      </c:radarChart>
      <c:catAx>
        <c:axId val="113511424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3537792"/>
        <c:crosses val="autoZero"/>
        <c:auto val="0"/>
        <c:lblAlgn val="ctr"/>
        <c:lblOffset val="100"/>
        <c:noMultiLvlLbl val="0"/>
      </c:catAx>
      <c:valAx>
        <c:axId val="113537792"/>
        <c:scaling>
          <c:orientation val="minMax"/>
          <c:max val="0.2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General" sourceLinked="1"/>
        <c:majorTickMark val="cross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3511424"/>
        <c:crosses val="autoZero"/>
        <c:crossBetween val="between"/>
        <c:majorUnit val="0.05"/>
      </c:valAx>
      <c:spPr>
        <a:solidFill>
          <a:srgbClr val="C0C0C0"/>
        </a:solidFill>
        <a:ln w="25400">
          <a:noFill/>
        </a:ln>
      </c:spPr>
    </c:plotArea>
    <c:plotVisOnly val="1"/>
    <c:dispBlanksAs val="gap"/>
    <c:showDLblsOverMax val="0"/>
  </c:chart>
  <c:spPr>
    <a:solidFill>
      <a:srgbClr val="C0C0C0"/>
    </a:solidFill>
    <a:ln w="3175">
      <a:solidFill>
        <a:srgbClr val="000000"/>
      </a:solidFill>
      <a:prstDash val="solid"/>
    </a:ln>
  </c:spPr>
  <c:txPr>
    <a:bodyPr/>
    <a:lstStyle/>
    <a:p>
      <a:pPr>
        <a:defRPr sz="23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 horizontalDpi="-3"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Mean Wind Direction Frequency</a:t>
            </a:r>
          </a:p>
        </c:rich>
      </c:tx>
      <c:layout>
        <c:manualLayout>
          <c:xMode val="edge"/>
          <c:yMode val="edge"/>
          <c:x val="0.40321620011911852"/>
          <c:y val="2.582159624413145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0613460393091124"/>
          <c:y val="0.1596245961072707"/>
          <c:w val="0.37760571768910067"/>
          <c:h val="0.74413230832360022"/>
        </c:manualLayout>
      </c:layout>
      <c:radarChart>
        <c:radarStyle val="filled"/>
        <c:varyColors val="1"/>
        <c:ser>
          <c:idx val="0"/>
          <c:order val="0"/>
          <c:tx>
            <c:v>Mean Wind Direction</c:v>
          </c:tx>
          <c:spPr>
            <a:solidFill>
              <a:srgbClr val="FF99CC"/>
            </a:solidFill>
            <a:ln w="38100">
              <a:solidFill>
                <a:srgbClr val="FF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</c:dPt>
          <c:dPt>
            <c:idx val="2"/>
            <c:bubble3D val="0"/>
          </c:dPt>
          <c:dPt>
            <c:idx val="3"/>
            <c:bubble3D val="0"/>
          </c:dPt>
          <c:dPt>
            <c:idx val="4"/>
            <c:bubble3D val="0"/>
          </c:dPt>
          <c:dPt>
            <c:idx val="5"/>
            <c:bubble3D val="0"/>
          </c:dPt>
          <c:dPt>
            <c:idx val="6"/>
            <c:bubble3D val="0"/>
          </c:dPt>
          <c:dPt>
            <c:idx val="7"/>
            <c:bubble3D val="0"/>
          </c:dPt>
          <c:dLbls>
            <c:dLbl>
              <c:idx val="0"/>
              <c:layout>
                <c:manualLayout>
                  <c:xMode val="edge"/>
                  <c:yMode val="edge"/>
                  <c:x val="0.49136390708755212"/>
                  <c:y val="0.3802821260202625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Mode val="edge"/>
                  <c:yMode val="edge"/>
                  <c:x val="0.63311494937462776"/>
                  <c:y val="0.2605636789398095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layout>
                <c:manualLayout>
                  <c:xMode val="edge"/>
                  <c:yMode val="edge"/>
                  <c:x val="0.65276950565812986"/>
                  <c:y val="0.5152588065521458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layout>
                <c:manualLayout>
                  <c:xMode val="edge"/>
                  <c:yMode val="edge"/>
                  <c:x val="0.67301965455628354"/>
                  <c:y val="0.81690234478426771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4"/>
              <c:layout>
                <c:manualLayout>
                  <c:xMode val="edge"/>
                  <c:yMode val="edge"/>
                  <c:x val="0.49136390708755212"/>
                  <c:y val="0.9284048200062582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5"/>
              <c:layout>
                <c:manualLayout>
                  <c:xMode val="edge"/>
                  <c:yMode val="edge"/>
                  <c:x val="0.21798689696247767"/>
                  <c:y val="0.9600949971746134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6"/>
              <c:layout>
                <c:manualLayout>
                  <c:xMode val="edge"/>
                  <c:yMode val="edge"/>
                  <c:x val="0.20845741512805241"/>
                  <c:y val="0.51760622708313508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7"/>
              <c:layout>
                <c:manualLayout>
                  <c:xMode val="edge"/>
                  <c:yMode val="edge"/>
                  <c:x val="0.36152471709350803"/>
                  <c:y val="0.2852115945151969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50" b="1" i="0" u="none" strike="noStrike" baseline="0">
                    <a:solidFill>
                      <a:srgbClr val="FF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Lit>
              <c:ptCount val="8"/>
              <c:pt idx="0">
                <c:v>N</c:v>
              </c:pt>
              <c:pt idx="1">
                <c:v>NE</c:v>
              </c:pt>
              <c:pt idx="2">
                <c:v>E</c:v>
              </c:pt>
              <c:pt idx="3">
                <c:v>SE</c:v>
              </c:pt>
              <c:pt idx="4">
                <c:v>S</c:v>
              </c:pt>
              <c:pt idx="5">
                <c:v>SW</c:v>
              </c:pt>
              <c:pt idx="6">
                <c:v>W</c:v>
              </c:pt>
              <c:pt idx="7">
                <c:v>NW</c:v>
              </c:pt>
            </c:strLit>
          </c:cat>
          <c:val>
            <c:numLit>
              <c:formatCode>General</c:formatCode>
              <c:ptCount val="8"/>
              <c:pt idx="0">
                <c:v>1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1</c:v>
              </c:pt>
              <c:pt idx="5">
                <c:v>17</c:v>
              </c:pt>
              <c:pt idx="6">
                <c:v>12</c:v>
              </c:pt>
              <c:pt idx="7">
                <c:v>0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576576"/>
        <c:axId val="113586560"/>
      </c:radarChart>
      <c:catAx>
        <c:axId val="113576576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3586560"/>
        <c:crosses val="autoZero"/>
        <c:auto val="0"/>
        <c:lblAlgn val="ctr"/>
        <c:lblOffset val="100"/>
        <c:noMultiLvlLbl val="0"/>
      </c:catAx>
      <c:valAx>
        <c:axId val="113586560"/>
        <c:scaling>
          <c:orientation val="minMax"/>
          <c:max val="20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3576576"/>
        <c:crosses val="autoZero"/>
        <c:crossBetween val="between"/>
        <c:majorUnit val="5"/>
      </c:valAx>
      <c:spPr>
        <a:solidFill>
          <a:srgbClr val="C0C0C0"/>
        </a:solidFill>
        <a:ln w="25400">
          <a:noFill/>
        </a:ln>
      </c:spPr>
    </c:plotArea>
    <c:plotVisOnly val="1"/>
    <c:dispBlanksAs val="gap"/>
    <c:showDLblsOverMax val="0"/>
  </c:chart>
  <c:spPr>
    <a:solidFill>
      <a:srgbClr val="C0C0C0"/>
    </a:solidFill>
    <a:ln w="3175">
      <a:solidFill>
        <a:srgbClr val="000000"/>
      </a:solidFill>
      <a:prstDash val="solid"/>
    </a:ln>
  </c:spPr>
  <c:txPr>
    <a:bodyPr/>
    <a:lstStyle/>
    <a:p>
      <a:pPr>
        <a:defRPr sz="23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7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 sz="14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Temperature / °C   </a:t>
            </a:r>
          </a:p>
        </c:rich>
      </c:tx>
      <c:layout>
        <c:manualLayout>
          <c:xMode val="edge"/>
          <c:yMode val="edge"/>
          <c:x val="0.44996905529754716"/>
          <c:y val="2.093023255813953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4238664906951896E-2"/>
          <c:y val="8.0232558139534879E-2"/>
          <c:w val="0.95711651171040812"/>
          <c:h val="0.86976744186046506"/>
        </c:manualLayout>
      </c:layout>
      <c:lineChart>
        <c:grouping val="standard"/>
        <c:varyColors val="0"/>
        <c:ser>
          <c:idx val="0"/>
          <c:order val="0"/>
          <c:tx>
            <c:v>Min</c:v>
          </c:tx>
          <c:spPr>
            <a:ln w="38100">
              <a:solidFill>
                <a:srgbClr val="0000FF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5.9</c:v>
              </c:pt>
              <c:pt idx="1">
                <c:v>2.7</c:v>
              </c:pt>
              <c:pt idx="2">
                <c:v>7.7</c:v>
              </c:pt>
              <c:pt idx="3">
                <c:v>3.9</c:v>
              </c:pt>
              <c:pt idx="4">
                <c:v>2.2999999999999998</c:v>
              </c:pt>
              <c:pt idx="5">
                <c:v>2.6</c:v>
              </c:pt>
              <c:pt idx="6">
                <c:v>4.5</c:v>
              </c:pt>
              <c:pt idx="7">
                <c:v>3.8</c:v>
              </c:pt>
              <c:pt idx="8">
                <c:v>1.9</c:v>
              </c:pt>
              <c:pt idx="9">
                <c:v>0.3</c:v>
              </c:pt>
              <c:pt idx="10">
                <c:v>3</c:v>
              </c:pt>
              <c:pt idx="11">
                <c:v>2.7</c:v>
              </c:pt>
              <c:pt idx="12">
                <c:v>4.4000000000000004</c:v>
              </c:pt>
              <c:pt idx="13">
                <c:v>4</c:v>
              </c:pt>
              <c:pt idx="14">
                <c:v>4</c:v>
              </c:pt>
              <c:pt idx="15">
                <c:v>1</c:v>
              </c:pt>
              <c:pt idx="16">
                <c:v>0.6</c:v>
              </c:pt>
              <c:pt idx="17">
                <c:v>-0.9</c:v>
              </c:pt>
              <c:pt idx="18">
                <c:v>-1.3</c:v>
              </c:pt>
              <c:pt idx="19">
                <c:v>5.3</c:v>
              </c:pt>
              <c:pt idx="20">
                <c:v>6.1</c:v>
              </c:pt>
              <c:pt idx="21">
                <c:v>8</c:v>
              </c:pt>
              <c:pt idx="22">
                <c:v>4.5999999999999996</c:v>
              </c:pt>
              <c:pt idx="23">
                <c:v>3</c:v>
              </c:pt>
              <c:pt idx="24">
                <c:v>8.1999999999999993</c:v>
              </c:pt>
              <c:pt idx="25">
                <c:v>9.9</c:v>
              </c:pt>
              <c:pt idx="26">
                <c:v>8.1999999999999993</c:v>
              </c:pt>
              <c:pt idx="27">
                <c:v>5.6</c:v>
              </c:pt>
              <c:pt idx="28">
                <c:v>5</c:v>
              </c:pt>
              <c:pt idx="29">
                <c:v>5.0999999999999996</c:v>
              </c:pt>
              <c:pt idx="30">
                <c:v>10.6</c:v>
              </c:pt>
            </c:numLit>
          </c:val>
          <c:smooth val="0"/>
        </c:ser>
        <c:ser>
          <c:idx val="1"/>
          <c:order val="1"/>
          <c:tx>
            <c:v>Max</c:v>
          </c:tx>
          <c:spPr>
            <a:ln w="38100">
              <a:solidFill>
                <a:srgbClr val="FF6600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993300"/>
              </a:solidFill>
              <a:ln>
                <a:solidFill>
                  <a:srgbClr val="993300"/>
                </a:solidFill>
                <a:prstDash val="solid"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11.6</c:v>
              </c:pt>
              <c:pt idx="1">
                <c:v>8.1</c:v>
              </c:pt>
              <c:pt idx="2">
                <c:v>11.3</c:v>
              </c:pt>
              <c:pt idx="3">
                <c:v>9.3000000000000007</c:v>
              </c:pt>
              <c:pt idx="4">
                <c:v>6.9</c:v>
              </c:pt>
              <c:pt idx="5">
                <c:v>6.6</c:v>
              </c:pt>
              <c:pt idx="6">
                <c:v>8.6999999999999993</c:v>
              </c:pt>
              <c:pt idx="7">
                <c:v>12.7</c:v>
              </c:pt>
              <c:pt idx="8">
                <c:v>7.6</c:v>
              </c:pt>
              <c:pt idx="9">
                <c:v>5.0999999999999996</c:v>
              </c:pt>
              <c:pt idx="10">
                <c:v>8.6</c:v>
              </c:pt>
              <c:pt idx="11">
                <c:v>9.9</c:v>
              </c:pt>
              <c:pt idx="12">
                <c:v>11.6</c:v>
              </c:pt>
              <c:pt idx="13">
                <c:v>5.9</c:v>
              </c:pt>
              <c:pt idx="14">
                <c:v>7.9</c:v>
              </c:pt>
              <c:pt idx="15">
                <c:v>4.0999999999999996</c:v>
              </c:pt>
              <c:pt idx="16">
                <c:v>5.0999999999999996</c:v>
              </c:pt>
              <c:pt idx="17">
                <c:v>4.8</c:v>
              </c:pt>
              <c:pt idx="18">
                <c:v>6.3</c:v>
              </c:pt>
              <c:pt idx="19">
                <c:v>7.7</c:v>
              </c:pt>
              <c:pt idx="20">
                <c:v>11.8</c:v>
              </c:pt>
              <c:pt idx="21">
                <c:v>11.9</c:v>
              </c:pt>
              <c:pt idx="22">
                <c:v>11.2</c:v>
              </c:pt>
              <c:pt idx="23">
                <c:v>8.1999999999999993</c:v>
              </c:pt>
              <c:pt idx="24">
                <c:v>11.9</c:v>
              </c:pt>
              <c:pt idx="25">
                <c:v>12.9</c:v>
              </c:pt>
              <c:pt idx="26">
                <c:v>10.4</c:v>
              </c:pt>
              <c:pt idx="27">
                <c:v>10.8</c:v>
              </c:pt>
              <c:pt idx="28">
                <c:v>9.6999999999999993</c:v>
              </c:pt>
              <c:pt idx="29">
                <c:v>10.6</c:v>
              </c:pt>
              <c:pt idx="30">
                <c:v>12.5</c:v>
              </c:pt>
            </c:numLit>
          </c:val>
          <c:smooth val="0"/>
        </c:ser>
        <c:ser>
          <c:idx val="7"/>
          <c:order val="2"/>
          <c:tx>
            <c:v>Cumulative Min</c:v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x"/>
            <c:size val="2"/>
            <c:spPr>
              <a:noFill/>
              <a:ln>
                <a:solidFill>
                  <a:srgbClr val="0000FF"/>
                </a:solidFill>
                <a:prstDash val="solid"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5.9</c:v>
              </c:pt>
              <c:pt idx="1">
                <c:v>4.3000000000000007</c:v>
              </c:pt>
              <c:pt idx="2">
                <c:v>5.4333333333333336</c:v>
              </c:pt>
              <c:pt idx="3">
                <c:v>5.05</c:v>
              </c:pt>
              <c:pt idx="4">
                <c:v>4.5</c:v>
              </c:pt>
              <c:pt idx="5">
                <c:v>4.1833333333333336</c:v>
              </c:pt>
              <c:pt idx="6">
                <c:v>4.2285714285714286</c:v>
              </c:pt>
              <c:pt idx="7">
                <c:v>4.1749999999999998</c:v>
              </c:pt>
              <c:pt idx="8">
                <c:v>3.9222222222222221</c:v>
              </c:pt>
              <c:pt idx="9">
                <c:v>3.5599999999999996</c:v>
              </c:pt>
              <c:pt idx="10">
                <c:v>3.5090909090909084</c:v>
              </c:pt>
              <c:pt idx="11">
                <c:v>3.4416666666666664</c:v>
              </c:pt>
              <c:pt idx="12">
                <c:v>3.5153846153846149</c:v>
              </c:pt>
              <c:pt idx="13">
                <c:v>3.55</c:v>
              </c:pt>
              <c:pt idx="14">
                <c:v>3.5799999999999996</c:v>
              </c:pt>
              <c:pt idx="15">
                <c:v>3.4187499999999997</c:v>
              </c:pt>
              <c:pt idx="16">
                <c:v>3.2529411764705882</c:v>
              </c:pt>
              <c:pt idx="17">
                <c:v>3.0222222222222221</c:v>
              </c:pt>
              <c:pt idx="18">
                <c:v>2.7947368421052632</c:v>
              </c:pt>
              <c:pt idx="19">
                <c:v>2.92</c:v>
              </c:pt>
              <c:pt idx="20">
                <c:v>3.0714285714285716</c:v>
              </c:pt>
              <c:pt idx="21">
                <c:v>3.2954545454545454</c:v>
              </c:pt>
              <c:pt idx="22">
                <c:v>3.3521739130434782</c:v>
              </c:pt>
              <c:pt idx="23">
                <c:v>3.3374999999999999</c:v>
              </c:pt>
              <c:pt idx="24">
                <c:v>3.532</c:v>
              </c:pt>
              <c:pt idx="25">
                <c:v>3.7769230769230768</c:v>
              </c:pt>
              <c:pt idx="26">
                <c:v>3.9407407407407411</c:v>
              </c:pt>
              <c:pt idx="27">
                <c:v>4</c:v>
              </c:pt>
              <c:pt idx="28">
                <c:v>4.0344827586206895</c:v>
              </c:pt>
              <c:pt idx="29">
                <c:v>4.0699999999999994</c:v>
              </c:pt>
              <c:pt idx="30">
                <c:v>4.2806451612903222</c:v>
              </c:pt>
            </c:numLit>
          </c:val>
          <c:smooth val="0"/>
        </c:ser>
        <c:ser>
          <c:idx val="6"/>
          <c:order val="3"/>
          <c:tx>
            <c:v>Cumulative Max</c:v>
          </c:tx>
          <c:spPr>
            <a:ln w="12700">
              <a:solidFill>
                <a:srgbClr val="FF9900"/>
              </a:solidFill>
              <a:prstDash val="solid"/>
            </a:ln>
          </c:spPr>
          <c:marker>
            <c:symbol val="plus"/>
            <c:size val="2"/>
            <c:spPr>
              <a:noFill/>
              <a:ln>
                <a:solidFill>
                  <a:srgbClr val="FF6600"/>
                </a:solidFill>
                <a:prstDash val="solid"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11.6</c:v>
              </c:pt>
              <c:pt idx="1">
                <c:v>9.85</c:v>
              </c:pt>
              <c:pt idx="2">
                <c:v>10.333333333333334</c:v>
              </c:pt>
              <c:pt idx="3">
                <c:v>10.074999999999999</c:v>
              </c:pt>
              <c:pt idx="4">
                <c:v>9.44</c:v>
              </c:pt>
              <c:pt idx="5">
                <c:v>8.9666666666666668</c:v>
              </c:pt>
              <c:pt idx="6">
                <c:v>8.9285714285714288</c:v>
              </c:pt>
              <c:pt idx="7">
                <c:v>9.4</c:v>
              </c:pt>
              <c:pt idx="8">
                <c:v>9.1999999999999993</c:v>
              </c:pt>
              <c:pt idx="9">
                <c:v>8.7899999999999991</c:v>
              </c:pt>
              <c:pt idx="10">
                <c:v>8.7727272727272716</c:v>
              </c:pt>
              <c:pt idx="11">
                <c:v>8.8666666666666654</c:v>
              </c:pt>
              <c:pt idx="12">
                <c:v>9.0769230769230766</c:v>
              </c:pt>
              <c:pt idx="13">
                <c:v>8.85</c:v>
              </c:pt>
              <c:pt idx="14">
                <c:v>8.7866666666666653</c:v>
              </c:pt>
              <c:pt idx="15">
                <c:v>8.4937499999999986</c:v>
              </c:pt>
              <c:pt idx="16">
                <c:v>8.2941176470588225</c:v>
              </c:pt>
              <c:pt idx="17">
                <c:v>8.1</c:v>
              </c:pt>
              <c:pt idx="18">
                <c:v>8.0052631578947366</c:v>
              </c:pt>
              <c:pt idx="19">
                <c:v>7.9899999999999993</c:v>
              </c:pt>
              <c:pt idx="20">
                <c:v>8.1714285714285708</c:v>
              </c:pt>
              <c:pt idx="21">
                <c:v>8.3409090909090917</c:v>
              </c:pt>
              <c:pt idx="22">
                <c:v>8.465217391304348</c:v>
              </c:pt>
              <c:pt idx="23">
                <c:v>8.4541666666666657</c:v>
              </c:pt>
              <c:pt idx="24">
                <c:v>8.5919999999999987</c:v>
              </c:pt>
              <c:pt idx="25">
                <c:v>8.7576923076923077</c:v>
              </c:pt>
              <c:pt idx="26">
                <c:v>8.818518518518518</c:v>
              </c:pt>
              <c:pt idx="27">
                <c:v>8.8892857142857142</c:v>
              </c:pt>
              <c:pt idx="28">
                <c:v>8.9172413793103456</c:v>
              </c:pt>
              <c:pt idx="29">
                <c:v>8.9733333333333345</c:v>
              </c:pt>
              <c:pt idx="30">
                <c:v>9.0870967741935491</c:v>
              </c:pt>
            </c:numLit>
          </c:val>
          <c:smooth val="0"/>
        </c:ser>
        <c:ser>
          <c:idx val="9"/>
          <c:order val="6"/>
          <c:tx>
            <c:v>E (Min)</c:v>
          </c:tx>
          <c:spPr>
            <a:ln w="25400">
              <a:solidFill>
                <a:srgbClr val="00CCFF"/>
              </a:solidFill>
              <a:prstDash val="lgDash"/>
            </a:ln>
          </c:spPr>
          <c:marker>
            <c:symbol val="star"/>
            <c:size val="2"/>
            <c:spPr>
              <a:noFill/>
              <a:ln>
                <a:solidFill>
                  <a:srgbClr val="000080"/>
                </a:solidFill>
                <a:prstDash val="solid"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3.657916666666666</c:v>
              </c:pt>
              <c:pt idx="1">
                <c:v>3.6233333333333326</c:v>
              </c:pt>
              <c:pt idx="2">
                <c:v>3.5887499999999992</c:v>
              </c:pt>
              <c:pt idx="3">
                <c:v>3.5541666666666658</c:v>
              </c:pt>
              <c:pt idx="4">
                <c:v>3.5195833333333324</c:v>
              </c:pt>
              <c:pt idx="5">
                <c:v>3.484999999999999</c:v>
              </c:pt>
              <c:pt idx="6">
                <c:v>3.4504166666666656</c:v>
              </c:pt>
              <c:pt idx="7">
                <c:v>3.4158333333333322</c:v>
              </c:pt>
              <c:pt idx="8">
                <c:v>3.3812499999999988</c:v>
              </c:pt>
              <c:pt idx="9">
                <c:v>3.3466666666666653</c:v>
              </c:pt>
              <c:pt idx="10">
                <c:v>3.3120833333333319</c:v>
              </c:pt>
              <c:pt idx="11">
                <c:v>3.2774999999999985</c:v>
              </c:pt>
              <c:pt idx="12">
                <c:v>3.2429166666666651</c:v>
              </c:pt>
              <c:pt idx="13">
                <c:v>3.2083333333333317</c:v>
              </c:pt>
              <c:pt idx="14">
                <c:v>3.1737499999999983</c:v>
              </c:pt>
              <c:pt idx="15">
                <c:v>3.1391666666666649</c:v>
              </c:pt>
              <c:pt idx="16">
                <c:v>3.1045833333333315</c:v>
              </c:pt>
              <c:pt idx="17">
                <c:v>3.0700000000000003</c:v>
              </c:pt>
              <c:pt idx="18">
                <c:v>3.0415384615384617</c:v>
              </c:pt>
              <c:pt idx="19">
                <c:v>3.0130769230769232</c:v>
              </c:pt>
              <c:pt idx="20">
                <c:v>2.9846153846153847</c:v>
              </c:pt>
              <c:pt idx="21">
                <c:v>2.9561538461538461</c:v>
              </c:pt>
              <c:pt idx="22">
                <c:v>2.9276923076923076</c:v>
              </c:pt>
              <c:pt idx="23">
                <c:v>2.8992307692307691</c:v>
              </c:pt>
              <c:pt idx="24">
                <c:v>2.8707692307692305</c:v>
              </c:pt>
              <c:pt idx="25">
                <c:v>2.842307692307692</c:v>
              </c:pt>
              <c:pt idx="26">
                <c:v>2.8138461538461534</c:v>
              </c:pt>
              <c:pt idx="27">
                <c:v>2.7853846153846149</c:v>
              </c:pt>
              <c:pt idx="28">
                <c:v>2.7569230769230764</c:v>
              </c:pt>
              <c:pt idx="29">
                <c:v>2.7284615384615378</c:v>
              </c:pt>
              <c:pt idx="30">
                <c:v>2.7</c:v>
              </c:pt>
            </c:numLit>
          </c:val>
          <c:smooth val="0"/>
        </c:ser>
        <c:ser>
          <c:idx val="8"/>
          <c:order val="7"/>
          <c:tx>
            <c:v>E (Max)</c:v>
          </c:tx>
          <c:spPr>
            <a:ln w="25400">
              <a:solidFill>
                <a:srgbClr val="FFCC00"/>
              </a:solidFill>
              <a:prstDash val="lgDash"/>
            </a:ln>
          </c:spPr>
          <c:marker>
            <c:symbol val="diamond"/>
            <c:size val="2"/>
            <c:spPr>
              <a:noFill/>
              <a:ln>
                <a:solidFill>
                  <a:srgbClr val="FFCC00"/>
                </a:solidFill>
                <a:prstDash val="solid"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8.931249999999995</c:v>
              </c:pt>
              <c:pt idx="1">
                <c:v>8.8499999999999943</c:v>
              </c:pt>
              <c:pt idx="2">
                <c:v>8.7687499999999936</c:v>
              </c:pt>
              <c:pt idx="3">
                <c:v>8.6874999999999929</c:v>
              </c:pt>
              <c:pt idx="4">
                <c:v>8.6062499999999922</c:v>
              </c:pt>
              <c:pt idx="5">
                <c:v>8.5249999999999915</c:v>
              </c:pt>
              <c:pt idx="6">
                <c:v>8.4437499999999908</c:v>
              </c:pt>
              <c:pt idx="7">
                <c:v>8.3624999999999901</c:v>
              </c:pt>
              <c:pt idx="8">
                <c:v>8.2812499999999893</c:v>
              </c:pt>
              <c:pt idx="9">
                <c:v>8.1999999999999886</c:v>
              </c:pt>
              <c:pt idx="10">
                <c:v>8.1187499999999879</c:v>
              </c:pt>
              <c:pt idx="11">
                <c:v>8.0374999999999872</c:v>
              </c:pt>
              <c:pt idx="12">
                <c:v>7.9562499999999874</c:v>
              </c:pt>
              <c:pt idx="13">
                <c:v>7.8749999999999876</c:v>
              </c:pt>
              <c:pt idx="14">
                <c:v>7.7937499999999877</c:v>
              </c:pt>
              <c:pt idx="15">
                <c:v>7.7124999999999879</c:v>
              </c:pt>
              <c:pt idx="16">
                <c:v>7.6312499999999881</c:v>
              </c:pt>
              <c:pt idx="17">
                <c:v>7.55</c:v>
              </c:pt>
              <c:pt idx="18">
                <c:v>7.51</c:v>
              </c:pt>
              <c:pt idx="19">
                <c:v>7.47</c:v>
              </c:pt>
              <c:pt idx="20">
                <c:v>7.43</c:v>
              </c:pt>
              <c:pt idx="21">
                <c:v>7.39</c:v>
              </c:pt>
              <c:pt idx="22">
                <c:v>7.35</c:v>
              </c:pt>
              <c:pt idx="23">
                <c:v>7.31</c:v>
              </c:pt>
              <c:pt idx="24">
                <c:v>7.27</c:v>
              </c:pt>
              <c:pt idx="25">
                <c:v>7.2299999999999995</c:v>
              </c:pt>
              <c:pt idx="26">
                <c:v>7.1899999999999995</c:v>
              </c:pt>
              <c:pt idx="27">
                <c:v>7.1499999999999995</c:v>
              </c:pt>
              <c:pt idx="28">
                <c:v>7.1099999999999994</c:v>
              </c:pt>
              <c:pt idx="29">
                <c:v>7.0699999999999994</c:v>
              </c:pt>
              <c:pt idx="30">
                <c:v>7.03</c:v>
              </c:pt>
            </c:numLit>
          </c:val>
          <c:smooth val="0"/>
        </c:ser>
        <c:ser>
          <c:idx val="4"/>
          <c:order val="8"/>
          <c:tx>
            <c:v>E (Mean)</c:v>
          </c:tx>
          <c:spPr>
            <a:ln w="25400">
              <a:solidFill>
                <a:srgbClr val="CC99FF"/>
              </a:solidFill>
              <a:prstDash val="lgDash"/>
            </a:ln>
          </c:spPr>
          <c:marker>
            <c:symbol val="square"/>
            <c:size val="2"/>
            <c:spPr>
              <a:noFill/>
              <a:ln w="9525">
                <a:noFill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6.2945833333333301</c:v>
              </c:pt>
              <c:pt idx="1">
                <c:v>6.2366666666666637</c:v>
              </c:pt>
              <c:pt idx="2">
                <c:v>6.1787499999999964</c:v>
              </c:pt>
              <c:pt idx="3">
                <c:v>6.1208333333333291</c:v>
              </c:pt>
              <c:pt idx="4">
                <c:v>6.0629166666666627</c:v>
              </c:pt>
              <c:pt idx="5">
                <c:v>6.0049999999999955</c:v>
              </c:pt>
              <c:pt idx="6">
                <c:v>5.9470833333333282</c:v>
              </c:pt>
              <c:pt idx="7">
                <c:v>5.8891666666666609</c:v>
              </c:pt>
              <c:pt idx="8">
                <c:v>5.8312499999999936</c:v>
              </c:pt>
              <c:pt idx="9">
                <c:v>5.7733333333333272</c:v>
              </c:pt>
              <c:pt idx="10">
                <c:v>5.7154166666666599</c:v>
              </c:pt>
              <c:pt idx="11">
                <c:v>5.6574999999999926</c:v>
              </c:pt>
              <c:pt idx="12">
                <c:v>5.5995833333333263</c:v>
              </c:pt>
              <c:pt idx="13">
                <c:v>5.5416666666666599</c:v>
              </c:pt>
              <c:pt idx="14">
                <c:v>5.4837499999999935</c:v>
              </c:pt>
              <c:pt idx="15">
                <c:v>5.4258333333333262</c:v>
              </c:pt>
              <c:pt idx="16">
                <c:v>5.3679166666666598</c:v>
              </c:pt>
              <c:pt idx="17">
                <c:v>5.3100000000000005</c:v>
              </c:pt>
              <c:pt idx="18">
                <c:v>5.2757692307692308</c:v>
              </c:pt>
              <c:pt idx="19">
                <c:v>5.241538461538461</c:v>
              </c:pt>
              <c:pt idx="20">
                <c:v>5.2073076923076922</c:v>
              </c:pt>
              <c:pt idx="21">
                <c:v>5.1730769230769234</c:v>
              </c:pt>
              <c:pt idx="22">
                <c:v>5.1388461538461536</c:v>
              </c:pt>
              <c:pt idx="23">
                <c:v>5.1046153846153839</c:v>
              </c:pt>
              <c:pt idx="24">
                <c:v>5.070384615384615</c:v>
              </c:pt>
              <c:pt idx="25">
                <c:v>5.0361538461538462</c:v>
              </c:pt>
              <c:pt idx="26">
                <c:v>5.0019230769230765</c:v>
              </c:pt>
              <c:pt idx="27">
                <c:v>4.9676923076923067</c:v>
              </c:pt>
              <c:pt idx="28">
                <c:v>4.9334615384615379</c:v>
              </c:pt>
              <c:pt idx="29">
                <c:v>4.8992307692307691</c:v>
              </c:pt>
              <c:pt idx="30">
                <c:v>4.8650000000000002</c:v>
              </c:pt>
            </c:numLit>
          </c:val>
          <c:smooth val="1"/>
        </c:ser>
        <c:ser>
          <c:idx val="14"/>
          <c:order val="10"/>
          <c:tx>
            <c:v>Freezing Level</c:v>
          </c:tx>
          <c:spPr>
            <a:ln w="38100">
              <a:solidFill>
                <a:srgbClr val="000080"/>
              </a:solidFill>
              <a:prstDash val="sysDash"/>
            </a:ln>
          </c:spPr>
          <c:marker>
            <c:symbol val="none"/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718400"/>
        <c:axId val="113719936"/>
      </c:lineChart>
      <c:lineChart>
        <c:grouping val="standard"/>
        <c:varyColors val="0"/>
        <c:ser>
          <c:idx val="3"/>
          <c:order val="4"/>
          <c:tx>
            <c:v>Range</c:v>
          </c:tx>
          <c:spPr>
            <a:ln w="38100">
              <a:solidFill>
                <a:srgbClr val="339966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5.7</c:v>
              </c:pt>
              <c:pt idx="1">
                <c:v>5.4</c:v>
              </c:pt>
              <c:pt idx="2">
                <c:v>3.6</c:v>
              </c:pt>
              <c:pt idx="3">
                <c:v>5.4</c:v>
              </c:pt>
              <c:pt idx="4">
                <c:v>4.5999999999999996</c:v>
              </c:pt>
              <c:pt idx="5">
                <c:v>4</c:v>
              </c:pt>
              <c:pt idx="6">
                <c:v>4.2</c:v>
              </c:pt>
              <c:pt idx="7">
                <c:v>8.9</c:v>
              </c:pt>
              <c:pt idx="8">
                <c:v>5.7</c:v>
              </c:pt>
              <c:pt idx="9">
                <c:v>4.8</c:v>
              </c:pt>
              <c:pt idx="10">
                <c:v>5.5</c:v>
              </c:pt>
              <c:pt idx="11">
                <c:v>7.2</c:v>
              </c:pt>
              <c:pt idx="12">
                <c:v>7.2</c:v>
              </c:pt>
              <c:pt idx="13">
                <c:v>1.9</c:v>
              </c:pt>
              <c:pt idx="14">
                <c:v>3.9</c:v>
              </c:pt>
              <c:pt idx="15">
                <c:v>3.1</c:v>
              </c:pt>
              <c:pt idx="16">
                <c:v>4.5</c:v>
              </c:pt>
              <c:pt idx="17">
                <c:v>5.7</c:v>
              </c:pt>
              <c:pt idx="18">
                <c:v>7.6</c:v>
              </c:pt>
              <c:pt idx="19">
                <c:v>2.4</c:v>
              </c:pt>
              <c:pt idx="20">
                <c:v>5.7</c:v>
              </c:pt>
              <c:pt idx="21">
                <c:v>3.9</c:v>
              </c:pt>
              <c:pt idx="22">
                <c:v>6.6</c:v>
              </c:pt>
              <c:pt idx="23">
                <c:v>5.2</c:v>
              </c:pt>
              <c:pt idx="24">
                <c:v>3.7</c:v>
              </c:pt>
              <c:pt idx="25">
                <c:v>3</c:v>
              </c:pt>
              <c:pt idx="26">
                <c:v>2.2000000000000002</c:v>
              </c:pt>
              <c:pt idx="27">
                <c:v>5.2</c:v>
              </c:pt>
              <c:pt idx="28">
                <c:v>4.7</c:v>
              </c:pt>
              <c:pt idx="29">
                <c:v>5.5</c:v>
              </c:pt>
              <c:pt idx="30">
                <c:v>1.9</c:v>
              </c:pt>
            </c:numLit>
          </c:val>
          <c:smooth val="0"/>
        </c:ser>
        <c:ser>
          <c:idx val="12"/>
          <c:order val="5"/>
          <c:tx>
            <c:v>Cumulative Range</c:v>
          </c:tx>
          <c:spPr>
            <a:ln w="12700">
              <a:solidFill>
                <a:srgbClr val="008000"/>
              </a:solidFill>
              <a:prstDash val="solid"/>
            </a:ln>
          </c:spPr>
          <c:marker>
            <c:symbol val="none"/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5.7</c:v>
              </c:pt>
              <c:pt idx="1">
                <c:v>5.5500000000000007</c:v>
              </c:pt>
              <c:pt idx="2">
                <c:v>4.9000000000000004</c:v>
              </c:pt>
              <c:pt idx="3">
                <c:v>5.0250000000000004</c:v>
              </c:pt>
              <c:pt idx="4">
                <c:v>4.9400000000000004</c:v>
              </c:pt>
              <c:pt idx="5">
                <c:v>4.7833333333333341</c:v>
              </c:pt>
              <c:pt idx="6">
                <c:v>4.7000000000000011</c:v>
              </c:pt>
              <c:pt idx="7">
                <c:v>5.2250000000000005</c:v>
              </c:pt>
              <c:pt idx="8">
                <c:v>5.2777777777777786</c:v>
              </c:pt>
              <c:pt idx="9">
                <c:v>5.23</c:v>
              </c:pt>
              <c:pt idx="10">
                <c:v>5.2545454545454549</c:v>
              </c:pt>
              <c:pt idx="11">
                <c:v>5.416666666666667</c:v>
              </c:pt>
              <c:pt idx="12">
                <c:v>5.5538461538461537</c:v>
              </c:pt>
              <c:pt idx="13">
                <c:v>5.2928571428571436</c:v>
              </c:pt>
              <c:pt idx="14">
                <c:v>5.2000000000000011</c:v>
              </c:pt>
              <c:pt idx="15">
                <c:v>5.0687500000000005</c:v>
              </c:pt>
              <c:pt idx="16">
                <c:v>5.0352941176470596</c:v>
              </c:pt>
              <c:pt idx="17">
                <c:v>5.0722222222222229</c:v>
              </c:pt>
              <c:pt idx="18">
                <c:v>5.2052631578947368</c:v>
              </c:pt>
              <c:pt idx="19">
                <c:v>5.0650000000000004</c:v>
              </c:pt>
              <c:pt idx="20">
                <c:v>5.0952380952380958</c:v>
              </c:pt>
              <c:pt idx="21">
                <c:v>5.0409090909090919</c:v>
              </c:pt>
              <c:pt idx="22">
                <c:v>5.108695652173914</c:v>
              </c:pt>
              <c:pt idx="23">
                <c:v>5.1125000000000007</c:v>
              </c:pt>
              <c:pt idx="24">
                <c:v>5.0560000000000009</c:v>
              </c:pt>
              <c:pt idx="25">
                <c:v>4.9769230769230779</c:v>
              </c:pt>
              <c:pt idx="26">
                <c:v>4.8740740740740751</c:v>
              </c:pt>
              <c:pt idx="27">
                <c:v>4.8857142857142861</c:v>
              </c:pt>
              <c:pt idx="28">
                <c:v>4.8793103448275863</c:v>
              </c:pt>
              <c:pt idx="29">
                <c:v>4.9000000000000004</c:v>
              </c:pt>
              <c:pt idx="30">
                <c:v>4.8032258064516133</c:v>
              </c:pt>
            </c:numLit>
          </c:val>
          <c:smooth val="0"/>
        </c:ser>
        <c:ser>
          <c:idx val="11"/>
          <c:order val="9"/>
          <c:tx>
            <c:v>E (Range)</c:v>
          </c:tx>
          <c:spPr>
            <a:ln w="25400">
              <a:solidFill>
                <a:srgbClr val="00FF00"/>
              </a:solidFill>
              <a:prstDash val="lgDash"/>
            </a:ln>
          </c:spPr>
          <c:marker>
            <c:symbol val="none"/>
          </c:marker>
          <c:cat>
            <c:numLit>
              <c:formatCode>General</c:formatCode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numLit>
          </c:cat>
          <c:val>
            <c:numLit>
              <c:formatCode>General</c:formatCode>
              <c:ptCount val="31"/>
              <c:pt idx="0">
                <c:v>5.273333333333329</c:v>
              </c:pt>
              <c:pt idx="1">
                <c:v>5.2266666666666612</c:v>
              </c:pt>
              <c:pt idx="2">
                <c:v>5.1799999999999944</c:v>
              </c:pt>
              <c:pt idx="3">
                <c:v>5.1333333333333275</c:v>
              </c:pt>
              <c:pt idx="4">
                <c:v>5.0866666666666598</c:v>
              </c:pt>
              <c:pt idx="5">
                <c:v>5.039999999999992</c:v>
              </c:pt>
              <c:pt idx="6">
                <c:v>4.9933333333333252</c:v>
              </c:pt>
              <c:pt idx="7">
                <c:v>4.9466666666666583</c:v>
              </c:pt>
              <c:pt idx="8">
                <c:v>4.8999999999999906</c:v>
              </c:pt>
              <c:pt idx="9">
                <c:v>4.8533333333333228</c:v>
              </c:pt>
              <c:pt idx="10">
                <c:v>4.806666666666656</c:v>
              </c:pt>
              <c:pt idx="11">
                <c:v>4.7599999999999891</c:v>
              </c:pt>
              <c:pt idx="12">
                <c:v>4.7133333333333223</c:v>
              </c:pt>
              <c:pt idx="13">
                <c:v>4.6666666666666554</c:v>
              </c:pt>
              <c:pt idx="14">
                <c:v>4.6199999999999894</c:v>
              </c:pt>
              <c:pt idx="15">
                <c:v>4.5733333333333235</c:v>
              </c:pt>
              <c:pt idx="16">
                <c:v>4.5266666666666566</c:v>
              </c:pt>
              <c:pt idx="17">
                <c:v>4.4799999999999995</c:v>
              </c:pt>
              <c:pt idx="18">
                <c:v>4.468461538461538</c:v>
              </c:pt>
              <c:pt idx="19">
                <c:v>4.4569230769230765</c:v>
              </c:pt>
              <c:pt idx="20">
                <c:v>4.445384615384615</c:v>
              </c:pt>
              <c:pt idx="21">
                <c:v>4.4338461538461535</c:v>
              </c:pt>
              <c:pt idx="22">
                <c:v>4.4223076923076921</c:v>
              </c:pt>
              <c:pt idx="23">
                <c:v>4.4107692307692306</c:v>
              </c:pt>
              <c:pt idx="24">
                <c:v>4.3992307692307691</c:v>
              </c:pt>
              <c:pt idx="25">
                <c:v>4.3876923076923076</c:v>
              </c:pt>
              <c:pt idx="26">
                <c:v>4.3761538461538461</c:v>
              </c:pt>
              <c:pt idx="27">
                <c:v>4.3646153846153846</c:v>
              </c:pt>
              <c:pt idx="28">
                <c:v>4.3530769230769231</c:v>
              </c:pt>
              <c:pt idx="29">
                <c:v>4.3415384615384616</c:v>
              </c:pt>
              <c:pt idx="30">
                <c:v>4.33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729920"/>
        <c:axId val="113731456"/>
      </c:lineChart>
      <c:catAx>
        <c:axId val="1137184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3719936"/>
        <c:crossesAt val="-10"/>
        <c:auto val="1"/>
        <c:lblAlgn val="ctr"/>
        <c:lblOffset val="100"/>
        <c:tickLblSkip val="1"/>
        <c:tickMarkSkip val="1"/>
        <c:noMultiLvlLbl val="0"/>
      </c:catAx>
      <c:valAx>
        <c:axId val="113719936"/>
        <c:scaling>
          <c:orientation val="minMax"/>
          <c:max val="15"/>
          <c:min val="-5"/>
        </c:scaling>
        <c:delete val="0"/>
        <c:axPos val="l"/>
        <c:majorGridlines>
          <c:spPr>
            <a:ln w="12700">
              <a:solidFill>
                <a:srgbClr val="333333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3718400"/>
        <c:crosses val="autoZero"/>
        <c:crossBetween val="between"/>
        <c:majorUnit val="5"/>
      </c:valAx>
      <c:catAx>
        <c:axId val="1137299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731456"/>
        <c:crosses val="autoZero"/>
        <c:auto val="1"/>
        <c:lblAlgn val="ctr"/>
        <c:lblOffset val="100"/>
        <c:noMultiLvlLbl val="0"/>
      </c:catAx>
      <c:valAx>
        <c:axId val="113731456"/>
        <c:scaling>
          <c:orientation val="minMax"/>
          <c:max val="50"/>
          <c:min val="0"/>
        </c:scaling>
        <c:delete val="0"/>
        <c:axPos val="r"/>
        <c:numFmt formatCode="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3729920"/>
        <c:crosses val="max"/>
        <c:crossBetween val="between"/>
        <c:majorUnit val="10"/>
      </c:valAx>
      <c:spPr>
        <a:solidFill>
          <a:srgbClr val="969696"/>
        </a:solidFill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7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7.xml"/><Relationship Id="rId13" Type="http://schemas.openxmlformats.org/officeDocument/2006/relationships/chart" Target="../charts/chart32.xml"/><Relationship Id="rId18" Type="http://schemas.openxmlformats.org/officeDocument/2006/relationships/chart" Target="../charts/chart37.xml"/><Relationship Id="rId3" Type="http://schemas.openxmlformats.org/officeDocument/2006/relationships/chart" Target="../charts/chart22.xml"/><Relationship Id="rId7" Type="http://schemas.openxmlformats.org/officeDocument/2006/relationships/chart" Target="../charts/chart26.xml"/><Relationship Id="rId12" Type="http://schemas.openxmlformats.org/officeDocument/2006/relationships/chart" Target="../charts/chart31.xml"/><Relationship Id="rId17" Type="http://schemas.openxmlformats.org/officeDocument/2006/relationships/chart" Target="../charts/chart36.xml"/><Relationship Id="rId2" Type="http://schemas.openxmlformats.org/officeDocument/2006/relationships/chart" Target="../charts/chart21.xml"/><Relationship Id="rId16" Type="http://schemas.openxmlformats.org/officeDocument/2006/relationships/chart" Target="../charts/chart35.xml"/><Relationship Id="rId1" Type="http://schemas.openxmlformats.org/officeDocument/2006/relationships/chart" Target="../charts/chart20.xml"/><Relationship Id="rId6" Type="http://schemas.openxmlformats.org/officeDocument/2006/relationships/chart" Target="../charts/chart25.xml"/><Relationship Id="rId11" Type="http://schemas.openxmlformats.org/officeDocument/2006/relationships/chart" Target="../charts/chart30.xml"/><Relationship Id="rId5" Type="http://schemas.openxmlformats.org/officeDocument/2006/relationships/chart" Target="../charts/chart24.xml"/><Relationship Id="rId15" Type="http://schemas.openxmlformats.org/officeDocument/2006/relationships/chart" Target="../charts/chart34.xml"/><Relationship Id="rId10" Type="http://schemas.openxmlformats.org/officeDocument/2006/relationships/chart" Target="../charts/chart29.xml"/><Relationship Id="rId19" Type="http://schemas.openxmlformats.org/officeDocument/2006/relationships/chart" Target="../charts/chart38.xml"/><Relationship Id="rId4" Type="http://schemas.openxmlformats.org/officeDocument/2006/relationships/chart" Target="../charts/chart23.xml"/><Relationship Id="rId9" Type="http://schemas.openxmlformats.org/officeDocument/2006/relationships/chart" Target="../charts/chart28.xml"/><Relationship Id="rId14" Type="http://schemas.openxmlformats.org/officeDocument/2006/relationships/chart" Target="../charts/chart33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6.xml"/><Relationship Id="rId13" Type="http://schemas.openxmlformats.org/officeDocument/2006/relationships/chart" Target="../charts/chart51.xml"/><Relationship Id="rId18" Type="http://schemas.openxmlformats.org/officeDocument/2006/relationships/chart" Target="../charts/chart56.xml"/><Relationship Id="rId3" Type="http://schemas.openxmlformats.org/officeDocument/2006/relationships/chart" Target="../charts/chart41.xml"/><Relationship Id="rId7" Type="http://schemas.openxmlformats.org/officeDocument/2006/relationships/chart" Target="../charts/chart45.xml"/><Relationship Id="rId12" Type="http://schemas.openxmlformats.org/officeDocument/2006/relationships/chart" Target="../charts/chart50.xml"/><Relationship Id="rId17" Type="http://schemas.openxmlformats.org/officeDocument/2006/relationships/chart" Target="../charts/chart55.xml"/><Relationship Id="rId2" Type="http://schemas.openxmlformats.org/officeDocument/2006/relationships/chart" Target="../charts/chart40.xml"/><Relationship Id="rId16" Type="http://schemas.openxmlformats.org/officeDocument/2006/relationships/chart" Target="../charts/chart54.xml"/><Relationship Id="rId1" Type="http://schemas.openxmlformats.org/officeDocument/2006/relationships/chart" Target="../charts/chart39.xml"/><Relationship Id="rId6" Type="http://schemas.openxmlformats.org/officeDocument/2006/relationships/chart" Target="../charts/chart44.xml"/><Relationship Id="rId11" Type="http://schemas.openxmlformats.org/officeDocument/2006/relationships/chart" Target="../charts/chart49.xml"/><Relationship Id="rId5" Type="http://schemas.openxmlformats.org/officeDocument/2006/relationships/chart" Target="../charts/chart43.xml"/><Relationship Id="rId15" Type="http://schemas.openxmlformats.org/officeDocument/2006/relationships/chart" Target="../charts/chart53.xml"/><Relationship Id="rId10" Type="http://schemas.openxmlformats.org/officeDocument/2006/relationships/chart" Target="../charts/chart48.xml"/><Relationship Id="rId19" Type="http://schemas.openxmlformats.org/officeDocument/2006/relationships/chart" Target="../charts/chart57.xml"/><Relationship Id="rId4" Type="http://schemas.openxmlformats.org/officeDocument/2006/relationships/chart" Target="../charts/chart42.xml"/><Relationship Id="rId9" Type="http://schemas.openxmlformats.org/officeDocument/2006/relationships/chart" Target="../charts/chart47.xml"/><Relationship Id="rId14" Type="http://schemas.openxmlformats.org/officeDocument/2006/relationships/chart" Target="../charts/chart52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5.xml"/><Relationship Id="rId13" Type="http://schemas.openxmlformats.org/officeDocument/2006/relationships/chart" Target="../charts/chart70.xml"/><Relationship Id="rId18" Type="http://schemas.openxmlformats.org/officeDocument/2006/relationships/chart" Target="../charts/chart75.xml"/><Relationship Id="rId3" Type="http://schemas.openxmlformats.org/officeDocument/2006/relationships/chart" Target="../charts/chart60.xml"/><Relationship Id="rId7" Type="http://schemas.openxmlformats.org/officeDocument/2006/relationships/chart" Target="../charts/chart64.xml"/><Relationship Id="rId12" Type="http://schemas.openxmlformats.org/officeDocument/2006/relationships/chart" Target="../charts/chart69.xml"/><Relationship Id="rId17" Type="http://schemas.openxmlformats.org/officeDocument/2006/relationships/chart" Target="../charts/chart74.xml"/><Relationship Id="rId2" Type="http://schemas.openxmlformats.org/officeDocument/2006/relationships/chart" Target="../charts/chart59.xml"/><Relationship Id="rId16" Type="http://schemas.openxmlformats.org/officeDocument/2006/relationships/chart" Target="../charts/chart73.xml"/><Relationship Id="rId1" Type="http://schemas.openxmlformats.org/officeDocument/2006/relationships/chart" Target="../charts/chart58.xml"/><Relationship Id="rId6" Type="http://schemas.openxmlformats.org/officeDocument/2006/relationships/chart" Target="../charts/chart63.xml"/><Relationship Id="rId11" Type="http://schemas.openxmlformats.org/officeDocument/2006/relationships/chart" Target="../charts/chart68.xml"/><Relationship Id="rId5" Type="http://schemas.openxmlformats.org/officeDocument/2006/relationships/chart" Target="../charts/chart62.xml"/><Relationship Id="rId15" Type="http://schemas.openxmlformats.org/officeDocument/2006/relationships/chart" Target="../charts/chart72.xml"/><Relationship Id="rId10" Type="http://schemas.openxmlformats.org/officeDocument/2006/relationships/chart" Target="../charts/chart67.xml"/><Relationship Id="rId19" Type="http://schemas.openxmlformats.org/officeDocument/2006/relationships/chart" Target="../charts/chart76.xml"/><Relationship Id="rId4" Type="http://schemas.openxmlformats.org/officeDocument/2006/relationships/chart" Target="../charts/chart61.xml"/><Relationship Id="rId9" Type="http://schemas.openxmlformats.org/officeDocument/2006/relationships/chart" Target="../charts/chart66.xml"/><Relationship Id="rId14" Type="http://schemas.openxmlformats.org/officeDocument/2006/relationships/chart" Target="../charts/chart71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4.xml"/><Relationship Id="rId13" Type="http://schemas.openxmlformats.org/officeDocument/2006/relationships/chart" Target="../charts/chart89.xml"/><Relationship Id="rId18" Type="http://schemas.openxmlformats.org/officeDocument/2006/relationships/chart" Target="../charts/chart94.xml"/><Relationship Id="rId3" Type="http://schemas.openxmlformats.org/officeDocument/2006/relationships/chart" Target="../charts/chart79.xml"/><Relationship Id="rId7" Type="http://schemas.openxmlformats.org/officeDocument/2006/relationships/chart" Target="../charts/chart83.xml"/><Relationship Id="rId12" Type="http://schemas.openxmlformats.org/officeDocument/2006/relationships/chart" Target="../charts/chart88.xml"/><Relationship Id="rId17" Type="http://schemas.openxmlformats.org/officeDocument/2006/relationships/chart" Target="../charts/chart93.xml"/><Relationship Id="rId2" Type="http://schemas.openxmlformats.org/officeDocument/2006/relationships/chart" Target="../charts/chart78.xml"/><Relationship Id="rId16" Type="http://schemas.openxmlformats.org/officeDocument/2006/relationships/chart" Target="../charts/chart92.xml"/><Relationship Id="rId1" Type="http://schemas.openxmlformats.org/officeDocument/2006/relationships/chart" Target="../charts/chart77.xml"/><Relationship Id="rId6" Type="http://schemas.openxmlformats.org/officeDocument/2006/relationships/chart" Target="../charts/chart82.xml"/><Relationship Id="rId11" Type="http://schemas.openxmlformats.org/officeDocument/2006/relationships/chart" Target="../charts/chart87.xml"/><Relationship Id="rId5" Type="http://schemas.openxmlformats.org/officeDocument/2006/relationships/chart" Target="../charts/chart81.xml"/><Relationship Id="rId15" Type="http://schemas.openxmlformats.org/officeDocument/2006/relationships/chart" Target="../charts/chart91.xml"/><Relationship Id="rId10" Type="http://schemas.openxmlformats.org/officeDocument/2006/relationships/chart" Target="../charts/chart86.xml"/><Relationship Id="rId19" Type="http://schemas.openxmlformats.org/officeDocument/2006/relationships/chart" Target="../charts/chart95.xml"/><Relationship Id="rId4" Type="http://schemas.openxmlformats.org/officeDocument/2006/relationships/chart" Target="../charts/chart80.xml"/><Relationship Id="rId9" Type="http://schemas.openxmlformats.org/officeDocument/2006/relationships/chart" Target="../charts/chart85.xml"/><Relationship Id="rId14" Type="http://schemas.openxmlformats.org/officeDocument/2006/relationships/chart" Target="../charts/chart90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3.xml"/><Relationship Id="rId13" Type="http://schemas.openxmlformats.org/officeDocument/2006/relationships/chart" Target="../charts/chart108.xml"/><Relationship Id="rId18" Type="http://schemas.openxmlformats.org/officeDocument/2006/relationships/chart" Target="../charts/chart113.xml"/><Relationship Id="rId3" Type="http://schemas.openxmlformats.org/officeDocument/2006/relationships/chart" Target="../charts/chart98.xml"/><Relationship Id="rId7" Type="http://schemas.openxmlformats.org/officeDocument/2006/relationships/chart" Target="../charts/chart102.xml"/><Relationship Id="rId12" Type="http://schemas.openxmlformats.org/officeDocument/2006/relationships/chart" Target="../charts/chart107.xml"/><Relationship Id="rId17" Type="http://schemas.openxmlformats.org/officeDocument/2006/relationships/chart" Target="../charts/chart112.xml"/><Relationship Id="rId2" Type="http://schemas.openxmlformats.org/officeDocument/2006/relationships/chart" Target="../charts/chart97.xml"/><Relationship Id="rId16" Type="http://schemas.openxmlformats.org/officeDocument/2006/relationships/chart" Target="../charts/chart111.xml"/><Relationship Id="rId1" Type="http://schemas.openxmlformats.org/officeDocument/2006/relationships/chart" Target="../charts/chart96.xml"/><Relationship Id="rId6" Type="http://schemas.openxmlformats.org/officeDocument/2006/relationships/chart" Target="../charts/chart101.xml"/><Relationship Id="rId11" Type="http://schemas.openxmlformats.org/officeDocument/2006/relationships/chart" Target="../charts/chart106.xml"/><Relationship Id="rId5" Type="http://schemas.openxmlformats.org/officeDocument/2006/relationships/chart" Target="../charts/chart100.xml"/><Relationship Id="rId15" Type="http://schemas.openxmlformats.org/officeDocument/2006/relationships/chart" Target="../charts/chart110.xml"/><Relationship Id="rId10" Type="http://schemas.openxmlformats.org/officeDocument/2006/relationships/chart" Target="../charts/chart105.xml"/><Relationship Id="rId19" Type="http://schemas.openxmlformats.org/officeDocument/2006/relationships/chart" Target="../charts/chart114.xml"/><Relationship Id="rId4" Type="http://schemas.openxmlformats.org/officeDocument/2006/relationships/chart" Target="../charts/chart99.xml"/><Relationship Id="rId9" Type="http://schemas.openxmlformats.org/officeDocument/2006/relationships/chart" Target="../charts/chart104.xml"/><Relationship Id="rId14" Type="http://schemas.openxmlformats.org/officeDocument/2006/relationships/chart" Target="../charts/chart109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22.xml"/><Relationship Id="rId13" Type="http://schemas.openxmlformats.org/officeDocument/2006/relationships/chart" Target="../charts/chart127.xml"/><Relationship Id="rId18" Type="http://schemas.openxmlformats.org/officeDocument/2006/relationships/chart" Target="../charts/chart132.xml"/><Relationship Id="rId3" Type="http://schemas.openxmlformats.org/officeDocument/2006/relationships/chart" Target="../charts/chart117.xml"/><Relationship Id="rId7" Type="http://schemas.openxmlformats.org/officeDocument/2006/relationships/chart" Target="../charts/chart121.xml"/><Relationship Id="rId12" Type="http://schemas.openxmlformats.org/officeDocument/2006/relationships/chart" Target="../charts/chart126.xml"/><Relationship Id="rId17" Type="http://schemas.openxmlformats.org/officeDocument/2006/relationships/chart" Target="../charts/chart131.xml"/><Relationship Id="rId2" Type="http://schemas.openxmlformats.org/officeDocument/2006/relationships/chart" Target="../charts/chart116.xml"/><Relationship Id="rId16" Type="http://schemas.openxmlformats.org/officeDocument/2006/relationships/chart" Target="../charts/chart130.xml"/><Relationship Id="rId1" Type="http://schemas.openxmlformats.org/officeDocument/2006/relationships/chart" Target="../charts/chart115.xml"/><Relationship Id="rId6" Type="http://schemas.openxmlformats.org/officeDocument/2006/relationships/chart" Target="../charts/chart120.xml"/><Relationship Id="rId11" Type="http://schemas.openxmlformats.org/officeDocument/2006/relationships/chart" Target="../charts/chart125.xml"/><Relationship Id="rId5" Type="http://schemas.openxmlformats.org/officeDocument/2006/relationships/chart" Target="../charts/chart119.xml"/><Relationship Id="rId15" Type="http://schemas.openxmlformats.org/officeDocument/2006/relationships/chart" Target="../charts/chart129.xml"/><Relationship Id="rId10" Type="http://schemas.openxmlformats.org/officeDocument/2006/relationships/chart" Target="../charts/chart124.xml"/><Relationship Id="rId19" Type="http://schemas.openxmlformats.org/officeDocument/2006/relationships/chart" Target="../charts/chart133.xml"/><Relationship Id="rId4" Type="http://schemas.openxmlformats.org/officeDocument/2006/relationships/chart" Target="../charts/chart118.xml"/><Relationship Id="rId9" Type="http://schemas.openxmlformats.org/officeDocument/2006/relationships/chart" Target="../charts/chart123.xml"/><Relationship Id="rId14" Type="http://schemas.openxmlformats.org/officeDocument/2006/relationships/chart" Target="../charts/chart128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41.xml"/><Relationship Id="rId13" Type="http://schemas.openxmlformats.org/officeDocument/2006/relationships/chart" Target="../charts/chart146.xml"/><Relationship Id="rId18" Type="http://schemas.openxmlformats.org/officeDocument/2006/relationships/chart" Target="../charts/chart151.xml"/><Relationship Id="rId3" Type="http://schemas.openxmlformats.org/officeDocument/2006/relationships/chart" Target="../charts/chart136.xml"/><Relationship Id="rId7" Type="http://schemas.openxmlformats.org/officeDocument/2006/relationships/chart" Target="../charts/chart140.xml"/><Relationship Id="rId12" Type="http://schemas.openxmlformats.org/officeDocument/2006/relationships/chart" Target="../charts/chart145.xml"/><Relationship Id="rId17" Type="http://schemas.openxmlformats.org/officeDocument/2006/relationships/chart" Target="../charts/chart150.xml"/><Relationship Id="rId2" Type="http://schemas.openxmlformats.org/officeDocument/2006/relationships/chart" Target="../charts/chart135.xml"/><Relationship Id="rId16" Type="http://schemas.openxmlformats.org/officeDocument/2006/relationships/chart" Target="../charts/chart149.xml"/><Relationship Id="rId1" Type="http://schemas.openxmlformats.org/officeDocument/2006/relationships/chart" Target="../charts/chart134.xml"/><Relationship Id="rId6" Type="http://schemas.openxmlformats.org/officeDocument/2006/relationships/chart" Target="../charts/chart139.xml"/><Relationship Id="rId11" Type="http://schemas.openxmlformats.org/officeDocument/2006/relationships/chart" Target="../charts/chart144.xml"/><Relationship Id="rId5" Type="http://schemas.openxmlformats.org/officeDocument/2006/relationships/chart" Target="../charts/chart138.xml"/><Relationship Id="rId15" Type="http://schemas.openxmlformats.org/officeDocument/2006/relationships/chart" Target="../charts/chart148.xml"/><Relationship Id="rId10" Type="http://schemas.openxmlformats.org/officeDocument/2006/relationships/chart" Target="../charts/chart143.xml"/><Relationship Id="rId19" Type="http://schemas.openxmlformats.org/officeDocument/2006/relationships/chart" Target="../charts/chart152.xml"/><Relationship Id="rId4" Type="http://schemas.openxmlformats.org/officeDocument/2006/relationships/chart" Target="../charts/chart137.xml"/><Relationship Id="rId9" Type="http://schemas.openxmlformats.org/officeDocument/2006/relationships/chart" Target="../charts/chart142.xml"/><Relationship Id="rId14" Type="http://schemas.openxmlformats.org/officeDocument/2006/relationships/chart" Target="../charts/chart147.xml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0.xml"/><Relationship Id="rId13" Type="http://schemas.openxmlformats.org/officeDocument/2006/relationships/chart" Target="../charts/chart165.xml"/><Relationship Id="rId18" Type="http://schemas.openxmlformats.org/officeDocument/2006/relationships/chart" Target="../charts/chart170.xml"/><Relationship Id="rId3" Type="http://schemas.openxmlformats.org/officeDocument/2006/relationships/chart" Target="../charts/chart155.xml"/><Relationship Id="rId7" Type="http://schemas.openxmlformats.org/officeDocument/2006/relationships/chart" Target="../charts/chart159.xml"/><Relationship Id="rId12" Type="http://schemas.openxmlformats.org/officeDocument/2006/relationships/chart" Target="../charts/chart164.xml"/><Relationship Id="rId17" Type="http://schemas.openxmlformats.org/officeDocument/2006/relationships/chart" Target="../charts/chart169.xml"/><Relationship Id="rId2" Type="http://schemas.openxmlformats.org/officeDocument/2006/relationships/chart" Target="../charts/chart154.xml"/><Relationship Id="rId16" Type="http://schemas.openxmlformats.org/officeDocument/2006/relationships/chart" Target="../charts/chart168.xml"/><Relationship Id="rId1" Type="http://schemas.openxmlformats.org/officeDocument/2006/relationships/chart" Target="../charts/chart153.xml"/><Relationship Id="rId6" Type="http://schemas.openxmlformats.org/officeDocument/2006/relationships/chart" Target="../charts/chart158.xml"/><Relationship Id="rId11" Type="http://schemas.openxmlformats.org/officeDocument/2006/relationships/chart" Target="../charts/chart163.xml"/><Relationship Id="rId5" Type="http://schemas.openxmlformats.org/officeDocument/2006/relationships/chart" Target="../charts/chart157.xml"/><Relationship Id="rId15" Type="http://schemas.openxmlformats.org/officeDocument/2006/relationships/chart" Target="../charts/chart167.xml"/><Relationship Id="rId10" Type="http://schemas.openxmlformats.org/officeDocument/2006/relationships/chart" Target="../charts/chart162.xml"/><Relationship Id="rId19" Type="http://schemas.openxmlformats.org/officeDocument/2006/relationships/chart" Target="../charts/chart171.xml"/><Relationship Id="rId4" Type="http://schemas.openxmlformats.org/officeDocument/2006/relationships/chart" Target="../charts/chart156.xml"/><Relationship Id="rId9" Type="http://schemas.openxmlformats.org/officeDocument/2006/relationships/chart" Target="../charts/chart161.xml"/><Relationship Id="rId14" Type="http://schemas.openxmlformats.org/officeDocument/2006/relationships/chart" Target="../charts/chart166.xml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79.xml"/><Relationship Id="rId13" Type="http://schemas.openxmlformats.org/officeDocument/2006/relationships/chart" Target="../charts/chart184.xml"/><Relationship Id="rId18" Type="http://schemas.openxmlformats.org/officeDocument/2006/relationships/chart" Target="../charts/chart189.xml"/><Relationship Id="rId3" Type="http://schemas.openxmlformats.org/officeDocument/2006/relationships/chart" Target="../charts/chart174.xml"/><Relationship Id="rId7" Type="http://schemas.openxmlformats.org/officeDocument/2006/relationships/chart" Target="../charts/chart178.xml"/><Relationship Id="rId12" Type="http://schemas.openxmlformats.org/officeDocument/2006/relationships/chart" Target="../charts/chart183.xml"/><Relationship Id="rId17" Type="http://schemas.openxmlformats.org/officeDocument/2006/relationships/chart" Target="../charts/chart188.xml"/><Relationship Id="rId2" Type="http://schemas.openxmlformats.org/officeDocument/2006/relationships/chart" Target="../charts/chart173.xml"/><Relationship Id="rId16" Type="http://schemas.openxmlformats.org/officeDocument/2006/relationships/chart" Target="../charts/chart187.xml"/><Relationship Id="rId1" Type="http://schemas.openxmlformats.org/officeDocument/2006/relationships/chart" Target="../charts/chart172.xml"/><Relationship Id="rId6" Type="http://schemas.openxmlformats.org/officeDocument/2006/relationships/chart" Target="../charts/chart177.xml"/><Relationship Id="rId11" Type="http://schemas.openxmlformats.org/officeDocument/2006/relationships/chart" Target="../charts/chart182.xml"/><Relationship Id="rId5" Type="http://schemas.openxmlformats.org/officeDocument/2006/relationships/chart" Target="../charts/chart176.xml"/><Relationship Id="rId15" Type="http://schemas.openxmlformats.org/officeDocument/2006/relationships/chart" Target="../charts/chart186.xml"/><Relationship Id="rId10" Type="http://schemas.openxmlformats.org/officeDocument/2006/relationships/chart" Target="../charts/chart181.xml"/><Relationship Id="rId19" Type="http://schemas.openxmlformats.org/officeDocument/2006/relationships/chart" Target="../charts/chart190.xml"/><Relationship Id="rId4" Type="http://schemas.openxmlformats.org/officeDocument/2006/relationships/chart" Target="../charts/chart175.xml"/><Relationship Id="rId9" Type="http://schemas.openxmlformats.org/officeDocument/2006/relationships/chart" Target="../charts/chart180.xml"/><Relationship Id="rId14" Type="http://schemas.openxmlformats.org/officeDocument/2006/relationships/chart" Target="../charts/chart185.xml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98.xml"/><Relationship Id="rId13" Type="http://schemas.openxmlformats.org/officeDocument/2006/relationships/chart" Target="../charts/chart203.xml"/><Relationship Id="rId18" Type="http://schemas.openxmlformats.org/officeDocument/2006/relationships/chart" Target="../charts/chart208.xml"/><Relationship Id="rId3" Type="http://schemas.openxmlformats.org/officeDocument/2006/relationships/chart" Target="../charts/chart193.xml"/><Relationship Id="rId7" Type="http://schemas.openxmlformats.org/officeDocument/2006/relationships/chart" Target="../charts/chart197.xml"/><Relationship Id="rId12" Type="http://schemas.openxmlformats.org/officeDocument/2006/relationships/chart" Target="../charts/chart202.xml"/><Relationship Id="rId17" Type="http://schemas.openxmlformats.org/officeDocument/2006/relationships/chart" Target="../charts/chart207.xml"/><Relationship Id="rId2" Type="http://schemas.openxmlformats.org/officeDocument/2006/relationships/chart" Target="../charts/chart192.xml"/><Relationship Id="rId16" Type="http://schemas.openxmlformats.org/officeDocument/2006/relationships/chart" Target="../charts/chart206.xml"/><Relationship Id="rId1" Type="http://schemas.openxmlformats.org/officeDocument/2006/relationships/chart" Target="../charts/chart191.xml"/><Relationship Id="rId6" Type="http://schemas.openxmlformats.org/officeDocument/2006/relationships/chart" Target="../charts/chart196.xml"/><Relationship Id="rId11" Type="http://schemas.openxmlformats.org/officeDocument/2006/relationships/chart" Target="../charts/chart201.xml"/><Relationship Id="rId5" Type="http://schemas.openxmlformats.org/officeDocument/2006/relationships/chart" Target="../charts/chart195.xml"/><Relationship Id="rId15" Type="http://schemas.openxmlformats.org/officeDocument/2006/relationships/chart" Target="../charts/chart205.xml"/><Relationship Id="rId10" Type="http://schemas.openxmlformats.org/officeDocument/2006/relationships/chart" Target="../charts/chart200.xml"/><Relationship Id="rId19" Type="http://schemas.openxmlformats.org/officeDocument/2006/relationships/chart" Target="../charts/chart209.xml"/><Relationship Id="rId4" Type="http://schemas.openxmlformats.org/officeDocument/2006/relationships/chart" Target="../charts/chart194.xml"/><Relationship Id="rId9" Type="http://schemas.openxmlformats.org/officeDocument/2006/relationships/chart" Target="../charts/chart199.xml"/><Relationship Id="rId14" Type="http://schemas.openxmlformats.org/officeDocument/2006/relationships/chart" Target="../charts/chart204.xml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17.xml"/><Relationship Id="rId13" Type="http://schemas.openxmlformats.org/officeDocument/2006/relationships/chart" Target="../charts/chart222.xml"/><Relationship Id="rId18" Type="http://schemas.openxmlformats.org/officeDocument/2006/relationships/chart" Target="../charts/chart227.xml"/><Relationship Id="rId3" Type="http://schemas.openxmlformats.org/officeDocument/2006/relationships/chart" Target="../charts/chart212.xml"/><Relationship Id="rId7" Type="http://schemas.openxmlformats.org/officeDocument/2006/relationships/chart" Target="../charts/chart216.xml"/><Relationship Id="rId12" Type="http://schemas.openxmlformats.org/officeDocument/2006/relationships/chart" Target="../charts/chart221.xml"/><Relationship Id="rId17" Type="http://schemas.openxmlformats.org/officeDocument/2006/relationships/chart" Target="../charts/chart226.xml"/><Relationship Id="rId2" Type="http://schemas.openxmlformats.org/officeDocument/2006/relationships/chart" Target="../charts/chart211.xml"/><Relationship Id="rId16" Type="http://schemas.openxmlformats.org/officeDocument/2006/relationships/chart" Target="../charts/chart225.xml"/><Relationship Id="rId1" Type="http://schemas.openxmlformats.org/officeDocument/2006/relationships/chart" Target="../charts/chart210.xml"/><Relationship Id="rId6" Type="http://schemas.openxmlformats.org/officeDocument/2006/relationships/chart" Target="../charts/chart215.xml"/><Relationship Id="rId11" Type="http://schemas.openxmlformats.org/officeDocument/2006/relationships/chart" Target="../charts/chart220.xml"/><Relationship Id="rId5" Type="http://schemas.openxmlformats.org/officeDocument/2006/relationships/chart" Target="../charts/chart214.xml"/><Relationship Id="rId15" Type="http://schemas.openxmlformats.org/officeDocument/2006/relationships/chart" Target="../charts/chart224.xml"/><Relationship Id="rId10" Type="http://schemas.openxmlformats.org/officeDocument/2006/relationships/chart" Target="../charts/chart219.xml"/><Relationship Id="rId19" Type="http://schemas.openxmlformats.org/officeDocument/2006/relationships/chart" Target="../charts/chart228.xml"/><Relationship Id="rId4" Type="http://schemas.openxmlformats.org/officeDocument/2006/relationships/chart" Target="../charts/chart213.xml"/><Relationship Id="rId9" Type="http://schemas.openxmlformats.org/officeDocument/2006/relationships/chart" Target="../charts/chart218.xml"/><Relationship Id="rId14" Type="http://schemas.openxmlformats.org/officeDocument/2006/relationships/chart" Target="../charts/chart22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38100</xdr:rowOff>
    </xdr:from>
    <xdr:to>
      <xdr:col>25</xdr:col>
      <xdr:colOff>333375</xdr:colOff>
      <xdr:row>50</xdr:row>
      <xdr:rowOff>57150</xdr:rowOff>
    </xdr:to>
    <xdr:graphicFrame macro="">
      <xdr:nvGraphicFramePr>
        <xdr:cNvPr id="6043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100</xdr:row>
      <xdr:rowOff>76200</xdr:rowOff>
    </xdr:from>
    <xdr:to>
      <xdr:col>25</xdr:col>
      <xdr:colOff>295275</xdr:colOff>
      <xdr:row>150</xdr:row>
      <xdr:rowOff>28575</xdr:rowOff>
    </xdr:to>
    <xdr:graphicFrame macro="">
      <xdr:nvGraphicFramePr>
        <xdr:cNvPr id="6043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150</xdr:row>
      <xdr:rowOff>19050</xdr:rowOff>
    </xdr:from>
    <xdr:to>
      <xdr:col>25</xdr:col>
      <xdr:colOff>295275</xdr:colOff>
      <xdr:row>200</xdr:row>
      <xdr:rowOff>123825</xdr:rowOff>
    </xdr:to>
    <xdr:graphicFrame macro="">
      <xdr:nvGraphicFramePr>
        <xdr:cNvPr id="6043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200</xdr:row>
      <xdr:rowOff>95250</xdr:rowOff>
    </xdr:from>
    <xdr:to>
      <xdr:col>25</xdr:col>
      <xdr:colOff>238125</xdr:colOff>
      <xdr:row>250</xdr:row>
      <xdr:rowOff>133350</xdr:rowOff>
    </xdr:to>
    <xdr:graphicFrame macro="">
      <xdr:nvGraphicFramePr>
        <xdr:cNvPr id="6043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47625</xdr:colOff>
      <xdr:row>400</xdr:row>
      <xdr:rowOff>28575</xdr:rowOff>
    </xdr:from>
    <xdr:to>
      <xdr:col>25</xdr:col>
      <xdr:colOff>323850</xdr:colOff>
      <xdr:row>450</xdr:row>
      <xdr:rowOff>85725</xdr:rowOff>
    </xdr:to>
    <xdr:graphicFrame macro="">
      <xdr:nvGraphicFramePr>
        <xdr:cNvPr id="6044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28575</xdr:colOff>
      <xdr:row>300</xdr:row>
      <xdr:rowOff>76200</xdr:rowOff>
    </xdr:from>
    <xdr:to>
      <xdr:col>25</xdr:col>
      <xdr:colOff>276225</xdr:colOff>
      <xdr:row>350</xdr:row>
      <xdr:rowOff>57150</xdr:rowOff>
    </xdr:to>
    <xdr:graphicFrame macro="">
      <xdr:nvGraphicFramePr>
        <xdr:cNvPr id="60441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104775</xdr:colOff>
      <xdr:row>500</xdr:row>
      <xdr:rowOff>76200</xdr:rowOff>
    </xdr:from>
    <xdr:to>
      <xdr:col>25</xdr:col>
      <xdr:colOff>352425</xdr:colOff>
      <xdr:row>550</xdr:row>
      <xdr:rowOff>104775</xdr:rowOff>
    </xdr:to>
    <xdr:graphicFrame macro="">
      <xdr:nvGraphicFramePr>
        <xdr:cNvPr id="60442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66675</xdr:colOff>
      <xdr:row>550</xdr:row>
      <xdr:rowOff>95250</xdr:rowOff>
    </xdr:from>
    <xdr:to>
      <xdr:col>26</xdr:col>
      <xdr:colOff>447675</xdr:colOff>
      <xdr:row>601</xdr:row>
      <xdr:rowOff>104775</xdr:rowOff>
    </xdr:to>
    <xdr:graphicFrame macro="">
      <xdr:nvGraphicFramePr>
        <xdr:cNvPr id="60443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28575</xdr:colOff>
      <xdr:row>450</xdr:row>
      <xdr:rowOff>85725</xdr:rowOff>
    </xdr:from>
    <xdr:to>
      <xdr:col>25</xdr:col>
      <xdr:colOff>285750</xdr:colOff>
      <xdr:row>500</xdr:row>
      <xdr:rowOff>95250</xdr:rowOff>
    </xdr:to>
    <xdr:graphicFrame macro="">
      <xdr:nvGraphicFramePr>
        <xdr:cNvPr id="60444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47625</xdr:colOff>
      <xdr:row>50</xdr:row>
      <xdr:rowOff>95250</xdr:rowOff>
    </xdr:from>
    <xdr:to>
      <xdr:col>25</xdr:col>
      <xdr:colOff>304800</xdr:colOff>
      <xdr:row>100</xdr:row>
      <xdr:rowOff>133350</xdr:rowOff>
    </xdr:to>
    <xdr:graphicFrame macro="">
      <xdr:nvGraphicFramePr>
        <xdr:cNvPr id="60445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</xdr:col>
      <xdr:colOff>590550</xdr:colOff>
      <xdr:row>850</xdr:row>
      <xdr:rowOff>76200</xdr:rowOff>
    </xdr:from>
    <xdr:to>
      <xdr:col>21</xdr:col>
      <xdr:colOff>561975</xdr:colOff>
      <xdr:row>876</xdr:row>
      <xdr:rowOff>38100</xdr:rowOff>
    </xdr:to>
    <xdr:graphicFrame macro="">
      <xdr:nvGraphicFramePr>
        <xdr:cNvPr id="60446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</xdr:col>
      <xdr:colOff>590550</xdr:colOff>
      <xdr:row>876</xdr:row>
      <xdr:rowOff>66675</xdr:rowOff>
    </xdr:from>
    <xdr:to>
      <xdr:col>21</xdr:col>
      <xdr:colOff>533400</xdr:colOff>
      <xdr:row>901</xdr:row>
      <xdr:rowOff>133350</xdr:rowOff>
    </xdr:to>
    <xdr:graphicFrame macro="">
      <xdr:nvGraphicFramePr>
        <xdr:cNvPr id="60447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133350</xdr:colOff>
      <xdr:row>700</xdr:row>
      <xdr:rowOff>66675</xdr:rowOff>
    </xdr:from>
    <xdr:to>
      <xdr:col>25</xdr:col>
      <xdr:colOff>304800</xdr:colOff>
      <xdr:row>750</xdr:row>
      <xdr:rowOff>76200</xdr:rowOff>
    </xdr:to>
    <xdr:graphicFrame macro="">
      <xdr:nvGraphicFramePr>
        <xdr:cNvPr id="60448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171450</xdr:colOff>
      <xdr:row>750</xdr:row>
      <xdr:rowOff>57150</xdr:rowOff>
    </xdr:from>
    <xdr:to>
      <xdr:col>25</xdr:col>
      <xdr:colOff>352425</xdr:colOff>
      <xdr:row>800</xdr:row>
      <xdr:rowOff>76200</xdr:rowOff>
    </xdr:to>
    <xdr:graphicFrame macro="">
      <xdr:nvGraphicFramePr>
        <xdr:cNvPr id="60449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85725</xdr:colOff>
      <xdr:row>800</xdr:row>
      <xdr:rowOff>57150</xdr:rowOff>
    </xdr:from>
    <xdr:to>
      <xdr:col>25</xdr:col>
      <xdr:colOff>276225</xdr:colOff>
      <xdr:row>850</xdr:row>
      <xdr:rowOff>85725</xdr:rowOff>
    </xdr:to>
    <xdr:graphicFrame macro="">
      <xdr:nvGraphicFramePr>
        <xdr:cNvPr id="60450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85725</xdr:colOff>
      <xdr:row>650</xdr:row>
      <xdr:rowOff>66675</xdr:rowOff>
    </xdr:from>
    <xdr:to>
      <xdr:col>25</xdr:col>
      <xdr:colOff>352425</xdr:colOff>
      <xdr:row>700</xdr:row>
      <xdr:rowOff>104775</xdr:rowOff>
    </xdr:to>
    <xdr:graphicFrame macro="">
      <xdr:nvGraphicFramePr>
        <xdr:cNvPr id="60451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0</xdr:colOff>
      <xdr:row>250</xdr:row>
      <xdr:rowOff>85725</xdr:rowOff>
    </xdr:from>
    <xdr:to>
      <xdr:col>25</xdr:col>
      <xdr:colOff>266700</xdr:colOff>
      <xdr:row>300</xdr:row>
      <xdr:rowOff>85725</xdr:rowOff>
    </xdr:to>
    <xdr:graphicFrame macro="">
      <xdr:nvGraphicFramePr>
        <xdr:cNvPr id="60452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0</xdr:col>
      <xdr:colOff>0</xdr:colOff>
      <xdr:row>350</xdr:row>
      <xdr:rowOff>57150</xdr:rowOff>
    </xdr:from>
    <xdr:to>
      <xdr:col>25</xdr:col>
      <xdr:colOff>285750</xdr:colOff>
      <xdr:row>400</xdr:row>
      <xdr:rowOff>66675</xdr:rowOff>
    </xdr:to>
    <xdr:graphicFrame macro="">
      <xdr:nvGraphicFramePr>
        <xdr:cNvPr id="60453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28575</xdr:colOff>
      <xdr:row>600</xdr:row>
      <xdr:rowOff>47625</xdr:rowOff>
    </xdr:from>
    <xdr:to>
      <xdr:col>25</xdr:col>
      <xdr:colOff>323850</xdr:colOff>
      <xdr:row>650</xdr:row>
      <xdr:rowOff>76200</xdr:rowOff>
    </xdr:to>
    <xdr:graphicFrame macro="">
      <xdr:nvGraphicFramePr>
        <xdr:cNvPr id="60454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38100</xdr:rowOff>
    </xdr:from>
    <xdr:to>
      <xdr:col>25</xdr:col>
      <xdr:colOff>333375</xdr:colOff>
      <xdr:row>50</xdr:row>
      <xdr:rowOff>57150</xdr:rowOff>
    </xdr:to>
    <xdr:graphicFrame macro="">
      <xdr:nvGraphicFramePr>
        <xdr:cNvPr id="6658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76200</xdr:colOff>
      <xdr:row>100</xdr:row>
      <xdr:rowOff>66675</xdr:rowOff>
    </xdr:from>
    <xdr:to>
      <xdr:col>25</xdr:col>
      <xdr:colOff>371475</xdr:colOff>
      <xdr:row>150</xdr:row>
      <xdr:rowOff>57150</xdr:rowOff>
    </xdr:to>
    <xdr:graphicFrame macro="">
      <xdr:nvGraphicFramePr>
        <xdr:cNvPr id="66581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66675</xdr:colOff>
      <xdr:row>150</xdr:row>
      <xdr:rowOff>85725</xdr:rowOff>
    </xdr:from>
    <xdr:to>
      <xdr:col>25</xdr:col>
      <xdr:colOff>361950</xdr:colOff>
      <xdr:row>200</xdr:row>
      <xdr:rowOff>76200</xdr:rowOff>
    </xdr:to>
    <xdr:graphicFrame macro="">
      <xdr:nvGraphicFramePr>
        <xdr:cNvPr id="66582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95250</xdr:colOff>
      <xdr:row>200</xdr:row>
      <xdr:rowOff>104775</xdr:rowOff>
    </xdr:from>
    <xdr:to>
      <xdr:col>25</xdr:col>
      <xdr:colOff>333375</xdr:colOff>
      <xdr:row>250</xdr:row>
      <xdr:rowOff>47625</xdr:rowOff>
    </xdr:to>
    <xdr:graphicFrame macro="">
      <xdr:nvGraphicFramePr>
        <xdr:cNvPr id="66583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66675</xdr:colOff>
      <xdr:row>400</xdr:row>
      <xdr:rowOff>85725</xdr:rowOff>
    </xdr:from>
    <xdr:to>
      <xdr:col>25</xdr:col>
      <xdr:colOff>342900</xdr:colOff>
      <xdr:row>450</xdr:row>
      <xdr:rowOff>19050</xdr:rowOff>
    </xdr:to>
    <xdr:graphicFrame macro="">
      <xdr:nvGraphicFramePr>
        <xdr:cNvPr id="66584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57150</xdr:colOff>
      <xdr:row>300</xdr:row>
      <xdr:rowOff>114300</xdr:rowOff>
    </xdr:from>
    <xdr:to>
      <xdr:col>25</xdr:col>
      <xdr:colOff>304800</xdr:colOff>
      <xdr:row>350</xdr:row>
      <xdr:rowOff>38100</xdr:rowOff>
    </xdr:to>
    <xdr:graphicFrame macro="">
      <xdr:nvGraphicFramePr>
        <xdr:cNvPr id="66585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76200</xdr:colOff>
      <xdr:row>500</xdr:row>
      <xdr:rowOff>85725</xdr:rowOff>
    </xdr:from>
    <xdr:to>
      <xdr:col>25</xdr:col>
      <xdr:colOff>323850</xdr:colOff>
      <xdr:row>550</xdr:row>
      <xdr:rowOff>38100</xdr:rowOff>
    </xdr:to>
    <xdr:graphicFrame macro="">
      <xdr:nvGraphicFramePr>
        <xdr:cNvPr id="66586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66675</xdr:colOff>
      <xdr:row>550</xdr:row>
      <xdr:rowOff>85725</xdr:rowOff>
    </xdr:from>
    <xdr:to>
      <xdr:col>26</xdr:col>
      <xdr:colOff>447675</xdr:colOff>
      <xdr:row>600</xdr:row>
      <xdr:rowOff>57150</xdr:rowOff>
    </xdr:to>
    <xdr:graphicFrame macro="">
      <xdr:nvGraphicFramePr>
        <xdr:cNvPr id="66587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66675</xdr:colOff>
      <xdr:row>450</xdr:row>
      <xdr:rowOff>57150</xdr:rowOff>
    </xdr:from>
    <xdr:to>
      <xdr:col>25</xdr:col>
      <xdr:colOff>323850</xdr:colOff>
      <xdr:row>500</xdr:row>
      <xdr:rowOff>38100</xdr:rowOff>
    </xdr:to>
    <xdr:graphicFrame macro="">
      <xdr:nvGraphicFramePr>
        <xdr:cNvPr id="66588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0</xdr:colOff>
      <xdr:row>50</xdr:row>
      <xdr:rowOff>47625</xdr:rowOff>
    </xdr:from>
    <xdr:to>
      <xdr:col>25</xdr:col>
      <xdr:colOff>257175</xdr:colOff>
      <xdr:row>100</xdr:row>
      <xdr:rowOff>85725</xdr:rowOff>
    </xdr:to>
    <xdr:graphicFrame macro="">
      <xdr:nvGraphicFramePr>
        <xdr:cNvPr id="66589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</xdr:col>
      <xdr:colOff>47625</xdr:colOff>
      <xdr:row>850</xdr:row>
      <xdr:rowOff>104775</xdr:rowOff>
    </xdr:from>
    <xdr:to>
      <xdr:col>22</xdr:col>
      <xdr:colOff>19050</xdr:colOff>
      <xdr:row>876</xdr:row>
      <xdr:rowOff>66675</xdr:rowOff>
    </xdr:to>
    <xdr:graphicFrame macro="">
      <xdr:nvGraphicFramePr>
        <xdr:cNvPr id="66590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</xdr:col>
      <xdr:colOff>104775</xdr:colOff>
      <xdr:row>876</xdr:row>
      <xdr:rowOff>152400</xdr:rowOff>
    </xdr:from>
    <xdr:to>
      <xdr:col>22</xdr:col>
      <xdr:colOff>47625</xdr:colOff>
      <xdr:row>902</xdr:row>
      <xdr:rowOff>57150</xdr:rowOff>
    </xdr:to>
    <xdr:graphicFrame macro="">
      <xdr:nvGraphicFramePr>
        <xdr:cNvPr id="66591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9525</xdr:colOff>
      <xdr:row>700</xdr:row>
      <xdr:rowOff>95250</xdr:rowOff>
    </xdr:from>
    <xdr:to>
      <xdr:col>25</xdr:col>
      <xdr:colOff>180975</xdr:colOff>
      <xdr:row>750</xdr:row>
      <xdr:rowOff>47625</xdr:rowOff>
    </xdr:to>
    <xdr:graphicFrame macro="">
      <xdr:nvGraphicFramePr>
        <xdr:cNvPr id="66592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19050</xdr:colOff>
      <xdr:row>750</xdr:row>
      <xdr:rowOff>76200</xdr:rowOff>
    </xdr:from>
    <xdr:to>
      <xdr:col>25</xdr:col>
      <xdr:colOff>200025</xdr:colOff>
      <xdr:row>800</xdr:row>
      <xdr:rowOff>95250</xdr:rowOff>
    </xdr:to>
    <xdr:graphicFrame macro="">
      <xdr:nvGraphicFramePr>
        <xdr:cNvPr id="66593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0</xdr:colOff>
      <xdr:row>800</xdr:row>
      <xdr:rowOff>152400</xdr:rowOff>
    </xdr:from>
    <xdr:to>
      <xdr:col>25</xdr:col>
      <xdr:colOff>190500</xdr:colOff>
      <xdr:row>850</xdr:row>
      <xdr:rowOff>47625</xdr:rowOff>
    </xdr:to>
    <xdr:graphicFrame macro="">
      <xdr:nvGraphicFramePr>
        <xdr:cNvPr id="66594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19050</xdr:colOff>
      <xdr:row>650</xdr:row>
      <xdr:rowOff>95250</xdr:rowOff>
    </xdr:from>
    <xdr:to>
      <xdr:col>25</xdr:col>
      <xdr:colOff>285750</xdr:colOff>
      <xdr:row>700</xdr:row>
      <xdr:rowOff>47625</xdr:rowOff>
    </xdr:to>
    <xdr:graphicFrame macro="">
      <xdr:nvGraphicFramePr>
        <xdr:cNvPr id="66595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57150</xdr:colOff>
      <xdr:row>250</xdr:row>
      <xdr:rowOff>104775</xdr:rowOff>
    </xdr:from>
    <xdr:to>
      <xdr:col>25</xdr:col>
      <xdr:colOff>323850</xdr:colOff>
      <xdr:row>300</xdr:row>
      <xdr:rowOff>76200</xdr:rowOff>
    </xdr:to>
    <xdr:graphicFrame macro="">
      <xdr:nvGraphicFramePr>
        <xdr:cNvPr id="66596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0</xdr:col>
      <xdr:colOff>66675</xdr:colOff>
      <xdr:row>350</xdr:row>
      <xdr:rowOff>66675</xdr:rowOff>
    </xdr:from>
    <xdr:to>
      <xdr:col>25</xdr:col>
      <xdr:colOff>352425</xdr:colOff>
      <xdr:row>400</xdr:row>
      <xdr:rowOff>38100</xdr:rowOff>
    </xdr:to>
    <xdr:graphicFrame macro="">
      <xdr:nvGraphicFramePr>
        <xdr:cNvPr id="66597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38100</xdr:colOff>
      <xdr:row>600</xdr:row>
      <xdr:rowOff>76200</xdr:rowOff>
    </xdr:from>
    <xdr:to>
      <xdr:col>25</xdr:col>
      <xdr:colOff>333375</xdr:colOff>
      <xdr:row>650</xdr:row>
      <xdr:rowOff>38100</xdr:rowOff>
    </xdr:to>
    <xdr:graphicFrame macro="">
      <xdr:nvGraphicFramePr>
        <xdr:cNvPr id="66598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38100</xdr:rowOff>
    </xdr:from>
    <xdr:to>
      <xdr:col>25</xdr:col>
      <xdr:colOff>333375</xdr:colOff>
      <xdr:row>50</xdr:row>
      <xdr:rowOff>57150</xdr:rowOff>
    </xdr:to>
    <xdr:graphicFrame macro="">
      <xdr:nvGraphicFramePr>
        <xdr:cNvPr id="7170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66675</xdr:colOff>
      <xdr:row>100</xdr:row>
      <xdr:rowOff>76200</xdr:rowOff>
    </xdr:from>
    <xdr:to>
      <xdr:col>25</xdr:col>
      <xdr:colOff>361950</xdr:colOff>
      <xdr:row>150</xdr:row>
      <xdr:rowOff>47625</xdr:rowOff>
    </xdr:to>
    <xdr:graphicFrame macro="">
      <xdr:nvGraphicFramePr>
        <xdr:cNvPr id="71701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66675</xdr:colOff>
      <xdr:row>150</xdr:row>
      <xdr:rowOff>85725</xdr:rowOff>
    </xdr:from>
    <xdr:to>
      <xdr:col>25</xdr:col>
      <xdr:colOff>361950</xdr:colOff>
      <xdr:row>200</xdr:row>
      <xdr:rowOff>28575</xdr:rowOff>
    </xdr:to>
    <xdr:graphicFrame macro="">
      <xdr:nvGraphicFramePr>
        <xdr:cNvPr id="71702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38100</xdr:colOff>
      <xdr:row>200</xdr:row>
      <xdr:rowOff>85725</xdr:rowOff>
    </xdr:from>
    <xdr:to>
      <xdr:col>25</xdr:col>
      <xdr:colOff>276225</xdr:colOff>
      <xdr:row>250</xdr:row>
      <xdr:rowOff>38100</xdr:rowOff>
    </xdr:to>
    <xdr:graphicFrame macro="">
      <xdr:nvGraphicFramePr>
        <xdr:cNvPr id="71703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400</xdr:row>
      <xdr:rowOff>76200</xdr:rowOff>
    </xdr:from>
    <xdr:to>
      <xdr:col>25</xdr:col>
      <xdr:colOff>276225</xdr:colOff>
      <xdr:row>450</xdr:row>
      <xdr:rowOff>133350</xdr:rowOff>
    </xdr:to>
    <xdr:graphicFrame macro="">
      <xdr:nvGraphicFramePr>
        <xdr:cNvPr id="71704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38100</xdr:colOff>
      <xdr:row>299</xdr:row>
      <xdr:rowOff>114300</xdr:rowOff>
    </xdr:from>
    <xdr:to>
      <xdr:col>25</xdr:col>
      <xdr:colOff>285750</xdr:colOff>
      <xdr:row>350</xdr:row>
      <xdr:rowOff>57150</xdr:rowOff>
    </xdr:to>
    <xdr:graphicFrame macro="">
      <xdr:nvGraphicFramePr>
        <xdr:cNvPr id="71705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500</xdr:row>
      <xdr:rowOff>76200</xdr:rowOff>
    </xdr:from>
    <xdr:to>
      <xdr:col>25</xdr:col>
      <xdr:colOff>247650</xdr:colOff>
      <xdr:row>550</xdr:row>
      <xdr:rowOff>47625</xdr:rowOff>
    </xdr:to>
    <xdr:graphicFrame macro="">
      <xdr:nvGraphicFramePr>
        <xdr:cNvPr id="71706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550</xdr:row>
      <xdr:rowOff>85725</xdr:rowOff>
    </xdr:from>
    <xdr:to>
      <xdr:col>26</xdr:col>
      <xdr:colOff>381000</xdr:colOff>
      <xdr:row>600</xdr:row>
      <xdr:rowOff>95250</xdr:rowOff>
    </xdr:to>
    <xdr:graphicFrame macro="">
      <xdr:nvGraphicFramePr>
        <xdr:cNvPr id="71707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0</xdr:colOff>
      <xdr:row>450</xdr:row>
      <xdr:rowOff>76200</xdr:rowOff>
    </xdr:from>
    <xdr:to>
      <xdr:col>25</xdr:col>
      <xdr:colOff>257175</xdr:colOff>
      <xdr:row>500</xdr:row>
      <xdr:rowOff>123825</xdr:rowOff>
    </xdr:to>
    <xdr:graphicFrame macro="">
      <xdr:nvGraphicFramePr>
        <xdr:cNvPr id="71708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104775</xdr:colOff>
      <xdr:row>50</xdr:row>
      <xdr:rowOff>66675</xdr:rowOff>
    </xdr:from>
    <xdr:to>
      <xdr:col>25</xdr:col>
      <xdr:colOff>361950</xdr:colOff>
      <xdr:row>100</xdr:row>
      <xdr:rowOff>57150</xdr:rowOff>
    </xdr:to>
    <xdr:graphicFrame macro="">
      <xdr:nvGraphicFramePr>
        <xdr:cNvPr id="71709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</xdr:col>
      <xdr:colOff>28575</xdr:colOff>
      <xdr:row>850</xdr:row>
      <xdr:rowOff>142875</xdr:rowOff>
    </xdr:from>
    <xdr:to>
      <xdr:col>22</xdr:col>
      <xdr:colOff>0</xdr:colOff>
      <xdr:row>876</xdr:row>
      <xdr:rowOff>104775</xdr:rowOff>
    </xdr:to>
    <xdr:graphicFrame macro="">
      <xdr:nvGraphicFramePr>
        <xdr:cNvPr id="71710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</xdr:col>
      <xdr:colOff>47625</xdr:colOff>
      <xdr:row>876</xdr:row>
      <xdr:rowOff>142875</xdr:rowOff>
    </xdr:from>
    <xdr:to>
      <xdr:col>21</xdr:col>
      <xdr:colOff>600075</xdr:colOff>
      <xdr:row>902</xdr:row>
      <xdr:rowOff>47625</xdr:rowOff>
    </xdr:to>
    <xdr:graphicFrame macro="">
      <xdr:nvGraphicFramePr>
        <xdr:cNvPr id="71711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9525</xdr:colOff>
      <xdr:row>700</xdr:row>
      <xdr:rowOff>85725</xdr:rowOff>
    </xdr:from>
    <xdr:to>
      <xdr:col>25</xdr:col>
      <xdr:colOff>180975</xdr:colOff>
      <xdr:row>750</xdr:row>
      <xdr:rowOff>95250</xdr:rowOff>
    </xdr:to>
    <xdr:graphicFrame macro="">
      <xdr:nvGraphicFramePr>
        <xdr:cNvPr id="71712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0</xdr:colOff>
      <xdr:row>750</xdr:row>
      <xdr:rowOff>152400</xdr:rowOff>
    </xdr:from>
    <xdr:to>
      <xdr:col>25</xdr:col>
      <xdr:colOff>180975</xdr:colOff>
      <xdr:row>800</xdr:row>
      <xdr:rowOff>38100</xdr:rowOff>
    </xdr:to>
    <xdr:graphicFrame macro="">
      <xdr:nvGraphicFramePr>
        <xdr:cNvPr id="71713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19050</xdr:colOff>
      <xdr:row>800</xdr:row>
      <xdr:rowOff>85725</xdr:rowOff>
    </xdr:from>
    <xdr:to>
      <xdr:col>25</xdr:col>
      <xdr:colOff>209550</xdr:colOff>
      <xdr:row>850</xdr:row>
      <xdr:rowOff>114300</xdr:rowOff>
    </xdr:to>
    <xdr:graphicFrame macro="">
      <xdr:nvGraphicFramePr>
        <xdr:cNvPr id="71714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0</xdr:colOff>
      <xdr:row>650</xdr:row>
      <xdr:rowOff>57150</xdr:rowOff>
    </xdr:from>
    <xdr:to>
      <xdr:col>25</xdr:col>
      <xdr:colOff>266700</xdr:colOff>
      <xdr:row>700</xdr:row>
      <xdr:rowOff>47625</xdr:rowOff>
    </xdr:to>
    <xdr:graphicFrame macro="">
      <xdr:nvGraphicFramePr>
        <xdr:cNvPr id="71715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28575</xdr:colOff>
      <xdr:row>250</xdr:row>
      <xdr:rowOff>85725</xdr:rowOff>
    </xdr:from>
    <xdr:to>
      <xdr:col>25</xdr:col>
      <xdr:colOff>295275</xdr:colOff>
      <xdr:row>300</xdr:row>
      <xdr:rowOff>114300</xdr:rowOff>
    </xdr:to>
    <xdr:graphicFrame macro="">
      <xdr:nvGraphicFramePr>
        <xdr:cNvPr id="71716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0</xdr:col>
      <xdr:colOff>38100</xdr:colOff>
      <xdr:row>350</xdr:row>
      <xdr:rowOff>0</xdr:rowOff>
    </xdr:from>
    <xdr:to>
      <xdr:col>25</xdr:col>
      <xdr:colOff>323850</xdr:colOff>
      <xdr:row>400</xdr:row>
      <xdr:rowOff>38100</xdr:rowOff>
    </xdr:to>
    <xdr:graphicFrame macro="">
      <xdr:nvGraphicFramePr>
        <xdr:cNvPr id="71717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200025</xdr:colOff>
      <xdr:row>600</xdr:row>
      <xdr:rowOff>123825</xdr:rowOff>
    </xdr:from>
    <xdr:to>
      <xdr:col>25</xdr:col>
      <xdr:colOff>495300</xdr:colOff>
      <xdr:row>650</xdr:row>
      <xdr:rowOff>0</xdr:rowOff>
    </xdr:to>
    <xdr:graphicFrame macro="">
      <xdr:nvGraphicFramePr>
        <xdr:cNvPr id="71718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28575</xdr:rowOff>
    </xdr:from>
    <xdr:to>
      <xdr:col>25</xdr:col>
      <xdr:colOff>333375</xdr:colOff>
      <xdr:row>50</xdr:row>
      <xdr:rowOff>28575</xdr:rowOff>
    </xdr:to>
    <xdr:graphicFrame macro="">
      <xdr:nvGraphicFramePr>
        <xdr:cNvPr id="12187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28575</xdr:colOff>
      <xdr:row>100</xdr:row>
      <xdr:rowOff>66675</xdr:rowOff>
    </xdr:from>
    <xdr:to>
      <xdr:col>25</xdr:col>
      <xdr:colOff>323850</xdr:colOff>
      <xdr:row>150</xdr:row>
      <xdr:rowOff>47625</xdr:rowOff>
    </xdr:to>
    <xdr:graphicFrame macro="">
      <xdr:nvGraphicFramePr>
        <xdr:cNvPr id="12187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28575</xdr:colOff>
      <xdr:row>150</xdr:row>
      <xdr:rowOff>76200</xdr:rowOff>
    </xdr:from>
    <xdr:to>
      <xdr:col>25</xdr:col>
      <xdr:colOff>323850</xdr:colOff>
      <xdr:row>200</xdr:row>
      <xdr:rowOff>38100</xdr:rowOff>
    </xdr:to>
    <xdr:graphicFrame macro="">
      <xdr:nvGraphicFramePr>
        <xdr:cNvPr id="12187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28575</xdr:colOff>
      <xdr:row>200</xdr:row>
      <xdr:rowOff>85725</xdr:rowOff>
    </xdr:from>
    <xdr:to>
      <xdr:col>25</xdr:col>
      <xdr:colOff>266700</xdr:colOff>
      <xdr:row>250</xdr:row>
      <xdr:rowOff>38100</xdr:rowOff>
    </xdr:to>
    <xdr:graphicFrame macro="">
      <xdr:nvGraphicFramePr>
        <xdr:cNvPr id="12187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28575</xdr:colOff>
      <xdr:row>400</xdr:row>
      <xdr:rowOff>76200</xdr:rowOff>
    </xdr:from>
    <xdr:to>
      <xdr:col>25</xdr:col>
      <xdr:colOff>304800</xdr:colOff>
      <xdr:row>450</xdr:row>
      <xdr:rowOff>57150</xdr:rowOff>
    </xdr:to>
    <xdr:graphicFrame macro="">
      <xdr:nvGraphicFramePr>
        <xdr:cNvPr id="12188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28575</xdr:colOff>
      <xdr:row>300</xdr:row>
      <xdr:rowOff>66675</xdr:rowOff>
    </xdr:from>
    <xdr:to>
      <xdr:col>25</xdr:col>
      <xdr:colOff>276225</xdr:colOff>
      <xdr:row>350</xdr:row>
      <xdr:rowOff>38100</xdr:rowOff>
    </xdr:to>
    <xdr:graphicFrame macro="">
      <xdr:nvGraphicFramePr>
        <xdr:cNvPr id="121881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38100</xdr:colOff>
      <xdr:row>500</xdr:row>
      <xdr:rowOff>66675</xdr:rowOff>
    </xdr:from>
    <xdr:to>
      <xdr:col>25</xdr:col>
      <xdr:colOff>285750</xdr:colOff>
      <xdr:row>550</xdr:row>
      <xdr:rowOff>57150</xdr:rowOff>
    </xdr:to>
    <xdr:graphicFrame macro="">
      <xdr:nvGraphicFramePr>
        <xdr:cNvPr id="121882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38100</xdr:colOff>
      <xdr:row>550</xdr:row>
      <xdr:rowOff>104775</xdr:rowOff>
    </xdr:from>
    <xdr:to>
      <xdr:col>26</xdr:col>
      <xdr:colOff>419100</xdr:colOff>
      <xdr:row>600</xdr:row>
      <xdr:rowOff>76200</xdr:rowOff>
    </xdr:to>
    <xdr:graphicFrame macro="">
      <xdr:nvGraphicFramePr>
        <xdr:cNvPr id="121883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19050</xdr:colOff>
      <xdr:row>450</xdr:row>
      <xdr:rowOff>85725</xdr:rowOff>
    </xdr:from>
    <xdr:to>
      <xdr:col>25</xdr:col>
      <xdr:colOff>276225</xdr:colOff>
      <xdr:row>500</xdr:row>
      <xdr:rowOff>28575</xdr:rowOff>
    </xdr:to>
    <xdr:graphicFrame macro="">
      <xdr:nvGraphicFramePr>
        <xdr:cNvPr id="121884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19050</xdr:colOff>
      <xdr:row>50</xdr:row>
      <xdr:rowOff>47625</xdr:rowOff>
    </xdr:from>
    <xdr:to>
      <xdr:col>25</xdr:col>
      <xdr:colOff>276225</xdr:colOff>
      <xdr:row>100</xdr:row>
      <xdr:rowOff>38100</xdr:rowOff>
    </xdr:to>
    <xdr:graphicFrame macro="">
      <xdr:nvGraphicFramePr>
        <xdr:cNvPr id="121885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</xdr:col>
      <xdr:colOff>38100</xdr:colOff>
      <xdr:row>850</xdr:row>
      <xdr:rowOff>114300</xdr:rowOff>
    </xdr:from>
    <xdr:to>
      <xdr:col>22</xdr:col>
      <xdr:colOff>9525</xdr:colOff>
      <xdr:row>876</xdr:row>
      <xdr:rowOff>76200</xdr:rowOff>
    </xdr:to>
    <xdr:graphicFrame macro="">
      <xdr:nvGraphicFramePr>
        <xdr:cNvPr id="121886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</xdr:col>
      <xdr:colOff>28575</xdr:colOff>
      <xdr:row>876</xdr:row>
      <xdr:rowOff>95250</xdr:rowOff>
    </xdr:from>
    <xdr:to>
      <xdr:col>21</xdr:col>
      <xdr:colOff>581025</xdr:colOff>
      <xdr:row>902</xdr:row>
      <xdr:rowOff>0</xdr:rowOff>
    </xdr:to>
    <xdr:graphicFrame macro="">
      <xdr:nvGraphicFramePr>
        <xdr:cNvPr id="121887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28575</xdr:colOff>
      <xdr:row>700</xdr:row>
      <xdr:rowOff>95250</xdr:rowOff>
    </xdr:from>
    <xdr:to>
      <xdr:col>25</xdr:col>
      <xdr:colOff>200025</xdr:colOff>
      <xdr:row>750</xdr:row>
      <xdr:rowOff>104775</xdr:rowOff>
    </xdr:to>
    <xdr:graphicFrame macro="">
      <xdr:nvGraphicFramePr>
        <xdr:cNvPr id="121888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28575</xdr:colOff>
      <xdr:row>751</xdr:row>
      <xdr:rowOff>9525</xdr:rowOff>
    </xdr:from>
    <xdr:to>
      <xdr:col>25</xdr:col>
      <xdr:colOff>209550</xdr:colOff>
      <xdr:row>800</xdr:row>
      <xdr:rowOff>38100</xdr:rowOff>
    </xdr:to>
    <xdr:graphicFrame macro="">
      <xdr:nvGraphicFramePr>
        <xdr:cNvPr id="121889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38100</xdr:colOff>
      <xdr:row>800</xdr:row>
      <xdr:rowOff>85725</xdr:rowOff>
    </xdr:from>
    <xdr:to>
      <xdr:col>25</xdr:col>
      <xdr:colOff>228600</xdr:colOff>
      <xdr:row>850</xdr:row>
      <xdr:rowOff>66675</xdr:rowOff>
    </xdr:to>
    <xdr:graphicFrame macro="">
      <xdr:nvGraphicFramePr>
        <xdr:cNvPr id="121890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57150</xdr:colOff>
      <xdr:row>650</xdr:row>
      <xdr:rowOff>104775</xdr:rowOff>
    </xdr:from>
    <xdr:to>
      <xdr:col>25</xdr:col>
      <xdr:colOff>323850</xdr:colOff>
      <xdr:row>700</xdr:row>
      <xdr:rowOff>38100</xdr:rowOff>
    </xdr:to>
    <xdr:graphicFrame macro="">
      <xdr:nvGraphicFramePr>
        <xdr:cNvPr id="121891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38100</xdr:colOff>
      <xdr:row>250</xdr:row>
      <xdr:rowOff>76200</xdr:rowOff>
    </xdr:from>
    <xdr:to>
      <xdr:col>25</xdr:col>
      <xdr:colOff>304800</xdr:colOff>
      <xdr:row>300</xdr:row>
      <xdr:rowOff>47625</xdr:rowOff>
    </xdr:to>
    <xdr:graphicFrame macro="">
      <xdr:nvGraphicFramePr>
        <xdr:cNvPr id="121892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0</xdr:col>
      <xdr:colOff>38100</xdr:colOff>
      <xdr:row>350</xdr:row>
      <xdr:rowOff>76200</xdr:rowOff>
    </xdr:from>
    <xdr:to>
      <xdr:col>25</xdr:col>
      <xdr:colOff>323850</xdr:colOff>
      <xdr:row>400</xdr:row>
      <xdr:rowOff>38100</xdr:rowOff>
    </xdr:to>
    <xdr:graphicFrame macro="">
      <xdr:nvGraphicFramePr>
        <xdr:cNvPr id="121893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142875</xdr:colOff>
      <xdr:row>600</xdr:row>
      <xdr:rowOff>114300</xdr:rowOff>
    </xdr:from>
    <xdr:to>
      <xdr:col>26</xdr:col>
      <xdr:colOff>342900</xdr:colOff>
      <xdr:row>650</xdr:row>
      <xdr:rowOff>47625</xdr:rowOff>
    </xdr:to>
    <xdr:graphicFrame macro="">
      <xdr:nvGraphicFramePr>
        <xdr:cNvPr id="121894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19050</xdr:rowOff>
    </xdr:from>
    <xdr:to>
      <xdr:col>25</xdr:col>
      <xdr:colOff>333375</xdr:colOff>
      <xdr:row>50</xdr:row>
      <xdr:rowOff>28575</xdr:rowOff>
    </xdr:to>
    <xdr:graphicFrame macro="">
      <xdr:nvGraphicFramePr>
        <xdr:cNvPr id="12597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47625</xdr:colOff>
      <xdr:row>100</xdr:row>
      <xdr:rowOff>85725</xdr:rowOff>
    </xdr:from>
    <xdr:to>
      <xdr:col>25</xdr:col>
      <xdr:colOff>342900</xdr:colOff>
      <xdr:row>150</xdr:row>
      <xdr:rowOff>38100</xdr:rowOff>
    </xdr:to>
    <xdr:graphicFrame macro="">
      <xdr:nvGraphicFramePr>
        <xdr:cNvPr id="12597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38100</xdr:colOff>
      <xdr:row>150</xdr:row>
      <xdr:rowOff>66675</xdr:rowOff>
    </xdr:from>
    <xdr:to>
      <xdr:col>25</xdr:col>
      <xdr:colOff>333375</xdr:colOff>
      <xdr:row>200</xdr:row>
      <xdr:rowOff>38100</xdr:rowOff>
    </xdr:to>
    <xdr:graphicFrame macro="">
      <xdr:nvGraphicFramePr>
        <xdr:cNvPr id="12597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57150</xdr:colOff>
      <xdr:row>200</xdr:row>
      <xdr:rowOff>76200</xdr:rowOff>
    </xdr:from>
    <xdr:to>
      <xdr:col>25</xdr:col>
      <xdr:colOff>295275</xdr:colOff>
      <xdr:row>250</xdr:row>
      <xdr:rowOff>47625</xdr:rowOff>
    </xdr:to>
    <xdr:graphicFrame macro="">
      <xdr:nvGraphicFramePr>
        <xdr:cNvPr id="12597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47625</xdr:colOff>
      <xdr:row>400</xdr:row>
      <xdr:rowOff>66675</xdr:rowOff>
    </xdr:from>
    <xdr:to>
      <xdr:col>25</xdr:col>
      <xdr:colOff>323850</xdr:colOff>
      <xdr:row>450</xdr:row>
      <xdr:rowOff>38100</xdr:rowOff>
    </xdr:to>
    <xdr:graphicFrame macro="">
      <xdr:nvGraphicFramePr>
        <xdr:cNvPr id="12597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38100</xdr:colOff>
      <xdr:row>300</xdr:row>
      <xdr:rowOff>66675</xdr:rowOff>
    </xdr:from>
    <xdr:to>
      <xdr:col>25</xdr:col>
      <xdr:colOff>285750</xdr:colOff>
      <xdr:row>350</xdr:row>
      <xdr:rowOff>28575</xdr:rowOff>
    </xdr:to>
    <xdr:graphicFrame macro="">
      <xdr:nvGraphicFramePr>
        <xdr:cNvPr id="12597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38100</xdr:colOff>
      <xdr:row>500</xdr:row>
      <xdr:rowOff>76200</xdr:rowOff>
    </xdr:from>
    <xdr:to>
      <xdr:col>25</xdr:col>
      <xdr:colOff>285750</xdr:colOff>
      <xdr:row>550</xdr:row>
      <xdr:rowOff>104775</xdr:rowOff>
    </xdr:to>
    <xdr:graphicFrame macro="">
      <xdr:nvGraphicFramePr>
        <xdr:cNvPr id="12597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28575</xdr:colOff>
      <xdr:row>550</xdr:row>
      <xdr:rowOff>133350</xdr:rowOff>
    </xdr:from>
    <xdr:to>
      <xdr:col>26</xdr:col>
      <xdr:colOff>409575</xdr:colOff>
      <xdr:row>600</xdr:row>
      <xdr:rowOff>38100</xdr:rowOff>
    </xdr:to>
    <xdr:graphicFrame macro="">
      <xdr:nvGraphicFramePr>
        <xdr:cNvPr id="12597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38100</xdr:colOff>
      <xdr:row>450</xdr:row>
      <xdr:rowOff>76200</xdr:rowOff>
    </xdr:from>
    <xdr:to>
      <xdr:col>25</xdr:col>
      <xdr:colOff>295275</xdr:colOff>
      <xdr:row>500</xdr:row>
      <xdr:rowOff>38100</xdr:rowOff>
    </xdr:to>
    <xdr:graphicFrame macro="">
      <xdr:nvGraphicFramePr>
        <xdr:cNvPr id="12598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47625</xdr:colOff>
      <xdr:row>50</xdr:row>
      <xdr:rowOff>76200</xdr:rowOff>
    </xdr:from>
    <xdr:to>
      <xdr:col>25</xdr:col>
      <xdr:colOff>304800</xdr:colOff>
      <xdr:row>100</xdr:row>
      <xdr:rowOff>57150</xdr:rowOff>
    </xdr:to>
    <xdr:graphicFrame macro="">
      <xdr:nvGraphicFramePr>
        <xdr:cNvPr id="12598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</xdr:col>
      <xdr:colOff>9525</xdr:colOff>
      <xdr:row>850</xdr:row>
      <xdr:rowOff>114300</xdr:rowOff>
    </xdr:from>
    <xdr:to>
      <xdr:col>21</xdr:col>
      <xdr:colOff>590550</xdr:colOff>
      <xdr:row>876</xdr:row>
      <xdr:rowOff>76200</xdr:rowOff>
    </xdr:to>
    <xdr:graphicFrame macro="">
      <xdr:nvGraphicFramePr>
        <xdr:cNvPr id="12598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</xdr:col>
      <xdr:colOff>19050</xdr:colOff>
      <xdr:row>876</xdr:row>
      <xdr:rowOff>95250</xdr:rowOff>
    </xdr:from>
    <xdr:to>
      <xdr:col>21</xdr:col>
      <xdr:colOff>571500</xdr:colOff>
      <xdr:row>902</xdr:row>
      <xdr:rowOff>0</xdr:rowOff>
    </xdr:to>
    <xdr:graphicFrame macro="">
      <xdr:nvGraphicFramePr>
        <xdr:cNvPr id="12598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19050</xdr:colOff>
      <xdr:row>700</xdr:row>
      <xdr:rowOff>76200</xdr:rowOff>
    </xdr:from>
    <xdr:to>
      <xdr:col>25</xdr:col>
      <xdr:colOff>190500</xdr:colOff>
      <xdr:row>750</xdr:row>
      <xdr:rowOff>85725</xdr:rowOff>
    </xdr:to>
    <xdr:graphicFrame macro="">
      <xdr:nvGraphicFramePr>
        <xdr:cNvPr id="12598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28575</xdr:colOff>
      <xdr:row>750</xdr:row>
      <xdr:rowOff>133350</xdr:rowOff>
    </xdr:from>
    <xdr:to>
      <xdr:col>25</xdr:col>
      <xdr:colOff>209550</xdr:colOff>
      <xdr:row>800</xdr:row>
      <xdr:rowOff>28575</xdr:rowOff>
    </xdr:to>
    <xdr:graphicFrame macro="">
      <xdr:nvGraphicFramePr>
        <xdr:cNvPr id="12598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28575</xdr:colOff>
      <xdr:row>800</xdr:row>
      <xdr:rowOff>57150</xdr:rowOff>
    </xdr:from>
    <xdr:to>
      <xdr:col>25</xdr:col>
      <xdr:colOff>219075</xdr:colOff>
      <xdr:row>850</xdr:row>
      <xdr:rowOff>85725</xdr:rowOff>
    </xdr:to>
    <xdr:graphicFrame macro="">
      <xdr:nvGraphicFramePr>
        <xdr:cNvPr id="12598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28575</xdr:colOff>
      <xdr:row>650</xdr:row>
      <xdr:rowOff>95250</xdr:rowOff>
    </xdr:from>
    <xdr:to>
      <xdr:col>25</xdr:col>
      <xdr:colOff>295275</xdr:colOff>
      <xdr:row>700</xdr:row>
      <xdr:rowOff>38100</xdr:rowOff>
    </xdr:to>
    <xdr:graphicFrame macro="">
      <xdr:nvGraphicFramePr>
        <xdr:cNvPr id="12598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57150</xdr:colOff>
      <xdr:row>250</xdr:row>
      <xdr:rowOff>76200</xdr:rowOff>
    </xdr:from>
    <xdr:to>
      <xdr:col>25</xdr:col>
      <xdr:colOff>323850</xdr:colOff>
      <xdr:row>300</xdr:row>
      <xdr:rowOff>38100</xdr:rowOff>
    </xdr:to>
    <xdr:graphicFrame macro="">
      <xdr:nvGraphicFramePr>
        <xdr:cNvPr id="12598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0</xdr:col>
      <xdr:colOff>47625</xdr:colOff>
      <xdr:row>350</xdr:row>
      <xdr:rowOff>66675</xdr:rowOff>
    </xdr:from>
    <xdr:to>
      <xdr:col>25</xdr:col>
      <xdr:colOff>333375</xdr:colOff>
      <xdr:row>400</xdr:row>
      <xdr:rowOff>19050</xdr:rowOff>
    </xdr:to>
    <xdr:graphicFrame macro="">
      <xdr:nvGraphicFramePr>
        <xdr:cNvPr id="12598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19050</xdr:colOff>
      <xdr:row>600</xdr:row>
      <xdr:rowOff>76200</xdr:rowOff>
    </xdr:from>
    <xdr:to>
      <xdr:col>25</xdr:col>
      <xdr:colOff>314325</xdr:colOff>
      <xdr:row>650</xdr:row>
      <xdr:rowOff>47625</xdr:rowOff>
    </xdr:to>
    <xdr:graphicFrame macro="">
      <xdr:nvGraphicFramePr>
        <xdr:cNvPr id="12599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9525</xdr:rowOff>
    </xdr:from>
    <xdr:to>
      <xdr:col>25</xdr:col>
      <xdr:colOff>333375</xdr:colOff>
      <xdr:row>50</xdr:row>
      <xdr:rowOff>57150</xdr:rowOff>
    </xdr:to>
    <xdr:graphicFrame macro="">
      <xdr:nvGraphicFramePr>
        <xdr:cNvPr id="130068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38100</xdr:colOff>
      <xdr:row>99</xdr:row>
      <xdr:rowOff>76200</xdr:rowOff>
    </xdr:from>
    <xdr:to>
      <xdr:col>25</xdr:col>
      <xdr:colOff>333375</xdr:colOff>
      <xdr:row>150</xdr:row>
      <xdr:rowOff>19050</xdr:rowOff>
    </xdr:to>
    <xdr:graphicFrame macro="">
      <xdr:nvGraphicFramePr>
        <xdr:cNvPr id="130069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38100</xdr:colOff>
      <xdr:row>149</xdr:row>
      <xdr:rowOff>114300</xdr:rowOff>
    </xdr:from>
    <xdr:to>
      <xdr:col>25</xdr:col>
      <xdr:colOff>333375</xdr:colOff>
      <xdr:row>200</xdr:row>
      <xdr:rowOff>57150</xdr:rowOff>
    </xdr:to>
    <xdr:graphicFrame macro="">
      <xdr:nvGraphicFramePr>
        <xdr:cNvPr id="130070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200</xdr:row>
      <xdr:rowOff>0</xdr:rowOff>
    </xdr:from>
    <xdr:to>
      <xdr:col>25</xdr:col>
      <xdr:colOff>238125</xdr:colOff>
      <xdr:row>250</xdr:row>
      <xdr:rowOff>38100</xdr:rowOff>
    </xdr:to>
    <xdr:graphicFrame macro="">
      <xdr:nvGraphicFramePr>
        <xdr:cNvPr id="130071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400</xdr:row>
      <xdr:rowOff>76200</xdr:rowOff>
    </xdr:from>
    <xdr:to>
      <xdr:col>25</xdr:col>
      <xdr:colOff>276225</xdr:colOff>
      <xdr:row>450</xdr:row>
      <xdr:rowOff>133350</xdr:rowOff>
    </xdr:to>
    <xdr:graphicFrame macro="">
      <xdr:nvGraphicFramePr>
        <xdr:cNvPr id="130072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38100</xdr:colOff>
      <xdr:row>299</xdr:row>
      <xdr:rowOff>114300</xdr:rowOff>
    </xdr:from>
    <xdr:to>
      <xdr:col>25</xdr:col>
      <xdr:colOff>285750</xdr:colOff>
      <xdr:row>350</xdr:row>
      <xdr:rowOff>57150</xdr:rowOff>
    </xdr:to>
    <xdr:graphicFrame macro="">
      <xdr:nvGraphicFramePr>
        <xdr:cNvPr id="130073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500</xdr:row>
      <xdr:rowOff>76200</xdr:rowOff>
    </xdr:from>
    <xdr:to>
      <xdr:col>25</xdr:col>
      <xdr:colOff>247650</xdr:colOff>
      <xdr:row>550</xdr:row>
      <xdr:rowOff>104775</xdr:rowOff>
    </xdr:to>
    <xdr:graphicFrame macro="">
      <xdr:nvGraphicFramePr>
        <xdr:cNvPr id="130074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550</xdr:row>
      <xdr:rowOff>114300</xdr:rowOff>
    </xdr:from>
    <xdr:to>
      <xdr:col>26</xdr:col>
      <xdr:colOff>381000</xdr:colOff>
      <xdr:row>600</xdr:row>
      <xdr:rowOff>123825</xdr:rowOff>
    </xdr:to>
    <xdr:graphicFrame macro="">
      <xdr:nvGraphicFramePr>
        <xdr:cNvPr id="130075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0</xdr:colOff>
      <xdr:row>450</xdr:row>
      <xdr:rowOff>76200</xdr:rowOff>
    </xdr:from>
    <xdr:to>
      <xdr:col>25</xdr:col>
      <xdr:colOff>257175</xdr:colOff>
      <xdr:row>500</xdr:row>
      <xdr:rowOff>123825</xdr:rowOff>
    </xdr:to>
    <xdr:graphicFrame macro="">
      <xdr:nvGraphicFramePr>
        <xdr:cNvPr id="130076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19050</xdr:colOff>
      <xdr:row>49</xdr:row>
      <xdr:rowOff>152400</xdr:rowOff>
    </xdr:from>
    <xdr:to>
      <xdr:col>25</xdr:col>
      <xdr:colOff>276225</xdr:colOff>
      <xdr:row>100</xdr:row>
      <xdr:rowOff>28575</xdr:rowOff>
    </xdr:to>
    <xdr:graphicFrame macro="">
      <xdr:nvGraphicFramePr>
        <xdr:cNvPr id="130077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</xdr:col>
      <xdr:colOff>28575</xdr:colOff>
      <xdr:row>850</xdr:row>
      <xdr:rowOff>142875</xdr:rowOff>
    </xdr:from>
    <xdr:to>
      <xdr:col>22</xdr:col>
      <xdr:colOff>0</xdr:colOff>
      <xdr:row>876</xdr:row>
      <xdr:rowOff>104775</xdr:rowOff>
    </xdr:to>
    <xdr:graphicFrame macro="">
      <xdr:nvGraphicFramePr>
        <xdr:cNvPr id="130078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</xdr:col>
      <xdr:colOff>171450</xdr:colOff>
      <xdr:row>876</xdr:row>
      <xdr:rowOff>66675</xdr:rowOff>
    </xdr:from>
    <xdr:to>
      <xdr:col>22</xdr:col>
      <xdr:colOff>114300</xdr:colOff>
      <xdr:row>901</xdr:row>
      <xdr:rowOff>133350</xdr:rowOff>
    </xdr:to>
    <xdr:graphicFrame macro="">
      <xdr:nvGraphicFramePr>
        <xdr:cNvPr id="130079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0</xdr:colOff>
      <xdr:row>701</xdr:row>
      <xdr:rowOff>28575</xdr:rowOff>
    </xdr:from>
    <xdr:to>
      <xdr:col>25</xdr:col>
      <xdr:colOff>171450</xdr:colOff>
      <xdr:row>751</xdr:row>
      <xdr:rowOff>38100</xdr:rowOff>
    </xdr:to>
    <xdr:graphicFrame macro="">
      <xdr:nvGraphicFramePr>
        <xdr:cNvPr id="130080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0</xdr:colOff>
      <xdr:row>751</xdr:row>
      <xdr:rowOff>19050</xdr:rowOff>
    </xdr:from>
    <xdr:to>
      <xdr:col>25</xdr:col>
      <xdr:colOff>180975</xdr:colOff>
      <xdr:row>801</xdr:row>
      <xdr:rowOff>38100</xdr:rowOff>
    </xdr:to>
    <xdr:graphicFrame macro="">
      <xdr:nvGraphicFramePr>
        <xdr:cNvPr id="130081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19050</xdr:colOff>
      <xdr:row>800</xdr:row>
      <xdr:rowOff>104775</xdr:rowOff>
    </xdr:from>
    <xdr:to>
      <xdr:col>25</xdr:col>
      <xdr:colOff>209550</xdr:colOff>
      <xdr:row>850</xdr:row>
      <xdr:rowOff>133350</xdr:rowOff>
    </xdr:to>
    <xdr:graphicFrame macro="">
      <xdr:nvGraphicFramePr>
        <xdr:cNvPr id="130082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0</xdr:colOff>
      <xdr:row>650</xdr:row>
      <xdr:rowOff>57150</xdr:rowOff>
    </xdr:from>
    <xdr:to>
      <xdr:col>25</xdr:col>
      <xdr:colOff>266700</xdr:colOff>
      <xdr:row>701</xdr:row>
      <xdr:rowOff>85725</xdr:rowOff>
    </xdr:to>
    <xdr:graphicFrame macro="">
      <xdr:nvGraphicFramePr>
        <xdr:cNvPr id="130083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0</xdr:colOff>
      <xdr:row>249</xdr:row>
      <xdr:rowOff>114300</xdr:rowOff>
    </xdr:from>
    <xdr:to>
      <xdr:col>25</xdr:col>
      <xdr:colOff>266700</xdr:colOff>
      <xdr:row>300</xdr:row>
      <xdr:rowOff>57150</xdr:rowOff>
    </xdr:to>
    <xdr:graphicFrame macro="">
      <xdr:nvGraphicFramePr>
        <xdr:cNvPr id="130084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0</xdr:col>
      <xdr:colOff>38100</xdr:colOff>
      <xdr:row>350</xdr:row>
      <xdr:rowOff>0</xdr:rowOff>
    </xdr:from>
    <xdr:to>
      <xdr:col>25</xdr:col>
      <xdr:colOff>323850</xdr:colOff>
      <xdr:row>400</xdr:row>
      <xdr:rowOff>123825</xdr:rowOff>
    </xdr:to>
    <xdr:graphicFrame macro="">
      <xdr:nvGraphicFramePr>
        <xdr:cNvPr id="130085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0</xdr:colOff>
      <xdr:row>600</xdr:row>
      <xdr:rowOff>114300</xdr:rowOff>
    </xdr:from>
    <xdr:to>
      <xdr:col>25</xdr:col>
      <xdr:colOff>295275</xdr:colOff>
      <xdr:row>650</xdr:row>
      <xdr:rowOff>85725</xdr:rowOff>
    </xdr:to>
    <xdr:graphicFrame macro="">
      <xdr:nvGraphicFramePr>
        <xdr:cNvPr id="130086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9525</xdr:rowOff>
    </xdr:from>
    <xdr:to>
      <xdr:col>25</xdr:col>
      <xdr:colOff>333375</xdr:colOff>
      <xdr:row>50</xdr:row>
      <xdr:rowOff>57150</xdr:rowOff>
    </xdr:to>
    <xdr:graphicFrame macro="">
      <xdr:nvGraphicFramePr>
        <xdr:cNvPr id="134164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38100</xdr:colOff>
      <xdr:row>99</xdr:row>
      <xdr:rowOff>76200</xdr:rowOff>
    </xdr:from>
    <xdr:to>
      <xdr:col>25</xdr:col>
      <xdr:colOff>333375</xdr:colOff>
      <xdr:row>150</xdr:row>
      <xdr:rowOff>19050</xdr:rowOff>
    </xdr:to>
    <xdr:graphicFrame macro="">
      <xdr:nvGraphicFramePr>
        <xdr:cNvPr id="134165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38100</xdr:colOff>
      <xdr:row>149</xdr:row>
      <xdr:rowOff>114300</xdr:rowOff>
    </xdr:from>
    <xdr:to>
      <xdr:col>25</xdr:col>
      <xdr:colOff>333375</xdr:colOff>
      <xdr:row>200</xdr:row>
      <xdr:rowOff>57150</xdr:rowOff>
    </xdr:to>
    <xdr:graphicFrame macro="">
      <xdr:nvGraphicFramePr>
        <xdr:cNvPr id="134166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200</xdr:row>
      <xdr:rowOff>0</xdr:rowOff>
    </xdr:from>
    <xdr:to>
      <xdr:col>25</xdr:col>
      <xdr:colOff>238125</xdr:colOff>
      <xdr:row>250</xdr:row>
      <xdr:rowOff>38100</xdr:rowOff>
    </xdr:to>
    <xdr:graphicFrame macro="">
      <xdr:nvGraphicFramePr>
        <xdr:cNvPr id="134167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400</xdr:row>
      <xdr:rowOff>76200</xdr:rowOff>
    </xdr:from>
    <xdr:to>
      <xdr:col>25</xdr:col>
      <xdr:colOff>276225</xdr:colOff>
      <xdr:row>450</xdr:row>
      <xdr:rowOff>133350</xdr:rowOff>
    </xdr:to>
    <xdr:graphicFrame macro="">
      <xdr:nvGraphicFramePr>
        <xdr:cNvPr id="134168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38100</xdr:colOff>
      <xdr:row>299</xdr:row>
      <xdr:rowOff>114300</xdr:rowOff>
    </xdr:from>
    <xdr:to>
      <xdr:col>25</xdr:col>
      <xdr:colOff>285750</xdr:colOff>
      <xdr:row>350</xdr:row>
      <xdr:rowOff>57150</xdr:rowOff>
    </xdr:to>
    <xdr:graphicFrame macro="">
      <xdr:nvGraphicFramePr>
        <xdr:cNvPr id="134169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500</xdr:row>
      <xdr:rowOff>76200</xdr:rowOff>
    </xdr:from>
    <xdr:to>
      <xdr:col>25</xdr:col>
      <xdr:colOff>247650</xdr:colOff>
      <xdr:row>550</xdr:row>
      <xdr:rowOff>104775</xdr:rowOff>
    </xdr:to>
    <xdr:graphicFrame macro="">
      <xdr:nvGraphicFramePr>
        <xdr:cNvPr id="134170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550</xdr:row>
      <xdr:rowOff>114300</xdr:rowOff>
    </xdr:from>
    <xdr:to>
      <xdr:col>26</xdr:col>
      <xdr:colOff>381000</xdr:colOff>
      <xdr:row>600</xdr:row>
      <xdr:rowOff>123825</xdr:rowOff>
    </xdr:to>
    <xdr:graphicFrame macro="">
      <xdr:nvGraphicFramePr>
        <xdr:cNvPr id="134171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0</xdr:colOff>
      <xdr:row>450</xdr:row>
      <xdr:rowOff>76200</xdr:rowOff>
    </xdr:from>
    <xdr:to>
      <xdr:col>25</xdr:col>
      <xdr:colOff>257175</xdr:colOff>
      <xdr:row>500</xdr:row>
      <xdr:rowOff>123825</xdr:rowOff>
    </xdr:to>
    <xdr:graphicFrame macro="">
      <xdr:nvGraphicFramePr>
        <xdr:cNvPr id="134172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104775</xdr:colOff>
      <xdr:row>50</xdr:row>
      <xdr:rowOff>66675</xdr:rowOff>
    </xdr:from>
    <xdr:to>
      <xdr:col>25</xdr:col>
      <xdr:colOff>361950</xdr:colOff>
      <xdr:row>100</xdr:row>
      <xdr:rowOff>104775</xdr:rowOff>
    </xdr:to>
    <xdr:graphicFrame macro="">
      <xdr:nvGraphicFramePr>
        <xdr:cNvPr id="134173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</xdr:col>
      <xdr:colOff>28575</xdr:colOff>
      <xdr:row>850</xdr:row>
      <xdr:rowOff>142875</xdr:rowOff>
    </xdr:from>
    <xdr:to>
      <xdr:col>22</xdr:col>
      <xdr:colOff>0</xdr:colOff>
      <xdr:row>876</xdr:row>
      <xdr:rowOff>104775</xdr:rowOff>
    </xdr:to>
    <xdr:graphicFrame macro="">
      <xdr:nvGraphicFramePr>
        <xdr:cNvPr id="134174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</xdr:col>
      <xdr:colOff>171450</xdr:colOff>
      <xdr:row>876</xdr:row>
      <xdr:rowOff>66675</xdr:rowOff>
    </xdr:from>
    <xdr:to>
      <xdr:col>22</xdr:col>
      <xdr:colOff>114300</xdr:colOff>
      <xdr:row>901</xdr:row>
      <xdr:rowOff>133350</xdr:rowOff>
    </xdr:to>
    <xdr:graphicFrame macro="">
      <xdr:nvGraphicFramePr>
        <xdr:cNvPr id="134175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0</xdr:colOff>
      <xdr:row>701</xdr:row>
      <xdr:rowOff>28575</xdr:rowOff>
    </xdr:from>
    <xdr:to>
      <xdr:col>25</xdr:col>
      <xdr:colOff>171450</xdr:colOff>
      <xdr:row>751</xdr:row>
      <xdr:rowOff>38100</xdr:rowOff>
    </xdr:to>
    <xdr:graphicFrame macro="">
      <xdr:nvGraphicFramePr>
        <xdr:cNvPr id="134176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0</xdr:colOff>
      <xdr:row>751</xdr:row>
      <xdr:rowOff>19050</xdr:rowOff>
    </xdr:from>
    <xdr:to>
      <xdr:col>25</xdr:col>
      <xdr:colOff>180975</xdr:colOff>
      <xdr:row>801</xdr:row>
      <xdr:rowOff>38100</xdr:rowOff>
    </xdr:to>
    <xdr:graphicFrame macro="">
      <xdr:nvGraphicFramePr>
        <xdr:cNvPr id="134177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19050</xdr:colOff>
      <xdr:row>800</xdr:row>
      <xdr:rowOff>104775</xdr:rowOff>
    </xdr:from>
    <xdr:to>
      <xdr:col>25</xdr:col>
      <xdr:colOff>209550</xdr:colOff>
      <xdr:row>850</xdr:row>
      <xdr:rowOff>133350</xdr:rowOff>
    </xdr:to>
    <xdr:graphicFrame macro="">
      <xdr:nvGraphicFramePr>
        <xdr:cNvPr id="134178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0</xdr:colOff>
      <xdr:row>650</xdr:row>
      <xdr:rowOff>57150</xdr:rowOff>
    </xdr:from>
    <xdr:to>
      <xdr:col>25</xdr:col>
      <xdr:colOff>266700</xdr:colOff>
      <xdr:row>701</xdr:row>
      <xdr:rowOff>85725</xdr:rowOff>
    </xdr:to>
    <xdr:graphicFrame macro="">
      <xdr:nvGraphicFramePr>
        <xdr:cNvPr id="134179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0</xdr:colOff>
      <xdr:row>249</xdr:row>
      <xdr:rowOff>114300</xdr:rowOff>
    </xdr:from>
    <xdr:to>
      <xdr:col>25</xdr:col>
      <xdr:colOff>266700</xdr:colOff>
      <xdr:row>300</xdr:row>
      <xdr:rowOff>57150</xdr:rowOff>
    </xdr:to>
    <xdr:graphicFrame macro="">
      <xdr:nvGraphicFramePr>
        <xdr:cNvPr id="134180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0</xdr:col>
      <xdr:colOff>38100</xdr:colOff>
      <xdr:row>350</xdr:row>
      <xdr:rowOff>0</xdr:rowOff>
    </xdr:from>
    <xdr:to>
      <xdr:col>25</xdr:col>
      <xdr:colOff>323850</xdr:colOff>
      <xdr:row>400</xdr:row>
      <xdr:rowOff>123825</xdr:rowOff>
    </xdr:to>
    <xdr:graphicFrame macro="">
      <xdr:nvGraphicFramePr>
        <xdr:cNvPr id="134181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0</xdr:colOff>
      <xdr:row>600</xdr:row>
      <xdr:rowOff>114300</xdr:rowOff>
    </xdr:from>
    <xdr:to>
      <xdr:col>25</xdr:col>
      <xdr:colOff>295275</xdr:colOff>
      <xdr:row>650</xdr:row>
      <xdr:rowOff>85725</xdr:rowOff>
    </xdr:to>
    <xdr:graphicFrame macro="">
      <xdr:nvGraphicFramePr>
        <xdr:cNvPr id="134182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9525</xdr:rowOff>
    </xdr:from>
    <xdr:to>
      <xdr:col>25</xdr:col>
      <xdr:colOff>333375</xdr:colOff>
      <xdr:row>50</xdr:row>
      <xdr:rowOff>57150</xdr:rowOff>
    </xdr:to>
    <xdr:graphicFrame macro="">
      <xdr:nvGraphicFramePr>
        <xdr:cNvPr id="13826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38100</xdr:colOff>
      <xdr:row>99</xdr:row>
      <xdr:rowOff>76200</xdr:rowOff>
    </xdr:from>
    <xdr:to>
      <xdr:col>25</xdr:col>
      <xdr:colOff>333375</xdr:colOff>
      <xdr:row>150</xdr:row>
      <xdr:rowOff>19050</xdr:rowOff>
    </xdr:to>
    <xdr:graphicFrame macro="">
      <xdr:nvGraphicFramePr>
        <xdr:cNvPr id="138261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38100</xdr:colOff>
      <xdr:row>149</xdr:row>
      <xdr:rowOff>114300</xdr:rowOff>
    </xdr:from>
    <xdr:to>
      <xdr:col>25</xdr:col>
      <xdr:colOff>333375</xdr:colOff>
      <xdr:row>200</xdr:row>
      <xdr:rowOff>57150</xdr:rowOff>
    </xdr:to>
    <xdr:graphicFrame macro="">
      <xdr:nvGraphicFramePr>
        <xdr:cNvPr id="138262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200</xdr:row>
      <xdr:rowOff>0</xdr:rowOff>
    </xdr:from>
    <xdr:to>
      <xdr:col>25</xdr:col>
      <xdr:colOff>238125</xdr:colOff>
      <xdr:row>250</xdr:row>
      <xdr:rowOff>38100</xdr:rowOff>
    </xdr:to>
    <xdr:graphicFrame macro="">
      <xdr:nvGraphicFramePr>
        <xdr:cNvPr id="138263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400</xdr:row>
      <xdr:rowOff>76200</xdr:rowOff>
    </xdr:from>
    <xdr:to>
      <xdr:col>25</xdr:col>
      <xdr:colOff>276225</xdr:colOff>
      <xdr:row>450</xdr:row>
      <xdr:rowOff>133350</xdr:rowOff>
    </xdr:to>
    <xdr:graphicFrame macro="">
      <xdr:nvGraphicFramePr>
        <xdr:cNvPr id="138264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38100</xdr:colOff>
      <xdr:row>299</xdr:row>
      <xdr:rowOff>114300</xdr:rowOff>
    </xdr:from>
    <xdr:to>
      <xdr:col>25</xdr:col>
      <xdr:colOff>285750</xdr:colOff>
      <xdr:row>350</xdr:row>
      <xdr:rowOff>57150</xdr:rowOff>
    </xdr:to>
    <xdr:graphicFrame macro="">
      <xdr:nvGraphicFramePr>
        <xdr:cNvPr id="138265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500</xdr:row>
      <xdr:rowOff>76200</xdr:rowOff>
    </xdr:from>
    <xdr:to>
      <xdr:col>25</xdr:col>
      <xdr:colOff>247650</xdr:colOff>
      <xdr:row>550</xdr:row>
      <xdr:rowOff>104775</xdr:rowOff>
    </xdr:to>
    <xdr:graphicFrame macro="">
      <xdr:nvGraphicFramePr>
        <xdr:cNvPr id="138266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550</xdr:row>
      <xdr:rowOff>114300</xdr:rowOff>
    </xdr:from>
    <xdr:to>
      <xdr:col>26</xdr:col>
      <xdr:colOff>381000</xdr:colOff>
      <xdr:row>600</xdr:row>
      <xdr:rowOff>123825</xdr:rowOff>
    </xdr:to>
    <xdr:graphicFrame macro="">
      <xdr:nvGraphicFramePr>
        <xdr:cNvPr id="138267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0</xdr:colOff>
      <xdr:row>450</xdr:row>
      <xdr:rowOff>76200</xdr:rowOff>
    </xdr:from>
    <xdr:to>
      <xdr:col>25</xdr:col>
      <xdr:colOff>257175</xdr:colOff>
      <xdr:row>500</xdr:row>
      <xdr:rowOff>123825</xdr:rowOff>
    </xdr:to>
    <xdr:graphicFrame macro="">
      <xdr:nvGraphicFramePr>
        <xdr:cNvPr id="138268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104775</xdr:colOff>
      <xdr:row>50</xdr:row>
      <xdr:rowOff>66675</xdr:rowOff>
    </xdr:from>
    <xdr:to>
      <xdr:col>25</xdr:col>
      <xdr:colOff>361950</xdr:colOff>
      <xdr:row>100</xdr:row>
      <xdr:rowOff>104775</xdr:rowOff>
    </xdr:to>
    <xdr:graphicFrame macro="">
      <xdr:nvGraphicFramePr>
        <xdr:cNvPr id="138269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</xdr:col>
      <xdr:colOff>28575</xdr:colOff>
      <xdr:row>850</xdr:row>
      <xdr:rowOff>142875</xdr:rowOff>
    </xdr:from>
    <xdr:to>
      <xdr:col>22</xdr:col>
      <xdr:colOff>0</xdr:colOff>
      <xdr:row>876</xdr:row>
      <xdr:rowOff>104775</xdr:rowOff>
    </xdr:to>
    <xdr:graphicFrame macro="">
      <xdr:nvGraphicFramePr>
        <xdr:cNvPr id="138270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</xdr:col>
      <xdr:colOff>171450</xdr:colOff>
      <xdr:row>876</xdr:row>
      <xdr:rowOff>66675</xdr:rowOff>
    </xdr:from>
    <xdr:to>
      <xdr:col>22</xdr:col>
      <xdr:colOff>114300</xdr:colOff>
      <xdr:row>901</xdr:row>
      <xdr:rowOff>133350</xdr:rowOff>
    </xdr:to>
    <xdr:graphicFrame macro="">
      <xdr:nvGraphicFramePr>
        <xdr:cNvPr id="138271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0</xdr:colOff>
      <xdr:row>701</xdr:row>
      <xdr:rowOff>28575</xdr:rowOff>
    </xdr:from>
    <xdr:to>
      <xdr:col>25</xdr:col>
      <xdr:colOff>171450</xdr:colOff>
      <xdr:row>751</xdr:row>
      <xdr:rowOff>38100</xdr:rowOff>
    </xdr:to>
    <xdr:graphicFrame macro="">
      <xdr:nvGraphicFramePr>
        <xdr:cNvPr id="138272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0</xdr:colOff>
      <xdr:row>751</xdr:row>
      <xdr:rowOff>19050</xdr:rowOff>
    </xdr:from>
    <xdr:to>
      <xdr:col>25</xdr:col>
      <xdr:colOff>180975</xdr:colOff>
      <xdr:row>801</xdr:row>
      <xdr:rowOff>38100</xdr:rowOff>
    </xdr:to>
    <xdr:graphicFrame macro="">
      <xdr:nvGraphicFramePr>
        <xdr:cNvPr id="138273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19050</xdr:colOff>
      <xdr:row>800</xdr:row>
      <xdr:rowOff>104775</xdr:rowOff>
    </xdr:from>
    <xdr:to>
      <xdr:col>25</xdr:col>
      <xdr:colOff>209550</xdr:colOff>
      <xdr:row>850</xdr:row>
      <xdr:rowOff>133350</xdr:rowOff>
    </xdr:to>
    <xdr:graphicFrame macro="">
      <xdr:nvGraphicFramePr>
        <xdr:cNvPr id="138274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0</xdr:colOff>
      <xdr:row>650</xdr:row>
      <xdr:rowOff>57150</xdr:rowOff>
    </xdr:from>
    <xdr:to>
      <xdr:col>25</xdr:col>
      <xdr:colOff>266700</xdr:colOff>
      <xdr:row>701</xdr:row>
      <xdr:rowOff>85725</xdr:rowOff>
    </xdr:to>
    <xdr:graphicFrame macro="">
      <xdr:nvGraphicFramePr>
        <xdr:cNvPr id="138275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0</xdr:colOff>
      <xdr:row>249</xdr:row>
      <xdr:rowOff>114300</xdr:rowOff>
    </xdr:from>
    <xdr:to>
      <xdr:col>25</xdr:col>
      <xdr:colOff>266700</xdr:colOff>
      <xdr:row>300</xdr:row>
      <xdr:rowOff>57150</xdr:rowOff>
    </xdr:to>
    <xdr:graphicFrame macro="">
      <xdr:nvGraphicFramePr>
        <xdr:cNvPr id="138276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0</xdr:col>
      <xdr:colOff>38100</xdr:colOff>
      <xdr:row>350</xdr:row>
      <xdr:rowOff>0</xdr:rowOff>
    </xdr:from>
    <xdr:to>
      <xdr:col>25</xdr:col>
      <xdr:colOff>323850</xdr:colOff>
      <xdr:row>400</xdr:row>
      <xdr:rowOff>123825</xdr:rowOff>
    </xdr:to>
    <xdr:graphicFrame macro="">
      <xdr:nvGraphicFramePr>
        <xdr:cNvPr id="138277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0</xdr:colOff>
      <xdr:row>600</xdr:row>
      <xdr:rowOff>114300</xdr:rowOff>
    </xdr:from>
    <xdr:to>
      <xdr:col>25</xdr:col>
      <xdr:colOff>295275</xdr:colOff>
      <xdr:row>650</xdr:row>
      <xdr:rowOff>85725</xdr:rowOff>
    </xdr:to>
    <xdr:graphicFrame macro="">
      <xdr:nvGraphicFramePr>
        <xdr:cNvPr id="138278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9525</xdr:rowOff>
    </xdr:from>
    <xdr:to>
      <xdr:col>25</xdr:col>
      <xdr:colOff>333375</xdr:colOff>
      <xdr:row>50</xdr:row>
      <xdr:rowOff>57150</xdr:rowOff>
    </xdr:to>
    <xdr:graphicFrame macro="">
      <xdr:nvGraphicFramePr>
        <xdr:cNvPr id="150548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38100</xdr:colOff>
      <xdr:row>99</xdr:row>
      <xdr:rowOff>76200</xdr:rowOff>
    </xdr:from>
    <xdr:to>
      <xdr:col>25</xdr:col>
      <xdr:colOff>333375</xdr:colOff>
      <xdr:row>150</xdr:row>
      <xdr:rowOff>19050</xdr:rowOff>
    </xdr:to>
    <xdr:graphicFrame macro="">
      <xdr:nvGraphicFramePr>
        <xdr:cNvPr id="150549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38100</xdr:colOff>
      <xdr:row>149</xdr:row>
      <xdr:rowOff>114300</xdr:rowOff>
    </xdr:from>
    <xdr:to>
      <xdr:col>25</xdr:col>
      <xdr:colOff>333375</xdr:colOff>
      <xdr:row>200</xdr:row>
      <xdr:rowOff>57150</xdr:rowOff>
    </xdr:to>
    <xdr:graphicFrame macro="">
      <xdr:nvGraphicFramePr>
        <xdr:cNvPr id="150550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200</xdr:row>
      <xdr:rowOff>0</xdr:rowOff>
    </xdr:from>
    <xdr:to>
      <xdr:col>25</xdr:col>
      <xdr:colOff>238125</xdr:colOff>
      <xdr:row>250</xdr:row>
      <xdr:rowOff>38100</xdr:rowOff>
    </xdr:to>
    <xdr:graphicFrame macro="">
      <xdr:nvGraphicFramePr>
        <xdr:cNvPr id="150551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400</xdr:row>
      <xdr:rowOff>76200</xdr:rowOff>
    </xdr:from>
    <xdr:to>
      <xdr:col>25</xdr:col>
      <xdr:colOff>276225</xdr:colOff>
      <xdr:row>450</xdr:row>
      <xdr:rowOff>133350</xdr:rowOff>
    </xdr:to>
    <xdr:graphicFrame macro="">
      <xdr:nvGraphicFramePr>
        <xdr:cNvPr id="150552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38100</xdr:colOff>
      <xdr:row>299</xdr:row>
      <xdr:rowOff>114300</xdr:rowOff>
    </xdr:from>
    <xdr:to>
      <xdr:col>25</xdr:col>
      <xdr:colOff>285750</xdr:colOff>
      <xdr:row>350</xdr:row>
      <xdr:rowOff>57150</xdr:rowOff>
    </xdr:to>
    <xdr:graphicFrame macro="">
      <xdr:nvGraphicFramePr>
        <xdr:cNvPr id="150553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500</xdr:row>
      <xdr:rowOff>76200</xdr:rowOff>
    </xdr:from>
    <xdr:to>
      <xdr:col>25</xdr:col>
      <xdr:colOff>247650</xdr:colOff>
      <xdr:row>550</xdr:row>
      <xdr:rowOff>104775</xdr:rowOff>
    </xdr:to>
    <xdr:graphicFrame macro="">
      <xdr:nvGraphicFramePr>
        <xdr:cNvPr id="150554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550</xdr:row>
      <xdr:rowOff>114300</xdr:rowOff>
    </xdr:from>
    <xdr:to>
      <xdr:col>26</xdr:col>
      <xdr:colOff>381000</xdr:colOff>
      <xdr:row>600</xdr:row>
      <xdr:rowOff>123825</xdr:rowOff>
    </xdr:to>
    <xdr:graphicFrame macro="">
      <xdr:nvGraphicFramePr>
        <xdr:cNvPr id="150555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0</xdr:colOff>
      <xdr:row>450</xdr:row>
      <xdr:rowOff>76200</xdr:rowOff>
    </xdr:from>
    <xdr:to>
      <xdr:col>25</xdr:col>
      <xdr:colOff>257175</xdr:colOff>
      <xdr:row>500</xdr:row>
      <xdr:rowOff>123825</xdr:rowOff>
    </xdr:to>
    <xdr:graphicFrame macro="">
      <xdr:nvGraphicFramePr>
        <xdr:cNvPr id="150556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19050</xdr:colOff>
      <xdr:row>49</xdr:row>
      <xdr:rowOff>152400</xdr:rowOff>
    </xdr:from>
    <xdr:to>
      <xdr:col>25</xdr:col>
      <xdr:colOff>276225</xdr:colOff>
      <xdr:row>100</xdr:row>
      <xdr:rowOff>28575</xdr:rowOff>
    </xdr:to>
    <xdr:graphicFrame macro="">
      <xdr:nvGraphicFramePr>
        <xdr:cNvPr id="150557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</xdr:col>
      <xdr:colOff>28575</xdr:colOff>
      <xdr:row>850</xdr:row>
      <xdr:rowOff>142875</xdr:rowOff>
    </xdr:from>
    <xdr:to>
      <xdr:col>22</xdr:col>
      <xdr:colOff>0</xdr:colOff>
      <xdr:row>876</xdr:row>
      <xdr:rowOff>104775</xdr:rowOff>
    </xdr:to>
    <xdr:graphicFrame macro="">
      <xdr:nvGraphicFramePr>
        <xdr:cNvPr id="150558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</xdr:col>
      <xdr:colOff>171450</xdr:colOff>
      <xdr:row>876</xdr:row>
      <xdr:rowOff>66675</xdr:rowOff>
    </xdr:from>
    <xdr:to>
      <xdr:col>22</xdr:col>
      <xdr:colOff>114300</xdr:colOff>
      <xdr:row>901</xdr:row>
      <xdr:rowOff>133350</xdr:rowOff>
    </xdr:to>
    <xdr:graphicFrame macro="">
      <xdr:nvGraphicFramePr>
        <xdr:cNvPr id="150559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0</xdr:colOff>
      <xdr:row>701</xdr:row>
      <xdr:rowOff>28575</xdr:rowOff>
    </xdr:from>
    <xdr:to>
      <xdr:col>25</xdr:col>
      <xdr:colOff>171450</xdr:colOff>
      <xdr:row>751</xdr:row>
      <xdr:rowOff>38100</xdr:rowOff>
    </xdr:to>
    <xdr:graphicFrame macro="">
      <xdr:nvGraphicFramePr>
        <xdr:cNvPr id="150560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0</xdr:colOff>
      <xdr:row>751</xdr:row>
      <xdr:rowOff>19050</xdr:rowOff>
    </xdr:from>
    <xdr:to>
      <xdr:col>25</xdr:col>
      <xdr:colOff>180975</xdr:colOff>
      <xdr:row>801</xdr:row>
      <xdr:rowOff>38100</xdr:rowOff>
    </xdr:to>
    <xdr:graphicFrame macro="">
      <xdr:nvGraphicFramePr>
        <xdr:cNvPr id="150561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19050</xdr:colOff>
      <xdr:row>800</xdr:row>
      <xdr:rowOff>104775</xdr:rowOff>
    </xdr:from>
    <xdr:to>
      <xdr:col>25</xdr:col>
      <xdr:colOff>209550</xdr:colOff>
      <xdr:row>850</xdr:row>
      <xdr:rowOff>133350</xdr:rowOff>
    </xdr:to>
    <xdr:graphicFrame macro="">
      <xdr:nvGraphicFramePr>
        <xdr:cNvPr id="150562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0</xdr:colOff>
      <xdr:row>650</xdr:row>
      <xdr:rowOff>57150</xdr:rowOff>
    </xdr:from>
    <xdr:to>
      <xdr:col>25</xdr:col>
      <xdr:colOff>266700</xdr:colOff>
      <xdr:row>701</xdr:row>
      <xdr:rowOff>85725</xdr:rowOff>
    </xdr:to>
    <xdr:graphicFrame macro="">
      <xdr:nvGraphicFramePr>
        <xdr:cNvPr id="150563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0</xdr:colOff>
      <xdr:row>249</xdr:row>
      <xdr:rowOff>114300</xdr:rowOff>
    </xdr:from>
    <xdr:to>
      <xdr:col>25</xdr:col>
      <xdr:colOff>266700</xdr:colOff>
      <xdr:row>300</xdr:row>
      <xdr:rowOff>57150</xdr:rowOff>
    </xdr:to>
    <xdr:graphicFrame macro="">
      <xdr:nvGraphicFramePr>
        <xdr:cNvPr id="150564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0</xdr:col>
      <xdr:colOff>38100</xdr:colOff>
      <xdr:row>350</xdr:row>
      <xdr:rowOff>0</xdr:rowOff>
    </xdr:from>
    <xdr:to>
      <xdr:col>25</xdr:col>
      <xdr:colOff>323850</xdr:colOff>
      <xdr:row>400</xdr:row>
      <xdr:rowOff>123825</xdr:rowOff>
    </xdr:to>
    <xdr:graphicFrame macro="">
      <xdr:nvGraphicFramePr>
        <xdr:cNvPr id="150565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0</xdr:colOff>
      <xdr:row>600</xdr:row>
      <xdr:rowOff>114300</xdr:rowOff>
    </xdr:from>
    <xdr:to>
      <xdr:col>25</xdr:col>
      <xdr:colOff>295275</xdr:colOff>
      <xdr:row>650</xdr:row>
      <xdr:rowOff>85725</xdr:rowOff>
    </xdr:to>
    <xdr:graphicFrame macro="">
      <xdr:nvGraphicFramePr>
        <xdr:cNvPr id="150566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99</xdr:row>
      <xdr:rowOff>76200</xdr:rowOff>
    </xdr:from>
    <xdr:to>
      <xdr:col>25</xdr:col>
      <xdr:colOff>333375</xdr:colOff>
      <xdr:row>150</xdr:row>
      <xdr:rowOff>19050</xdr:rowOff>
    </xdr:to>
    <xdr:graphicFrame macro="">
      <xdr:nvGraphicFramePr>
        <xdr:cNvPr id="154644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38100</xdr:colOff>
      <xdr:row>149</xdr:row>
      <xdr:rowOff>114300</xdr:rowOff>
    </xdr:from>
    <xdr:to>
      <xdr:col>25</xdr:col>
      <xdr:colOff>333375</xdr:colOff>
      <xdr:row>200</xdr:row>
      <xdr:rowOff>57150</xdr:rowOff>
    </xdr:to>
    <xdr:graphicFrame macro="">
      <xdr:nvGraphicFramePr>
        <xdr:cNvPr id="154645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200</xdr:row>
      <xdr:rowOff>0</xdr:rowOff>
    </xdr:from>
    <xdr:to>
      <xdr:col>25</xdr:col>
      <xdr:colOff>238125</xdr:colOff>
      <xdr:row>250</xdr:row>
      <xdr:rowOff>38100</xdr:rowOff>
    </xdr:to>
    <xdr:graphicFrame macro="">
      <xdr:nvGraphicFramePr>
        <xdr:cNvPr id="154646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400</xdr:row>
      <xdr:rowOff>76200</xdr:rowOff>
    </xdr:from>
    <xdr:to>
      <xdr:col>25</xdr:col>
      <xdr:colOff>276225</xdr:colOff>
      <xdr:row>450</xdr:row>
      <xdr:rowOff>133350</xdr:rowOff>
    </xdr:to>
    <xdr:graphicFrame macro="">
      <xdr:nvGraphicFramePr>
        <xdr:cNvPr id="154647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38100</xdr:colOff>
      <xdr:row>299</xdr:row>
      <xdr:rowOff>114300</xdr:rowOff>
    </xdr:from>
    <xdr:to>
      <xdr:col>25</xdr:col>
      <xdr:colOff>285750</xdr:colOff>
      <xdr:row>350</xdr:row>
      <xdr:rowOff>57150</xdr:rowOff>
    </xdr:to>
    <xdr:graphicFrame macro="">
      <xdr:nvGraphicFramePr>
        <xdr:cNvPr id="154648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500</xdr:row>
      <xdr:rowOff>76200</xdr:rowOff>
    </xdr:from>
    <xdr:to>
      <xdr:col>25</xdr:col>
      <xdr:colOff>247650</xdr:colOff>
      <xdr:row>550</xdr:row>
      <xdr:rowOff>104775</xdr:rowOff>
    </xdr:to>
    <xdr:graphicFrame macro="">
      <xdr:nvGraphicFramePr>
        <xdr:cNvPr id="154649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550</xdr:row>
      <xdr:rowOff>114300</xdr:rowOff>
    </xdr:from>
    <xdr:to>
      <xdr:col>26</xdr:col>
      <xdr:colOff>381000</xdr:colOff>
      <xdr:row>600</xdr:row>
      <xdr:rowOff>123825</xdr:rowOff>
    </xdr:to>
    <xdr:graphicFrame macro="">
      <xdr:nvGraphicFramePr>
        <xdr:cNvPr id="154650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450</xdr:row>
      <xdr:rowOff>76200</xdr:rowOff>
    </xdr:from>
    <xdr:to>
      <xdr:col>25</xdr:col>
      <xdr:colOff>257175</xdr:colOff>
      <xdr:row>500</xdr:row>
      <xdr:rowOff>123825</xdr:rowOff>
    </xdr:to>
    <xdr:graphicFrame macro="">
      <xdr:nvGraphicFramePr>
        <xdr:cNvPr id="154651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104775</xdr:colOff>
      <xdr:row>50</xdr:row>
      <xdr:rowOff>66675</xdr:rowOff>
    </xdr:from>
    <xdr:to>
      <xdr:col>25</xdr:col>
      <xdr:colOff>361950</xdr:colOff>
      <xdr:row>100</xdr:row>
      <xdr:rowOff>104775</xdr:rowOff>
    </xdr:to>
    <xdr:graphicFrame macro="">
      <xdr:nvGraphicFramePr>
        <xdr:cNvPr id="154652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</xdr:col>
      <xdr:colOff>28575</xdr:colOff>
      <xdr:row>850</xdr:row>
      <xdr:rowOff>142875</xdr:rowOff>
    </xdr:from>
    <xdr:to>
      <xdr:col>22</xdr:col>
      <xdr:colOff>0</xdr:colOff>
      <xdr:row>876</xdr:row>
      <xdr:rowOff>104775</xdr:rowOff>
    </xdr:to>
    <xdr:graphicFrame macro="">
      <xdr:nvGraphicFramePr>
        <xdr:cNvPr id="154653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</xdr:col>
      <xdr:colOff>171450</xdr:colOff>
      <xdr:row>876</xdr:row>
      <xdr:rowOff>66675</xdr:rowOff>
    </xdr:from>
    <xdr:to>
      <xdr:col>22</xdr:col>
      <xdr:colOff>114300</xdr:colOff>
      <xdr:row>901</xdr:row>
      <xdr:rowOff>133350</xdr:rowOff>
    </xdr:to>
    <xdr:graphicFrame macro="">
      <xdr:nvGraphicFramePr>
        <xdr:cNvPr id="154654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0</xdr:colOff>
      <xdr:row>701</xdr:row>
      <xdr:rowOff>28575</xdr:rowOff>
    </xdr:from>
    <xdr:to>
      <xdr:col>25</xdr:col>
      <xdr:colOff>171450</xdr:colOff>
      <xdr:row>751</xdr:row>
      <xdr:rowOff>38100</xdr:rowOff>
    </xdr:to>
    <xdr:graphicFrame macro="">
      <xdr:nvGraphicFramePr>
        <xdr:cNvPr id="154655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0</xdr:colOff>
      <xdr:row>751</xdr:row>
      <xdr:rowOff>19050</xdr:rowOff>
    </xdr:from>
    <xdr:to>
      <xdr:col>25</xdr:col>
      <xdr:colOff>180975</xdr:colOff>
      <xdr:row>801</xdr:row>
      <xdr:rowOff>38100</xdr:rowOff>
    </xdr:to>
    <xdr:graphicFrame macro="">
      <xdr:nvGraphicFramePr>
        <xdr:cNvPr id="154656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19050</xdr:colOff>
      <xdr:row>800</xdr:row>
      <xdr:rowOff>104775</xdr:rowOff>
    </xdr:from>
    <xdr:to>
      <xdr:col>25</xdr:col>
      <xdr:colOff>209550</xdr:colOff>
      <xdr:row>850</xdr:row>
      <xdr:rowOff>133350</xdr:rowOff>
    </xdr:to>
    <xdr:graphicFrame macro="">
      <xdr:nvGraphicFramePr>
        <xdr:cNvPr id="154657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0</xdr:colOff>
      <xdr:row>650</xdr:row>
      <xdr:rowOff>57150</xdr:rowOff>
    </xdr:from>
    <xdr:to>
      <xdr:col>25</xdr:col>
      <xdr:colOff>266700</xdr:colOff>
      <xdr:row>701</xdr:row>
      <xdr:rowOff>85725</xdr:rowOff>
    </xdr:to>
    <xdr:graphicFrame macro="">
      <xdr:nvGraphicFramePr>
        <xdr:cNvPr id="154658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0</xdr:colOff>
      <xdr:row>249</xdr:row>
      <xdr:rowOff>114300</xdr:rowOff>
    </xdr:from>
    <xdr:to>
      <xdr:col>25</xdr:col>
      <xdr:colOff>266700</xdr:colOff>
      <xdr:row>300</xdr:row>
      <xdr:rowOff>57150</xdr:rowOff>
    </xdr:to>
    <xdr:graphicFrame macro="">
      <xdr:nvGraphicFramePr>
        <xdr:cNvPr id="154659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38100</xdr:colOff>
      <xdr:row>350</xdr:row>
      <xdr:rowOff>0</xdr:rowOff>
    </xdr:from>
    <xdr:to>
      <xdr:col>25</xdr:col>
      <xdr:colOff>323850</xdr:colOff>
      <xdr:row>400</xdr:row>
      <xdr:rowOff>123825</xdr:rowOff>
    </xdr:to>
    <xdr:graphicFrame macro="">
      <xdr:nvGraphicFramePr>
        <xdr:cNvPr id="154660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0</xdr:col>
      <xdr:colOff>0</xdr:colOff>
      <xdr:row>600</xdr:row>
      <xdr:rowOff>114300</xdr:rowOff>
    </xdr:from>
    <xdr:to>
      <xdr:col>25</xdr:col>
      <xdr:colOff>295275</xdr:colOff>
      <xdr:row>650</xdr:row>
      <xdr:rowOff>85725</xdr:rowOff>
    </xdr:to>
    <xdr:graphicFrame macro="">
      <xdr:nvGraphicFramePr>
        <xdr:cNvPr id="154661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76200</xdr:colOff>
      <xdr:row>0</xdr:row>
      <xdr:rowOff>19050</xdr:rowOff>
    </xdr:from>
    <xdr:to>
      <xdr:col>25</xdr:col>
      <xdr:colOff>161925</xdr:colOff>
      <xdr:row>50</xdr:row>
      <xdr:rowOff>76200</xdr:rowOff>
    </xdr:to>
    <xdr:graphicFrame macro="">
      <xdr:nvGraphicFramePr>
        <xdr:cNvPr id="154662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149</xdr:row>
      <xdr:rowOff>114300</xdr:rowOff>
    </xdr:from>
    <xdr:to>
      <xdr:col>25</xdr:col>
      <xdr:colOff>333375</xdr:colOff>
      <xdr:row>200</xdr:row>
      <xdr:rowOff>57150</xdr:rowOff>
    </xdr:to>
    <xdr:graphicFrame macro="">
      <xdr:nvGraphicFramePr>
        <xdr:cNvPr id="15874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200</xdr:row>
      <xdr:rowOff>0</xdr:rowOff>
    </xdr:from>
    <xdr:to>
      <xdr:col>25</xdr:col>
      <xdr:colOff>238125</xdr:colOff>
      <xdr:row>250</xdr:row>
      <xdr:rowOff>38100</xdr:rowOff>
    </xdr:to>
    <xdr:graphicFrame macro="">
      <xdr:nvGraphicFramePr>
        <xdr:cNvPr id="158741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400</xdr:row>
      <xdr:rowOff>76200</xdr:rowOff>
    </xdr:from>
    <xdr:to>
      <xdr:col>25</xdr:col>
      <xdr:colOff>276225</xdr:colOff>
      <xdr:row>450</xdr:row>
      <xdr:rowOff>133350</xdr:rowOff>
    </xdr:to>
    <xdr:graphicFrame macro="">
      <xdr:nvGraphicFramePr>
        <xdr:cNvPr id="158742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38100</xdr:colOff>
      <xdr:row>299</xdr:row>
      <xdr:rowOff>114300</xdr:rowOff>
    </xdr:from>
    <xdr:to>
      <xdr:col>25</xdr:col>
      <xdr:colOff>285750</xdr:colOff>
      <xdr:row>350</xdr:row>
      <xdr:rowOff>57150</xdr:rowOff>
    </xdr:to>
    <xdr:graphicFrame macro="">
      <xdr:nvGraphicFramePr>
        <xdr:cNvPr id="158743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550</xdr:row>
      <xdr:rowOff>114300</xdr:rowOff>
    </xdr:from>
    <xdr:to>
      <xdr:col>26</xdr:col>
      <xdr:colOff>381000</xdr:colOff>
      <xdr:row>600</xdr:row>
      <xdr:rowOff>123825</xdr:rowOff>
    </xdr:to>
    <xdr:graphicFrame macro="">
      <xdr:nvGraphicFramePr>
        <xdr:cNvPr id="158744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450</xdr:row>
      <xdr:rowOff>76200</xdr:rowOff>
    </xdr:from>
    <xdr:to>
      <xdr:col>25</xdr:col>
      <xdr:colOff>257175</xdr:colOff>
      <xdr:row>500</xdr:row>
      <xdr:rowOff>123825</xdr:rowOff>
    </xdr:to>
    <xdr:graphicFrame macro="">
      <xdr:nvGraphicFramePr>
        <xdr:cNvPr id="158745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19050</xdr:colOff>
      <xdr:row>49</xdr:row>
      <xdr:rowOff>152400</xdr:rowOff>
    </xdr:from>
    <xdr:to>
      <xdr:col>25</xdr:col>
      <xdr:colOff>276225</xdr:colOff>
      <xdr:row>100</xdr:row>
      <xdr:rowOff>28575</xdr:rowOff>
    </xdr:to>
    <xdr:graphicFrame macro="">
      <xdr:nvGraphicFramePr>
        <xdr:cNvPr id="158746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</xdr:col>
      <xdr:colOff>28575</xdr:colOff>
      <xdr:row>850</xdr:row>
      <xdr:rowOff>142875</xdr:rowOff>
    </xdr:from>
    <xdr:to>
      <xdr:col>22</xdr:col>
      <xdr:colOff>0</xdr:colOff>
      <xdr:row>876</xdr:row>
      <xdr:rowOff>104775</xdr:rowOff>
    </xdr:to>
    <xdr:graphicFrame macro="">
      <xdr:nvGraphicFramePr>
        <xdr:cNvPr id="158747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</xdr:col>
      <xdr:colOff>171450</xdr:colOff>
      <xdr:row>876</xdr:row>
      <xdr:rowOff>66675</xdr:rowOff>
    </xdr:from>
    <xdr:to>
      <xdr:col>22</xdr:col>
      <xdr:colOff>114300</xdr:colOff>
      <xdr:row>901</xdr:row>
      <xdr:rowOff>133350</xdr:rowOff>
    </xdr:to>
    <xdr:graphicFrame macro="">
      <xdr:nvGraphicFramePr>
        <xdr:cNvPr id="158748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0</xdr:colOff>
      <xdr:row>701</xdr:row>
      <xdr:rowOff>28575</xdr:rowOff>
    </xdr:from>
    <xdr:to>
      <xdr:col>25</xdr:col>
      <xdr:colOff>171450</xdr:colOff>
      <xdr:row>751</xdr:row>
      <xdr:rowOff>38100</xdr:rowOff>
    </xdr:to>
    <xdr:graphicFrame macro="">
      <xdr:nvGraphicFramePr>
        <xdr:cNvPr id="158749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0</xdr:colOff>
      <xdr:row>751</xdr:row>
      <xdr:rowOff>19050</xdr:rowOff>
    </xdr:from>
    <xdr:to>
      <xdr:col>25</xdr:col>
      <xdr:colOff>180975</xdr:colOff>
      <xdr:row>801</xdr:row>
      <xdr:rowOff>38100</xdr:rowOff>
    </xdr:to>
    <xdr:graphicFrame macro="">
      <xdr:nvGraphicFramePr>
        <xdr:cNvPr id="158750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19050</xdr:colOff>
      <xdr:row>800</xdr:row>
      <xdr:rowOff>104775</xdr:rowOff>
    </xdr:from>
    <xdr:to>
      <xdr:col>25</xdr:col>
      <xdr:colOff>209550</xdr:colOff>
      <xdr:row>850</xdr:row>
      <xdr:rowOff>133350</xdr:rowOff>
    </xdr:to>
    <xdr:graphicFrame macro="">
      <xdr:nvGraphicFramePr>
        <xdr:cNvPr id="158751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0</xdr:colOff>
      <xdr:row>650</xdr:row>
      <xdr:rowOff>57150</xdr:rowOff>
    </xdr:from>
    <xdr:to>
      <xdr:col>25</xdr:col>
      <xdr:colOff>266700</xdr:colOff>
      <xdr:row>701</xdr:row>
      <xdr:rowOff>85725</xdr:rowOff>
    </xdr:to>
    <xdr:graphicFrame macro="">
      <xdr:nvGraphicFramePr>
        <xdr:cNvPr id="158752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0</xdr:colOff>
      <xdr:row>249</xdr:row>
      <xdr:rowOff>114300</xdr:rowOff>
    </xdr:from>
    <xdr:to>
      <xdr:col>25</xdr:col>
      <xdr:colOff>266700</xdr:colOff>
      <xdr:row>300</xdr:row>
      <xdr:rowOff>57150</xdr:rowOff>
    </xdr:to>
    <xdr:graphicFrame macro="">
      <xdr:nvGraphicFramePr>
        <xdr:cNvPr id="158753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38100</xdr:colOff>
      <xdr:row>350</xdr:row>
      <xdr:rowOff>0</xdr:rowOff>
    </xdr:from>
    <xdr:to>
      <xdr:col>25</xdr:col>
      <xdr:colOff>323850</xdr:colOff>
      <xdr:row>400</xdr:row>
      <xdr:rowOff>123825</xdr:rowOff>
    </xdr:to>
    <xdr:graphicFrame macro="">
      <xdr:nvGraphicFramePr>
        <xdr:cNvPr id="158754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0</xdr:colOff>
      <xdr:row>600</xdr:row>
      <xdr:rowOff>114300</xdr:rowOff>
    </xdr:from>
    <xdr:to>
      <xdr:col>25</xdr:col>
      <xdr:colOff>295275</xdr:colOff>
      <xdr:row>650</xdr:row>
      <xdr:rowOff>85725</xdr:rowOff>
    </xdr:to>
    <xdr:graphicFrame macro="">
      <xdr:nvGraphicFramePr>
        <xdr:cNvPr id="158755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0</xdr:colOff>
      <xdr:row>0</xdr:row>
      <xdr:rowOff>0</xdr:rowOff>
    </xdr:from>
    <xdr:to>
      <xdr:col>25</xdr:col>
      <xdr:colOff>85725</xdr:colOff>
      <xdr:row>50</xdr:row>
      <xdr:rowOff>57150</xdr:rowOff>
    </xdr:to>
    <xdr:graphicFrame macro="">
      <xdr:nvGraphicFramePr>
        <xdr:cNvPr id="158756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0</xdr:col>
      <xdr:colOff>0</xdr:colOff>
      <xdr:row>100</xdr:row>
      <xdr:rowOff>76200</xdr:rowOff>
    </xdr:from>
    <xdr:to>
      <xdr:col>25</xdr:col>
      <xdr:colOff>66675</xdr:colOff>
      <xdr:row>151</xdr:row>
      <xdr:rowOff>28575</xdr:rowOff>
    </xdr:to>
    <xdr:graphicFrame macro="">
      <xdr:nvGraphicFramePr>
        <xdr:cNvPr id="158757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0</xdr:colOff>
      <xdr:row>501</xdr:row>
      <xdr:rowOff>0</xdr:rowOff>
    </xdr:from>
    <xdr:to>
      <xdr:col>25</xdr:col>
      <xdr:colOff>19050</xdr:colOff>
      <xdr:row>551</xdr:row>
      <xdr:rowOff>38100</xdr:rowOff>
    </xdr:to>
    <xdr:graphicFrame macro="">
      <xdr:nvGraphicFramePr>
        <xdr:cNvPr id="158758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99</xdr:row>
      <xdr:rowOff>76200</xdr:rowOff>
    </xdr:from>
    <xdr:to>
      <xdr:col>25</xdr:col>
      <xdr:colOff>333375</xdr:colOff>
      <xdr:row>150</xdr:row>
      <xdr:rowOff>19050</xdr:rowOff>
    </xdr:to>
    <xdr:graphicFrame macro="">
      <xdr:nvGraphicFramePr>
        <xdr:cNvPr id="16283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38100</xdr:colOff>
      <xdr:row>149</xdr:row>
      <xdr:rowOff>114300</xdr:rowOff>
    </xdr:from>
    <xdr:to>
      <xdr:col>25</xdr:col>
      <xdr:colOff>333375</xdr:colOff>
      <xdr:row>200</xdr:row>
      <xdr:rowOff>57150</xdr:rowOff>
    </xdr:to>
    <xdr:graphicFrame macro="">
      <xdr:nvGraphicFramePr>
        <xdr:cNvPr id="16283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200</xdr:row>
      <xdr:rowOff>0</xdr:rowOff>
    </xdr:from>
    <xdr:to>
      <xdr:col>25</xdr:col>
      <xdr:colOff>238125</xdr:colOff>
      <xdr:row>250</xdr:row>
      <xdr:rowOff>38100</xdr:rowOff>
    </xdr:to>
    <xdr:graphicFrame macro="">
      <xdr:nvGraphicFramePr>
        <xdr:cNvPr id="16283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400</xdr:row>
      <xdr:rowOff>76200</xdr:rowOff>
    </xdr:from>
    <xdr:to>
      <xdr:col>25</xdr:col>
      <xdr:colOff>276225</xdr:colOff>
      <xdr:row>450</xdr:row>
      <xdr:rowOff>133350</xdr:rowOff>
    </xdr:to>
    <xdr:graphicFrame macro="">
      <xdr:nvGraphicFramePr>
        <xdr:cNvPr id="16283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38100</xdr:colOff>
      <xdr:row>299</xdr:row>
      <xdr:rowOff>114300</xdr:rowOff>
    </xdr:from>
    <xdr:to>
      <xdr:col>25</xdr:col>
      <xdr:colOff>285750</xdr:colOff>
      <xdr:row>350</xdr:row>
      <xdr:rowOff>57150</xdr:rowOff>
    </xdr:to>
    <xdr:graphicFrame macro="">
      <xdr:nvGraphicFramePr>
        <xdr:cNvPr id="16284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500</xdr:row>
      <xdr:rowOff>76200</xdr:rowOff>
    </xdr:from>
    <xdr:to>
      <xdr:col>25</xdr:col>
      <xdr:colOff>247650</xdr:colOff>
      <xdr:row>550</xdr:row>
      <xdr:rowOff>104775</xdr:rowOff>
    </xdr:to>
    <xdr:graphicFrame macro="">
      <xdr:nvGraphicFramePr>
        <xdr:cNvPr id="162841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450</xdr:row>
      <xdr:rowOff>76200</xdr:rowOff>
    </xdr:from>
    <xdr:to>
      <xdr:col>25</xdr:col>
      <xdr:colOff>257175</xdr:colOff>
      <xdr:row>500</xdr:row>
      <xdr:rowOff>123825</xdr:rowOff>
    </xdr:to>
    <xdr:graphicFrame macro="">
      <xdr:nvGraphicFramePr>
        <xdr:cNvPr id="162842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104775</xdr:colOff>
      <xdr:row>50</xdr:row>
      <xdr:rowOff>66675</xdr:rowOff>
    </xdr:from>
    <xdr:to>
      <xdr:col>25</xdr:col>
      <xdr:colOff>361950</xdr:colOff>
      <xdr:row>100</xdr:row>
      <xdr:rowOff>104775</xdr:rowOff>
    </xdr:to>
    <xdr:graphicFrame macro="">
      <xdr:nvGraphicFramePr>
        <xdr:cNvPr id="162843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</xdr:col>
      <xdr:colOff>28575</xdr:colOff>
      <xdr:row>850</xdr:row>
      <xdr:rowOff>142875</xdr:rowOff>
    </xdr:from>
    <xdr:to>
      <xdr:col>22</xdr:col>
      <xdr:colOff>0</xdr:colOff>
      <xdr:row>876</xdr:row>
      <xdr:rowOff>104775</xdr:rowOff>
    </xdr:to>
    <xdr:graphicFrame macro="">
      <xdr:nvGraphicFramePr>
        <xdr:cNvPr id="162844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</xdr:col>
      <xdr:colOff>171450</xdr:colOff>
      <xdr:row>876</xdr:row>
      <xdr:rowOff>66675</xdr:rowOff>
    </xdr:from>
    <xdr:to>
      <xdr:col>22</xdr:col>
      <xdr:colOff>114300</xdr:colOff>
      <xdr:row>901</xdr:row>
      <xdr:rowOff>133350</xdr:rowOff>
    </xdr:to>
    <xdr:graphicFrame macro="">
      <xdr:nvGraphicFramePr>
        <xdr:cNvPr id="162845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0</xdr:colOff>
      <xdr:row>701</xdr:row>
      <xdr:rowOff>28575</xdr:rowOff>
    </xdr:from>
    <xdr:to>
      <xdr:col>25</xdr:col>
      <xdr:colOff>171450</xdr:colOff>
      <xdr:row>751</xdr:row>
      <xdr:rowOff>38100</xdr:rowOff>
    </xdr:to>
    <xdr:graphicFrame macro="">
      <xdr:nvGraphicFramePr>
        <xdr:cNvPr id="162846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0</xdr:colOff>
      <xdr:row>751</xdr:row>
      <xdr:rowOff>19050</xdr:rowOff>
    </xdr:from>
    <xdr:to>
      <xdr:col>25</xdr:col>
      <xdr:colOff>180975</xdr:colOff>
      <xdr:row>801</xdr:row>
      <xdr:rowOff>38100</xdr:rowOff>
    </xdr:to>
    <xdr:graphicFrame macro="">
      <xdr:nvGraphicFramePr>
        <xdr:cNvPr id="162847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19050</xdr:colOff>
      <xdr:row>800</xdr:row>
      <xdr:rowOff>104775</xdr:rowOff>
    </xdr:from>
    <xdr:to>
      <xdr:col>25</xdr:col>
      <xdr:colOff>209550</xdr:colOff>
      <xdr:row>850</xdr:row>
      <xdr:rowOff>133350</xdr:rowOff>
    </xdr:to>
    <xdr:graphicFrame macro="">
      <xdr:nvGraphicFramePr>
        <xdr:cNvPr id="162848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0</xdr:colOff>
      <xdr:row>650</xdr:row>
      <xdr:rowOff>57150</xdr:rowOff>
    </xdr:from>
    <xdr:to>
      <xdr:col>25</xdr:col>
      <xdr:colOff>266700</xdr:colOff>
      <xdr:row>701</xdr:row>
      <xdr:rowOff>85725</xdr:rowOff>
    </xdr:to>
    <xdr:graphicFrame macro="">
      <xdr:nvGraphicFramePr>
        <xdr:cNvPr id="162849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0</xdr:colOff>
      <xdr:row>249</xdr:row>
      <xdr:rowOff>114300</xdr:rowOff>
    </xdr:from>
    <xdr:to>
      <xdr:col>25</xdr:col>
      <xdr:colOff>266700</xdr:colOff>
      <xdr:row>300</xdr:row>
      <xdr:rowOff>57150</xdr:rowOff>
    </xdr:to>
    <xdr:graphicFrame macro="">
      <xdr:nvGraphicFramePr>
        <xdr:cNvPr id="162850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38100</xdr:colOff>
      <xdr:row>350</xdr:row>
      <xdr:rowOff>0</xdr:rowOff>
    </xdr:from>
    <xdr:to>
      <xdr:col>25</xdr:col>
      <xdr:colOff>323850</xdr:colOff>
      <xdr:row>400</xdr:row>
      <xdr:rowOff>123825</xdr:rowOff>
    </xdr:to>
    <xdr:graphicFrame macro="">
      <xdr:nvGraphicFramePr>
        <xdr:cNvPr id="162851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0</xdr:colOff>
      <xdr:row>600</xdr:row>
      <xdr:rowOff>114300</xdr:rowOff>
    </xdr:from>
    <xdr:to>
      <xdr:col>25</xdr:col>
      <xdr:colOff>295275</xdr:colOff>
      <xdr:row>650</xdr:row>
      <xdr:rowOff>85725</xdr:rowOff>
    </xdr:to>
    <xdr:graphicFrame macro="">
      <xdr:nvGraphicFramePr>
        <xdr:cNvPr id="162852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0</xdr:col>
      <xdr:colOff>9525</xdr:colOff>
      <xdr:row>550</xdr:row>
      <xdr:rowOff>142875</xdr:rowOff>
    </xdr:from>
    <xdr:to>
      <xdr:col>26</xdr:col>
      <xdr:colOff>152400</xdr:colOff>
      <xdr:row>601</xdr:row>
      <xdr:rowOff>0</xdr:rowOff>
    </xdr:to>
    <xdr:graphicFrame macro="">
      <xdr:nvGraphicFramePr>
        <xdr:cNvPr id="162853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76200</xdr:colOff>
      <xdr:row>0</xdr:row>
      <xdr:rowOff>76200</xdr:rowOff>
    </xdr:from>
    <xdr:to>
      <xdr:col>25</xdr:col>
      <xdr:colOff>161925</xdr:colOff>
      <xdr:row>50</xdr:row>
      <xdr:rowOff>133350</xdr:rowOff>
    </xdr:to>
    <xdr:graphicFrame macro="">
      <xdr:nvGraphicFramePr>
        <xdr:cNvPr id="162854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tabColor indexed="44"/>
  </sheetPr>
  <dimension ref="A1"/>
  <sheetViews>
    <sheetView zoomScale="74" workbookViewId="0">
      <selection activeCell="AA13" sqref="AA13"/>
    </sheetView>
  </sheetViews>
  <sheetFormatPr defaultRowHeight="12.75" x14ac:dyDescent="0.2"/>
  <sheetData/>
  <phoneticPr fontId="4" type="noConversion"/>
  <pageMargins left="0.75" right="0.75" top="1" bottom="1" header="0.5" footer="0.5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>
    <tabColor indexed="40"/>
  </sheetPr>
  <dimension ref="A1:CK134"/>
  <sheetViews>
    <sheetView tabSelected="1" zoomScale="90" workbookViewId="0">
      <pane xSplit="1" topLeftCell="B1" activePane="topRight" state="frozen"/>
      <selection activeCell="AN72" sqref="AN72"/>
      <selection pane="topRight"/>
    </sheetView>
  </sheetViews>
  <sheetFormatPr defaultRowHeight="0" customHeight="1" zeroHeight="1" x14ac:dyDescent="0.2"/>
  <cols>
    <col min="1" max="1" width="2.85546875" style="1" customWidth="1"/>
    <col min="2" max="2" width="5.140625" style="1" customWidth="1"/>
    <col min="3" max="3" width="5.140625" style="7" customWidth="1"/>
    <col min="4" max="4" width="10.5703125" style="1" customWidth="1"/>
    <col min="5" max="5" width="8.85546875" style="1" customWidth="1"/>
    <col min="6" max="9" width="9.28515625" style="1" customWidth="1"/>
    <col min="10" max="10" width="0.7109375" style="1" customWidth="1"/>
    <col min="11" max="13" width="8.5703125" style="1" customWidth="1"/>
    <col min="14" max="14" width="7.85546875" style="1" customWidth="1"/>
    <col min="15" max="15" width="1" style="1" customWidth="1"/>
    <col min="16" max="17" width="7.28515625" style="1" customWidth="1"/>
    <col min="18" max="18" width="8.5703125" style="1" customWidth="1"/>
    <col min="19" max="19" width="7.140625" style="1" customWidth="1"/>
    <col min="20" max="20" width="0.7109375" style="1" customWidth="1"/>
    <col min="21" max="22" width="9.28515625" style="1" customWidth="1"/>
    <col min="23" max="23" width="9.7109375" style="1" customWidth="1"/>
    <col min="24" max="24" width="9.28515625" style="1" customWidth="1"/>
    <col min="25" max="25" width="0.85546875" style="1" customWidth="1"/>
    <col min="26" max="26" width="10.42578125" style="1" customWidth="1"/>
    <col min="27" max="27" width="9.42578125" style="1" customWidth="1"/>
    <col min="28" max="28" width="10.5703125" style="1" customWidth="1"/>
    <col min="29" max="29" width="9.28515625" style="1" customWidth="1"/>
    <col min="30" max="30" width="9.85546875" style="1" customWidth="1"/>
    <col min="31" max="31" width="10.140625" style="1" customWidth="1"/>
    <col min="32" max="32" width="0.85546875" style="1" customWidth="1"/>
    <col min="33" max="34" width="8.42578125" style="1" customWidth="1"/>
    <col min="35" max="35" width="8.85546875" style="1" customWidth="1"/>
    <col min="36" max="36" width="8.42578125" style="1" customWidth="1"/>
    <col min="37" max="37" width="0.5703125" style="1" customWidth="1"/>
    <col min="38" max="38" width="8.140625" style="1" customWidth="1"/>
    <col min="39" max="39" width="0.42578125" style="1" customWidth="1"/>
    <col min="40" max="40" width="43.42578125" style="1" customWidth="1"/>
    <col min="41" max="41" width="0.7109375" style="1" customWidth="1"/>
    <col min="42" max="43" width="7.85546875" style="1" customWidth="1"/>
    <col min="44" max="44" width="0.7109375" style="1" customWidth="1"/>
    <col min="45" max="48" width="8.85546875" style="1" customWidth="1"/>
    <col min="49" max="49" width="8.5703125" style="1" customWidth="1"/>
    <col min="50" max="51" width="9.140625" style="1" customWidth="1"/>
    <col min="52" max="52" width="0.5703125" style="1" customWidth="1"/>
    <col min="53" max="53" width="8.28515625" style="1" customWidth="1"/>
    <col min="54" max="54" width="7.7109375" style="1" customWidth="1"/>
    <col min="55" max="55" width="8.5703125" style="1" customWidth="1"/>
    <col min="56" max="56" width="8.85546875" style="1" customWidth="1"/>
    <col min="57" max="57" width="0.5703125" style="1" customWidth="1"/>
    <col min="58" max="62" width="8.85546875" style="1" customWidth="1"/>
    <col min="63" max="63" width="1" style="1" customWidth="1"/>
    <col min="64" max="64" width="2.140625" style="1" customWidth="1"/>
    <col min="65" max="89" width="1.140625" style="1" hidden="1" customWidth="1"/>
    <col min="90" max="91" width="0" style="1" hidden="1" customWidth="1"/>
    <col min="92" max="16384" width="9.140625" style="1"/>
  </cols>
  <sheetData>
    <row r="1" spans="1:64" ht="13.5" customHeight="1" x14ac:dyDescent="0.2">
      <c r="A1" s="88">
        <v>1</v>
      </c>
      <c r="B1" s="676" t="s">
        <v>100</v>
      </c>
      <c r="C1" s="677" t="s">
        <v>99</v>
      </c>
      <c r="D1" s="109">
        <f ca="1">D2/E1</f>
        <v>80.472484465402516</v>
      </c>
      <c r="E1" s="98">
        <f ca="1">COUNT(A3:BL88)</f>
        <v>2579</v>
      </c>
      <c r="F1" s="678" t="s">
        <v>186</v>
      </c>
      <c r="G1" s="678"/>
      <c r="H1" s="678"/>
      <c r="I1" s="678"/>
      <c r="J1" s="6"/>
      <c r="K1" s="679" t="s">
        <v>147</v>
      </c>
      <c r="L1" s="679"/>
      <c r="M1" s="679"/>
      <c r="N1" s="680"/>
      <c r="O1" s="2"/>
      <c r="P1" s="664" t="s">
        <v>0</v>
      </c>
      <c r="Q1" s="664"/>
      <c r="R1" s="664"/>
      <c r="S1" s="665"/>
      <c r="T1" s="3"/>
      <c r="U1" s="666" t="s">
        <v>139</v>
      </c>
      <c r="V1" s="666"/>
      <c r="W1" s="666"/>
      <c r="X1" s="666"/>
      <c r="Y1" s="86"/>
      <c r="Z1" s="674" t="s">
        <v>107</v>
      </c>
      <c r="AA1" s="674"/>
      <c r="AB1" s="674"/>
      <c r="AC1" s="675"/>
      <c r="AD1" s="673" t="s">
        <v>198</v>
      </c>
      <c r="AE1" s="673"/>
      <c r="AF1" s="137"/>
      <c r="AG1" s="672" t="s">
        <v>157</v>
      </c>
      <c r="AH1" s="672"/>
      <c r="AI1" s="672"/>
      <c r="AJ1" s="672"/>
      <c r="AK1" s="6"/>
      <c r="AL1" s="690" t="s">
        <v>252</v>
      </c>
      <c r="AM1" s="86"/>
      <c r="AN1" s="667" t="s">
        <v>1</v>
      </c>
      <c r="AO1" s="399"/>
      <c r="AP1" s="691" t="s">
        <v>122</v>
      </c>
      <c r="AQ1" s="671" t="s">
        <v>192</v>
      </c>
      <c r="AR1" s="86"/>
      <c r="AS1" s="670" t="s">
        <v>12</v>
      </c>
      <c r="AT1" s="670"/>
      <c r="AU1" s="670"/>
      <c r="AV1" s="670"/>
      <c r="AW1" s="670"/>
      <c r="AX1" s="670"/>
      <c r="AY1" s="670"/>
      <c r="AZ1" s="6"/>
      <c r="BA1" s="667" t="s">
        <v>366</v>
      </c>
      <c r="BB1" s="667"/>
      <c r="BC1" s="667"/>
      <c r="BD1" s="667"/>
      <c r="BE1" s="67"/>
      <c r="BF1" s="667" t="s">
        <v>20</v>
      </c>
      <c r="BG1" s="667"/>
      <c r="BH1" s="667"/>
      <c r="BI1" s="667"/>
      <c r="BJ1" s="667"/>
      <c r="BK1" s="88"/>
      <c r="BL1" s="78"/>
    </row>
    <row r="2" spans="1:64" ht="12.75" customHeight="1" x14ac:dyDescent="0.2">
      <c r="A2" s="67"/>
      <c r="B2" s="676"/>
      <c r="C2" s="677"/>
      <c r="D2" s="104">
        <f ca="1">SUM(A3:BL88)</f>
        <v>207538.53743627309</v>
      </c>
      <c r="E2" s="292" t="s">
        <v>150</v>
      </c>
      <c r="F2" s="468" t="s">
        <v>101</v>
      </c>
      <c r="G2" s="469" t="s">
        <v>102</v>
      </c>
      <c r="H2" s="470" t="s">
        <v>156</v>
      </c>
      <c r="I2" s="471" t="s">
        <v>5</v>
      </c>
      <c r="J2" s="6"/>
      <c r="K2" s="212" t="s">
        <v>2</v>
      </c>
      <c r="L2" s="213" t="s">
        <v>3</v>
      </c>
      <c r="M2" s="395" t="s">
        <v>156</v>
      </c>
      <c r="N2" s="398" t="s">
        <v>5</v>
      </c>
      <c r="O2" s="20"/>
      <c r="P2" s="264" t="s">
        <v>2</v>
      </c>
      <c r="Q2" s="258" t="s">
        <v>3</v>
      </c>
      <c r="R2" s="265" t="s">
        <v>4</v>
      </c>
      <c r="S2" s="4" t="s">
        <v>5</v>
      </c>
      <c r="T2" s="67"/>
      <c r="U2" s="217" t="s">
        <v>156</v>
      </c>
      <c r="V2" s="97" t="s">
        <v>3</v>
      </c>
      <c r="W2" s="97" t="s">
        <v>154</v>
      </c>
      <c r="X2" s="217" t="s">
        <v>104</v>
      </c>
      <c r="Y2" s="133"/>
      <c r="Z2" s="424" t="s">
        <v>152</v>
      </c>
      <c r="AA2" s="458" t="s">
        <v>108</v>
      </c>
      <c r="AB2" s="458" t="s">
        <v>197</v>
      </c>
      <c r="AC2" s="508" t="s">
        <v>141</v>
      </c>
      <c r="AD2" s="179" t="s">
        <v>4</v>
      </c>
      <c r="AE2" s="179" t="s">
        <v>3</v>
      </c>
      <c r="AF2" s="68"/>
      <c r="AG2" s="299" t="s">
        <v>2</v>
      </c>
      <c r="AH2" s="309" t="s">
        <v>3</v>
      </c>
      <c r="AI2" s="308" t="s">
        <v>156</v>
      </c>
      <c r="AJ2" s="99" t="s">
        <v>5</v>
      </c>
      <c r="AK2" s="310"/>
      <c r="AL2" s="690"/>
      <c r="AM2" s="86"/>
      <c r="AN2" s="667"/>
      <c r="AO2" s="399"/>
      <c r="AP2" s="692"/>
      <c r="AQ2" s="671"/>
      <c r="AR2" s="86"/>
      <c r="AS2" s="181" t="s">
        <v>21</v>
      </c>
      <c r="AT2" s="294" t="s">
        <v>22</v>
      </c>
      <c r="AU2" s="295" t="s">
        <v>23</v>
      </c>
      <c r="AV2" s="365" t="s">
        <v>24</v>
      </c>
      <c r="AW2" s="263" t="s">
        <v>187</v>
      </c>
      <c r="AX2" s="374" t="s">
        <v>188</v>
      </c>
      <c r="AY2" s="371" t="s">
        <v>124</v>
      </c>
      <c r="AZ2" s="6"/>
      <c r="BA2" s="181" t="s">
        <v>21</v>
      </c>
      <c r="BB2" s="294" t="s">
        <v>22</v>
      </c>
      <c r="BC2" s="295" t="s">
        <v>23</v>
      </c>
      <c r="BD2" s="365" t="s">
        <v>24</v>
      </c>
      <c r="BE2" s="67"/>
      <c r="BF2" s="181" t="s">
        <v>21</v>
      </c>
      <c r="BG2" s="294" t="s">
        <v>25</v>
      </c>
      <c r="BH2" s="365" t="s">
        <v>24</v>
      </c>
      <c r="BI2" s="179" t="s">
        <v>7</v>
      </c>
      <c r="BJ2" s="419" t="s">
        <v>196</v>
      </c>
      <c r="BK2" s="88"/>
      <c r="BL2" s="78"/>
    </row>
    <row r="3" spans="1:64" ht="1.5" customHeight="1" x14ac:dyDescent="0.2">
      <c r="A3" s="67"/>
      <c r="B3" s="128"/>
      <c r="C3" s="283"/>
      <c r="D3" s="67"/>
      <c r="E3" s="68"/>
      <c r="F3" s="68"/>
      <c r="G3" s="68"/>
      <c r="H3" s="68"/>
      <c r="I3" s="68"/>
      <c r="J3" s="6"/>
      <c r="K3" s="68"/>
      <c r="L3" s="68"/>
      <c r="M3" s="68"/>
      <c r="N3" s="84"/>
      <c r="O3" s="20"/>
      <c r="P3" s="257"/>
      <c r="Q3" s="68"/>
      <c r="R3" s="68"/>
      <c r="S3" s="68"/>
      <c r="T3" s="67"/>
      <c r="U3" s="63"/>
      <c r="V3" s="63"/>
      <c r="W3" s="63"/>
      <c r="X3" s="63"/>
      <c r="Y3" s="67"/>
      <c r="Z3" s="425"/>
      <c r="AA3" s="500"/>
      <c r="AB3" s="500"/>
      <c r="AC3" s="509"/>
      <c r="AD3" s="63"/>
      <c r="AE3" s="63"/>
      <c r="AF3" s="67"/>
      <c r="AG3" s="63"/>
      <c r="AH3" s="63"/>
      <c r="AI3" s="63"/>
      <c r="AJ3" s="63"/>
      <c r="AK3" s="67"/>
      <c r="AL3" s="132"/>
      <c r="AM3" s="6"/>
      <c r="AN3" s="67"/>
      <c r="AO3" s="88"/>
      <c r="AP3" s="63"/>
      <c r="AQ3" s="63"/>
      <c r="AR3" s="67"/>
      <c r="AS3" s="67"/>
      <c r="AT3" s="67"/>
      <c r="AU3" s="67"/>
      <c r="AV3" s="366"/>
      <c r="AW3" s="67"/>
      <c r="AX3" s="375"/>
      <c r="AY3" s="372"/>
      <c r="AZ3" s="6"/>
      <c r="BA3" s="67"/>
      <c r="BB3" s="67"/>
      <c r="BC3" s="6"/>
      <c r="BD3" s="366"/>
      <c r="BE3" s="67"/>
      <c r="BF3" s="67"/>
      <c r="BG3" s="67"/>
      <c r="BH3" s="366"/>
      <c r="BI3" s="6"/>
      <c r="BJ3" s="87"/>
      <c r="BK3" s="88"/>
      <c r="BL3" s="78"/>
    </row>
    <row r="4" spans="1:64" ht="12.75" customHeight="1" x14ac:dyDescent="0.2">
      <c r="A4" s="433">
        <v>1</v>
      </c>
      <c r="B4" s="131">
        <v>4.9000000000000004</v>
      </c>
      <c r="C4" s="282">
        <f>IF(ISBLANK(G4),"",G4)</f>
        <v>6.6</v>
      </c>
      <c r="D4" s="685" t="s">
        <v>287</v>
      </c>
      <c r="E4" s="121">
        <v>1</v>
      </c>
      <c r="F4" s="23">
        <v>3.2</v>
      </c>
      <c r="G4" s="23">
        <v>6.6</v>
      </c>
      <c r="H4" s="26">
        <v>5.2</v>
      </c>
      <c r="I4" s="23">
        <f t="shared" ref="I4:I16" si="0">IF(ISBLANK(G4),"",G4-F4)</f>
        <v>3.3999999999999995</v>
      </c>
      <c r="J4" s="6">
        <f>IF(C4=G4,0,1)</f>
        <v>0</v>
      </c>
      <c r="K4" s="24">
        <v>84</v>
      </c>
      <c r="L4" s="24">
        <v>95</v>
      </c>
      <c r="M4" s="27">
        <v>89</v>
      </c>
      <c r="N4" s="24">
        <f>IF(ISBLANK(K4),"",L4-K4)</f>
        <v>11</v>
      </c>
      <c r="O4" s="50">
        <f>IF(B4=F4,0,1)</f>
        <v>1</v>
      </c>
      <c r="P4" s="24">
        <v>1023</v>
      </c>
      <c r="Q4" s="24">
        <v>1027</v>
      </c>
      <c r="R4" s="24">
        <f t="shared" ref="R4:R34" si="1">IF(ISBLANK(P4),"",AVERAGE(P4:Q4))</f>
        <v>1025</v>
      </c>
      <c r="S4" s="24">
        <f>IF(ISBLANK(P4),"",Q4-P4)</f>
        <v>4</v>
      </c>
      <c r="T4" s="50">
        <v>0</v>
      </c>
      <c r="U4" s="143">
        <v>4.2</v>
      </c>
      <c r="V4" s="143">
        <v>10.199999999999999</v>
      </c>
      <c r="W4" s="26">
        <v>15.4</v>
      </c>
      <c r="X4" s="293" t="s">
        <v>128</v>
      </c>
      <c r="Y4" s="567">
        <f>IF(ISBLANK(Z4),"",IF(AQ4&lt;0.5,0,IF(Z4=0,0,IF(Z4&lt;1,1,2))))</f>
        <v>0</v>
      </c>
      <c r="Z4" s="426">
        <v>0.1</v>
      </c>
      <c r="AA4" s="38"/>
      <c r="AB4" s="389"/>
      <c r="AC4" s="518">
        <f>IF(Z4=0,"",Z4/$Z$38)</f>
        <v>1.3698630136986306E-3</v>
      </c>
      <c r="AD4" s="7" t="str">
        <f>IF(Z4&lt;0.3,"",Z4/AQ4)</f>
        <v/>
      </c>
      <c r="AE4" s="145"/>
      <c r="AF4" s="56"/>
      <c r="AG4" s="7">
        <v>1.4</v>
      </c>
      <c r="AH4" s="7">
        <v>5.7</v>
      </c>
      <c r="AI4" s="7">
        <v>3.6</v>
      </c>
      <c r="AJ4" s="7">
        <f>IF(ISBLANK(AH4),"",AH4-AG4)</f>
        <v>4.3000000000000007</v>
      </c>
      <c r="AK4" s="6"/>
      <c r="AL4" s="27" t="s">
        <v>266</v>
      </c>
      <c r="AM4" s="54">
        <v>1013.25</v>
      </c>
      <c r="AN4" s="302" t="s">
        <v>288</v>
      </c>
      <c r="AO4" s="400"/>
      <c r="AP4" s="123">
        <v>0.1</v>
      </c>
      <c r="AQ4" s="123">
        <v>0.4</v>
      </c>
      <c r="AR4" s="134"/>
      <c r="AS4" s="26">
        <f>IF(ISBLANK(F4),"",(AVERAGE($F$4:F4)))</f>
        <v>3.2</v>
      </c>
      <c r="AT4" s="25">
        <f>IF(ISBLANK(G4),"",(AVERAGE($G$4:G4)))</f>
        <v>6.6</v>
      </c>
      <c r="AU4" s="25">
        <f>IF(ISBLANK(H4),"",(AVERAGE($H$4:H4)))</f>
        <v>5.2</v>
      </c>
      <c r="AV4" s="367">
        <f>IF(ISBLANK(G4),"",(AVERAGE($I$4:I4)))</f>
        <v>3.3999999999999995</v>
      </c>
      <c r="AW4" s="22">
        <f>IF(ISBLANK(M4),"",AVERAGE($M$4:M4))</f>
        <v>89</v>
      </c>
      <c r="AX4" s="376">
        <f>IF(ISBLANK(P4),"",(AVERAGE($R$4:R4)))</f>
        <v>1025</v>
      </c>
      <c r="AY4" s="368">
        <f>IF(ISBLANK(U4),"",(AVERAGE($U$4:U4)))</f>
        <v>4.2</v>
      </c>
      <c r="AZ4" s="6"/>
      <c r="BA4" s="25">
        <f>IF(ISBLANK(F4),"",F4-F91)</f>
        <v>0.60000000000000009</v>
      </c>
      <c r="BB4" s="25">
        <f>IF(ISBLANK(G4),"",G4-G91)</f>
        <v>-0.4300000000000006</v>
      </c>
      <c r="BC4" s="25">
        <f>IF(ISBLANK(G4),"",AVERAGE(BA4:BB4))</f>
        <v>8.4999999999999742E-2</v>
      </c>
      <c r="BD4" s="367">
        <f>IF(ISBLANK(G4),"",BB4-BA4)</f>
        <v>-1.0300000000000007</v>
      </c>
      <c r="BE4" s="67"/>
      <c r="BF4" s="25">
        <f>IF(ISBLANK(F4),"",AS4-AVERAGE($F$91:F91))</f>
        <v>0.60000000000000009</v>
      </c>
      <c r="BG4" s="25">
        <f>IF(ISBLANK(G4),"",AT4-AVERAGE($G$91:G91))</f>
        <v>-0.4300000000000006</v>
      </c>
      <c r="BH4" s="367">
        <f>IF(ISBLANK(G4),"",BG4-BF4)</f>
        <v>-1.0300000000000007</v>
      </c>
      <c r="BI4" s="115">
        <f t="shared" ref="BI4:BI33" si="2">IF(ISBLANK(Z4),"",AB91/AA91)</f>
        <v>4.9206349206349212E-2</v>
      </c>
      <c r="BJ4" s="115">
        <f t="shared" ref="BJ4:BJ34" si="3">IF(ISBLANK(AP4),"",AG91/AH91)</f>
        <v>7.1583707216850645E-2</v>
      </c>
      <c r="BK4" s="402"/>
      <c r="BL4" s="572">
        <v>1</v>
      </c>
    </row>
    <row r="5" spans="1:64" ht="12.75" customHeight="1" x14ac:dyDescent="0.2">
      <c r="A5" s="394">
        <f t="shared" ref="A5:A34" si="4">SUM(A4+1)</f>
        <v>2</v>
      </c>
      <c r="B5" s="131">
        <f t="shared" ref="B5:B33" si="5">IF(ISBLANK(F5),"",F5)</f>
        <v>1.5</v>
      </c>
      <c r="C5" s="282">
        <f t="shared" ref="C5:C34" si="6">IF(ISBLANK(G5),"",G5)</f>
        <v>3.2</v>
      </c>
      <c r="D5" s="685"/>
      <c r="E5" s="97">
        <f t="shared" ref="E5:E33" si="7">SUM(E4+1)</f>
        <v>2</v>
      </c>
      <c r="F5" s="23">
        <v>1.5</v>
      </c>
      <c r="G5" s="23">
        <v>3.2</v>
      </c>
      <c r="H5" s="26">
        <v>2.2999999999999998</v>
      </c>
      <c r="I5" s="23">
        <f t="shared" si="0"/>
        <v>1.7000000000000002</v>
      </c>
      <c r="J5" s="6">
        <f>IF(C5=G5,0,1)</f>
        <v>0</v>
      </c>
      <c r="K5" s="24">
        <v>77</v>
      </c>
      <c r="L5" s="24">
        <v>88</v>
      </c>
      <c r="M5" s="27">
        <v>84</v>
      </c>
      <c r="N5" s="24">
        <f>IF(ISBLANK(K5),"",L5-K5)</f>
        <v>11</v>
      </c>
      <c r="O5" s="50">
        <f>IF(B5=F5,0,1)</f>
        <v>0</v>
      </c>
      <c r="P5" s="24">
        <v>1027</v>
      </c>
      <c r="Q5" s="24">
        <v>1029</v>
      </c>
      <c r="R5" s="24">
        <f t="shared" si="1"/>
        <v>1028</v>
      </c>
      <c r="S5" s="24">
        <f>IF(ISBLANK(P5),"",Q5-P5)</f>
        <v>2</v>
      </c>
      <c r="T5" s="50">
        <v>0</v>
      </c>
      <c r="U5" s="143">
        <v>3.5</v>
      </c>
      <c r="V5" s="143">
        <v>7.4</v>
      </c>
      <c r="W5" s="26">
        <v>9.4</v>
      </c>
      <c r="X5" s="304" t="s">
        <v>113</v>
      </c>
      <c r="Y5" s="567">
        <f t="shared" ref="Y5:Y34" si="8">IF(ISBLANK(Z5),"",IF(AQ5&lt;0.5,0,IF(Z5=0,0,IF(Z5&lt;1,1,2))))</f>
        <v>0</v>
      </c>
      <c r="Z5" s="426">
        <v>0</v>
      </c>
      <c r="AA5" s="38"/>
      <c r="AB5" s="389"/>
      <c r="AC5" s="518" t="str">
        <f>IF(Z5=0,"",Z5/$Z$38)</f>
        <v/>
      </c>
      <c r="AD5" s="7" t="str">
        <f>IF(Z5&lt;0.3,"",Z5/AQ5)</f>
        <v/>
      </c>
      <c r="AE5" s="145"/>
      <c r="AF5" s="6"/>
      <c r="AG5" s="7">
        <v>-1.6</v>
      </c>
      <c r="AH5" s="7">
        <v>1.4</v>
      </c>
      <c r="AI5" s="7">
        <v>-0.2</v>
      </c>
      <c r="AJ5" s="7">
        <f>IF(ISBLANK(AH5),"",AH5-AG5)</f>
        <v>3</v>
      </c>
      <c r="AK5" s="6"/>
      <c r="AL5" s="123" t="s">
        <v>261</v>
      </c>
      <c r="AM5" s="54">
        <v>1013.25</v>
      </c>
      <c r="AN5" s="23" t="s">
        <v>8</v>
      </c>
      <c r="AO5" s="400"/>
      <c r="AP5" s="123">
        <v>1</v>
      </c>
      <c r="AQ5" s="123">
        <v>0</v>
      </c>
      <c r="AR5" s="134"/>
      <c r="AS5" s="26">
        <f>IF(ISBLANK(F5),"",(AVERAGE($F$4:F5)))</f>
        <v>2.35</v>
      </c>
      <c r="AT5" s="26">
        <f>IF(ISBLANK(G5),"",(AVERAGE($G$4:G5)))</f>
        <v>4.9000000000000004</v>
      </c>
      <c r="AU5" s="25">
        <f>IF(ISBLANK(H5),"",(AVERAGE($H$4:H5)))</f>
        <v>3.75</v>
      </c>
      <c r="AV5" s="368">
        <f>IF(ISBLANK(G5),"",(AVERAGE($I$4:I5)))</f>
        <v>2.5499999999999998</v>
      </c>
      <c r="AW5" s="22">
        <f>IF(ISBLANK(M5),"",AVERAGE($M$4:M5))</f>
        <v>86.5</v>
      </c>
      <c r="AX5" s="376">
        <f>IF(ISBLANK(P5),"",(AVERAGE($R$4:R5)))</f>
        <v>1026.5</v>
      </c>
      <c r="AY5" s="368">
        <f>IF(ISBLANK(U5),"",(AVERAGE($U$4:U5)))</f>
        <v>3.85</v>
      </c>
      <c r="AZ5" s="6"/>
      <c r="BA5" s="25">
        <f t="shared" ref="BA5:BA34" si="9">IF(ISBLANK(F5),"",F5-F92)</f>
        <v>-1.08</v>
      </c>
      <c r="BB5" s="25">
        <f t="shared" ref="BB5:BB34" si="10">IF(ISBLANK(G5),"",G5-G92)</f>
        <v>-3.83</v>
      </c>
      <c r="BC5" s="25">
        <f>IF(ISBLANK(G5),"",AVERAGE(BA5:BB5))</f>
        <v>-2.4550000000000001</v>
      </c>
      <c r="BD5" s="367">
        <f>IF(ISBLANK(G5),"",BB5-BA5)</f>
        <v>-2.75</v>
      </c>
      <c r="BE5" s="72"/>
      <c r="BF5" s="25">
        <f>IF(ISBLANK(F5),"",AS5-AVERAGE($F$91:F92))</f>
        <v>-0.23999999999999977</v>
      </c>
      <c r="BG5" s="25">
        <f>IF(ISBLANK(G5),"",AT5-AVERAGE($G$91:G92))</f>
        <v>-2.13</v>
      </c>
      <c r="BH5" s="367">
        <f t="shared" ref="BH5:BH10" si="11">IF(ISBLANK(G5),"",BG5-BF5)</f>
        <v>-1.8900000000000001</v>
      </c>
      <c r="BI5" s="115">
        <f t="shared" si="2"/>
        <v>2.4603174603174606E-2</v>
      </c>
      <c r="BJ5" s="115">
        <f t="shared" si="3"/>
        <v>0.39323381213833886</v>
      </c>
      <c r="BK5" s="420"/>
      <c r="BL5" s="572">
        <v>2</v>
      </c>
    </row>
    <row r="6" spans="1:64" ht="12.75" customHeight="1" x14ac:dyDescent="0.2">
      <c r="A6" s="394">
        <f t="shared" si="4"/>
        <v>3</v>
      </c>
      <c r="B6" s="131">
        <f t="shared" si="5"/>
        <v>-0.9</v>
      </c>
      <c r="C6" s="282">
        <f t="shared" si="6"/>
        <v>3.3</v>
      </c>
      <c r="D6" s="685"/>
      <c r="E6" s="97">
        <f t="shared" si="7"/>
        <v>3</v>
      </c>
      <c r="F6" s="23">
        <v>-0.9</v>
      </c>
      <c r="G6" s="23">
        <v>3.3</v>
      </c>
      <c r="H6" s="26">
        <v>2</v>
      </c>
      <c r="I6" s="23">
        <f t="shared" si="0"/>
        <v>4.2</v>
      </c>
      <c r="J6" s="6">
        <f>IF(C6=G6,0,1)</f>
        <v>0</v>
      </c>
      <c r="K6" s="24">
        <v>65</v>
      </c>
      <c r="L6" s="24">
        <v>87</v>
      </c>
      <c r="M6" s="27">
        <v>76</v>
      </c>
      <c r="N6" s="24">
        <f>IF(ISBLANK(K6),"",L6-K6)</f>
        <v>22</v>
      </c>
      <c r="O6" s="50">
        <f>IF(B6=F6,0,1)</f>
        <v>0</v>
      </c>
      <c r="P6" s="24">
        <v>1018</v>
      </c>
      <c r="Q6" s="24">
        <v>1027</v>
      </c>
      <c r="R6" s="24">
        <f t="shared" si="1"/>
        <v>1022.5</v>
      </c>
      <c r="S6" s="24">
        <f>IF(ISBLANK(P6),"",Q6-P6)</f>
        <v>9</v>
      </c>
      <c r="T6" s="50">
        <v>0</v>
      </c>
      <c r="U6" s="143">
        <v>2.2000000000000002</v>
      </c>
      <c r="V6" s="143">
        <v>7.6</v>
      </c>
      <c r="W6" s="26">
        <v>8.6999999999999993</v>
      </c>
      <c r="X6" s="464" t="s">
        <v>110</v>
      </c>
      <c r="Y6" s="567">
        <f t="shared" si="8"/>
        <v>0</v>
      </c>
      <c r="Z6" s="426">
        <v>0</v>
      </c>
      <c r="AA6" s="38"/>
      <c r="AB6" s="389"/>
      <c r="AC6" s="510" t="str">
        <f>IF(Z6=0,"",Z6/$Z$38)</f>
        <v/>
      </c>
      <c r="AD6" s="7" t="str">
        <f>IF(Z6&lt;0.3,"",Z6/AQ6)</f>
        <v/>
      </c>
      <c r="AE6" s="145"/>
      <c r="AF6" s="6"/>
      <c r="AG6" s="7">
        <v>-3.6</v>
      </c>
      <c r="AH6" s="7">
        <v>-0.7</v>
      </c>
      <c r="AI6" s="7">
        <v>-1.9</v>
      </c>
      <c r="AJ6" s="7">
        <f>IF(ISBLANK(AH6),"",AH6-AG6)</f>
        <v>2.9000000000000004</v>
      </c>
      <c r="AK6" s="6"/>
      <c r="AL6" s="123" t="s">
        <v>289</v>
      </c>
      <c r="AM6" s="54">
        <v>1013.25</v>
      </c>
      <c r="AN6" s="47" t="s">
        <v>214</v>
      </c>
      <c r="AO6" s="401"/>
      <c r="AP6" s="123">
        <v>0.5</v>
      </c>
      <c r="AQ6" s="123">
        <v>0</v>
      </c>
      <c r="AR6" s="134"/>
      <c r="AS6" s="26">
        <f>IF(ISBLANK(F6),"",(AVERAGE($F$4:F6)))</f>
        <v>1.2666666666666668</v>
      </c>
      <c r="AT6" s="26">
        <f>IF(ISBLANK(G6),"",(AVERAGE($G$4:G6)))</f>
        <v>4.3666666666666671</v>
      </c>
      <c r="AU6" s="25">
        <f>IF(ISBLANK(H6),"",(AVERAGE($H$4:H6)))</f>
        <v>3.1666666666666665</v>
      </c>
      <c r="AV6" s="368">
        <f>IF(ISBLANK(G6),"",(AVERAGE($I$4:I6)))</f>
        <v>3.1</v>
      </c>
      <c r="AW6" s="22">
        <f>IF(ISBLANK(M6),"",AVERAGE($M$4:M6))</f>
        <v>83</v>
      </c>
      <c r="AX6" s="376">
        <f>IF(ISBLANK(P6),"",(AVERAGE($R$4:R6)))</f>
        <v>1025.1666666666667</v>
      </c>
      <c r="AY6" s="368">
        <f>IF(ISBLANK(U6),"",(AVERAGE($U$4:U6)))</f>
        <v>3.3000000000000003</v>
      </c>
      <c r="AZ6" s="6"/>
      <c r="BA6" s="25">
        <f t="shared" si="9"/>
        <v>-3.46</v>
      </c>
      <c r="BB6" s="25">
        <f t="shared" si="10"/>
        <v>-3.7300000000000004</v>
      </c>
      <c r="BC6" s="25">
        <f>IF(ISBLANK(G6),"",AVERAGE(BA6:BB6))</f>
        <v>-3.5950000000000002</v>
      </c>
      <c r="BD6" s="367">
        <f t="shared" ref="BD6:BD34" si="12">IF(ISBLANK(G6),"",BB6-BA6)</f>
        <v>-0.27000000000000046</v>
      </c>
      <c r="BE6" s="72"/>
      <c r="BF6" s="25">
        <f>IF(ISBLANK(F6),"",AS6-AVERAGE($F$91:F93))</f>
        <v>-1.3133333333333332</v>
      </c>
      <c r="BG6" s="25">
        <f>IF(ISBLANK(G6),"",AT6-AVERAGE($G$91:G93))</f>
        <v>-2.6633333333333331</v>
      </c>
      <c r="BH6" s="367">
        <f t="shared" si="11"/>
        <v>-1.3499999999999999</v>
      </c>
      <c r="BI6" s="115">
        <f t="shared" si="2"/>
        <v>1.6402116402116404E-2</v>
      </c>
      <c r="BJ6" s="115">
        <f t="shared" si="3"/>
        <v>0.38083126117630156</v>
      </c>
      <c r="BK6" s="402"/>
      <c r="BL6" s="572">
        <v>3</v>
      </c>
    </row>
    <row r="7" spans="1:64" ht="12.75" customHeight="1" x14ac:dyDescent="0.2">
      <c r="A7" s="278">
        <f t="shared" si="4"/>
        <v>4</v>
      </c>
      <c r="B7" s="131">
        <f t="shared" si="5"/>
        <v>2.6</v>
      </c>
      <c r="C7" s="282">
        <v>4.3</v>
      </c>
      <c r="D7" s="685"/>
      <c r="E7" s="99">
        <f t="shared" si="7"/>
        <v>4</v>
      </c>
      <c r="F7" s="23">
        <v>2.6</v>
      </c>
      <c r="G7" s="23">
        <v>5</v>
      </c>
      <c r="H7" s="26">
        <v>3.6</v>
      </c>
      <c r="I7" s="23">
        <f t="shared" si="0"/>
        <v>2.4</v>
      </c>
      <c r="J7" s="6">
        <f>IF(C7=G7,0,1)</f>
        <v>1</v>
      </c>
      <c r="K7" s="24">
        <v>75</v>
      </c>
      <c r="L7" s="24">
        <v>87</v>
      </c>
      <c r="M7" s="27">
        <v>82</v>
      </c>
      <c r="N7" s="24">
        <f>IF(ISBLANK(K7),"",L7-K7)</f>
        <v>12</v>
      </c>
      <c r="O7" s="50">
        <f>IF(B7=F7,0,1)</f>
        <v>0</v>
      </c>
      <c r="P7" s="24">
        <v>1008</v>
      </c>
      <c r="Q7" s="24">
        <v>1019</v>
      </c>
      <c r="R7" s="24">
        <f t="shared" si="1"/>
        <v>1013.5</v>
      </c>
      <c r="S7" s="24">
        <f>IF(ISBLANK(P7),"",Q7-P7)</f>
        <v>11</v>
      </c>
      <c r="T7" s="50">
        <v>0</v>
      </c>
      <c r="U7" s="143">
        <v>4.9000000000000004</v>
      </c>
      <c r="V7" s="143">
        <v>14</v>
      </c>
      <c r="W7" s="26">
        <v>17.399999999999999</v>
      </c>
      <c r="X7" s="455" t="s">
        <v>110</v>
      </c>
      <c r="Y7" s="567">
        <f t="shared" si="8"/>
        <v>0</v>
      </c>
      <c r="Z7" s="426">
        <v>0</v>
      </c>
      <c r="AA7" s="38"/>
      <c r="AB7" s="389"/>
      <c r="AC7" s="510" t="str">
        <f>IF(Z7=0,"",Z7/$Z$38)</f>
        <v/>
      </c>
      <c r="AD7" s="7" t="str">
        <f>IF(Z7&lt;0.3,"",Z7/AQ7)</f>
        <v/>
      </c>
      <c r="AE7" s="145"/>
      <c r="AF7" s="6"/>
      <c r="AG7" s="7">
        <v>-1.2</v>
      </c>
      <c r="AH7" s="7">
        <v>3</v>
      </c>
      <c r="AI7" s="7">
        <v>0.9</v>
      </c>
      <c r="AJ7" s="7">
        <f>IF(ISBLANK(AH7),"",AH7-AG7)</f>
        <v>4.2</v>
      </c>
      <c r="AK7" s="6"/>
      <c r="AL7" s="123" t="s">
        <v>290</v>
      </c>
      <c r="AM7" s="54">
        <v>1013.25</v>
      </c>
      <c r="AN7" s="23" t="s">
        <v>8</v>
      </c>
      <c r="AO7" s="401"/>
      <c r="AP7" s="123">
        <v>0.5</v>
      </c>
      <c r="AQ7" s="123">
        <v>0</v>
      </c>
      <c r="AR7" s="134"/>
      <c r="AS7" s="26">
        <f>IF(ISBLANK(F7),"",(AVERAGE($F$4:F7)))</f>
        <v>1.6</v>
      </c>
      <c r="AT7" s="26">
        <f>IF(ISBLANK(G7),"",(AVERAGE($G$4:G7)))</f>
        <v>4.5250000000000004</v>
      </c>
      <c r="AU7" s="25">
        <f>IF(ISBLANK(H7),"",(AVERAGE($H$4:H7)))</f>
        <v>3.2749999999999999</v>
      </c>
      <c r="AV7" s="368">
        <f>IF(ISBLANK(G7),"",(AVERAGE($I$4:I7)))</f>
        <v>2.9250000000000003</v>
      </c>
      <c r="AW7" s="22">
        <f>IF(ISBLANK(M7),"",AVERAGE($M$4:M7))</f>
        <v>82.75</v>
      </c>
      <c r="AX7" s="376">
        <f>IF(ISBLANK(P7),"",(AVERAGE($R$4:R7)))</f>
        <v>1022.25</v>
      </c>
      <c r="AY7" s="368">
        <f>IF(ISBLANK(U7),"",(AVERAGE($U$4:U7)))</f>
        <v>3.7</v>
      </c>
      <c r="AZ7" s="6"/>
      <c r="BA7" s="25">
        <f t="shared" si="9"/>
        <v>6.0000000000000053E-2</v>
      </c>
      <c r="BB7" s="25">
        <f t="shared" si="10"/>
        <v>-2.0300000000000002</v>
      </c>
      <c r="BC7" s="25">
        <f t="shared" ref="BC7:BC34" si="13">IF(ISBLANK(G7),"",AVERAGE(BA7:BB7))</f>
        <v>-0.9850000000000001</v>
      </c>
      <c r="BD7" s="367">
        <f t="shared" si="12"/>
        <v>-2.0900000000000003</v>
      </c>
      <c r="BE7" s="72"/>
      <c r="BF7" s="25">
        <f>IF(ISBLANK(F7),"",AS7-AVERAGE($F$91:F94))</f>
        <v>-0.9700000000000002</v>
      </c>
      <c r="BG7" s="25">
        <f>IF(ISBLANK(G7),"",AT7-AVERAGE($G$91:G94))</f>
        <v>-2.5049999999999999</v>
      </c>
      <c r="BH7" s="367">
        <f t="shared" si="11"/>
        <v>-1.5349999999999997</v>
      </c>
      <c r="BI7" s="115">
        <f t="shared" si="2"/>
        <v>1.2301587301587303E-2</v>
      </c>
      <c r="BJ7" s="115">
        <f t="shared" si="3"/>
        <v>0.37437855856973445</v>
      </c>
      <c r="BK7" s="402"/>
      <c r="BL7" s="572">
        <v>4</v>
      </c>
    </row>
    <row r="8" spans="1:64" ht="12.75" customHeight="1" x14ac:dyDescent="0.2">
      <c r="A8" s="278">
        <f t="shared" si="4"/>
        <v>5</v>
      </c>
      <c r="B8" s="131">
        <f t="shared" si="5"/>
        <v>4.0999999999999996</v>
      </c>
      <c r="C8" s="282">
        <v>6.4</v>
      </c>
      <c r="D8" s="685"/>
      <c r="E8" s="99">
        <f t="shared" si="7"/>
        <v>5</v>
      </c>
      <c r="F8" s="23">
        <v>4.0999999999999996</v>
      </c>
      <c r="G8" s="23">
        <v>7.1</v>
      </c>
      <c r="H8" s="553">
        <v>5.8</v>
      </c>
      <c r="I8" s="23">
        <f t="shared" si="0"/>
        <v>3</v>
      </c>
      <c r="J8" s="6">
        <f t="shared" ref="J8:J34" si="14">IF(C8=G8,0,1)</f>
        <v>1</v>
      </c>
      <c r="K8" s="24">
        <v>65</v>
      </c>
      <c r="L8" s="24">
        <v>95</v>
      </c>
      <c r="M8" s="554">
        <v>83</v>
      </c>
      <c r="N8" s="24">
        <f t="shared" ref="N8:N34" si="15">IF(ISBLANK(K8),"",L8-K8)</f>
        <v>30</v>
      </c>
      <c r="O8" s="50">
        <f t="shared" ref="O8:O34" si="16">IF(B8=F8,0,1)</f>
        <v>0</v>
      </c>
      <c r="P8" s="24">
        <v>995</v>
      </c>
      <c r="Q8" s="24">
        <v>1008</v>
      </c>
      <c r="R8" s="24">
        <f t="shared" si="1"/>
        <v>1001.5</v>
      </c>
      <c r="S8" s="24">
        <f t="shared" ref="S8:S34" si="17">IF(ISBLANK(P8),"",Q8-P8)</f>
        <v>13</v>
      </c>
      <c r="T8" s="50">
        <v>0</v>
      </c>
      <c r="U8" s="553">
        <v>7.2</v>
      </c>
      <c r="V8" s="553">
        <v>18.5</v>
      </c>
      <c r="W8" s="553">
        <v>26.2</v>
      </c>
      <c r="X8" s="485" t="s">
        <v>111</v>
      </c>
      <c r="Y8" s="567">
        <f t="shared" si="8"/>
        <v>1</v>
      </c>
      <c r="Z8" s="539">
        <v>0.8</v>
      </c>
      <c r="AA8" s="23">
        <v>0.3</v>
      </c>
      <c r="AB8" s="23" t="s">
        <v>8</v>
      </c>
      <c r="AC8" s="510">
        <f t="shared" ref="AC8:AC34" si="18">IF(Z8=0,"",Z8/$Z$38)</f>
        <v>1.0958904109589045E-2</v>
      </c>
      <c r="AD8" s="7">
        <f t="shared" ref="AD8:AD34" si="19">IF(Z8&lt;0.3,"",Z8/AQ8)</f>
        <v>0.4</v>
      </c>
      <c r="AE8" s="485" t="s">
        <v>8</v>
      </c>
      <c r="AF8" s="72"/>
      <c r="AG8" s="553">
        <v>0.1</v>
      </c>
      <c r="AH8" s="553">
        <v>6.4</v>
      </c>
      <c r="AI8" s="553">
        <v>3.1</v>
      </c>
      <c r="AJ8" s="7">
        <f t="shared" ref="AJ8:AJ22" si="20">IF(ISBLANK(AH8),"",AH8-AG8)</f>
        <v>6.3000000000000007</v>
      </c>
      <c r="AK8" s="6"/>
      <c r="AL8" s="485" t="s">
        <v>296</v>
      </c>
      <c r="AM8" s="54">
        <v>1013.25</v>
      </c>
      <c r="AN8" s="391" t="s">
        <v>295</v>
      </c>
      <c r="AO8" s="400"/>
      <c r="AP8" s="485">
        <v>2.5</v>
      </c>
      <c r="AQ8" s="485">
        <v>2</v>
      </c>
      <c r="AR8" s="134"/>
      <c r="AS8" s="26">
        <f>IF(ISBLANK(F8),"",(AVERAGE($F$4:F8)))</f>
        <v>2.1</v>
      </c>
      <c r="AT8" s="26">
        <f>IF(ISBLANK(G8),"",(AVERAGE($G$4:G8)))</f>
        <v>5.0400000000000009</v>
      </c>
      <c r="AU8" s="25">
        <f>IF(ISBLANK(H8),"",(AVERAGE($H$4:H8)))</f>
        <v>3.78</v>
      </c>
      <c r="AV8" s="368">
        <f>IF(ISBLANK(G8),"",(AVERAGE($I$4:I8)))</f>
        <v>2.9400000000000004</v>
      </c>
      <c r="AW8" s="22">
        <f>IF(ISBLANK(M8),"",AVERAGE($M$4:M8))</f>
        <v>82.8</v>
      </c>
      <c r="AX8" s="376">
        <f>IF(ISBLANK(P8),"",(AVERAGE($R$4:R8)))</f>
        <v>1018.1</v>
      </c>
      <c r="AY8" s="368">
        <f>IF(ISBLANK(U8),"",(AVERAGE($U$4:U8)))</f>
        <v>4.4000000000000004</v>
      </c>
      <c r="AZ8" s="6"/>
      <c r="BA8" s="25">
        <f t="shared" si="9"/>
        <v>1.5799999999999996</v>
      </c>
      <c r="BB8" s="25">
        <f t="shared" si="10"/>
        <v>6.9999999999999396E-2</v>
      </c>
      <c r="BC8" s="25">
        <f t="shared" si="13"/>
        <v>0.82499999999999951</v>
      </c>
      <c r="BD8" s="367">
        <f t="shared" si="12"/>
        <v>-1.5100000000000002</v>
      </c>
      <c r="BE8" s="72"/>
      <c r="BF8" s="25">
        <f>IF(ISBLANK(F8),"",AS8-AVERAGE($F$91:F95))</f>
        <v>-0.45999999999999996</v>
      </c>
      <c r="BG8" s="25">
        <f>IF(ISBLANK(G8),"",AT8-AVERAGE($G$91:G95))</f>
        <v>-1.9899999999999984</v>
      </c>
      <c r="BH8" s="367">
        <f t="shared" si="11"/>
        <v>-1.5299999999999985</v>
      </c>
      <c r="BI8" s="115">
        <f t="shared" si="2"/>
        <v>8.8571428571428579E-2</v>
      </c>
      <c r="BJ8" s="115">
        <f t="shared" si="3"/>
        <v>0.65513347955634316</v>
      </c>
      <c r="BK8" s="420"/>
      <c r="BL8" s="572">
        <v>5</v>
      </c>
    </row>
    <row r="9" spans="1:64" ht="12.75" customHeight="1" x14ac:dyDescent="0.2">
      <c r="A9" s="278">
        <f t="shared" si="4"/>
        <v>6</v>
      </c>
      <c r="B9" s="131">
        <v>4.3</v>
      </c>
      <c r="C9" s="282">
        <v>4.7</v>
      </c>
      <c r="D9" s="685"/>
      <c r="E9" s="99">
        <f t="shared" si="7"/>
        <v>6</v>
      </c>
      <c r="F9" s="23">
        <v>1.3</v>
      </c>
      <c r="G9" s="23">
        <v>6.8</v>
      </c>
      <c r="H9" s="553">
        <v>4</v>
      </c>
      <c r="I9" s="23">
        <f t="shared" si="0"/>
        <v>5.5</v>
      </c>
      <c r="J9" s="6">
        <f t="shared" si="14"/>
        <v>1</v>
      </c>
      <c r="K9" s="24">
        <v>94</v>
      </c>
      <c r="L9" s="24">
        <v>98</v>
      </c>
      <c r="M9" s="554">
        <v>95</v>
      </c>
      <c r="N9" s="24">
        <f t="shared" si="15"/>
        <v>4</v>
      </c>
      <c r="O9" s="50">
        <f t="shared" si="16"/>
        <v>1</v>
      </c>
      <c r="P9" s="24">
        <v>993</v>
      </c>
      <c r="Q9" s="24">
        <v>1003</v>
      </c>
      <c r="R9" s="24">
        <f t="shared" si="1"/>
        <v>998</v>
      </c>
      <c r="S9" s="24">
        <f t="shared" si="17"/>
        <v>10</v>
      </c>
      <c r="T9" s="50">
        <v>0</v>
      </c>
      <c r="U9" s="553">
        <v>2.1</v>
      </c>
      <c r="V9" s="553">
        <v>7.4</v>
      </c>
      <c r="W9" s="553">
        <v>10.5</v>
      </c>
      <c r="X9" s="562" t="s">
        <v>128</v>
      </c>
      <c r="Y9" s="567">
        <f t="shared" si="8"/>
        <v>2</v>
      </c>
      <c r="Z9" s="539">
        <v>10.1</v>
      </c>
      <c r="AA9" s="23">
        <v>3.3</v>
      </c>
      <c r="AB9" s="23">
        <v>0.8</v>
      </c>
      <c r="AC9" s="510">
        <f t="shared" si="18"/>
        <v>0.13835616438356166</v>
      </c>
      <c r="AD9" s="7">
        <f t="shared" si="19"/>
        <v>1.4428571428571428</v>
      </c>
      <c r="AE9" s="485">
        <v>4</v>
      </c>
      <c r="AF9" s="72"/>
      <c r="AG9" s="553">
        <v>0.9</v>
      </c>
      <c r="AH9" s="553">
        <v>6.1</v>
      </c>
      <c r="AI9" s="553">
        <v>3.3</v>
      </c>
      <c r="AJ9" s="7">
        <f t="shared" si="20"/>
        <v>5.1999999999999993</v>
      </c>
      <c r="AK9" s="6"/>
      <c r="AL9" s="485" t="s">
        <v>239</v>
      </c>
      <c r="AM9" s="54">
        <v>1013.25</v>
      </c>
      <c r="AN9" s="23" t="s">
        <v>315</v>
      </c>
      <c r="AO9" s="400"/>
      <c r="AP9" s="485">
        <v>0</v>
      </c>
      <c r="AQ9" s="485">
        <v>7</v>
      </c>
      <c r="AR9" s="134"/>
      <c r="AS9" s="26">
        <f>IF(ISBLANK(F9),"",(AVERAGE($F$4:F9)))</f>
        <v>1.9666666666666668</v>
      </c>
      <c r="AT9" s="26">
        <f>IF(ISBLANK(G9),"",(AVERAGE($G$4:G9)))</f>
        <v>5.333333333333333</v>
      </c>
      <c r="AU9" s="25">
        <f>IF(ISBLANK(H9),"",(AVERAGE($H$4:H9)))</f>
        <v>3.8166666666666664</v>
      </c>
      <c r="AV9" s="368">
        <f>IF(ISBLANK(G9),"",(AVERAGE($I$4:I9)))</f>
        <v>3.3666666666666671</v>
      </c>
      <c r="AW9" s="22">
        <f>IF(ISBLANK(M9),"",AVERAGE($M$4:M9))</f>
        <v>84.833333333333329</v>
      </c>
      <c r="AX9" s="376">
        <f>IF(ISBLANK(P9),"",(AVERAGE($R$4:R9)))</f>
        <v>1014.75</v>
      </c>
      <c r="AY9" s="368">
        <f>IF(ISBLANK(U9),"",(AVERAGE($U$4:U9)))</f>
        <v>4.0166666666666666</v>
      </c>
      <c r="AZ9" s="6"/>
      <c r="BA9" s="25">
        <f t="shared" si="9"/>
        <v>-1.2</v>
      </c>
      <c r="BB9" s="25">
        <f t="shared" si="10"/>
        <v>-0.23000000000000043</v>
      </c>
      <c r="BC9" s="25">
        <f t="shared" si="13"/>
        <v>-0.71500000000000019</v>
      </c>
      <c r="BD9" s="367">
        <f t="shared" si="12"/>
        <v>0.96999999999999953</v>
      </c>
      <c r="BE9" s="72"/>
      <c r="BF9" s="25">
        <f>IF(ISBLANK(F9),"",AS9-AVERAGE($F$91:F96))</f>
        <v>-0.58333333333333348</v>
      </c>
      <c r="BG9" s="25">
        <f>IF(ISBLANK(G9),"",AT9-AVERAGE($G$91:G96))</f>
        <v>-1.6966666666666672</v>
      </c>
      <c r="BH9" s="367">
        <f t="shared" si="11"/>
        <v>-1.1133333333333337</v>
      </c>
      <c r="BI9" s="115">
        <f t="shared" si="2"/>
        <v>0.90211640211640209</v>
      </c>
      <c r="BJ9" s="115">
        <f t="shared" si="3"/>
        <v>0.54514466380888882</v>
      </c>
      <c r="BK9" s="402"/>
      <c r="BL9" s="572">
        <v>6</v>
      </c>
    </row>
    <row r="10" spans="1:64" ht="12.75" customHeight="1" x14ac:dyDescent="0.2">
      <c r="A10" s="278">
        <f t="shared" si="4"/>
        <v>7</v>
      </c>
      <c r="B10" s="131">
        <f t="shared" si="5"/>
        <v>0.6</v>
      </c>
      <c r="C10" s="282">
        <f t="shared" si="6"/>
        <v>10.1</v>
      </c>
      <c r="D10" s="685"/>
      <c r="E10" s="99">
        <f t="shared" si="7"/>
        <v>7</v>
      </c>
      <c r="F10" s="23">
        <v>0.6</v>
      </c>
      <c r="G10" s="23">
        <v>10.1</v>
      </c>
      <c r="H10" s="553">
        <v>5.8</v>
      </c>
      <c r="I10" s="23">
        <f t="shared" si="0"/>
        <v>9.5</v>
      </c>
      <c r="J10" s="6">
        <f t="shared" si="14"/>
        <v>0</v>
      </c>
      <c r="K10" s="24">
        <v>93</v>
      </c>
      <c r="L10" s="24">
        <v>98</v>
      </c>
      <c r="M10" s="554">
        <v>97</v>
      </c>
      <c r="N10" s="24">
        <f t="shared" si="15"/>
        <v>5</v>
      </c>
      <c r="O10" s="50">
        <f t="shared" si="16"/>
        <v>0</v>
      </c>
      <c r="P10" s="24">
        <v>997</v>
      </c>
      <c r="Q10" s="24">
        <v>1003.00001</v>
      </c>
      <c r="R10" s="24">
        <f t="shared" si="1"/>
        <v>1000.000005</v>
      </c>
      <c r="S10" s="24">
        <f t="shared" si="17"/>
        <v>6.0000099999999748</v>
      </c>
      <c r="T10" s="50">
        <v>0</v>
      </c>
      <c r="U10" s="553">
        <v>4.9000000000000004</v>
      </c>
      <c r="V10" s="553">
        <v>14</v>
      </c>
      <c r="W10" s="553">
        <v>20.8</v>
      </c>
      <c r="X10" s="562" t="s">
        <v>111</v>
      </c>
      <c r="Y10" s="567">
        <f t="shared" si="8"/>
        <v>2</v>
      </c>
      <c r="Z10" s="539">
        <v>9</v>
      </c>
      <c r="AA10" s="23">
        <v>3.3</v>
      </c>
      <c r="AB10" s="23">
        <v>1.4</v>
      </c>
      <c r="AC10" s="510">
        <f t="shared" si="18"/>
        <v>0.12328767123287673</v>
      </c>
      <c r="AD10" s="7">
        <f t="shared" si="19"/>
        <v>1.8</v>
      </c>
      <c r="AE10" s="485">
        <v>30</v>
      </c>
      <c r="AF10" s="72"/>
      <c r="AG10" s="553">
        <v>0.2</v>
      </c>
      <c r="AH10" s="553">
        <v>9.8000000000000007</v>
      </c>
      <c r="AI10" s="553">
        <v>5.4</v>
      </c>
      <c r="AJ10" s="7">
        <f t="shared" si="20"/>
        <v>9.6000000000000014</v>
      </c>
      <c r="AK10" s="6"/>
      <c r="AL10" s="485" t="s">
        <v>262</v>
      </c>
      <c r="AM10" s="54">
        <v>1013.25</v>
      </c>
      <c r="AN10" s="23" t="s">
        <v>299</v>
      </c>
      <c r="AO10" s="400"/>
      <c r="AP10" s="485">
        <v>0.2</v>
      </c>
      <c r="AQ10" s="485">
        <v>5</v>
      </c>
      <c r="AR10" s="134"/>
      <c r="AS10" s="26">
        <f>IF(ISBLANK(F10),"",(AVERAGE($F$4:F10)))</f>
        <v>1.7714285714285716</v>
      </c>
      <c r="AT10" s="26">
        <f>IF(ISBLANK(G10),"",(AVERAGE($G$4:G10)))</f>
        <v>6.0142857142857142</v>
      </c>
      <c r="AU10" s="25">
        <f>IF(ISBLANK(H10),"",(AVERAGE($H$4:H10)))</f>
        <v>4.0999999999999996</v>
      </c>
      <c r="AV10" s="368">
        <f>IF(ISBLANK(G10),"",(AVERAGE($I$4:I10)))</f>
        <v>4.2428571428571429</v>
      </c>
      <c r="AW10" s="22">
        <f>IF(ISBLANK(M10),"",AVERAGE($M$4:M10))</f>
        <v>86.571428571428569</v>
      </c>
      <c r="AX10" s="376">
        <f>IF(ISBLANK(P10),"",(AVERAGE($R$4:R10)))</f>
        <v>1012.6428578571429</v>
      </c>
      <c r="AY10" s="368">
        <f>IF(ISBLANK(U10),"",(AVERAGE($U$4:U10)))</f>
        <v>4.1428571428571432</v>
      </c>
      <c r="AZ10" s="6"/>
      <c r="BA10" s="25">
        <f t="shared" si="9"/>
        <v>-1.87</v>
      </c>
      <c r="BB10" s="25">
        <f t="shared" si="10"/>
        <v>3.0699999999999994</v>
      </c>
      <c r="BC10" s="25">
        <f t="shared" si="13"/>
        <v>0.59999999999999964</v>
      </c>
      <c r="BD10" s="367">
        <f t="shared" si="12"/>
        <v>4.9399999999999995</v>
      </c>
      <c r="BE10" s="72"/>
      <c r="BF10" s="25">
        <f>IF(ISBLANK(F10),"",AS10-AVERAGE($F$91:F97))</f>
        <v>-0.76714285714285713</v>
      </c>
      <c r="BG10" s="25">
        <f>IF(ISBLANK(G10),"",AT10-AVERAGE($G$91:G97))</f>
        <v>-1.015714285714286</v>
      </c>
      <c r="BH10" s="367">
        <f t="shared" si="11"/>
        <v>-0.24857142857142889</v>
      </c>
      <c r="BI10" s="115">
        <f t="shared" si="2"/>
        <v>1.4058956916099772</v>
      </c>
      <c r="BJ10" s="115">
        <f t="shared" si="3"/>
        <v>0.48683853152275025</v>
      </c>
      <c r="BK10" s="402"/>
      <c r="BL10" s="572">
        <v>7</v>
      </c>
    </row>
    <row r="11" spans="1:64" ht="12.75" customHeight="1" x14ac:dyDescent="0.2">
      <c r="A11" s="278">
        <f t="shared" si="4"/>
        <v>8</v>
      </c>
      <c r="B11" s="131">
        <v>9.1999999999999993</v>
      </c>
      <c r="C11" s="282">
        <f t="shared" si="6"/>
        <v>10</v>
      </c>
      <c r="D11" s="685"/>
      <c r="E11" s="99">
        <f t="shared" si="7"/>
        <v>8</v>
      </c>
      <c r="F11" s="23">
        <v>2.7</v>
      </c>
      <c r="G11" s="23">
        <v>10</v>
      </c>
      <c r="H11" s="553">
        <v>7.2</v>
      </c>
      <c r="I11" s="23">
        <f t="shared" si="0"/>
        <v>7.3</v>
      </c>
      <c r="J11" s="6">
        <f t="shared" si="14"/>
        <v>0</v>
      </c>
      <c r="K11" s="24">
        <v>68</v>
      </c>
      <c r="L11" s="24">
        <v>96</v>
      </c>
      <c r="M11" s="554">
        <v>83</v>
      </c>
      <c r="N11" s="24">
        <f t="shared" si="15"/>
        <v>28</v>
      </c>
      <c r="O11" s="50">
        <f t="shared" si="16"/>
        <v>1</v>
      </c>
      <c r="P11" s="24">
        <v>988</v>
      </c>
      <c r="Q11" s="24">
        <v>1005</v>
      </c>
      <c r="R11" s="24">
        <f t="shared" si="1"/>
        <v>996.5</v>
      </c>
      <c r="S11" s="24">
        <f t="shared" si="17"/>
        <v>17</v>
      </c>
      <c r="T11" s="50">
        <v>0</v>
      </c>
      <c r="U11" s="553">
        <v>7.5</v>
      </c>
      <c r="V11" s="553">
        <v>19.899999999999999</v>
      </c>
      <c r="W11" s="553">
        <v>33.1</v>
      </c>
      <c r="X11" s="485" t="s">
        <v>110</v>
      </c>
      <c r="Y11" s="567">
        <f t="shared" si="8"/>
        <v>2</v>
      </c>
      <c r="Z11" s="539">
        <v>3.5</v>
      </c>
      <c r="AA11" s="23">
        <v>2.2000000000000002</v>
      </c>
      <c r="AB11" s="23">
        <v>0.8</v>
      </c>
      <c r="AC11" s="510">
        <f t="shared" si="18"/>
        <v>4.7945205479452066E-2</v>
      </c>
      <c r="AD11" s="7">
        <f t="shared" si="19"/>
        <v>1.1666666666666667</v>
      </c>
      <c r="AE11" s="485">
        <v>15</v>
      </c>
      <c r="AF11" s="72"/>
      <c r="AG11" s="553">
        <v>-0.5</v>
      </c>
      <c r="AH11" s="553">
        <v>9.1</v>
      </c>
      <c r="AI11" s="553">
        <v>4.5</v>
      </c>
      <c r="AJ11" s="7">
        <f t="shared" si="20"/>
        <v>9.6</v>
      </c>
      <c r="AK11" s="6"/>
      <c r="AL11" s="485" t="s">
        <v>303</v>
      </c>
      <c r="AM11" s="54">
        <v>1013.25</v>
      </c>
      <c r="AN11" s="23" t="s">
        <v>301</v>
      </c>
      <c r="AO11" s="400"/>
      <c r="AP11" s="485">
        <v>1.5</v>
      </c>
      <c r="AQ11" s="485">
        <v>3</v>
      </c>
      <c r="AR11" s="134"/>
      <c r="AS11" s="26">
        <f>IF(ISBLANK(F11),"",(AVERAGE($F$4:F11)))</f>
        <v>1.8875000000000002</v>
      </c>
      <c r="AT11" s="26">
        <f>IF(ISBLANK(G11),"",(AVERAGE($G$4:G11)))</f>
        <v>6.5125000000000002</v>
      </c>
      <c r="AU11" s="25">
        <f>IF(ISBLANK(H11),"",(AVERAGE($H$4:H11)))</f>
        <v>4.4874999999999998</v>
      </c>
      <c r="AV11" s="368">
        <f>IF(ISBLANK(G11),"",(AVERAGE($I$4:I11)))</f>
        <v>4.625</v>
      </c>
      <c r="AW11" s="22">
        <f>IF(ISBLANK(M11),"",AVERAGE($M$4:M11))</f>
        <v>86.125</v>
      </c>
      <c r="AX11" s="376">
        <f>IF(ISBLANK(P11),"",(AVERAGE($R$4:R11)))</f>
        <v>1010.625000625</v>
      </c>
      <c r="AY11" s="368">
        <f>IF(ISBLANK(U11),"",(AVERAGE($U$4:U11)))</f>
        <v>4.5625</v>
      </c>
      <c r="AZ11" s="6"/>
      <c r="BA11" s="25">
        <f t="shared" si="9"/>
        <v>0.25</v>
      </c>
      <c r="BB11" s="25">
        <f t="shared" si="10"/>
        <v>2.9699999999999998</v>
      </c>
      <c r="BC11" s="25">
        <f t="shared" si="13"/>
        <v>1.6099999999999999</v>
      </c>
      <c r="BD11" s="367">
        <f t="shared" si="12"/>
        <v>2.7199999999999998</v>
      </c>
      <c r="BE11" s="72"/>
      <c r="BF11" s="25">
        <f>IF(ISBLANK(F11),"",AS11-AVERAGE($F$91:F98))</f>
        <v>-0.63999999999999968</v>
      </c>
      <c r="BG11" s="25">
        <f>IF(ISBLANK(G11),"",AT11-AVERAGE($G$91:G98))</f>
        <v>-0.51750000000000007</v>
      </c>
      <c r="BH11" s="367">
        <f t="shared" ref="BH11:BH20" si="21">IF(ISBLANK(G11),"",BG11-BF11)</f>
        <v>0.12249999999999961</v>
      </c>
      <c r="BI11" s="115">
        <f t="shared" si="2"/>
        <v>1.4454365079365079</v>
      </c>
      <c r="BJ11" s="115">
        <f t="shared" si="3"/>
        <v>0.55821648786295119</v>
      </c>
      <c r="BK11" s="420"/>
      <c r="BL11" s="572">
        <v>8</v>
      </c>
    </row>
    <row r="12" spans="1:64" ht="12.75" customHeight="1" x14ac:dyDescent="0.2">
      <c r="A12" s="278">
        <f t="shared" si="4"/>
        <v>9</v>
      </c>
      <c r="B12" s="131">
        <f t="shared" si="5"/>
        <v>1.5</v>
      </c>
      <c r="C12" s="282">
        <f t="shared" si="6"/>
        <v>5.8</v>
      </c>
      <c r="D12" s="685"/>
      <c r="E12" s="99">
        <f t="shared" si="7"/>
        <v>9</v>
      </c>
      <c r="F12" s="23">
        <v>1.5</v>
      </c>
      <c r="G12" s="23">
        <v>5.8</v>
      </c>
      <c r="H12" s="553">
        <v>3.2</v>
      </c>
      <c r="I12" s="23">
        <f t="shared" si="0"/>
        <v>4.3</v>
      </c>
      <c r="J12" s="6">
        <f t="shared" si="14"/>
        <v>0</v>
      </c>
      <c r="K12" s="24">
        <v>66</v>
      </c>
      <c r="L12" s="24">
        <v>90</v>
      </c>
      <c r="M12" s="554">
        <v>80</v>
      </c>
      <c r="N12" s="24">
        <f t="shared" si="15"/>
        <v>24</v>
      </c>
      <c r="O12" s="50">
        <f t="shared" si="16"/>
        <v>0</v>
      </c>
      <c r="P12" s="24">
        <v>1005</v>
      </c>
      <c r="Q12" s="24">
        <v>1018</v>
      </c>
      <c r="R12" s="24">
        <f t="shared" si="1"/>
        <v>1011.5</v>
      </c>
      <c r="S12" s="24">
        <f t="shared" si="17"/>
        <v>13</v>
      </c>
      <c r="T12" s="50">
        <v>0</v>
      </c>
      <c r="U12" s="553">
        <v>4.2</v>
      </c>
      <c r="V12" s="553">
        <v>10.9</v>
      </c>
      <c r="W12" s="553">
        <v>15.9</v>
      </c>
      <c r="X12" s="485" t="s">
        <v>110</v>
      </c>
      <c r="Y12" s="567">
        <f t="shared" si="8"/>
        <v>0</v>
      </c>
      <c r="Z12" s="539">
        <v>0</v>
      </c>
      <c r="AA12" s="23"/>
      <c r="AB12" s="23"/>
      <c r="AC12" s="510" t="str">
        <f t="shared" si="18"/>
        <v/>
      </c>
      <c r="AD12" s="7" t="str">
        <f t="shared" si="19"/>
        <v/>
      </c>
      <c r="AE12" s="485"/>
      <c r="AF12" s="72"/>
      <c r="AG12" s="553">
        <v>-1.6</v>
      </c>
      <c r="AH12" s="553">
        <v>1.5</v>
      </c>
      <c r="AI12" s="553">
        <v>0</v>
      </c>
      <c r="AJ12" s="7">
        <f t="shared" si="20"/>
        <v>3.1</v>
      </c>
      <c r="AK12" s="6"/>
      <c r="AL12" s="485" t="s">
        <v>238</v>
      </c>
      <c r="AM12" s="54">
        <v>1013.25</v>
      </c>
      <c r="AN12" s="564" t="s">
        <v>253</v>
      </c>
      <c r="AO12" s="400"/>
      <c r="AP12" s="485">
        <v>7.3</v>
      </c>
      <c r="AQ12" s="485">
        <v>0</v>
      </c>
      <c r="AR12" s="134"/>
      <c r="AS12" s="26">
        <f>IF(ISBLANK(F12),"",(AVERAGE($F$4:F12)))</f>
        <v>1.8444444444444446</v>
      </c>
      <c r="AT12" s="26">
        <f>IF(ISBLANK(G12),"",(AVERAGE($G$4:G12)))</f>
        <v>6.4333333333333336</v>
      </c>
      <c r="AU12" s="25">
        <f>IF(ISBLANK(H12),"",(AVERAGE($H$4:H12)))</f>
        <v>4.344444444444445</v>
      </c>
      <c r="AV12" s="368">
        <f>IF(ISBLANK(G12),"",(AVERAGE($I$4:I12)))</f>
        <v>4.5888888888888886</v>
      </c>
      <c r="AW12" s="22">
        <f>IF(ISBLANK(M12),"",AVERAGE($M$4:M12))</f>
        <v>85.444444444444443</v>
      </c>
      <c r="AX12" s="376">
        <f>IF(ISBLANK(P12),"",(AVERAGE($R$4:R12)))</f>
        <v>1010.7222227777778</v>
      </c>
      <c r="AY12" s="368">
        <f>IF(ISBLANK(U12),"",(AVERAGE($U$4:U12)))</f>
        <v>4.5222222222222221</v>
      </c>
      <c r="AZ12" s="6"/>
      <c r="BA12" s="25">
        <f t="shared" si="9"/>
        <v>-0.93000000000000016</v>
      </c>
      <c r="BB12" s="25">
        <f t="shared" si="10"/>
        <v>-1.2300000000000004</v>
      </c>
      <c r="BC12" s="25">
        <f t="shared" si="13"/>
        <v>-1.0800000000000003</v>
      </c>
      <c r="BD12" s="367">
        <f t="shared" si="12"/>
        <v>-0.30000000000000027</v>
      </c>
      <c r="BE12" s="72"/>
      <c r="BF12" s="25">
        <f>IF(ISBLANK(F12),"",AS12-AVERAGE($F$91:F99))</f>
        <v>-0.67222222222222205</v>
      </c>
      <c r="BG12" s="25">
        <f>IF(ISBLANK(G12),"",AT12-AVERAGE($G$91:G99))</f>
        <v>-0.59666666666666668</v>
      </c>
      <c r="BH12" s="367">
        <f t="shared" si="21"/>
        <v>7.5555555555555376E-2</v>
      </c>
      <c r="BI12" s="115">
        <f t="shared" si="2"/>
        <v>1.2848324514991183</v>
      </c>
      <c r="BJ12" s="115">
        <f t="shared" si="3"/>
        <v>1.0693825498295344</v>
      </c>
      <c r="BK12" s="402"/>
      <c r="BL12" s="572">
        <v>9</v>
      </c>
    </row>
    <row r="13" spans="1:64" ht="12.75" customHeight="1" x14ac:dyDescent="0.2">
      <c r="A13" s="278">
        <f t="shared" si="4"/>
        <v>10</v>
      </c>
      <c r="B13" s="131">
        <f t="shared" si="5"/>
        <v>-0.7</v>
      </c>
      <c r="C13" s="282">
        <f t="shared" si="6"/>
        <v>8.1999999999999993</v>
      </c>
      <c r="D13" s="685"/>
      <c r="E13" s="99">
        <f t="shared" si="7"/>
        <v>10</v>
      </c>
      <c r="F13" s="23">
        <v>-0.7</v>
      </c>
      <c r="G13" s="23">
        <v>8.1999999999999993</v>
      </c>
      <c r="H13" s="553">
        <v>4.9000000000000004</v>
      </c>
      <c r="I13" s="23">
        <f t="shared" si="0"/>
        <v>8.8999999999999986</v>
      </c>
      <c r="J13" s="6">
        <f t="shared" si="14"/>
        <v>0</v>
      </c>
      <c r="K13" s="24">
        <v>73</v>
      </c>
      <c r="L13" s="24">
        <v>96</v>
      </c>
      <c r="M13" s="554">
        <v>86</v>
      </c>
      <c r="N13" s="24">
        <f t="shared" si="15"/>
        <v>23</v>
      </c>
      <c r="O13" s="50">
        <f t="shared" si="16"/>
        <v>0</v>
      </c>
      <c r="P13" s="24">
        <v>1002</v>
      </c>
      <c r="Q13" s="24">
        <v>1018</v>
      </c>
      <c r="R13" s="24">
        <f t="shared" si="1"/>
        <v>1010</v>
      </c>
      <c r="S13" s="24">
        <f t="shared" si="17"/>
        <v>16</v>
      </c>
      <c r="T13" s="50">
        <v>0</v>
      </c>
      <c r="U13" s="553">
        <v>7</v>
      </c>
      <c r="V13" s="553">
        <v>19.7</v>
      </c>
      <c r="W13" s="553">
        <v>30</v>
      </c>
      <c r="X13" s="485" t="s">
        <v>111</v>
      </c>
      <c r="Y13" s="567">
        <f t="shared" si="8"/>
        <v>1</v>
      </c>
      <c r="Z13" s="539">
        <v>0.5</v>
      </c>
      <c r="AA13" s="23">
        <v>0.5</v>
      </c>
      <c r="AB13" s="23" t="s">
        <v>8</v>
      </c>
      <c r="AC13" s="510">
        <f t="shared" si="18"/>
        <v>6.849315068493152E-3</v>
      </c>
      <c r="AD13" s="7">
        <f t="shared" si="19"/>
        <v>0.25</v>
      </c>
      <c r="AE13" s="485">
        <v>0.8</v>
      </c>
      <c r="AF13" s="72"/>
      <c r="AG13" s="553">
        <v>-2.7</v>
      </c>
      <c r="AH13" s="553">
        <v>5.9</v>
      </c>
      <c r="AI13" s="553">
        <v>2.6</v>
      </c>
      <c r="AJ13" s="7">
        <f t="shared" si="20"/>
        <v>8.6000000000000014</v>
      </c>
      <c r="AK13" s="6"/>
      <c r="AL13" s="485" t="s">
        <v>307</v>
      </c>
      <c r="AM13" s="54">
        <v>1013.25</v>
      </c>
      <c r="AN13" s="564" t="s">
        <v>306</v>
      </c>
      <c r="AO13" s="400"/>
      <c r="AP13" s="485">
        <v>0.3</v>
      </c>
      <c r="AQ13" s="485">
        <v>2</v>
      </c>
      <c r="AR13" s="134"/>
      <c r="AS13" s="26">
        <f>IF(ISBLANK(F13),"",(AVERAGE($F$4:F13)))</f>
        <v>1.5900000000000003</v>
      </c>
      <c r="AT13" s="26">
        <f>IF(ISBLANK(G13),"",(AVERAGE($G$4:G13)))</f>
        <v>6.6099999999999994</v>
      </c>
      <c r="AU13" s="25">
        <f>IF(ISBLANK(H13),"",(AVERAGE($H$4:H13)))</f>
        <v>4.4000000000000004</v>
      </c>
      <c r="AV13" s="368">
        <f>IF(ISBLANK(G13),"",(AVERAGE($I$4:I13)))</f>
        <v>5.0199999999999996</v>
      </c>
      <c r="AW13" s="22">
        <f>IF(ISBLANK(M13),"",AVERAGE($M$4:M13))</f>
        <v>85.5</v>
      </c>
      <c r="AX13" s="376">
        <f>IF(ISBLANK(P13),"",(AVERAGE($R$4:R13)))</f>
        <v>1010.6500005</v>
      </c>
      <c r="AY13" s="368">
        <f>IF(ISBLANK(U13),"",(AVERAGE($U$4:U13)))</f>
        <v>4.7700000000000005</v>
      </c>
      <c r="AZ13" s="6"/>
      <c r="BA13" s="25">
        <f t="shared" si="9"/>
        <v>-3.1100000000000003</v>
      </c>
      <c r="BB13" s="25">
        <f t="shared" si="10"/>
        <v>1.169999999999999</v>
      </c>
      <c r="BC13" s="25">
        <f t="shared" si="13"/>
        <v>-0.97000000000000064</v>
      </c>
      <c r="BD13" s="367">
        <f t="shared" si="12"/>
        <v>4.2799999999999994</v>
      </c>
      <c r="BE13" s="72"/>
      <c r="BF13" s="25">
        <f>IF(ISBLANK(F13),"",AS13-AVERAGE($F$91:F100))</f>
        <v>-0.91599999999999948</v>
      </c>
      <c r="BG13" s="25">
        <f>IF(ISBLANK(G13),"",AT13-AVERAGE($G$91:G100))</f>
        <v>-0.41999999999999993</v>
      </c>
      <c r="BH13" s="367">
        <f t="shared" si="21"/>
        <v>0.49599999999999955</v>
      </c>
      <c r="BI13" s="115">
        <f t="shared" si="2"/>
        <v>1.180952380952381</v>
      </c>
      <c r="BJ13" s="115">
        <f t="shared" si="3"/>
        <v>0.98199845649083228</v>
      </c>
      <c r="BK13" s="402"/>
      <c r="BL13" s="572">
        <v>10</v>
      </c>
    </row>
    <row r="14" spans="1:64" ht="12.75" customHeight="1" x14ac:dyDescent="0.2">
      <c r="A14" s="278">
        <f t="shared" si="4"/>
        <v>11</v>
      </c>
      <c r="B14" s="131">
        <v>4.7</v>
      </c>
      <c r="C14" s="282">
        <f t="shared" si="6"/>
        <v>7.3</v>
      </c>
      <c r="D14" s="685"/>
      <c r="E14" s="99">
        <f t="shared" si="7"/>
        <v>11</v>
      </c>
      <c r="F14" s="23">
        <v>4.0999999999999996</v>
      </c>
      <c r="G14" s="23">
        <v>7.3</v>
      </c>
      <c r="H14" s="553">
        <v>5.5</v>
      </c>
      <c r="I14" s="23">
        <f t="shared" si="0"/>
        <v>3.2</v>
      </c>
      <c r="J14" s="6">
        <f t="shared" si="14"/>
        <v>0</v>
      </c>
      <c r="K14" s="24">
        <v>73</v>
      </c>
      <c r="L14" s="24">
        <v>97</v>
      </c>
      <c r="M14" s="554">
        <v>84</v>
      </c>
      <c r="N14" s="24">
        <f t="shared" si="15"/>
        <v>24</v>
      </c>
      <c r="O14" s="50">
        <f t="shared" si="16"/>
        <v>1</v>
      </c>
      <c r="P14" s="24">
        <v>997</v>
      </c>
      <c r="Q14" s="24">
        <v>1017</v>
      </c>
      <c r="R14" s="24">
        <f t="shared" si="1"/>
        <v>1007</v>
      </c>
      <c r="S14" s="24">
        <f t="shared" si="17"/>
        <v>20</v>
      </c>
      <c r="T14" s="50">
        <v>0</v>
      </c>
      <c r="U14" s="553">
        <v>4.8</v>
      </c>
      <c r="V14" s="553">
        <v>16.8</v>
      </c>
      <c r="W14" s="553">
        <v>25.5</v>
      </c>
      <c r="X14" s="562" t="s">
        <v>114</v>
      </c>
      <c r="Y14" s="567">
        <f t="shared" si="8"/>
        <v>2</v>
      </c>
      <c r="Z14" s="539">
        <v>6.8</v>
      </c>
      <c r="AA14" s="23">
        <v>2.5</v>
      </c>
      <c r="AB14" s="23">
        <v>0.5</v>
      </c>
      <c r="AC14" s="510">
        <f t="shared" si="18"/>
        <v>9.3150684931506869E-2</v>
      </c>
      <c r="AD14" s="7">
        <f t="shared" si="19"/>
        <v>1.5111111111111111</v>
      </c>
      <c r="AE14" s="485">
        <v>5</v>
      </c>
      <c r="AF14" s="72"/>
      <c r="AG14" s="553">
        <v>0.5</v>
      </c>
      <c r="AH14" s="553">
        <v>6.9</v>
      </c>
      <c r="AI14" s="553">
        <v>3</v>
      </c>
      <c r="AJ14" s="7">
        <f t="shared" si="20"/>
        <v>6.4</v>
      </c>
      <c r="AK14" s="6"/>
      <c r="AL14" s="485" t="s">
        <v>310</v>
      </c>
      <c r="AM14" s="54">
        <v>1013.25</v>
      </c>
      <c r="AN14" s="555" t="s">
        <v>308</v>
      </c>
      <c r="AO14" s="400"/>
      <c r="AP14" s="485">
        <v>0.2</v>
      </c>
      <c r="AQ14" s="485">
        <v>4.5</v>
      </c>
      <c r="AR14" s="134"/>
      <c r="AS14" s="26">
        <f>IF(ISBLANK(F14),"",(AVERAGE($F$4:F14)))</f>
        <v>1.8181818181818181</v>
      </c>
      <c r="AT14" s="26">
        <f>IF(ISBLANK(G14),"",(AVERAGE($G$4:G14)))</f>
        <v>6.672727272727272</v>
      </c>
      <c r="AU14" s="25">
        <f>IF(ISBLANK(H14),"",(AVERAGE($H$4:H14)))</f>
        <v>4.5</v>
      </c>
      <c r="AV14" s="368">
        <f>IF(ISBLANK(G14),"",(AVERAGE($I$4:I14)))</f>
        <v>4.8545454545454545</v>
      </c>
      <c r="AW14" s="22">
        <f>IF(ISBLANK(M14),"",AVERAGE($M$4:M14))</f>
        <v>85.36363636363636</v>
      </c>
      <c r="AX14" s="376">
        <f>IF(ISBLANK(P14),"",(AVERAGE($R$4:R14)))</f>
        <v>1010.3181822727273</v>
      </c>
      <c r="AY14" s="368">
        <f>IF(ISBLANK(U14),"",(AVERAGE($U$4:U14)))</f>
        <v>4.7727272727272725</v>
      </c>
      <c r="AZ14" s="6"/>
      <c r="BA14" s="25">
        <f t="shared" si="9"/>
        <v>1.6999999999999997</v>
      </c>
      <c r="BB14" s="25">
        <f t="shared" si="10"/>
        <v>0.26999999999999957</v>
      </c>
      <c r="BC14" s="25">
        <f t="shared" si="13"/>
        <v>0.98499999999999965</v>
      </c>
      <c r="BD14" s="367">
        <f t="shared" si="12"/>
        <v>-1.4300000000000002</v>
      </c>
      <c r="BE14" s="72"/>
      <c r="BF14" s="25">
        <f>IF(ISBLANK(F14),"",AS14-AVERAGE($F$91:F101))</f>
        <v>-0.678181818181818</v>
      </c>
      <c r="BG14" s="25">
        <f>IF(ISBLANK(G14),"",AT14-AVERAGE($G$91:G101))</f>
        <v>-0.3572727272727283</v>
      </c>
      <c r="BH14" s="367">
        <f t="shared" si="21"/>
        <v>0.3209090909090897</v>
      </c>
      <c r="BI14" s="115">
        <f t="shared" si="2"/>
        <v>1.3777777777777778</v>
      </c>
      <c r="BJ14" s="115">
        <f t="shared" si="3"/>
        <v>0.90397607652950307</v>
      </c>
      <c r="BK14" s="402"/>
      <c r="BL14" s="572">
        <v>11</v>
      </c>
    </row>
    <row r="15" spans="1:64" ht="12.75" customHeight="1" x14ac:dyDescent="0.2">
      <c r="A15" s="278">
        <f t="shared" si="4"/>
        <v>12</v>
      </c>
      <c r="B15" s="131">
        <f t="shared" si="5"/>
        <v>4.0999999999999996</v>
      </c>
      <c r="C15" s="282">
        <f t="shared" si="6"/>
        <v>12.1</v>
      </c>
      <c r="D15" s="685"/>
      <c r="E15" s="99">
        <f t="shared" si="7"/>
        <v>12</v>
      </c>
      <c r="F15" s="23">
        <v>4.0999999999999996</v>
      </c>
      <c r="G15" s="23">
        <v>12.1</v>
      </c>
      <c r="H15" s="553">
        <v>9.1</v>
      </c>
      <c r="I15" s="23">
        <f t="shared" si="0"/>
        <v>8</v>
      </c>
      <c r="J15" s="6">
        <f t="shared" si="14"/>
        <v>0</v>
      </c>
      <c r="K15" s="24">
        <v>79</v>
      </c>
      <c r="L15" s="24">
        <v>98</v>
      </c>
      <c r="M15" s="554">
        <v>93</v>
      </c>
      <c r="N15" s="24">
        <f t="shared" si="15"/>
        <v>19</v>
      </c>
      <c r="O15" s="50">
        <f t="shared" si="16"/>
        <v>0</v>
      </c>
      <c r="P15" s="24">
        <v>1009</v>
      </c>
      <c r="Q15" s="24">
        <v>1017</v>
      </c>
      <c r="R15" s="24">
        <f t="shared" si="1"/>
        <v>1013</v>
      </c>
      <c r="S15" s="24">
        <f t="shared" si="17"/>
        <v>8</v>
      </c>
      <c r="T15" s="50">
        <v>0</v>
      </c>
      <c r="U15" s="553">
        <v>5.5</v>
      </c>
      <c r="V15" s="553">
        <v>13.2</v>
      </c>
      <c r="W15" s="553">
        <v>16.8</v>
      </c>
      <c r="X15" s="485" t="s">
        <v>110</v>
      </c>
      <c r="Y15" s="567">
        <f t="shared" si="8"/>
        <v>2</v>
      </c>
      <c r="Z15" s="539">
        <v>6.3</v>
      </c>
      <c r="AA15" s="23">
        <v>1.9</v>
      </c>
      <c r="AB15" s="23">
        <v>0.3</v>
      </c>
      <c r="AC15" s="510">
        <f t="shared" si="18"/>
        <v>8.6301369863013719E-2</v>
      </c>
      <c r="AD15" s="7">
        <f t="shared" si="19"/>
        <v>0.63</v>
      </c>
      <c r="AE15" s="485">
        <v>1.8</v>
      </c>
      <c r="AF15" s="72"/>
      <c r="AG15" s="553">
        <v>1.2</v>
      </c>
      <c r="AH15" s="553">
        <v>11.4</v>
      </c>
      <c r="AI15" s="553">
        <v>8.1</v>
      </c>
      <c r="AJ15" s="7">
        <f t="shared" si="20"/>
        <v>10.200000000000001</v>
      </c>
      <c r="AK15" s="6"/>
      <c r="AL15" s="485" t="s">
        <v>239</v>
      </c>
      <c r="AM15" s="54">
        <v>1013.25</v>
      </c>
      <c r="AN15" s="555" t="s">
        <v>312</v>
      </c>
      <c r="AO15" s="400"/>
      <c r="AP15" s="485">
        <v>0</v>
      </c>
      <c r="AQ15" s="485">
        <v>10</v>
      </c>
      <c r="AR15" s="134"/>
      <c r="AS15" s="26">
        <f>IF(ISBLANK(F15),"",(AVERAGE($F$4:F15)))</f>
        <v>2.0083333333333333</v>
      </c>
      <c r="AT15" s="26">
        <f>IF(ISBLANK(G15),"",(AVERAGE($G$4:G15)))</f>
        <v>7.1249999999999991</v>
      </c>
      <c r="AU15" s="25">
        <f>IF(ISBLANK(H15),"",(AVERAGE($H$4:H15)))</f>
        <v>4.8833333333333337</v>
      </c>
      <c r="AV15" s="368">
        <f>IF(ISBLANK(G15),"",(AVERAGE($I$4:I15)))</f>
        <v>5.1166666666666663</v>
      </c>
      <c r="AW15" s="22">
        <f>IF(ISBLANK(M15),"",AVERAGE($M$4:M15))</f>
        <v>86</v>
      </c>
      <c r="AX15" s="376">
        <f>IF(ISBLANK(P15),"",(AVERAGE($R$4:R15)))</f>
        <v>1010.5416670833333</v>
      </c>
      <c r="AY15" s="368">
        <f>IF(ISBLANK(U15),"",(AVERAGE($U$4:U15)))</f>
        <v>4.833333333333333</v>
      </c>
      <c r="AZ15" s="6"/>
      <c r="BA15" s="25">
        <f t="shared" si="9"/>
        <v>1.6999999999999997</v>
      </c>
      <c r="BB15" s="25">
        <f t="shared" si="10"/>
        <v>5.0699999999999994</v>
      </c>
      <c r="BC15" s="25">
        <f t="shared" si="13"/>
        <v>3.3849999999999998</v>
      </c>
      <c r="BD15" s="367">
        <f t="shared" si="12"/>
        <v>3.3699999999999997</v>
      </c>
      <c r="BE15" s="72"/>
      <c r="BF15" s="25">
        <f>IF(ISBLANK(F15),"",AS15-AVERAGE($F$91:F102))</f>
        <v>-0.47999999999999954</v>
      </c>
      <c r="BG15" s="25">
        <f>IF(ISBLANK(G15),"",AT15-AVERAGE($G$91:G102))</f>
        <v>9.4999999999998863E-2</v>
      </c>
      <c r="BH15" s="367">
        <f t="shared" si="21"/>
        <v>0.5749999999999984</v>
      </c>
      <c r="BI15" s="115">
        <f t="shared" si="2"/>
        <v>1.5212962962962964</v>
      </c>
      <c r="BJ15" s="115">
        <f t="shared" si="3"/>
        <v>0.82713912557178737</v>
      </c>
      <c r="BK15" s="402"/>
      <c r="BL15" s="572">
        <v>12</v>
      </c>
    </row>
    <row r="16" spans="1:64" ht="12.75" customHeight="1" x14ac:dyDescent="0.2">
      <c r="A16" s="278">
        <f t="shared" si="4"/>
        <v>13</v>
      </c>
      <c r="B16" s="131">
        <f t="shared" si="5"/>
        <v>11.4</v>
      </c>
      <c r="C16" s="282">
        <f t="shared" si="6"/>
        <v>13.3</v>
      </c>
      <c r="D16" s="685"/>
      <c r="E16" s="99">
        <f t="shared" si="7"/>
        <v>13</v>
      </c>
      <c r="F16" s="23">
        <v>11.4</v>
      </c>
      <c r="G16" s="23">
        <v>13.3</v>
      </c>
      <c r="H16" s="553">
        <v>12.1</v>
      </c>
      <c r="I16" s="23">
        <f t="shared" si="0"/>
        <v>1.9000000000000004</v>
      </c>
      <c r="J16" s="6">
        <f t="shared" si="14"/>
        <v>0</v>
      </c>
      <c r="K16" s="24">
        <v>90</v>
      </c>
      <c r="L16" s="24">
        <v>98</v>
      </c>
      <c r="M16" s="554">
        <v>95</v>
      </c>
      <c r="N16" s="24">
        <f t="shared" si="15"/>
        <v>8</v>
      </c>
      <c r="O16" s="50">
        <f t="shared" si="16"/>
        <v>0</v>
      </c>
      <c r="P16" s="24">
        <v>1009</v>
      </c>
      <c r="Q16" s="24">
        <v>1011</v>
      </c>
      <c r="R16" s="24">
        <f t="shared" si="1"/>
        <v>1010</v>
      </c>
      <c r="S16" s="24">
        <f t="shared" si="17"/>
        <v>2</v>
      </c>
      <c r="T16" s="50">
        <v>0</v>
      </c>
      <c r="U16" s="553">
        <v>7.1</v>
      </c>
      <c r="V16" s="553">
        <v>16.600000000000001</v>
      </c>
      <c r="W16" s="553">
        <v>25.9</v>
      </c>
      <c r="X16" s="485" t="s">
        <v>110</v>
      </c>
      <c r="Y16" s="567">
        <f t="shared" si="8"/>
        <v>2</v>
      </c>
      <c r="Z16" s="539">
        <v>3</v>
      </c>
      <c r="AA16" s="23">
        <v>1.9</v>
      </c>
      <c r="AB16" s="23">
        <v>0.5</v>
      </c>
      <c r="AC16" s="510">
        <f t="shared" si="18"/>
        <v>4.1095890410958909E-2</v>
      </c>
      <c r="AD16" s="7">
        <f t="shared" si="19"/>
        <v>0.75</v>
      </c>
      <c r="AE16" s="485">
        <v>4</v>
      </c>
      <c r="AF16" s="72"/>
      <c r="AG16" s="553">
        <v>10.5</v>
      </c>
      <c r="AH16" s="553">
        <v>12</v>
      </c>
      <c r="AI16" s="553">
        <v>11.3</v>
      </c>
      <c r="AJ16" s="7">
        <f t="shared" si="20"/>
        <v>1.5</v>
      </c>
      <c r="AK16" s="6"/>
      <c r="AL16" s="485" t="s">
        <v>239</v>
      </c>
      <c r="AM16" s="54">
        <v>1013.25</v>
      </c>
      <c r="AN16" s="555" t="s">
        <v>313</v>
      </c>
      <c r="AO16" s="400"/>
      <c r="AP16" s="565">
        <v>0</v>
      </c>
      <c r="AQ16" s="485">
        <v>4</v>
      </c>
      <c r="AR16" s="134"/>
      <c r="AS16" s="26">
        <f>IF(ISBLANK(F16),"",(AVERAGE($F$4:F16)))</f>
        <v>2.7307692307692308</v>
      </c>
      <c r="AT16" s="26">
        <f>IF(ISBLANK(G16),"",(AVERAGE($G$4:G16)))</f>
        <v>7.5999999999999988</v>
      </c>
      <c r="AU16" s="25">
        <f>IF(ISBLANK(H16),"",(AVERAGE($H$4:H16)))</f>
        <v>5.4384615384615387</v>
      </c>
      <c r="AV16" s="368">
        <f>IF(ISBLANK(G16),"",(AVERAGE($I$4:I16)))</f>
        <v>4.8692307692307688</v>
      </c>
      <c r="AW16" s="22">
        <f>IF(ISBLANK(M16),"",AVERAGE($M$4:M16))</f>
        <v>86.692307692307693</v>
      </c>
      <c r="AX16" s="376">
        <f>IF(ISBLANK(P16),"",(AVERAGE($R$4:R16)))</f>
        <v>1010.5000003846154</v>
      </c>
      <c r="AY16" s="368">
        <f>IF(ISBLANK(U16),"",(AVERAGE($U$4:U16)))</f>
        <v>5.0076923076923077</v>
      </c>
      <c r="AZ16" s="6"/>
      <c r="BA16" s="25">
        <f t="shared" si="9"/>
        <v>9</v>
      </c>
      <c r="BB16" s="25">
        <f t="shared" si="10"/>
        <v>6.2700000000000005</v>
      </c>
      <c r="BC16" s="25">
        <f t="shared" si="13"/>
        <v>7.6349999999999998</v>
      </c>
      <c r="BD16" s="367">
        <f t="shared" si="12"/>
        <v>-2.7299999999999995</v>
      </c>
      <c r="BE16" s="72"/>
      <c r="BF16" s="25">
        <f>IF(ISBLANK(F16),"",AS16-AVERAGE($F$91:F103))</f>
        <v>0.24923076923076959</v>
      </c>
      <c r="BG16" s="25">
        <f>IF(ISBLANK(G16),"",AT16-AVERAGE($G$91:G103))</f>
        <v>0.56999999999999851</v>
      </c>
      <c r="BH16" s="367">
        <f t="shared" si="21"/>
        <v>0.32076923076922892</v>
      </c>
      <c r="BI16" s="115">
        <f t="shared" si="2"/>
        <v>1.517826617826618</v>
      </c>
      <c r="BJ16" s="115">
        <f t="shared" si="3"/>
        <v>0.76208397265671846</v>
      </c>
      <c r="BK16" s="402"/>
      <c r="BL16" s="572">
        <v>13</v>
      </c>
    </row>
    <row r="17" spans="1:64" ht="12.75" customHeight="1" x14ac:dyDescent="0.2">
      <c r="A17" s="278">
        <f t="shared" si="4"/>
        <v>14</v>
      </c>
      <c r="B17" s="131">
        <v>11.3</v>
      </c>
      <c r="C17" s="282">
        <f t="shared" si="6"/>
        <v>11.7</v>
      </c>
      <c r="D17" s="685"/>
      <c r="E17" s="99">
        <f t="shared" si="7"/>
        <v>14</v>
      </c>
      <c r="F17" s="23">
        <v>7.8</v>
      </c>
      <c r="G17" s="23">
        <v>11.7</v>
      </c>
      <c r="H17" s="553">
        <v>10.5</v>
      </c>
      <c r="I17" s="23">
        <f t="shared" ref="I17:I34" si="22">IF(ISBLANK(G17),"",G17-F17)</f>
        <v>3.8999999999999995</v>
      </c>
      <c r="J17" s="6">
        <f t="shared" si="14"/>
        <v>0</v>
      </c>
      <c r="K17" s="24">
        <v>85</v>
      </c>
      <c r="L17" s="24">
        <v>95</v>
      </c>
      <c r="M17" s="554">
        <v>92</v>
      </c>
      <c r="N17" s="24">
        <f t="shared" si="15"/>
        <v>10</v>
      </c>
      <c r="O17" s="50">
        <f t="shared" si="16"/>
        <v>1</v>
      </c>
      <c r="P17" s="24">
        <v>1008</v>
      </c>
      <c r="Q17" s="24">
        <v>1015</v>
      </c>
      <c r="R17" s="24">
        <f t="shared" si="1"/>
        <v>1011.5</v>
      </c>
      <c r="S17" s="24">
        <f t="shared" si="17"/>
        <v>7</v>
      </c>
      <c r="T17" s="50">
        <v>0</v>
      </c>
      <c r="U17" s="553">
        <v>7</v>
      </c>
      <c r="V17" s="553">
        <v>17</v>
      </c>
      <c r="W17" s="553">
        <v>23.7</v>
      </c>
      <c r="X17" s="485" t="s">
        <v>110</v>
      </c>
      <c r="Y17" s="567">
        <f t="shared" si="8"/>
        <v>2</v>
      </c>
      <c r="Z17" s="539">
        <v>5.5</v>
      </c>
      <c r="AA17" s="23">
        <v>5.5</v>
      </c>
      <c r="AB17" s="23">
        <v>3.8</v>
      </c>
      <c r="AC17" s="510">
        <f t="shared" si="18"/>
        <v>7.5342465753424667E-2</v>
      </c>
      <c r="AD17" s="7">
        <f t="shared" si="19"/>
        <v>5.5</v>
      </c>
      <c r="AE17" s="485">
        <v>40</v>
      </c>
      <c r="AF17" s="72"/>
      <c r="AG17" s="553">
        <v>6.7</v>
      </c>
      <c r="AH17" s="553">
        <v>10.9</v>
      </c>
      <c r="AI17" s="553">
        <v>9.3000000000000007</v>
      </c>
      <c r="AJ17" s="26">
        <f t="shared" si="20"/>
        <v>4.2</v>
      </c>
      <c r="AK17" s="6"/>
      <c r="AL17" s="485" t="s">
        <v>239</v>
      </c>
      <c r="AM17" s="54">
        <v>1013.25</v>
      </c>
      <c r="AN17" s="566" t="s">
        <v>314</v>
      </c>
      <c r="AO17" s="400"/>
      <c r="AP17" s="565">
        <v>0</v>
      </c>
      <c r="AQ17" s="485">
        <v>1</v>
      </c>
      <c r="AR17" s="134"/>
      <c r="AS17" s="26">
        <f>IF(ISBLANK(F17),"",(AVERAGE($F$4:F17)))</f>
        <v>3.0928571428571425</v>
      </c>
      <c r="AT17" s="26">
        <f>IF(ISBLANK(G17),"",(AVERAGE($G$4:G17)))</f>
        <v>7.8928571428571415</v>
      </c>
      <c r="AU17" s="25">
        <f>IF(ISBLANK(H17),"",(AVERAGE($H$4:H17)))</f>
        <v>5.8</v>
      </c>
      <c r="AV17" s="368">
        <f>IF(ISBLANK(G17),"",(AVERAGE($I$4:I17)))</f>
        <v>4.8</v>
      </c>
      <c r="AW17" s="22">
        <f>IF(ISBLANK(M17),"",AVERAGE($M$4:M17))</f>
        <v>87.071428571428569</v>
      </c>
      <c r="AX17" s="376">
        <f>IF(ISBLANK(P17),"",(AVERAGE($R$4:R17)))</f>
        <v>1010.5714289285714</v>
      </c>
      <c r="AY17" s="368">
        <f>IF(ISBLANK(U17),"",(AVERAGE($U$4:U17)))</f>
        <v>5.1499999999999995</v>
      </c>
      <c r="AZ17" s="6"/>
      <c r="BA17" s="25">
        <f t="shared" si="9"/>
        <v>5.4</v>
      </c>
      <c r="BB17" s="25">
        <f t="shared" si="10"/>
        <v>4.669999999999999</v>
      </c>
      <c r="BC17" s="25">
        <f t="shared" si="13"/>
        <v>5.0350000000000001</v>
      </c>
      <c r="BD17" s="367">
        <f t="shared" si="12"/>
        <v>-0.73000000000000131</v>
      </c>
      <c r="BE17" s="72"/>
      <c r="BF17" s="25">
        <f>IF(ISBLANK(F17),"",AS17-AVERAGE($F$91:F104))</f>
        <v>0.61714285714285699</v>
      </c>
      <c r="BG17" s="25">
        <f>IF(ISBLANK(G17),"",AT17-AVERAGE($G$91:G104))</f>
        <v>0.86285714285714121</v>
      </c>
      <c r="BH17" s="367">
        <f t="shared" si="21"/>
        <v>0.24571428571428422</v>
      </c>
      <c r="BI17" s="115">
        <f t="shared" si="2"/>
        <v>1.6027210884353742</v>
      </c>
      <c r="BJ17" s="115">
        <f t="shared" si="3"/>
        <v>0.70628698346993546</v>
      </c>
      <c r="BK17" s="402"/>
      <c r="BL17" s="572">
        <v>14</v>
      </c>
    </row>
    <row r="18" spans="1:64" ht="12.75" customHeight="1" x14ac:dyDescent="0.2">
      <c r="A18" s="278">
        <f t="shared" si="4"/>
        <v>15</v>
      </c>
      <c r="B18" s="131">
        <f t="shared" si="5"/>
        <v>7.8</v>
      </c>
      <c r="C18" s="282">
        <f t="shared" si="6"/>
        <v>11.2</v>
      </c>
      <c r="D18" s="685"/>
      <c r="E18" s="99">
        <f t="shared" si="7"/>
        <v>15</v>
      </c>
      <c r="F18" s="23">
        <v>7.8</v>
      </c>
      <c r="G18" s="23">
        <v>11.2</v>
      </c>
      <c r="H18" s="553">
        <v>10.3</v>
      </c>
      <c r="I18" s="23">
        <f t="shared" si="22"/>
        <v>3.3999999999999995</v>
      </c>
      <c r="J18" s="6">
        <f t="shared" si="14"/>
        <v>0</v>
      </c>
      <c r="K18" s="24">
        <v>74</v>
      </c>
      <c r="L18" s="24">
        <v>94</v>
      </c>
      <c r="M18" s="554">
        <v>82</v>
      </c>
      <c r="N18" s="24">
        <f t="shared" si="15"/>
        <v>20</v>
      </c>
      <c r="O18" s="50">
        <f t="shared" si="16"/>
        <v>0</v>
      </c>
      <c r="P18" s="24">
        <v>1014</v>
      </c>
      <c r="Q18" s="24">
        <v>1017</v>
      </c>
      <c r="R18" s="24">
        <f t="shared" si="1"/>
        <v>1015.5</v>
      </c>
      <c r="S18" s="24">
        <f t="shared" si="17"/>
        <v>3</v>
      </c>
      <c r="T18" s="50">
        <v>0</v>
      </c>
      <c r="U18" s="553">
        <v>10.7</v>
      </c>
      <c r="V18" s="553">
        <v>22.8</v>
      </c>
      <c r="W18" s="553">
        <v>33.1</v>
      </c>
      <c r="X18" s="485" t="s">
        <v>110</v>
      </c>
      <c r="Y18" s="567">
        <f t="shared" si="8"/>
        <v>0</v>
      </c>
      <c r="Z18" s="539">
        <v>0</v>
      </c>
      <c r="AA18" s="23"/>
      <c r="AB18" s="23"/>
      <c r="AC18" s="510" t="str">
        <f t="shared" si="18"/>
        <v/>
      </c>
      <c r="AD18" s="7" t="str">
        <f t="shared" si="19"/>
        <v/>
      </c>
      <c r="AE18" s="485"/>
      <c r="AF18" s="72"/>
      <c r="AG18" s="553">
        <v>5.6</v>
      </c>
      <c r="AH18" s="553">
        <v>8.1</v>
      </c>
      <c r="AI18" s="553">
        <v>7.3</v>
      </c>
      <c r="AJ18" s="26">
        <f t="shared" si="20"/>
        <v>2.5</v>
      </c>
      <c r="AK18" s="6"/>
      <c r="AL18" s="485" t="s">
        <v>239</v>
      </c>
      <c r="AM18" s="54">
        <v>1013.25</v>
      </c>
      <c r="AN18" s="555" t="s">
        <v>8</v>
      </c>
      <c r="AO18" s="400"/>
      <c r="AP18" s="565">
        <v>0</v>
      </c>
      <c r="AQ18" s="485">
        <v>0</v>
      </c>
      <c r="AR18" s="134"/>
      <c r="AS18" s="26">
        <f>IF(ISBLANK(F18),"",(AVERAGE($F$4:F18)))</f>
        <v>3.4066666666666663</v>
      </c>
      <c r="AT18" s="26">
        <f>IF(ISBLANK(G18),"",(AVERAGE($G$4:G18)))</f>
        <v>8.1133333333333333</v>
      </c>
      <c r="AU18" s="25">
        <f>IF(ISBLANK(H18),"",(AVERAGE($H$4:H18)))</f>
        <v>6.1</v>
      </c>
      <c r="AV18" s="368">
        <f>IF(ISBLANK(G18),"",(AVERAGE($I$4:I18)))</f>
        <v>4.706666666666667</v>
      </c>
      <c r="AW18" s="22">
        <f>IF(ISBLANK(M18),"",AVERAGE($M$4:M18))</f>
        <v>86.733333333333334</v>
      </c>
      <c r="AX18" s="376">
        <f>IF(ISBLANK(P18),"",(AVERAGE($R$4:R18)))</f>
        <v>1010.9000003333333</v>
      </c>
      <c r="AY18" s="368">
        <f>IF(ISBLANK(U18),"",(AVERAGE($U$4:U18)))</f>
        <v>5.52</v>
      </c>
      <c r="AZ18" s="6"/>
      <c r="BA18" s="25">
        <f t="shared" si="9"/>
        <v>5.4</v>
      </c>
      <c r="BB18" s="25">
        <f t="shared" si="10"/>
        <v>4.1999999999999993</v>
      </c>
      <c r="BC18" s="25">
        <f t="shared" si="13"/>
        <v>4.8</v>
      </c>
      <c r="BD18" s="367">
        <f t="shared" si="12"/>
        <v>-1.2000000000000011</v>
      </c>
      <c r="BE18" s="72"/>
      <c r="BF18" s="25">
        <f>IF(ISBLANK(F18),"",AS18-AVERAGE($F$91:F105))</f>
        <v>0.93599999999999994</v>
      </c>
      <c r="BG18" s="25">
        <f>IF(ISBLANK(G18),"",AT18-AVERAGE($G$91:G105))</f>
        <v>1.0853333333333328</v>
      </c>
      <c r="BH18" s="367">
        <f t="shared" si="21"/>
        <v>0.14933333333333287</v>
      </c>
      <c r="BI18" s="115">
        <f t="shared" si="2"/>
        <v>1.4958730158730158</v>
      </c>
      <c r="BJ18" s="115">
        <f t="shared" si="3"/>
        <v>0.65789750215252762</v>
      </c>
      <c r="BK18" s="402"/>
      <c r="BL18" s="572">
        <v>15</v>
      </c>
    </row>
    <row r="19" spans="1:64" ht="12.75" customHeight="1" x14ac:dyDescent="0.2">
      <c r="A19" s="394">
        <f t="shared" si="4"/>
        <v>16</v>
      </c>
      <c r="B19" s="131">
        <v>10.3</v>
      </c>
      <c r="C19" s="282">
        <f t="shared" si="6"/>
        <v>12.3</v>
      </c>
      <c r="D19" s="685"/>
      <c r="E19" s="97">
        <f t="shared" si="7"/>
        <v>16</v>
      </c>
      <c r="F19" s="23">
        <v>9.8000000000000007</v>
      </c>
      <c r="G19" s="23">
        <v>12.3</v>
      </c>
      <c r="H19" s="553">
        <v>11.1</v>
      </c>
      <c r="I19" s="23">
        <f t="shared" si="22"/>
        <v>2.5</v>
      </c>
      <c r="J19" s="6">
        <f t="shared" si="14"/>
        <v>0</v>
      </c>
      <c r="K19" s="24">
        <v>74</v>
      </c>
      <c r="L19" s="24">
        <v>95</v>
      </c>
      <c r="M19" s="554">
        <v>84</v>
      </c>
      <c r="N19" s="24">
        <f t="shared" si="15"/>
        <v>21</v>
      </c>
      <c r="O19" s="50">
        <f t="shared" si="16"/>
        <v>1</v>
      </c>
      <c r="P19" s="24">
        <v>1016</v>
      </c>
      <c r="Q19" s="24">
        <v>1018</v>
      </c>
      <c r="R19" s="24">
        <f t="shared" si="1"/>
        <v>1017</v>
      </c>
      <c r="S19" s="24">
        <f t="shared" si="17"/>
        <v>2</v>
      </c>
      <c r="T19" s="50">
        <v>0</v>
      </c>
      <c r="U19" s="553">
        <v>8.6</v>
      </c>
      <c r="V19" s="553">
        <v>19.2</v>
      </c>
      <c r="W19" s="553">
        <v>28.4</v>
      </c>
      <c r="X19" s="485" t="s">
        <v>110</v>
      </c>
      <c r="Y19" s="567">
        <f t="shared" si="8"/>
        <v>2</v>
      </c>
      <c r="Z19" s="539">
        <v>1.4</v>
      </c>
      <c r="AA19" s="23">
        <v>0.8</v>
      </c>
      <c r="AB19" s="23">
        <v>0.2</v>
      </c>
      <c r="AC19" s="510">
        <f t="shared" si="18"/>
        <v>1.9178082191780823E-2</v>
      </c>
      <c r="AD19" s="7">
        <f t="shared" si="19"/>
        <v>0.46666666666666662</v>
      </c>
      <c r="AE19" s="485">
        <v>1.1000000000000001</v>
      </c>
      <c r="AF19" s="72"/>
      <c r="AG19" s="553">
        <v>6</v>
      </c>
      <c r="AH19" s="553">
        <v>9.6999999999999993</v>
      </c>
      <c r="AI19" s="553">
        <v>8.4</v>
      </c>
      <c r="AJ19" s="26">
        <f t="shared" si="20"/>
        <v>3.6999999999999993</v>
      </c>
      <c r="AK19" s="6"/>
      <c r="AL19" s="485" t="s">
        <v>318</v>
      </c>
      <c r="AM19" s="54">
        <v>1013.25</v>
      </c>
      <c r="AN19" s="555" t="s">
        <v>317</v>
      </c>
      <c r="AO19" s="400"/>
      <c r="AP19" s="485">
        <v>0.5</v>
      </c>
      <c r="AQ19" s="485">
        <v>3</v>
      </c>
      <c r="AR19" s="134"/>
      <c r="AS19" s="26">
        <f>IF(ISBLANK(F19),"",(AVERAGE($F$4:F19)))</f>
        <v>3.8062499999999995</v>
      </c>
      <c r="AT19" s="26">
        <f>IF(ISBLANK(G19),"",(AVERAGE($G$4:G19)))</f>
        <v>8.375</v>
      </c>
      <c r="AU19" s="25">
        <f>IF(ISBLANK(H19),"",(AVERAGE($H$4:H19)))</f>
        <v>6.4124999999999996</v>
      </c>
      <c r="AV19" s="368">
        <f>IF(ISBLANK(G19),"",(AVERAGE($I$4:I19)))</f>
        <v>4.5687500000000005</v>
      </c>
      <c r="AW19" s="22">
        <f>IF(ISBLANK(M19),"",AVERAGE($M$4:M19))</f>
        <v>86.5625</v>
      </c>
      <c r="AX19" s="376">
        <f>IF(ISBLANK(P19),"",(AVERAGE($R$4:R19)))</f>
        <v>1011.2812503125</v>
      </c>
      <c r="AY19" s="368">
        <f>IF(ISBLANK(U19),"",(AVERAGE($U$4:U19)))</f>
        <v>5.7124999999999995</v>
      </c>
      <c r="AZ19" s="6"/>
      <c r="BA19" s="25">
        <f t="shared" si="9"/>
        <v>7.4</v>
      </c>
      <c r="BB19" s="25">
        <f t="shared" si="10"/>
        <v>5.3000000000000007</v>
      </c>
      <c r="BC19" s="25">
        <f t="shared" si="13"/>
        <v>6.3500000000000005</v>
      </c>
      <c r="BD19" s="367">
        <f t="shared" si="12"/>
        <v>-2.0999999999999996</v>
      </c>
      <c r="BE19" s="72"/>
      <c r="BF19" s="25">
        <f>IF(ISBLANK(F19),"",AS19-AVERAGE($F$91:F106))</f>
        <v>1.3399999999999999</v>
      </c>
      <c r="BG19" s="25">
        <f>IF(ISBLANK(G19),"",AT19-AVERAGE($G$91:G106))</f>
        <v>1.3487499999999999</v>
      </c>
      <c r="BH19" s="367">
        <f t="shared" si="21"/>
        <v>8.7500000000000355E-3</v>
      </c>
      <c r="BI19" s="115">
        <f t="shared" si="2"/>
        <v>1.4454365079365079</v>
      </c>
      <c r="BJ19" s="115">
        <f t="shared" si="3"/>
        <v>0.63735476146717895</v>
      </c>
      <c r="BK19" s="402"/>
      <c r="BL19" s="572">
        <v>16</v>
      </c>
    </row>
    <row r="20" spans="1:64" ht="12.75" customHeight="1" x14ac:dyDescent="0.2">
      <c r="A20" s="394">
        <f t="shared" si="4"/>
        <v>17</v>
      </c>
      <c r="B20" s="131">
        <v>8.6</v>
      </c>
      <c r="C20" s="282">
        <v>6.7</v>
      </c>
      <c r="D20" s="685"/>
      <c r="E20" s="97">
        <f t="shared" si="7"/>
        <v>17</v>
      </c>
      <c r="F20" s="23">
        <v>5.6</v>
      </c>
      <c r="G20" s="23">
        <v>9.8000000000000007</v>
      </c>
      <c r="H20" s="553">
        <v>7.6</v>
      </c>
      <c r="I20" s="23">
        <f t="shared" si="22"/>
        <v>4.2000000000000011</v>
      </c>
      <c r="J20" s="6">
        <f t="shared" si="14"/>
        <v>1</v>
      </c>
      <c r="K20" s="24">
        <v>85</v>
      </c>
      <c r="L20" s="24">
        <v>97</v>
      </c>
      <c r="M20" s="554">
        <v>93</v>
      </c>
      <c r="N20" s="24">
        <f t="shared" si="15"/>
        <v>12</v>
      </c>
      <c r="O20" s="50">
        <f t="shared" si="16"/>
        <v>1</v>
      </c>
      <c r="P20" s="24">
        <v>1016</v>
      </c>
      <c r="Q20" s="24">
        <v>1021</v>
      </c>
      <c r="R20" s="24">
        <f t="shared" si="1"/>
        <v>1018.5</v>
      </c>
      <c r="S20" s="24">
        <f t="shared" si="17"/>
        <v>5</v>
      </c>
      <c r="T20" s="50">
        <v>0</v>
      </c>
      <c r="U20" s="553">
        <v>3.4</v>
      </c>
      <c r="V20" s="553">
        <v>11.4</v>
      </c>
      <c r="W20" s="553">
        <v>16.100000000000001</v>
      </c>
      <c r="X20" s="562" t="s">
        <v>105</v>
      </c>
      <c r="Y20" s="567">
        <f t="shared" si="8"/>
        <v>2</v>
      </c>
      <c r="Z20" s="539">
        <v>16.100000000000001</v>
      </c>
      <c r="AA20" s="23">
        <v>3.6</v>
      </c>
      <c r="AB20" s="23">
        <v>1.1000000000000001</v>
      </c>
      <c r="AC20" s="510">
        <f t="shared" si="18"/>
        <v>0.22054794520547952</v>
      </c>
      <c r="AD20" s="7">
        <f t="shared" si="19"/>
        <v>2.0125000000000002</v>
      </c>
      <c r="AE20" s="485">
        <v>15</v>
      </c>
      <c r="AF20" s="72"/>
      <c r="AG20" s="553">
        <v>4.4000000000000004</v>
      </c>
      <c r="AH20" s="553">
        <v>8.9</v>
      </c>
      <c r="AI20" s="553">
        <v>6.5</v>
      </c>
      <c r="AJ20" s="26">
        <f t="shared" si="20"/>
        <v>4.5</v>
      </c>
      <c r="AK20" s="6"/>
      <c r="AL20" s="485" t="s">
        <v>319</v>
      </c>
      <c r="AM20" s="54">
        <v>1013.25</v>
      </c>
      <c r="AN20" s="555" t="s">
        <v>320</v>
      </c>
      <c r="AO20" s="400"/>
      <c r="AP20" s="485">
        <v>0.1</v>
      </c>
      <c r="AQ20" s="485">
        <v>8</v>
      </c>
      <c r="AR20" s="134"/>
      <c r="AS20" s="26">
        <f>IF(ISBLANK(F20),"",(AVERAGE($F$4:F20)))</f>
        <v>3.9117647058823519</v>
      </c>
      <c r="AT20" s="26">
        <f>IF(ISBLANK(G20),"",(AVERAGE($G$4:G20)))</f>
        <v>8.4588235294117649</v>
      </c>
      <c r="AU20" s="25">
        <f>IF(ISBLANK(H20),"",(AVERAGE($H$4:H20)))</f>
        <v>6.4823529411764698</v>
      </c>
      <c r="AV20" s="368">
        <f>IF(ISBLANK(G20),"",(AVERAGE($I$4:I20)))</f>
        <v>4.5470588235294125</v>
      </c>
      <c r="AW20" s="22">
        <f>IF(ISBLANK(M20),"",AVERAGE($M$4:M20))</f>
        <v>86.941176470588232</v>
      </c>
      <c r="AX20" s="376">
        <f>IF(ISBLANK(P20),"",(AVERAGE($R$4:R20)))</f>
        <v>1011.705882647059</v>
      </c>
      <c r="AY20" s="368">
        <f>IF(ISBLANK(U20),"",(AVERAGE($U$4:U20)))</f>
        <v>5.5764705882352938</v>
      </c>
      <c r="AZ20" s="6"/>
      <c r="BA20" s="25">
        <f t="shared" si="9"/>
        <v>3.1999999999999997</v>
      </c>
      <c r="BB20" s="25">
        <f t="shared" si="10"/>
        <v>2.8000000000000007</v>
      </c>
      <c r="BC20" s="25">
        <f t="shared" si="13"/>
        <v>3</v>
      </c>
      <c r="BD20" s="367">
        <f t="shared" si="12"/>
        <v>-0.39999999999999902</v>
      </c>
      <c r="BE20" s="72"/>
      <c r="BF20" s="25">
        <f>IF(ISBLANK(F20),"",AS20-AVERAGE($F$91:F107))</f>
        <v>1.4494117647058817</v>
      </c>
      <c r="BG20" s="25">
        <f>IF(ISBLANK(G20),"",AT20-AVERAGE($G$91:G107))</f>
        <v>1.4341176470588239</v>
      </c>
      <c r="BH20" s="367">
        <f t="shared" si="21"/>
        <v>-1.5294117647057792E-2</v>
      </c>
      <c r="BI20" s="115">
        <f t="shared" si="2"/>
        <v>1.8264239028944913</v>
      </c>
      <c r="BJ20" s="115">
        <f t="shared" si="3"/>
        <v>0.60271638070984646</v>
      </c>
      <c r="BK20" s="402"/>
      <c r="BL20" s="572">
        <v>17</v>
      </c>
    </row>
    <row r="21" spans="1:64" ht="12.75" customHeight="1" x14ac:dyDescent="0.2">
      <c r="A21" s="394">
        <f t="shared" si="4"/>
        <v>18</v>
      </c>
      <c r="B21" s="131">
        <v>3.5</v>
      </c>
      <c r="C21" s="282">
        <f t="shared" si="6"/>
        <v>6.4</v>
      </c>
      <c r="D21" s="685"/>
      <c r="E21" s="97">
        <f t="shared" si="7"/>
        <v>18</v>
      </c>
      <c r="F21" s="23">
        <v>2.8</v>
      </c>
      <c r="G21" s="23">
        <v>6.4</v>
      </c>
      <c r="H21" s="553">
        <v>4.5</v>
      </c>
      <c r="I21" s="23">
        <f t="shared" si="22"/>
        <v>3.6000000000000005</v>
      </c>
      <c r="J21" s="6">
        <f t="shared" si="14"/>
        <v>0</v>
      </c>
      <c r="K21" s="24">
        <v>76</v>
      </c>
      <c r="L21" s="24">
        <v>97</v>
      </c>
      <c r="M21" s="554">
        <v>90</v>
      </c>
      <c r="N21" s="24">
        <f t="shared" si="15"/>
        <v>21</v>
      </c>
      <c r="O21" s="50">
        <f t="shared" si="16"/>
        <v>1</v>
      </c>
      <c r="P21" s="24">
        <v>1020</v>
      </c>
      <c r="Q21" s="24">
        <v>1033</v>
      </c>
      <c r="R21" s="24">
        <f t="shared" si="1"/>
        <v>1026.5</v>
      </c>
      <c r="S21" s="24">
        <f t="shared" si="17"/>
        <v>13</v>
      </c>
      <c r="T21" s="50">
        <v>0</v>
      </c>
      <c r="U21" s="553">
        <v>3.7</v>
      </c>
      <c r="V21" s="553">
        <v>10.7</v>
      </c>
      <c r="W21" s="553">
        <v>15.4</v>
      </c>
      <c r="X21" s="485" t="s">
        <v>113</v>
      </c>
      <c r="Y21" s="567">
        <f t="shared" si="8"/>
        <v>2</v>
      </c>
      <c r="Z21" s="539">
        <v>7.6</v>
      </c>
      <c r="AA21" s="23">
        <v>3</v>
      </c>
      <c r="AB21" s="23">
        <v>1.1000000000000001</v>
      </c>
      <c r="AC21" s="510">
        <f t="shared" si="18"/>
        <v>0.10410958904109591</v>
      </c>
      <c r="AD21" s="7">
        <f t="shared" si="19"/>
        <v>1.3818181818181818</v>
      </c>
      <c r="AE21" s="485">
        <v>10</v>
      </c>
      <c r="AF21" s="72"/>
      <c r="AG21" s="553">
        <v>1.2</v>
      </c>
      <c r="AH21" s="553">
        <v>4.8</v>
      </c>
      <c r="AI21" s="553">
        <v>2.9</v>
      </c>
      <c r="AJ21" s="26">
        <f t="shared" si="20"/>
        <v>3.5999999999999996</v>
      </c>
      <c r="AK21" s="6"/>
      <c r="AL21" s="485" t="s">
        <v>322</v>
      </c>
      <c r="AM21" s="54">
        <v>1013.25</v>
      </c>
      <c r="AN21" s="555" t="s">
        <v>321</v>
      </c>
      <c r="AO21" s="400"/>
      <c r="AP21" s="485">
        <v>6.5</v>
      </c>
      <c r="AQ21" s="485">
        <v>5.5</v>
      </c>
      <c r="AR21" s="134"/>
      <c r="AS21" s="26">
        <f>IF(ISBLANK(F21),"",(AVERAGE($F$4:F21)))</f>
        <v>3.8499999999999992</v>
      </c>
      <c r="AT21" s="26">
        <f>IF(ISBLANK(G21),"",(AVERAGE($G$4:G21)))</f>
        <v>8.344444444444445</v>
      </c>
      <c r="AU21" s="25">
        <f>IF(ISBLANK(H21),"",(AVERAGE($H$4:H21)))</f>
        <v>6.3722222222222218</v>
      </c>
      <c r="AV21" s="368">
        <f>IF(ISBLANK(G21),"",(AVERAGE($I$4:I21)))</f>
        <v>4.4944444444444445</v>
      </c>
      <c r="AW21" s="22">
        <f>IF(ISBLANK(M21),"",AVERAGE($M$4:M21))</f>
        <v>87.111111111111114</v>
      </c>
      <c r="AX21" s="376">
        <f>IF(ISBLANK(P21),"",(AVERAGE($R$4:R21)))</f>
        <v>1012.5277780555557</v>
      </c>
      <c r="AY21" s="368">
        <f>IF(ISBLANK(U21),"",(AVERAGE($U$4:U21)))</f>
        <v>5.4722222222222223</v>
      </c>
      <c r="AZ21" s="6"/>
      <c r="BA21" s="25">
        <f t="shared" si="9"/>
        <v>0.39999999999999991</v>
      </c>
      <c r="BB21" s="25">
        <f t="shared" si="10"/>
        <v>-0.59999999999999964</v>
      </c>
      <c r="BC21" s="25">
        <f t="shared" si="13"/>
        <v>-9.9999999999999867E-2</v>
      </c>
      <c r="BD21" s="367">
        <f t="shared" si="12"/>
        <v>-0.99999999999999956</v>
      </c>
      <c r="BE21" s="72"/>
      <c r="BF21" s="25">
        <f>IF(ISBLANK(F21),"",AS21-AVERAGE($F$91:F108))</f>
        <v>1.391111111111111</v>
      </c>
      <c r="BG21" s="25">
        <f>IF(ISBLANK(G21),"",AT21-AVERAGE($G$91:G108))</f>
        <v>1.3211111111111116</v>
      </c>
      <c r="BH21" s="367">
        <f t="shared" ref="BH21:BH29" si="23">IF(ISBLANK(G21),"",BG21-BF21)</f>
        <v>-6.9999999999999396E-2</v>
      </c>
      <c r="BI21" s="115">
        <f t="shared" si="2"/>
        <v>1.9327160493827162</v>
      </c>
      <c r="BJ21" s="115">
        <f t="shared" si="3"/>
        <v>0.81918676487956765</v>
      </c>
      <c r="BK21" s="402"/>
      <c r="BL21" s="572">
        <v>18</v>
      </c>
    </row>
    <row r="22" spans="1:64" ht="12.75" customHeight="1" x14ac:dyDescent="0.2">
      <c r="A22" s="394">
        <f t="shared" si="4"/>
        <v>19</v>
      </c>
      <c r="B22" s="131">
        <f t="shared" si="5"/>
        <v>1.2</v>
      </c>
      <c r="C22" s="282">
        <f t="shared" si="6"/>
        <v>6.1</v>
      </c>
      <c r="D22" s="685"/>
      <c r="E22" s="97">
        <f t="shared" si="7"/>
        <v>19</v>
      </c>
      <c r="F22" s="23">
        <v>1.2</v>
      </c>
      <c r="G22" s="23">
        <v>6.1</v>
      </c>
      <c r="H22" s="553">
        <v>3.3</v>
      </c>
      <c r="I22" s="23">
        <f t="shared" si="22"/>
        <v>4.8999999999999995</v>
      </c>
      <c r="J22" s="6">
        <f t="shared" si="14"/>
        <v>0</v>
      </c>
      <c r="K22" s="24">
        <v>84</v>
      </c>
      <c r="L22" s="24">
        <v>97</v>
      </c>
      <c r="M22" s="554">
        <v>91</v>
      </c>
      <c r="N22" s="24">
        <f t="shared" si="15"/>
        <v>13</v>
      </c>
      <c r="O22" s="50">
        <f t="shared" si="16"/>
        <v>0</v>
      </c>
      <c r="P22" s="24">
        <v>1033</v>
      </c>
      <c r="Q22" s="24">
        <v>1035</v>
      </c>
      <c r="R22" s="24">
        <f t="shared" si="1"/>
        <v>1034</v>
      </c>
      <c r="S22" s="24">
        <f t="shared" si="17"/>
        <v>2</v>
      </c>
      <c r="T22" s="50">
        <v>0</v>
      </c>
      <c r="U22" s="553">
        <v>3.3</v>
      </c>
      <c r="V22" s="553">
        <v>7.6</v>
      </c>
      <c r="W22" s="553">
        <v>10</v>
      </c>
      <c r="X22" s="485" t="s">
        <v>128</v>
      </c>
      <c r="Y22" s="567">
        <f t="shared" si="8"/>
        <v>0</v>
      </c>
      <c r="Z22" s="539">
        <v>0</v>
      </c>
      <c r="AA22" s="23"/>
      <c r="AB22" s="23"/>
      <c r="AC22" s="510" t="str">
        <f t="shared" si="18"/>
        <v/>
      </c>
      <c r="AD22" s="7" t="str">
        <f t="shared" si="19"/>
        <v/>
      </c>
      <c r="AE22" s="485"/>
      <c r="AF22" s="72"/>
      <c r="AG22" s="553">
        <v>0.5</v>
      </c>
      <c r="AH22" s="553">
        <v>4</v>
      </c>
      <c r="AI22" s="553">
        <v>1.9</v>
      </c>
      <c r="AJ22" s="26">
        <f t="shared" si="20"/>
        <v>3.5</v>
      </c>
      <c r="AK22" s="6"/>
      <c r="AL22" s="485" t="s">
        <v>323</v>
      </c>
      <c r="AM22" s="54">
        <v>1013.25</v>
      </c>
      <c r="AN22" s="23" t="s">
        <v>8</v>
      </c>
      <c r="AO22" s="400"/>
      <c r="AP22" s="485">
        <v>6</v>
      </c>
      <c r="AQ22" s="485">
        <v>0</v>
      </c>
      <c r="AR22" s="134"/>
      <c r="AS22" s="26">
        <f>IF(ISBLANK(F22),"",(AVERAGE($F$4:F22)))</f>
        <v>3.710526315789473</v>
      </c>
      <c r="AT22" s="26">
        <f>IF(ISBLANK(G22),"",(AVERAGE($G$4:G22)))</f>
        <v>8.2263157894736842</v>
      </c>
      <c r="AU22" s="25">
        <f>IF(ISBLANK(H22),"",(AVERAGE($H$4:H22)))</f>
        <v>6.2105263157894726</v>
      </c>
      <c r="AV22" s="368">
        <f>IF(ISBLANK(G22),"",(AVERAGE($I$4:I22)))</f>
        <v>4.5157894736842108</v>
      </c>
      <c r="AW22" s="22">
        <f>IF(ISBLANK(M22),"",AVERAGE($M$4:M22))</f>
        <v>87.315789473684205</v>
      </c>
      <c r="AX22" s="376">
        <f>IF(ISBLANK(P22),"",(AVERAGE($R$4:R22)))</f>
        <v>1013.6578950000001</v>
      </c>
      <c r="AY22" s="368">
        <f>IF(ISBLANK(U22),"",(AVERAGE($U$4:U22)))</f>
        <v>5.3578947368421055</v>
      </c>
      <c r="AZ22" s="6"/>
      <c r="BA22" s="25">
        <f t="shared" si="9"/>
        <v>-1.0999999999999999</v>
      </c>
      <c r="BB22" s="25">
        <f t="shared" si="10"/>
        <v>-0.90000000000000036</v>
      </c>
      <c r="BC22" s="25">
        <f t="shared" si="13"/>
        <v>-1</v>
      </c>
      <c r="BD22" s="367">
        <f t="shared" si="12"/>
        <v>0.19999999999999951</v>
      </c>
      <c r="BE22" s="72"/>
      <c r="BF22" s="25">
        <f>IF(ISBLANK(F22),"",AS22-AVERAGE($F$91:F109))</f>
        <v>1.2599999999999998</v>
      </c>
      <c r="BG22" s="25">
        <f>IF(ISBLANK(G22),"",AT22-AVERAGE($G$91:G109))</f>
        <v>1.204210526315789</v>
      </c>
      <c r="BH22" s="367">
        <f t="shared" si="23"/>
        <v>-5.5789473684210833E-2</v>
      </c>
      <c r="BI22" s="115">
        <f t="shared" si="2"/>
        <v>1.8309941520467838</v>
      </c>
      <c r="BJ22" s="115">
        <f t="shared" si="3"/>
        <v>0.99354870922901906</v>
      </c>
      <c r="BK22" s="402"/>
      <c r="BL22" s="572">
        <v>19</v>
      </c>
    </row>
    <row r="23" spans="1:64" ht="12.75" customHeight="1" x14ac:dyDescent="0.2">
      <c r="A23" s="394">
        <f t="shared" si="4"/>
        <v>20</v>
      </c>
      <c r="B23" s="131">
        <f t="shared" si="5"/>
        <v>2.6</v>
      </c>
      <c r="C23" s="282">
        <f t="shared" si="6"/>
        <v>5</v>
      </c>
      <c r="D23" s="685"/>
      <c r="E23" s="97">
        <f t="shared" si="7"/>
        <v>20</v>
      </c>
      <c r="F23" s="23">
        <v>2.6</v>
      </c>
      <c r="G23" s="23">
        <v>5</v>
      </c>
      <c r="H23" s="553">
        <v>3.8</v>
      </c>
      <c r="I23" s="23">
        <f t="shared" si="22"/>
        <v>2.4</v>
      </c>
      <c r="J23" s="6">
        <f t="shared" si="14"/>
        <v>0</v>
      </c>
      <c r="K23" s="24">
        <v>86</v>
      </c>
      <c r="L23" s="24">
        <v>95</v>
      </c>
      <c r="M23" s="554">
        <v>90</v>
      </c>
      <c r="N23" s="24">
        <f t="shared" si="15"/>
        <v>9</v>
      </c>
      <c r="O23" s="50">
        <f t="shared" si="16"/>
        <v>0</v>
      </c>
      <c r="P23" s="24">
        <v>1035</v>
      </c>
      <c r="Q23" s="24">
        <v>1038</v>
      </c>
      <c r="R23" s="24">
        <f t="shared" si="1"/>
        <v>1036.5</v>
      </c>
      <c r="S23" s="24">
        <f t="shared" si="17"/>
        <v>3</v>
      </c>
      <c r="T23" s="50">
        <v>0</v>
      </c>
      <c r="U23" s="553">
        <v>4.3</v>
      </c>
      <c r="V23" s="553">
        <v>8.6999999999999993</v>
      </c>
      <c r="W23" s="553">
        <v>12.3</v>
      </c>
      <c r="X23" s="555" t="s">
        <v>113</v>
      </c>
      <c r="Y23" s="567">
        <f t="shared" si="8"/>
        <v>1</v>
      </c>
      <c r="Z23" s="539">
        <v>0.1</v>
      </c>
      <c r="AA23" s="23"/>
      <c r="AB23" s="23"/>
      <c r="AC23" s="510">
        <f t="shared" si="18"/>
        <v>1.3698630136986306E-3</v>
      </c>
      <c r="AD23" s="7" t="str">
        <f t="shared" si="19"/>
        <v/>
      </c>
      <c r="AE23" s="485"/>
      <c r="AF23" s="72"/>
      <c r="AG23" s="553">
        <v>0.8</v>
      </c>
      <c r="AH23" s="553">
        <v>3.3</v>
      </c>
      <c r="AI23" s="553">
        <v>2.2999999999999998</v>
      </c>
      <c r="AJ23" s="26">
        <f t="shared" ref="AJ23:AJ28" si="24">IF(ISBLANK(AG23),"",AH23-AG23)</f>
        <v>2.5</v>
      </c>
      <c r="AK23" s="6"/>
      <c r="AL23" s="485" t="s">
        <v>335</v>
      </c>
      <c r="AM23" s="54">
        <v>1013.25</v>
      </c>
      <c r="AN23" s="302" t="s">
        <v>338</v>
      </c>
      <c r="AO23" s="400"/>
      <c r="AP23" s="485">
        <v>0.2</v>
      </c>
      <c r="AQ23" s="485">
        <v>0.5</v>
      </c>
      <c r="AR23" s="134"/>
      <c r="AS23" s="26">
        <f>IF(ISBLANK(F23),"",(AVERAGE($F$4:F23)))</f>
        <v>3.6549999999999989</v>
      </c>
      <c r="AT23" s="26">
        <f>IF(ISBLANK(G23),"",(AVERAGE($G$4:G23)))</f>
        <v>8.0650000000000013</v>
      </c>
      <c r="AU23" s="25">
        <f>IF(ISBLANK(H23),"",(AVERAGE($H$4:H23)))</f>
        <v>6.089999999999999</v>
      </c>
      <c r="AV23" s="368">
        <f>IF(ISBLANK(G23),"",(AVERAGE($I$4:I23)))</f>
        <v>4.410000000000001</v>
      </c>
      <c r="AW23" s="22">
        <f>IF(ISBLANK(M23),"",AVERAGE($M$4:M23))</f>
        <v>87.45</v>
      </c>
      <c r="AX23" s="376">
        <f>IF(ISBLANK(P23),"",(AVERAGE($R$4:R23)))</f>
        <v>1014.80000025</v>
      </c>
      <c r="AY23" s="368">
        <f>IF(ISBLANK(U23),"",(AVERAGE($U$4:U23)))</f>
        <v>5.3049999999999997</v>
      </c>
      <c r="AZ23" s="6"/>
      <c r="BA23" s="25">
        <f t="shared" si="9"/>
        <v>0.30000000000000027</v>
      </c>
      <c r="BB23" s="25">
        <f t="shared" si="10"/>
        <v>-2</v>
      </c>
      <c r="BC23" s="25">
        <f t="shared" si="13"/>
        <v>-0.84999999999999987</v>
      </c>
      <c r="BD23" s="367">
        <f t="shared" si="12"/>
        <v>-2.3000000000000003</v>
      </c>
      <c r="BE23" s="72"/>
      <c r="BF23" s="25">
        <f>IF(ISBLANK(F23),"",AS23-AVERAGE($F$91:F110))</f>
        <v>1.2119999999999997</v>
      </c>
      <c r="BG23" s="25">
        <f>IF(ISBLANK(G23),"",AT23-AVERAGE($G$91:G110))</f>
        <v>1.0440000000000005</v>
      </c>
      <c r="BH23" s="367">
        <f t="shared" si="23"/>
        <v>-0.16799999999999926</v>
      </c>
      <c r="BI23" s="115">
        <f t="shared" si="2"/>
        <v>1.7419047619047621</v>
      </c>
      <c r="BJ23" s="115">
        <f t="shared" si="3"/>
        <v>0.94869923016284485</v>
      </c>
      <c r="BK23" s="88"/>
      <c r="BL23" s="572">
        <v>20</v>
      </c>
    </row>
    <row r="24" spans="1:64" ht="12.75" customHeight="1" x14ac:dyDescent="0.2">
      <c r="A24" s="394">
        <f t="shared" si="4"/>
        <v>21</v>
      </c>
      <c r="B24" s="131">
        <f t="shared" si="5"/>
        <v>0</v>
      </c>
      <c r="C24" s="282">
        <v>2.5</v>
      </c>
      <c r="D24" s="685"/>
      <c r="E24" s="97">
        <f t="shared" si="7"/>
        <v>21</v>
      </c>
      <c r="F24" s="23">
        <v>0</v>
      </c>
      <c r="G24" s="23">
        <v>3.9</v>
      </c>
      <c r="H24" s="553">
        <v>1.7</v>
      </c>
      <c r="I24" s="23">
        <f t="shared" si="22"/>
        <v>3.9</v>
      </c>
      <c r="J24" s="6">
        <f t="shared" si="14"/>
        <v>1</v>
      </c>
      <c r="K24" s="24">
        <v>74</v>
      </c>
      <c r="L24" s="24">
        <v>95</v>
      </c>
      <c r="M24" s="554">
        <v>86</v>
      </c>
      <c r="N24" s="24">
        <f t="shared" si="15"/>
        <v>21</v>
      </c>
      <c r="O24" s="50">
        <f t="shared" si="16"/>
        <v>0</v>
      </c>
      <c r="P24" s="24">
        <v>1038</v>
      </c>
      <c r="Q24" s="24">
        <v>1040.00001</v>
      </c>
      <c r="R24" s="24">
        <f t="shared" si="1"/>
        <v>1039.0000049999999</v>
      </c>
      <c r="S24" s="24">
        <f t="shared" si="17"/>
        <v>2.0000099999999748</v>
      </c>
      <c r="T24" s="50">
        <v>0</v>
      </c>
      <c r="U24" s="553">
        <v>3.8</v>
      </c>
      <c r="V24" s="553">
        <v>10.199999999999999</v>
      </c>
      <c r="W24" s="553">
        <v>14.7</v>
      </c>
      <c r="X24" s="555" t="s">
        <v>113</v>
      </c>
      <c r="Y24" s="567">
        <f t="shared" si="8"/>
        <v>1</v>
      </c>
      <c r="Z24" s="539">
        <v>0.3</v>
      </c>
      <c r="AA24" s="23" t="s">
        <v>8</v>
      </c>
      <c r="AB24" s="23" t="s">
        <v>8</v>
      </c>
      <c r="AC24" s="510">
        <f t="shared" si="18"/>
        <v>4.1095890410958909E-3</v>
      </c>
      <c r="AD24" s="7">
        <f t="shared" si="19"/>
        <v>0.6</v>
      </c>
      <c r="AE24" s="485" t="s">
        <v>8</v>
      </c>
      <c r="AF24" s="72"/>
      <c r="AG24" s="553">
        <v>-2.9</v>
      </c>
      <c r="AH24" s="553">
        <v>3</v>
      </c>
      <c r="AI24" s="553">
        <v>-0.4</v>
      </c>
      <c r="AJ24" s="26">
        <f t="shared" si="24"/>
        <v>5.9</v>
      </c>
      <c r="AK24" s="6"/>
      <c r="AL24" s="485" t="s">
        <v>336</v>
      </c>
      <c r="AM24" s="54">
        <v>1013.25</v>
      </c>
      <c r="AN24" s="391" t="s">
        <v>337</v>
      </c>
      <c r="AO24" s="400"/>
      <c r="AP24" s="485">
        <v>4.5</v>
      </c>
      <c r="AQ24" s="485">
        <v>0.5</v>
      </c>
      <c r="AR24" s="134"/>
      <c r="AS24" s="26">
        <f>IF(ISBLANK(F24),"",(AVERAGE($F$4:F24)))</f>
        <v>3.4809523809523801</v>
      </c>
      <c r="AT24" s="26">
        <f>IF(ISBLANK(G24),"",(AVERAGE($G$4:G24)))</f>
        <v>7.8666666666666671</v>
      </c>
      <c r="AU24" s="25">
        <f>IF(ISBLANK(H24),"",(AVERAGE($H$4:H24)))</f>
        <v>5.8809523809523805</v>
      </c>
      <c r="AV24" s="368">
        <f>IF(ISBLANK(G24),"",(AVERAGE($I$4:I24)))</f>
        <v>4.385714285714287</v>
      </c>
      <c r="AW24" s="22">
        <f>IF(ISBLANK(M24),"",AVERAGE($M$4:M24))</f>
        <v>87.38095238095238</v>
      </c>
      <c r="AX24" s="376">
        <f>IF(ISBLANK(P24),"",(AVERAGE($R$4:R24)))</f>
        <v>1015.9523814285716</v>
      </c>
      <c r="AY24" s="368">
        <f>IF(ISBLANK(U24),"",(AVERAGE($U$4:U24)))</f>
        <v>5.2333333333333325</v>
      </c>
      <c r="AZ24" s="6"/>
      <c r="BA24" s="25">
        <f t="shared" si="9"/>
        <v>-2.2999999999999998</v>
      </c>
      <c r="BB24" s="25">
        <f t="shared" si="10"/>
        <v>-3.07</v>
      </c>
      <c r="BC24" s="25">
        <f t="shared" si="13"/>
        <v>-2.6849999999999996</v>
      </c>
      <c r="BD24" s="367">
        <f t="shared" si="12"/>
        <v>-0.77</v>
      </c>
      <c r="BE24" s="72"/>
      <c r="BF24" s="25">
        <f>IF(ISBLANK(F24),"",AS24-AVERAGE($F$91:F111))</f>
        <v>1.0447619047619048</v>
      </c>
      <c r="BG24" s="25">
        <f>IF(ISBLANK(G24),"",AT24-AVERAGE($G$91:G111))</f>
        <v>0.84809523809523757</v>
      </c>
      <c r="BH24" s="367">
        <f t="shared" si="23"/>
        <v>-0.19666666666666721</v>
      </c>
      <c r="BI24" s="115">
        <f t="shared" si="2"/>
        <v>1.6659863945578228</v>
      </c>
      <c r="BJ24" s="115">
        <f t="shared" si="3"/>
        <v>1.0495275769584784</v>
      </c>
      <c r="BK24" s="88"/>
      <c r="BL24" s="572">
        <v>21</v>
      </c>
    </row>
    <row r="25" spans="1:64" ht="12.75" customHeight="1" x14ac:dyDescent="0.2">
      <c r="A25" s="394">
        <f t="shared" si="4"/>
        <v>22</v>
      </c>
      <c r="B25" s="131">
        <f t="shared" si="5"/>
        <v>0.7</v>
      </c>
      <c r="C25" s="282">
        <f t="shared" si="6"/>
        <v>6.1</v>
      </c>
      <c r="D25" s="685"/>
      <c r="E25" s="97">
        <f t="shared" si="7"/>
        <v>22</v>
      </c>
      <c r="F25" s="23">
        <v>0.7</v>
      </c>
      <c r="G25" s="23">
        <v>6.1</v>
      </c>
      <c r="H25" s="553">
        <v>3.8</v>
      </c>
      <c r="I25" s="23">
        <f t="shared" si="22"/>
        <v>5.3999999999999995</v>
      </c>
      <c r="J25" s="6">
        <f t="shared" si="14"/>
        <v>0</v>
      </c>
      <c r="K25" s="24">
        <v>83</v>
      </c>
      <c r="L25" s="24">
        <v>97</v>
      </c>
      <c r="M25" s="554">
        <v>91</v>
      </c>
      <c r="N25" s="24">
        <f t="shared" si="15"/>
        <v>14</v>
      </c>
      <c r="O25" s="50">
        <f t="shared" si="16"/>
        <v>0</v>
      </c>
      <c r="P25" s="24">
        <v>1035</v>
      </c>
      <c r="Q25" s="24">
        <v>1040</v>
      </c>
      <c r="R25" s="24">
        <f t="shared" si="1"/>
        <v>1037.5</v>
      </c>
      <c r="S25" s="24">
        <f t="shared" si="17"/>
        <v>5</v>
      </c>
      <c r="T25" s="50">
        <v>0</v>
      </c>
      <c r="U25" s="553">
        <v>5.2</v>
      </c>
      <c r="V25" s="553">
        <v>13.5</v>
      </c>
      <c r="W25" s="553">
        <v>18.5</v>
      </c>
      <c r="X25" s="555" t="s">
        <v>113</v>
      </c>
      <c r="Y25" s="567">
        <f t="shared" si="8"/>
        <v>1</v>
      </c>
      <c r="Z25" s="539">
        <v>0.3</v>
      </c>
      <c r="AA25" s="23" t="s">
        <v>8</v>
      </c>
      <c r="AB25" s="23" t="s">
        <v>8</v>
      </c>
      <c r="AC25" s="510">
        <f t="shared" si="18"/>
        <v>4.1095890410958909E-3</v>
      </c>
      <c r="AD25" s="7">
        <f t="shared" si="19"/>
        <v>0.6</v>
      </c>
      <c r="AE25" s="485"/>
      <c r="AF25" s="72"/>
      <c r="AG25" s="553">
        <v>0</v>
      </c>
      <c r="AH25" s="553">
        <v>4.9000000000000004</v>
      </c>
      <c r="AI25" s="553">
        <v>2.5</v>
      </c>
      <c r="AJ25" s="26">
        <f t="shared" si="24"/>
        <v>4.9000000000000004</v>
      </c>
      <c r="AK25" s="6"/>
      <c r="AL25" s="485" t="s">
        <v>262</v>
      </c>
      <c r="AM25" s="54">
        <v>1013.25</v>
      </c>
      <c r="AN25" s="391" t="s">
        <v>341</v>
      </c>
      <c r="AO25" s="400"/>
      <c r="AP25" s="485">
        <v>0.4</v>
      </c>
      <c r="AQ25" s="485">
        <v>0.5</v>
      </c>
      <c r="AR25" s="134"/>
      <c r="AS25" s="26">
        <f>IF(ISBLANK(F25),"",(AVERAGE($F$4:F25)))</f>
        <v>3.3545454545454536</v>
      </c>
      <c r="AT25" s="26">
        <f>IF(ISBLANK(G25),"",(AVERAGE($G$4:G25)))</f>
        <v>7.786363636363637</v>
      </c>
      <c r="AU25" s="25">
        <f>IF(ISBLANK(H25),"",(AVERAGE($H$4:H25)))</f>
        <v>5.7863636363636353</v>
      </c>
      <c r="AV25" s="368">
        <f>IF(ISBLANK(G25),"",(AVERAGE($I$4:I25)))</f>
        <v>4.4318181818181834</v>
      </c>
      <c r="AW25" s="22">
        <f>IF(ISBLANK(M25),"",AVERAGE($M$4:M25))</f>
        <v>87.545454545454547</v>
      </c>
      <c r="AX25" s="376">
        <f>IF(ISBLANK(P25),"",(AVERAGE($R$4:R25)))</f>
        <v>1016.9318186363638</v>
      </c>
      <c r="AY25" s="368">
        <f>IF(ISBLANK(U25),"",(AVERAGE($U$4:U25)))</f>
        <v>5.2318181818181815</v>
      </c>
      <c r="AZ25" s="6"/>
      <c r="BA25" s="25">
        <f t="shared" si="9"/>
        <v>-1.5999999999999999</v>
      </c>
      <c r="BB25" s="25">
        <f t="shared" si="10"/>
        <v>-0.87000000000000011</v>
      </c>
      <c r="BC25" s="25">
        <f t="shared" si="13"/>
        <v>-1.2349999999999999</v>
      </c>
      <c r="BD25" s="367">
        <f t="shared" si="12"/>
        <v>0.72999999999999976</v>
      </c>
      <c r="BE25" s="72"/>
      <c r="BF25" s="25">
        <f>IF(ISBLANK(F25),"",AS25-AVERAGE($F$91:F112))</f>
        <v>0.92454545454545434</v>
      </c>
      <c r="BG25" s="25">
        <f>IF(ISBLANK(G25),"",AT25-AVERAGE($G$91:G112))</f>
        <v>0.77000000000000046</v>
      </c>
      <c r="BH25" s="367">
        <f t="shared" si="23"/>
        <v>-0.15454545454545388</v>
      </c>
      <c r="BI25" s="115">
        <f t="shared" si="2"/>
        <v>1.5969696969696967</v>
      </c>
      <c r="BJ25" s="115">
        <f t="shared" si="3"/>
        <v>1.0120400290857112</v>
      </c>
      <c r="BK25" s="88"/>
      <c r="BL25" s="572">
        <v>22</v>
      </c>
    </row>
    <row r="26" spans="1:64" ht="12.75" customHeight="1" x14ac:dyDescent="0.2">
      <c r="A26" s="394">
        <f t="shared" si="4"/>
        <v>23</v>
      </c>
      <c r="B26" s="131">
        <f t="shared" si="5"/>
        <v>5.3</v>
      </c>
      <c r="C26" s="282">
        <f t="shared" si="6"/>
        <v>7.2</v>
      </c>
      <c r="D26" s="685"/>
      <c r="E26" s="97">
        <f t="shared" si="7"/>
        <v>23</v>
      </c>
      <c r="F26" s="23">
        <v>5.3</v>
      </c>
      <c r="G26" s="23">
        <v>7.2</v>
      </c>
      <c r="H26" s="553">
        <v>6.3</v>
      </c>
      <c r="I26" s="23">
        <f t="shared" si="22"/>
        <v>1.9000000000000004</v>
      </c>
      <c r="J26" s="6">
        <f t="shared" si="14"/>
        <v>0</v>
      </c>
      <c r="K26" s="24">
        <v>83</v>
      </c>
      <c r="L26" s="24">
        <v>96</v>
      </c>
      <c r="M26" s="554">
        <v>91</v>
      </c>
      <c r="N26" s="24">
        <f t="shared" si="15"/>
        <v>13</v>
      </c>
      <c r="O26" s="50">
        <f t="shared" si="16"/>
        <v>0</v>
      </c>
      <c r="P26" s="24">
        <v>1033</v>
      </c>
      <c r="Q26" s="24">
        <v>1035</v>
      </c>
      <c r="R26" s="24">
        <f t="shared" si="1"/>
        <v>1034</v>
      </c>
      <c r="S26" s="24">
        <f t="shared" si="17"/>
        <v>2</v>
      </c>
      <c r="T26" s="50">
        <v>0</v>
      </c>
      <c r="U26" s="553">
        <v>6.5</v>
      </c>
      <c r="V26" s="553">
        <v>12.1</v>
      </c>
      <c r="W26" s="553">
        <v>17.5</v>
      </c>
      <c r="X26" s="555" t="s">
        <v>113</v>
      </c>
      <c r="Y26" s="567">
        <f t="shared" si="8"/>
        <v>0</v>
      </c>
      <c r="Z26" s="539">
        <v>0</v>
      </c>
      <c r="AA26" s="23"/>
      <c r="AB26" s="23"/>
      <c r="AC26" s="510" t="str">
        <f t="shared" si="18"/>
        <v/>
      </c>
      <c r="AD26" s="7" t="str">
        <f t="shared" si="19"/>
        <v/>
      </c>
      <c r="AE26" s="485"/>
      <c r="AF26" s="72"/>
      <c r="AG26" s="553">
        <v>3.9</v>
      </c>
      <c r="AH26" s="553">
        <v>6</v>
      </c>
      <c r="AI26" s="553">
        <v>4.9000000000000004</v>
      </c>
      <c r="AJ26" s="26">
        <f t="shared" si="24"/>
        <v>2.1</v>
      </c>
      <c r="AK26" s="6"/>
      <c r="AL26" s="485" t="s">
        <v>239</v>
      </c>
      <c r="AM26" s="54">
        <v>1013.25</v>
      </c>
      <c r="AN26" s="23" t="s">
        <v>8</v>
      </c>
      <c r="AO26" s="400"/>
      <c r="AP26" s="485">
        <v>0</v>
      </c>
      <c r="AQ26" s="485">
        <v>0</v>
      </c>
      <c r="AR26" s="134"/>
      <c r="AS26" s="26">
        <f>IF(ISBLANK(F26),"",(AVERAGE($F$4:F26)))</f>
        <v>3.4391304347826077</v>
      </c>
      <c r="AT26" s="26">
        <f>IF(ISBLANK(G26),"",(AVERAGE($G$4:G26)))</f>
        <v>7.7608695652173916</v>
      </c>
      <c r="AU26" s="25">
        <f>IF(ISBLANK(H26),"",(AVERAGE($H$4:H26)))</f>
        <v>5.8086956521739124</v>
      </c>
      <c r="AV26" s="368">
        <f>IF(ISBLANK(G26),"",(AVERAGE($I$4:I26)))</f>
        <v>4.3217391304347839</v>
      </c>
      <c r="AW26" s="22">
        <f>IF(ISBLANK(M26),"",AVERAGE($M$4:M26))</f>
        <v>87.695652173913047</v>
      </c>
      <c r="AX26" s="376">
        <f>IF(ISBLANK(P26),"",(AVERAGE($R$4:R26)))</f>
        <v>1017.6739134782611</v>
      </c>
      <c r="AY26" s="368">
        <f>IF(ISBLANK(U26),"",(AVERAGE($U$4:U26)))</f>
        <v>5.2869565217391301</v>
      </c>
      <c r="AZ26" s="6"/>
      <c r="BA26" s="25">
        <f t="shared" si="9"/>
        <v>3</v>
      </c>
      <c r="BB26" s="25">
        <f t="shared" si="10"/>
        <v>0.23000000000000043</v>
      </c>
      <c r="BC26" s="25">
        <f t="shared" si="13"/>
        <v>1.6150000000000002</v>
      </c>
      <c r="BD26" s="367">
        <f t="shared" si="12"/>
        <v>-2.7699999999999996</v>
      </c>
      <c r="BE26" s="72"/>
      <c r="BF26" s="25">
        <f>IF(ISBLANK(F26),"",AS26-AVERAGE($F$91:F113))</f>
        <v>1.0147826086956524</v>
      </c>
      <c r="BG26" s="25">
        <f>IF(ISBLANK(G26),"",AT26-AVERAGE($G$91:G113))</f>
        <v>0.74652173913043463</v>
      </c>
      <c r="BH26" s="367">
        <f t="shared" si="23"/>
        <v>-0.26826086956521777</v>
      </c>
      <c r="BI26" s="115">
        <f t="shared" si="2"/>
        <v>1.5275362318840577</v>
      </c>
      <c r="BJ26" s="115">
        <f t="shared" si="3"/>
        <v>0.96576029985608736</v>
      </c>
      <c r="BK26" s="88"/>
      <c r="BL26" s="572">
        <v>23</v>
      </c>
    </row>
    <row r="27" spans="1:64" ht="12.75" customHeight="1" x14ac:dyDescent="0.2">
      <c r="A27" s="394">
        <f t="shared" si="4"/>
        <v>24</v>
      </c>
      <c r="B27" s="131">
        <v>5.4</v>
      </c>
      <c r="C27" s="282">
        <f t="shared" si="6"/>
        <v>6.8</v>
      </c>
      <c r="D27" s="685"/>
      <c r="E27" s="97">
        <f t="shared" si="7"/>
        <v>24</v>
      </c>
      <c r="F27" s="23">
        <v>3.3</v>
      </c>
      <c r="G27" s="23">
        <v>6.8</v>
      </c>
      <c r="H27" s="553">
        <v>5.6</v>
      </c>
      <c r="I27" s="23">
        <f t="shared" si="22"/>
        <v>3.5</v>
      </c>
      <c r="J27" s="6">
        <f t="shared" si="14"/>
        <v>0</v>
      </c>
      <c r="K27" s="24">
        <v>72</v>
      </c>
      <c r="L27" s="24">
        <v>94</v>
      </c>
      <c r="M27" s="555">
        <v>86</v>
      </c>
      <c r="N27" s="24">
        <f t="shared" si="15"/>
        <v>22</v>
      </c>
      <c r="O27" s="50">
        <f t="shared" si="16"/>
        <v>1</v>
      </c>
      <c r="P27" s="24">
        <v>1024</v>
      </c>
      <c r="Q27" s="24">
        <v>1034</v>
      </c>
      <c r="R27" s="24">
        <f t="shared" si="1"/>
        <v>1029</v>
      </c>
      <c r="S27" s="24">
        <f t="shared" si="17"/>
        <v>10</v>
      </c>
      <c r="T27" s="50">
        <v>0</v>
      </c>
      <c r="U27" s="553">
        <v>4.7</v>
      </c>
      <c r="V27" s="553">
        <v>10</v>
      </c>
      <c r="W27" s="553">
        <v>14.5</v>
      </c>
      <c r="X27" s="555" t="s">
        <v>128</v>
      </c>
      <c r="Y27" s="567">
        <f t="shared" si="8"/>
        <v>1</v>
      </c>
      <c r="Z27" s="539">
        <v>0.3</v>
      </c>
      <c r="AA27" s="23" t="s">
        <v>8</v>
      </c>
      <c r="AB27" s="23" t="s">
        <v>8</v>
      </c>
      <c r="AC27" s="510">
        <f t="shared" si="18"/>
        <v>4.1095890410958909E-3</v>
      </c>
      <c r="AD27" s="7">
        <f t="shared" si="19"/>
        <v>0.6</v>
      </c>
      <c r="AE27" s="485" t="s">
        <v>8</v>
      </c>
      <c r="AF27" s="72"/>
      <c r="AG27" s="553">
        <v>2</v>
      </c>
      <c r="AH27" s="553">
        <v>5.3</v>
      </c>
      <c r="AI27" s="553">
        <v>3.4</v>
      </c>
      <c r="AJ27" s="26">
        <f t="shared" si="24"/>
        <v>3.3</v>
      </c>
      <c r="AK27" s="6"/>
      <c r="AL27" s="485" t="s">
        <v>351</v>
      </c>
      <c r="AM27" s="54">
        <v>1013.25</v>
      </c>
      <c r="AN27" s="391" t="s">
        <v>350</v>
      </c>
      <c r="AO27" s="400"/>
      <c r="AP27" s="565">
        <v>0</v>
      </c>
      <c r="AQ27" s="485">
        <v>0.5</v>
      </c>
      <c r="AR27" s="134"/>
      <c r="AS27" s="26">
        <f>IF(ISBLANK(F27),"",(AVERAGE($F$4:F27)))</f>
        <v>3.4333333333333322</v>
      </c>
      <c r="AT27" s="26">
        <f>IF(ISBLANK(G27),"",(AVERAGE($G$4:G27)))</f>
        <v>7.7208333333333341</v>
      </c>
      <c r="AU27" s="25">
        <f>IF(ISBLANK(H27),"",(AVERAGE($H$4:H27)))</f>
        <v>5.8</v>
      </c>
      <c r="AV27" s="368">
        <f>IF(ISBLANK(G27),"",(AVERAGE($I$4:I27)))</f>
        <v>4.2875000000000014</v>
      </c>
      <c r="AW27" s="22">
        <f>IF(ISBLANK(M27),"",AVERAGE($M$4:M27))</f>
        <v>87.625</v>
      </c>
      <c r="AX27" s="376">
        <f>IF(ISBLANK(P27),"",(AVERAGE($R$4:R27)))</f>
        <v>1018.1458337500002</v>
      </c>
      <c r="AY27" s="368">
        <f>IF(ISBLANK(U27),"",(AVERAGE($U$4:U27)))</f>
        <v>5.2625000000000002</v>
      </c>
      <c r="AZ27" s="6"/>
      <c r="BA27" s="25">
        <f t="shared" si="9"/>
        <v>1</v>
      </c>
      <c r="BB27" s="25">
        <f t="shared" si="10"/>
        <v>-0.16999999999999993</v>
      </c>
      <c r="BC27" s="25">
        <f t="shared" si="13"/>
        <v>0.41500000000000004</v>
      </c>
      <c r="BD27" s="367">
        <f t="shared" si="12"/>
        <v>-1.17</v>
      </c>
      <c r="BE27" s="72"/>
      <c r="BF27" s="25">
        <f>IF(ISBLANK(F27),"",AS27-AVERAGE($F$91:F114))</f>
        <v>1.0141666666666667</v>
      </c>
      <c r="BG27" s="25">
        <f>IF(ISBLANK(G27),"",AT27-AVERAGE($G$91:G114))</f>
        <v>0.70833333333333393</v>
      </c>
      <c r="BH27" s="367">
        <f t="shared" si="23"/>
        <v>-0.30583333333333274</v>
      </c>
      <c r="BI27" s="115">
        <f t="shared" si="2"/>
        <v>1.4700396825396824</v>
      </c>
      <c r="BJ27" s="115">
        <f t="shared" si="3"/>
        <v>0.92330400262801116</v>
      </c>
      <c r="BK27" s="88"/>
      <c r="BL27" s="572">
        <v>24</v>
      </c>
    </row>
    <row r="28" spans="1:64" ht="12.75" customHeight="1" x14ac:dyDescent="0.2">
      <c r="A28" s="394">
        <f t="shared" si="4"/>
        <v>25</v>
      </c>
      <c r="B28" s="131">
        <f t="shared" si="5"/>
        <v>3.4</v>
      </c>
      <c r="C28" s="282">
        <f t="shared" si="6"/>
        <v>8.1999999999999993</v>
      </c>
      <c r="D28" s="685"/>
      <c r="E28" s="97">
        <f t="shared" si="7"/>
        <v>25</v>
      </c>
      <c r="F28" s="23">
        <v>3.4</v>
      </c>
      <c r="G28" s="23">
        <v>8.1999999999999993</v>
      </c>
      <c r="H28" s="553">
        <v>6.5</v>
      </c>
      <c r="I28" s="23">
        <f t="shared" si="22"/>
        <v>4.7999999999999989</v>
      </c>
      <c r="J28" s="6">
        <f t="shared" si="14"/>
        <v>0</v>
      </c>
      <c r="K28" s="24">
        <v>83</v>
      </c>
      <c r="L28" s="24">
        <v>95</v>
      </c>
      <c r="M28" s="555">
        <v>91</v>
      </c>
      <c r="N28" s="24">
        <f t="shared" si="15"/>
        <v>12</v>
      </c>
      <c r="O28" s="50">
        <f t="shared" si="16"/>
        <v>0</v>
      </c>
      <c r="P28" s="24">
        <v>1010</v>
      </c>
      <c r="Q28" s="24">
        <v>1024</v>
      </c>
      <c r="R28" s="24">
        <f t="shared" si="1"/>
        <v>1017</v>
      </c>
      <c r="S28" s="24">
        <f t="shared" si="17"/>
        <v>14</v>
      </c>
      <c r="T28" s="50">
        <v>0</v>
      </c>
      <c r="U28" s="553">
        <v>4.2</v>
      </c>
      <c r="V28" s="553">
        <v>10.9</v>
      </c>
      <c r="W28" s="553">
        <v>13.2</v>
      </c>
      <c r="X28" s="555" t="s">
        <v>114</v>
      </c>
      <c r="Y28" s="567">
        <f t="shared" si="8"/>
        <v>1</v>
      </c>
      <c r="Z28" s="539">
        <v>0.8</v>
      </c>
      <c r="AA28" s="23" t="s">
        <v>8</v>
      </c>
      <c r="AB28" s="23" t="s">
        <v>8</v>
      </c>
      <c r="AC28" s="510">
        <f t="shared" si="18"/>
        <v>1.0958904109589045E-2</v>
      </c>
      <c r="AD28" s="7">
        <f t="shared" si="19"/>
        <v>0.4</v>
      </c>
      <c r="AE28" s="485" t="s">
        <v>8</v>
      </c>
      <c r="AF28" s="72"/>
      <c r="AG28" s="553">
        <v>2.4</v>
      </c>
      <c r="AH28" s="553">
        <v>6.8</v>
      </c>
      <c r="AI28" s="553">
        <v>5.2</v>
      </c>
      <c r="AJ28" s="26">
        <f t="shared" si="24"/>
        <v>4.4000000000000004</v>
      </c>
      <c r="AK28" s="6"/>
      <c r="AL28" s="485" t="s">
        <v>353</v>
      </c>
      <c r="AM28" s="54">
        <v>1013.25</v>
      </c>
      <c r="AN28" s="391" t="s">
        <v>354</v>
      </c>
      <c r="AO28" s="400"/>
      <c r="AP28" s="485">
        <v>0.3</v>
      </c>
      <c r="AQ28" s="485">
        <v>2</v>
      </c>
      <c r="AR28" s="134"/>
      <c r="AS28" s="26">
        <f>IF(ISBLANK(F28),"",(AVERAGE($F$4:F28)))</f>
        <v>3.4319999999999995</v>
      </c>
      <c r="AT28" s="26">
        <f>IF(ISBLANK(G28),"",(AVERAGE($G$4:G28)))</f>
        <v>7.74</v>
      </c>
      <c r="AU28" s="25">
        <f>IF(ISBLANK(H28),"",(AVERAGE($H$4:H28)))</f>
        <v>5.8279999999999994</v>
      </c>
      <c r="AV28" s="368">
        <f>IF(ISBLANK(G28),"",(AVERAGE($I$4:I28)))</f>
        <v>4.3080000000000016</v>
      </c>
      <c r="AW28" s="22">
        <f>IF(ISBLANK(M28),"",AVERAGE($M$4:M28))</f>
        <v>87.76</v>
      </c>
      <c r="AX28" s="376">
        <f>IF(ISBLANK(P28),"",(AVERAGE($R$4:R28)))</f>
        <v>1018.1000004000001</v>
      </c>
      <c r="AY28" s="368">
        <f>IF(ISBLANK(U28),"",(AVERAGE($U$4:U28)))</f>
        <v>5.22</v>
      </c>
      <c r="AZ28" s="6"/>
      <c r="BA28" s="25">
        <f t="shared" si="9"/>
        <v>1.1000000000000001</v>
      </c>
      <c r="BB28" s="25">
        <f t="shared" si="10"/>
        <v>1.2299999999999995</v>
      </c>
      <c r="BC28" s="25">
        <f t="shared" si="13"/>
        <v>1.1649999999999998</v>
      </c>
      <c r="BD28" s="367">
        <f t="shared" si="12"/>
        <v>0.12999999999999945</v>
      </c>
      <c r="BE28" s="72"/>
      <c r="BF28" s="25">
        <f>IF(ISBLANK(F28),"",AS28-AVERAGE($F$91:F115))</f>
        <v>1.0176000000000007</v>
      </c>
      <c r="BG28" s="25">
        <f>IF(ISBLANK(G28),"",AT28-AVERAGE($G$91:G115))</f>
        <v>0.72919999999999963</v>
      </c>
      <c r="BH28" s="367">
        <f t="shared" si="23"/>
        <v>-0.2884000000000011</v>
      </c>
      <c r="BI28" s="115">
        <f t="shared" si="2"/>
        <v>1.4269841269841268</v>
      </c>
      <c r="BJ28" s="115">
        <f t="shared" si="3"/>
        <v>0.89242616719060319</v>
      </c>
      <c r="BK28" s="88"/>
      <c r="BL28" s="572">
        <v>25</v>
      </c>
    </row>
    <row r="29" spans="1:64" ht="12.75" customHeight="1" x14ac:dyDescent="0.2">
      <c r="A29" s="394">
        <f t="shared" si="4"/>
        <v>26</v>
      </c>
      <c r="B29" s="131">
        <v>5.9</v>
      </c>
      <c r="C29" s="282">
        <v>6.7</v>
      </c>
      <c r="D29" s="685"/>
      <c r="E29" s="97">
        <f t="shared" si="7"/>
        <v>26</v>
      </c>
      <c r="F29" s="23">
        <v>1.7</v>
      </c>
      <c r="G29" s="23">
        <v>7</v>
      </c>
      <c r="H29" s="553">
        <v>5.2</v>
      </c>
      <c r="I29" s="23">
        <f t="shared" si="22"/>
        <v>5.3</v>
      </c>
      <c r="J29" s="6">
        <f t="shared" si="14"/>
        <v>1</v>
      </c>
      <c r="K29" s="24">
        <v>77</v>
      </c>
      <c r="L29" s="24">
        <v>97</v>
      </c>
      <c r="M29" s="555">
        <v>92</v>
      </c>
      <c r="N29" s="24">
        <f t="shared" si="15"/>
        <v>20</v>
      </c>
      <c r="O29" s="50">
        <f t="shared" si="16"/>
        <v>1</v>
      </c>
      <c r="P29" s="24">
        <v>1008</v>
      </c>
      <c r="Q29" s="24">
        <v>1018</v>
      </c>
      <c r="R29" s="24">
        <f t="shared" si="1"/>
        <v>1013</v>
      </c>
      <c r="S29" s="24">
        <f t="shared" si="17"/>
        <v>10</v>
      </c>
      <c r="T29" s="50">
        <v>0</v>
      </c>
      <c r="U29" s="553">
        <v>6.3</v>
      </c>
      <c r="V29" s="553">
        <v>19.899999999999999</v>
      </c>
      <c r="W29" s="553">
        <v>30.6</v>
      </c>
      <c r="X29" s="555" t="s">
        <v>105</v>
      </c>
      <c r="Y29" s="567">
        <f t="shared" si="8"/>
        <v>1</v>
      </c>
      <c r="Z29" s="539">
        <v>0.5</v>
      </c>
      <c r="AA29" s="23">
        <v>0.3</v>
      </c>
      <c r="AB29" s="23" t="s">
        <v>8</v>
      </c>
      <c r="AC29" s="510">
        <f t="shared" si="18"/>
        <v>6.849315068493152E-3</v>
      </c>
      <c r="AD29" s="7">
        <f t="shared" si="19"/>
        <v>0.2</v>
      </c>
      <c r="AE29" s="485" t="s">
        <v>8</v>
      </c>
      <c r="AF29" s="72"/>
      <c r="AG29" s="553">
        <v>-1.9</v>
      </c>
      <c r="AH29" s="553">
        <v>6.3</v>
      </c>
      <c r="AI29" s="553">
        <v>4</v>
      </c>
      <c r="AJ29" s="7">
        <f t="shared" ref="AJ29:AJ34" si="25">IF(ISBLANK(AH29),"",AH29-AG29)</f>
        <v>8.1999999999999993</v>
      </c>
      <c r="AK29" s="6"/>
      <c r="AL29" s="485" t="s">
        <v>239</v>
      </c>
      <c r="AM29" s="54">
        <v>1013.25</v>
      </c>
      <c r="AN29" s="391" t="s">
        <v>356</v>
      </c>
      <c r="AO29" s="400"/>
      <c r="AP29" s="565">
        <v>0</v>
      </c>
      <c r="AQ29" s="485">
        <v>2.5</v>
      </c>
      <c r="AR29" s="134"/>
      <c r="AS29" s="26">
        <f>IF(ISBLANK(F29),"",(AVERAGE($F$4:F29)))</f>
        <v>3.365384615384615</v>
      </c>
      <c r="AT29" s="26">
        <f>IF(ISBLANK(G29),"",(AVERAGE($G$4:G29)))</f>
        <v>7.7115384615384617</v>
      </c>
      <c r="AU29" s="25">
        <f>IF(ISBLANK(H29),"",(AVERAGE($H$4:H29)))</f>
        <v>5.8038461538461528</v>
      </c>
      <c r="AV29" s="368">
        <f>IF(ISBLANK(G29),"",(AVERAGE($I$4:I29)))</f>
        <v>4.3461538461538476</v>
      </c>
      <c r="AW29" s="22">
        <f>IF(ISBLANK(M29),"",AVERAGE($M$4:M29))</f>
        <v>87.92307692307692</v>
      </c>
      <c r="AX29" s="376">
        <f>IF(ISBLANK(P29),"",(AVERAGE($R$4:R29)))</f>
        <v>1017.9038465384617</v>
      </c>
      <c r="AY29" s="368">
        <f>IF(ISBLANK(U29),"",(AVERAGE($U$4:U29)))</f>
        <v>5.2615384615384624</v>
      </c>
      <c r="AZ29" s="6"/>
      <c r="BA29" s="25">
        <f t="shared" si="9"/>
        <v>-0.59999999999999987</v>
      </c>
      <c r="BB29" s="25">
        <f t="shared" si="10"/>
        <v>3.0000000000000249E-2</v>
      </c>
      <c r="BC29" s="25">
        <f t="shared" si="13"/>
        <v>-0.28499999999999981</v>
      </c>
      <c r="BD29" s="367">
        <f t="shared" si="12"/>
        <v>0.63000000000000012</v>
      </c>
      <c r="BE29" s="72"/>
      <c r="BF29" s="25">
        <f>IF(ISBLANK(F29),"",AS29-AVERAGE($F$91:F116))</f>
        <v>0.95538461538461616</v>
      </c>
      <c r="BG29" s="25">
        <f>IF(ISBLANK(G29),"",AT29-AVERAGE($G$91:G116))</f>
        <v>0.7023076923076923</v>
      </c>
      <c r="BH29" s="367">
        <f t="shared" si="23"/>
        <v>-0.25307692307692387</v>
      </c>
      <c r="BI29" s="115">
        <f t="shared" si="2"/>
        <v>1.3815628815628813</v>
      </c>
      <c r="BJ29" s="115">
        <f t="shared" si="3"/>
        <v>0.85597925949462861</v>
      </c>
      <c r="BK29" s="88"/>
      <c r="BL29" s="572">
        <v>26</v>
      </c>
    </row>
    <row r="30" spans="1:64" ht="12.75" customHeight="1" x14ac:dyDescent="0.2">
      <c r="A30" s="394">
        <f t="shared" si="4"/>
        <v>27</v>
      </c>
      <c r="B30" s="131">
        <f t="shared" si="5"/>
        <v>1.1000000000000001</v>
      </c>
      <c r="C30" s="282">
        <f t="shared" si="6"/>
        <v>2.6</v>
      </c>
      <c r="D30" s="685"/>
      <c r="E30" s="97">
        <f t="shared" si="7"/>
        <v>27</v>
      </c>
      <c r="F30" s="23">
        <v>1.1000000000000001</v>
      </c>
      <c r="G30" s="23">
        <v>2.6</v>
      </c>
      <c r="H30" s="553">
        <v>1.6</v>
      </c>
      <c r="I30" s="23">
        <f t="shared" si="22"/>
        <v>1.5</v>
      </c>
      <c r="J30" s="6">
        <f t="shared" si="14"/>
        <v>0</v>
      </c>
      <c r="K30" s="24">
        <v>57</v>
      </c>
      <c r="L30" s="24">
        <v>78</v>
      </c>
      <c r="M30" s="554">
        <v>68</v>
      </c>
      <c r="N30" s="24">
        <f t="shared" si="15"/>
        <v>21</v>
      </c>
      <c r="O30" s="50">
        <f t="shared" si="16"/>
        <v>0</v>
      </c>
      <c r="P30" s="24">
        <v>1018</v>
      </c>
      <c r="Q30" s="24">
        <v>1025</v>
      </c>
      <c r="R30" s="24">
        <f t="shared" si="1"/>
        <v>1021.5</v>
      </c>
      <c r="S30" s="24">
        <f t="shared" si="17"/>
        <v>7</v>
      </c>
      <c r="T30" s="50">
        <v>0</v>
      </c>
      <c r="U30" s="553">
        <v>8.6</v>
      </c>
      <c r="V30" s="553">
        <v>20.6</v>
      </c>
      <c r="W30" s="553">
        <v>23.9</v>
      </c>
      <c r="X30" s="553" t="s">
        <v>105</v>
      </c>
      <c r="Y30" s="567">
        <f t="shared" si="8"/>
        <v>0</v>
      </c>
      <c r="Z30" s="539">
        <v>0</v>
      </c>
      <c r="AA30" s="23"/>
      <c r="AB30" s="23"/>
      <c r="AC30" s="510" t="str">
        <f t="shared" si="18"/>
        <v/>
      </c>
      <c r="AD30" s="7" t="str">
        <f t="shared" si="19"/>
        <v/>
      </c>
      <c r="AE30" s="485"/>
      <c r="AF30" s="72"/>
      <c r="AG30" s="553">
        <v>-6</v>
      </c>
      <c r="AH30" s="553">
        <v>-1.7</v>
      </c>
      <c r="AI30" s="553">
        <v>-3.7</v>
      </c>
      <c r="AJ30" s="26">
        <f t="shared" si="25"/>
        <v>4.3</v>
      </c>
      <c r="AK30" s="6"/>
      <c r="AL30" s="485" t="s">
        <v>262</v>
      </c>
      <c r="AM30" s="54">
        <v>1013.25</v>
      </c>
      <c r="AN30" s="23" t="s">
        <v>8</v>
      </c>
      <c r="AO30" s="400"/>
      <c r="AP30" s="565">
        <v>0</v>
      </c>
      <c r="AQ30" s="485">
        <v>0</v>
      </c>
      <c r="AR30" s="134"/>
      <c r="AS30" s="26">
        <f>IF(ISBLANK(F30),"",(AVERAGE($F$4:F30)))</f>
        <v>3.2814814814814808</v>
      </c>
      <c r="AT30" s="26">
        <f>IF(ISBLANK(G30),"",(AVERAGE($G$4:G30)))</f>
        <v>7.5222222222222221</v>
      </c>
      <c r="AU30" s="25">
        <f>IF(ISBLANK(H30),"",(AVERAGE($H$4:H30)))</f>
        <v>5.648148148148147</v>
      </c>
      <c r="AV30" s="368">
        <f>IF(ISBLANK(G30),"",(AVERAGE($I$4:I30)))</f>
        <v>4.2407407407407414</v>
      </c>
      <c r="AW30" s="22">
        <f>IF(ISBLANK(M30),"",AVERAGE($M$4:M30))</f>
        <v>87.18518518518519</v>
      </c>
      <c r="AX30" s="376">
        <f>IF(ISBLANK(P30),"",(AVERAGE($R$4:R30)))</f>
        <v>1018.0370374074075</v>
      </c>
      <c r="AY30" s="368">
        <f>IF(ISBLANK(U30),"",(AVERAGE($U$4:U30)))</f>
        <v>5.3851851851851853</v>
      </c>
      <c r="AZ30" s="6"/>
      <c r="BA30" s="25">
        <f t="shared" si="9"/>
        <v>-1.1999999999999997</v>
      </c>
      <c r="BB30" s="25">
        <f t="shared" si="10"/>
        <v>-4.3699999999999992</v>
      </c>
      <c r="BC30" s="25">
        <f t="shared" si="13"/>
        <v>-2.7849999999999993</v>
      </c>
      <c r="BD30" s="367">
        <f t="shared" si="12"/>
        <v>-3.1699999999999995</v>
      </c>
      <c r="BE30" s="72"/>
      <c r="BF30" s="25">
        <f>IF(ISBLANK(F30),"",AS30-AVERAGE($F$91:F117))</f>
        <v>0.87555555555555609</v>
      </c>
      <c r="BG30" s="25">
        <f>IF(ISBLANK(G30),"",AT30-AVERAGE($G$91:G117))</f>
        <v>0.51444444444444404</v>
      </c>
      <c r="BH30" s="367">
        <f>IF(ISBLANK(G30),"",BG30-BF30)</f>
        <v>-0.36111111111111205</v>
      </c>
      <c r="BI30" s="115">
        <f t="shared" si="2"/>
        <v>1.3303938859494413</v>
      </c>
      <c r="BJ30" s="115">
        <f t="shared" si="3"/>
        <v>0.82220602049584113</v>
      </c>
      <c r="BK30" s="421"/>
      <c r="BL30" s="572">
        <v>27</v>
      </c>
    </row>
    <row r="31" spans="1:64" ht="12.75" customHeight="1" x14ac:dyDescent="0.2">
      <c r="A31" s="394">
        <f t="shared" si="4"/>
        <v>28</v>
      </c>
      <c r="B31" s="131">
        <v>0.4</v>
      </c>
      <c r="C31" s="282">
        <f t="shared" si="6"/>
        <v>1.2</v>
      </c>
      <c r="D31" s="685"/>
      <c r="E31" s="97">
        <f t="shared" si="7"/>
        <v>28</v>
      </c>
      <c r="F31" s="23">
        <v>-0.5</v>
      </c>
      <c r="G31" s="23">
        <v>1.2</v>
      </c>
      <c r="H31" s="553">
        <v>0.5</v>
      </c>
      <c r="I31" s="23">
        <f t="shared" si="22"/>
        <v>1.7</v>
      </c>
      <c r="J31" s="6">
        <f t="shared" si="14"/>
        <v>0</v>
      </c>
      <c r="K31" s="24">
        <v>58</v>
      </c>
      <c r="L31" s="24">
        <v>76</v>
      </c>
      <c r="M31" s="554">
        <v>64</v>
      </c>
      <c r="N31" s="24">
        <f t="shared" si="15"/>
        <v>18</v>
      </c>
      <c r="O31" s="50">
        <f t="shared" si="16"/>
        <v>1</v>
      </c>
      <c r="P31" s="24">
        <v>1022</v>
      </c>
      <c r="Q31" s="24">
        <v>1025</v>
      </c>
      <c r="R31" s="24">
        <f t="shared" si="1"/>
        <v>1023.5</v>
      </c>
      <c r="S31" s="24">
        <f t="shared" si="17"/>
        <v>3</v>
      </c>
      <c r="T31" s="50">
        <v>0</v>
      </c>
      <c r="U31" s="553">
        <v>8.1999999999999993</v>
      </c>
      <c r="V31" s="553">
        <v>18.100000000000001</v>
      </c>
      <c r="W31" s="553">
        <v>23.2</v>
      </c>
      <c r="X31" s="485" t="s">
        <v>105</v>
      </c>
      <c r="Y31" s="567">
        <f t="shared" si="8"/>
        <v>0</v>
      </c>
      <c r="Z31" s="539">
        <v>0</v>
      </c>
      <c r="AA31" s="23"/>
      <c r="AB31" s="23"/>
      <c r="AC31" s="510" t="str">
        <f t="shared" si="18"/>
        <v/>
      </c>
      <c r="AD31" s="7" t="str">
        <f t="shared" si="19"/>
        <v/>
      </c>
      <c r="AE31" s="485"/>
      <c r="AF31" s="72"/>
      <c r="AG31" s="553">
        <v>-6.5</v>
      </c>
      <c r="AH31" s="553">
        <v>-3.8</v>
      </c>
      <c r="AI31" s="553">
        <v>-5.6</v>
      </c>
      <c r="AJ31" s="26">
        <f t="shared" si="25"/>
        <v>2.7</v>
      </c>
      <c r="AK31" s="6"/>
      <c r="AL31" s="485" t="s">
        <v>243</v>
      </c>
      <c r="AM31" s="54">
        <v>1013.25</v>
      </c>
      <c r="AN31" s="23" t="s">
        <v>8</v>
      </c>
      <c r="AO31" s="400"/>
      <c r="AP31" s="485">
        <v>0.2</v>
      </c>
      <c r="AQ31" s="485">
        <v>0</v>
      </c>
      <c r="AR31" s="134"/>
      <c r="AS31" s="26">
        <f>IF(ISBLANK(F31),"",(AVERAGE($F$4:F31)))</f>
        <v>3.1464285714285709</v>
      </c>
      <c r="AT31" s="26">
        <f>IF(ISBLANK(G31),"",(AVERAGE($G$4:G31)))</f>
        <v>7.2964285714285708</v>
      </c>
      <c r="AU31" s="25">
        <f>IF(ISBLANK(H31),"",(AVERAGE($H$4:H31)))</f>
        <v>5.4642857142857135</v>
      </c>
      <c r="AV31" s="368">
        <f>IF(ISBLANK(G31),"",(AVERAGE($I$4:I31)))</f>
        <v>4.1500000000000012</v>
      </c>
      <c r="AW31" s="22">
        <f>IF(ISBLANK(M31),"",AVERAGE($M$4:M31))</f>
        <v>86.357142857142861</v>
      </c>
      <c r="AX31" s="376">
        <f>IF(ISBLANK(P31),"",(AVERAGE($R$4:R31)))</f>
        <v>1018.2321432142859</v>
      </c>
      <c r="AY31" s="368">
        <f>IF(ISBLANK(U31),"",(AVERAGE($U$4:U31)))</f>
        <v>5.4857142857142858</v>
      </c>
      <c r="AZ31" s="6"/>
      <c r="BA31" s="25">
        <f t="shared" si="9"/>
        <v>-2.8</v>
      </c>
      <c r="BB31" s="25">
        <f t="shared" si="10"/>
        <v>-5.77</v>
      </c>
      <c r="BC31" s="25">
        <f t="shared" si="13"/>
        <v>-4.2850000000000001</v>
      </c>
      <c r="BD31" s="367">
        <f t="shared" si="12"/>
        <v>-2.9699999999999998</v>
      </c>
      <c r="BE31" s="72"/>
      <c r="BF31" s="25">
        <f>IF(ISBLANK(F31),"",AS31-AVERAGE($F$91:F118))</f>
        <v>0.74428571428571511</v>
      </c>
      <c r="BG31" s="25">
        <f>IF(ISBLANK(G31),"",AT31-AVERAGE($G$91:G118))</f>
        <v>0.28999999999999915</v>
      </c>
      <c r="BH31" s="367">
        <f>IF(ISBLANK(G31),"",BG31-BF31)</f>
        <v>-0.45428571428571596</v>
      </c>
      <c r="BI31" s="115">
        <f t="shared" si="2"/>
        <v>1.2828798185941039</v>
      </c>
      <c r="BJ31" s="115">
        <f t="shared" si="3"/>
        <v>0.79567280954571751</v>
      </c>
      <c r="BK31" s="421"/>
      <c r="BL31" s="572">
        <v>28</v>
      </c>
    </row>
    <row r="32" spans="1:64" ht="12.75" customHeight="1" x14ac:dyDescent="0.2">
      <c r="A32" s="394">
        <f t="shared" si="4"/>
        <v>29</v>
      </c>
      <c r="B32" s="131">
        <v>-0.5</v>
      </c>
      <c r="C32" s="282">
        <f t="shared" si="6"/>
        <v>1.3</v>
      </c>
      <c r="D32" s="685"/>
      <c r="E32" s="97">
        <f t="shared" si="7"/>
        <v>29</v>
      </c>
      <c r="F32" s="23">
        <v>-0.1</v>
      </c>
      <c r="G32" s="23">
        <v>1.3</v>
      </c>
      <c r="H32" s="553">
        <v>0.7</v>
      </c>
      <c r="I32" s="23">
        <f t="shared" si="22"/>
        <v>1.4000000000000001</v>
      </c>
      <c r="J32" s="6">
        <f t="shared" si="14"/>
        <v>0</v>
      </c>
      <c r="K32" s="24">
        <v>73</v>
      </c>
      <c r="L32" s="24">
        <v>77</v>
      </c>
      <c r="M32" s="554">
        <v>74</v>
      </c>
      <c r="N32" s="24">
        <f t="shared" si="15"/>
        <v>4</v>
      </c>
      <c r="O32" s="50">
        <f t="shared" si="16"/>
        <v>1</v>
      </c>
      <c r="P32" s="24">
        <v>1022</v>
      </c>
      <c r="Q32" s="24">
        <v>1024</v>
      </c>
      <c r="R32" s="24">
        <f t="shared" si="1"/>
        <v>1023</v>
      </c>
      <c r="S32" s="24">
        <f t="shared" si="17"/>
        <v>2</v>
      </c>
      <c r="T32" s="50">
        <v>0</v>
      </c>
      <c r="U32" s="553">
        <v>6.4</v>
      </c>
      <c r="V32" s="553">
        <v>14</v>
      </c>
      <c r="W32" s="553">
        <v>17</v>
      </c>
      <c r="X32" s="485" t="s">
        <v>105</v>
      </c>
      <c r="Y32" s="567">
        <f t="shared" si="8"/>
        <v>0</v>
      </c>
      <c r="Z32" s="557">
        <v>0</v>
      </c>
      <c r="AA32" s="558"/>
      <c r="AB32" s="23"/>
      <c r="AC32" s="510" t="str">
        <f t="shared" si="18"/>
        <v/>
      </c>
      <c r="AD32" s="7" t="str">
        <f t="shared" si="19"/>
        <v/>
      </c>
      <c r="AE32" s="559"/>
      <c r="AF32" s="72"/>
      <c r="AG32" s="553">
        <v>-3.8</v>
      </c>
      <c r="AH32" s="553">
        <v>-2.8</v>
      </c>
      <c r="AI32" s="553">
        <v>-3.3</v>
      </c>
      <c r="AJ32" s="26">
        <f t="shared" si="25"/>
        <v>1</v>
      </c>
      <c r="AK32" s="6"/>
      <c r="AL32" s="485" t="s">
        <v>239</v>
      </c>
      <c r="AM32" s="54">
        <v>1013.25</v>
      </c>
      <c r="AN32" s="47" t="s">
        <v>214</v>
      </c>
      <c r="AO32" s="400"/>
      <c r="AP32" s="485">
        <v>0</v>
      </c>
      <c r="AQ32" s="485">
        <v>0</v>
      </c>
      <c r="AR32" s="134"/>
      <c r="AS32" s="26">
        <f>IF(ISBLANK(F32),"",(AVERAGE($F$4:F32)))</f>
        <v>3.0344827586206891</v>
      </c>
      <c r="AT32" s="26">
        <f>IF(ISBLANK(G32),"",(AVERAGE($G$4:G32)))</f>
        <v>7.0896551724137931</v>
      </c>
      <c r="AU32" s="25">
        <f>IF(ISBLANK(H32),"",(AVERAGE($H$4:H32)))</f>
        <v>5.2999999999999989</v>
      </c>
      <c r="AV32" s="368">
        <f>IF(ISBLANK(G32),"",(AVERAGE($I$4:I32)))</f>
        <v>4.0551724137931044</v>
      </c>
      <c r="AW32" s="22">
        <f>IF(ISBLANK(M32),"",AVERAGE($M$4:M32))</f>
        <v>85.931034482758619</v>
      </c>
      <c r="AX32" s="376">
        <f>IF(ISBLANK(P32),"",(AVERAGE($R$4:R32)))</f>
        <v>1018.3965520689657</v>
      </c>
      <c r="AY32" s="368">
        <f>IF(ISBLANK(U32),"",(AVERAGE($U$4:U32)))</f>
        <v>5.5172413793103452</v>
      </c>
      <c r="AZ32" s="6"/>
      <c r="BA32" s="25">
        <f t="shared" si="9"/>
        <v>-2.5</v>
      </c>
      <c r="BB32" s="25">
        <f t="shared" si="10"/>
        <v>-5.67</v>
      </c>
      <c r="BC32" s="25">
        <f t="shared" si="13"/>
        <v>-4.085</v>
      </c>
      <c r="BD32" s="367">
        <f t="shared" si="12"/>
        <v>-3.17</v>
      </c>
      <c r="BE32" s="72"/>
      <c r="BF32" s="25">
        <f>IF(ISBLANK(F32),"",AS32-AVERAGE($F$91:F119))</f>
        <v>0.63241379310344881</v>
      </c>
      <c r="BG32" s="25">
        <f>IF(ISBLANK(G32),"",AT32-AVERAGE($G$91:G119))</f>
        <v>8.4482758620689324E-2</v>
      </c>
      <c r="BH32" s="367">
        <f>IF(ISBLANK(G32),"",BG32-BF32)</f>
        <v>-0.54793103448275948</v>
      </c>
      <c r="BI32" s="115">
        <f t="shared" si="2"/>
        <v>1.2386425834701693</v>
      </c>
      <c r="BJ32" s="115">
        <f t="shared" si="3"/>
        <v>0.76625093105027864</v>
      </c>
      <c r="BK32" s="88"/>
      <c r="BL32" s="572">
        <v>29</v>
      </c>
    </row>
    <row r="33" spans="1:64" ht="12.75" customHeight="1" x14ac:dyDescent="0.2">
      <c r="A33" s="394">
        <f t="shared" si="4"/>
        <v>30</v>
      </c>
      <c r="B33" s="131">
        <f t="shared" si="5"/>
        <v>-0.4</v>
      </c>
      <c r="C33" s="282">
        <f t="shared" si="6"/>
        <v>4.0999999999999996</v>
      </c>
      <c r="D33" s="685"/>
      <c r="E33" s="97">
        <f t="shared" si="7"/>
        <v>30</v>
      </c>
      <c r="F33" s="23">
        <v>-0.4</v>
      </c>
      <c r="G33" s="23">
        <v>4.0999999999999996</v>
      </c>
      <c r="H33" s="553">
        <v>1.8</v>
      </c>
      <c r="I33" s="23">
        <f t="shared" si="22"/>
        <v>4.5</v>
      </c>
      <c r="J33" s="442">
        <f t="shared" si="14"/>
        <v>0</v>
      </c>
      <c r="K33" s="24">
        <v>64</v>
      </c>
      <c r="L33" s="24">
        <v>81</v>
      </c>
      <c r="M33" s="554">
        <v>75</v>
      </c>
      <c r="N33" s="24">
        <f t="shared" si="15"/>
        <v>17</v>
      </c>
      <c r="O33" s="50">
        <f t="shared" si="16"/>
        <v>0</v>
      </c>
      <c r="P33" s="24">
        <v>1022</v>
      </c>
      <c r="Q33" s="24">
        <v>1025</v>
      </c>
      <c r="R33" s="24">
        <f t="shared" si="1"/>
        <v>1023.5</v>
      </c>
      <c r="S33" s="24">
        <f t="shared" si="17"/>
        <v>3</v>
      </c>
      <c r="T33" s="50">
        <v>0</v>
      </c>
      <c r="U33" s="553">
        <v>4.8</v>
      </c>
      <c r="V33" s="553">
        <v>13.8</v>
      </c>
      <c r="W33" s="553">
        <v>19.899999999999999</v>
      </c>
      <c r="X33" s="485" t="s">
        <v>105</v>
      </c>
      <c r="Y33" s="567">
        <f t="shared" si="8"/>
        <v>0</v>
      </c>
      <c r="Z33" s="557">
        <v>0</v>
      </c>
      <c r="AA33" s="558"/>
      <c r="AB33" s="23"/>
      <c r="AC33" s="510" t="str">
        <f t="shared" si="18"/>
        <v/>
      </c>
      <c r="AD33" s="7" t="str">
        <f t="shared" si="19"/>
        <v/>
      </c>
      <c r="AE33" s="559"/>
      <c r="AF33" s="72"/>
      <c r="AG33" s="553">
        <v>-3.8</v>
      </c>
      <c r="AH33" s="553">
        <v>-1</v>
      </c>
      <c r="AI33" s="553">
        <v>-2.2999999999999998</v>
      </c>
      <c r="AJ33" s="26">
        <f t="shared" si="25"/>
        <v>2.8</v>
      </c>
      <c r="AK33" s="6"/>
      <c r="AL33" s="485" t="s">
        <v>361</v>
      </c>
      <c r="AM33" s="54">
        <v>1013.25</v>
      </c>
      <c r="AN33" s="47" t="s">
        <v>214</v>
      </c>
      <c r="AO33" s="400"/>
      <c r="AP33" s="485">
        <v>2</v>
      </c>
      <c r="AQ33" s="485">
        <v>0</v>
      </c>
      <c r="AR33" s="134"/>
      <c r="AS33" s="26">
        <f>IF(ISBLANK(F33),"",(AVERAGE($F$4:F33)))</f>
        <v>2.9199999999999995</v>
      </c>
      <c r="AT33" s="26">
        <f>IF(ISBLANK(G33),"",(AVERAGE($G$4:G33)))</f>
        <v>6.9899999999999993</v>
      </c>
      <c r="AU33" s="25">
        <f>IF(ISBLANK(H33),"",(AVERAGE($H$4:H33)))</f>
        <v>5.1833333333333327</v>
      </c>
      <c r="AV33" s="368">
        <f>IF(ISBLANK(G33),"",(AVERAGE($I$4:I33)))</f>
        <v>4.0700000000000012</v>
      </c>
      <c r="AW33" s="22">
        <f>IF(ISBLANK(M33),"",AVERAGE($M$4:M33))</f>
        <v>85.566666666666663</v>
      </c>
      <c r="AX33" s="376">
        <f>IF(ISBLANK(P33),"",(AVERAGE($R$4:R33)))</f>
        <v>1018.5666670000002</v>
      </c>
      <c r="AY33" s="368">
        <f>IF(ISBLANK(U33),"",(AVERAGE($U$4:U33)))</f>
        <v>5.4933333333333341</v>
      </c>
      <c r="AZ33" s="6"/>
      <c r="BA33" s="25">
        <f t="shared" si="9"/>
        <v>-2.8</v>
      </c>
      <c r="BB33" s="25">
        <f t="shared" si="10"/>
        <v>-2.87</v>
      </c>
      <c r="BC33" s="25">
        <f t="shared" si="13"/>
        <v>-2.835</v>
      </c>
      <c r="BD33" s="367">
        <f t="shared" si="12"/>
        <v>-7.0000000000000284E-2</v>
      </c>
      <c r="BE33" s="72"/>
      <c r="BF33" s="25">
        <f>IF(ISBLANK(F33),"",AS33-AVERAGE($F$91:F120))</f>
        <v>0.51800000000000024</v>
      </c>
      <c r="BG33" s="25">
        <f>IF(ISBLANK(G33),"",AT33-AVERAGE($G$91:G120))</f>
        <v>-1.4000000000001123E-2</v>
      </c>
      <c r="BH33" s="367">
        <f>IF(ISBLANK(G33),"",BG33-BF33)</f>
        <v>-0.53200000000000136</v>
      </c>
      <c r="BI33" s="115">
        <f t="shared" si="2"/>
        <v>1.1973544973544972</v>
      </c>
      <c r="BJ33" s="115">
        <f t="shared" si="3"/>
        <v>0.7838170560105614</v>
      </c>
      <c r="BK33" s="88"/>
      <c r="BL33" s="572">
        <v>30</v>
      </c>
    </row>
    <row r="34" spans="1:64" ht="12.75" customHeight="1" x14ac:dyDescent="0.2">
      <c r="A34" s="394">
        <f t="shared" si="4"/>
        <v>31</v>
      </c>
      <c r="B34" s="131">
        <v>0.7</v>
      </c>
      <c r="C34" s="282">
        <f t="shared" si="6"/>
        <v>3.7</v>
      </c>
      <c r="D34" s="685"/>
      <c r="E34" s="97">
        <v>31</v>
      </c>
      <c r="F34" s="23">
        <v>-0.7</v>
      </c>
      <c r="G34" s="23">
        <v>3.7</v>
      </c>
      <c r="H34" s="553">
        <v>2</v>
      </c>
      <c r="I34" s="23">
        <f t="shared" si="22"/>
        <v>4.4000000000000004</v>
      </c>
      <c r="J34" s="6">
        <f t="shared" si="14"/>
        <v>0</v>
      </c>
      <c r="K34" s="24">
        <v>67</v>
      </c>
      <c r="L34" s="24">
        <v>80</v>
      </c>
      <c r="M34" s="554">
        <v>74</v>
      </c>
      <c r="N34" s="24">
        <f t="shared" si="15"/>
        <v>13</v>
      </c>
      <c r="O34" s="50">
        <f t="shared" si="16"/>
        <v>1</v>
      </c>
      <c r="P34" s="24">
        <v>1025</v>
      </c>
      <c r="Q34" s="24">
        <v>1026</v>
      </c>
      <c r="R34" s="24">
        <f t="shared" si="1"/>
        <v>1025.5</v>
      </c>
      <c r="S34" s="24">
        <f t="shared" si="17"/>
        <v>1</v>
      </c>
      <c r="T34" s="50">
        <v>0</v>
      </c>
      <c r="U34" s="553">
        <v>2.7</v>
      </c>
      <c r="V34" s="553">
        <v>9.4</v>
      </c>
      <c r="W34" s="553">
        <v>11.8</v>
      </c>
      <c r="X34" s="562" t="s">
        <v>110</v>
      </c>
      <c r="Y34" s="567">
        <f t="shared" si="8"/>
        <v>0</v>
      </c>
      <c r="Z34" s="557">
        <v>0</v>
      </c>
      <c r="AA34" s="558"/>
      <c r="AB34" s="558"/>
      <c r="AC34" s="510" t="str">
        <f t="shared" si="18"/>
        <v/>
      </c>
      <c r="AD34" s="7" t="str">
        <f t="shared" si="19"/>
        <v/>
      </c>
      <c r="AE34" s="559"/>
      <c r="AF34" s="72"/>
      <c r="AG34" s="553">
        <v>-3.7</v>
      </c>
      <c r="AH34" s="553">
        <v>-1</v>
      </c>
      <c r="AI34" s="553">
        <v>-2.2000000000000002</v>
      </c>
      <c r="AJ34" s="26">
        <f t="shared" si="25"/>
        <v>2.7</v>
      </c>
      <c r="AK34" s="6"/>
      <c r="AL34" s="485" t="s">
        <v>362</v>
      </c>
      <c r="AM34" s="54">
        <v>1013.25</v>
      </c>
      <c r="AN34" s="23" t="s">
        <v>8</v>
      </c>
      <c r="AO34" s="400"/>
      <c r="AP34" s="485">
        <v>4.5</v>
      </c>
      <c r="AQ34" s="485">
        <v>0</v>
      </c>
      <c r="AR34" s="134"/>
      <c r="AS34" s="49">
        <f>IF(ISBLANK(F6),"",(AVERAGE($F$4:F34)))</f>
        <v>2.803225806451612</v>
      </c>
      <c r="AT34" s="49">
        <f>IF(ISBLANK(G6),"",(AVERAGE($G$4:G34)))</f>
        <v>6.8838709677419345</v>
      </c>
      <c r="AU34" s="13">
        <f>IF(ISBLANK(H5),"",(AVERAGE($H$4:H34)))</f>
        <v>5.0806451612903221</v>
      </c>
      <c r="AV34" s="369">
        <f>IF(ISBLANK(G6),"",(AVERAGE($I$4:I34)))</f>
        <v>4.0806451612903238</v>
      </c>
      <c r="AW34" s="25">
        <f>IF(ISBLANK(M5),"",AVERAGE($M$4:M34))</f>
        <v>85.193548387096769</v>
      </c>
      <c r="AX34" s="373">
        <f>IF(ISBLANK(P6),"",(AVERAGE($R$4:R34)))</f>
        <v>1018.790322903226</v>
      </c>
      <c r="AY34" s="369">
        <f>IF(ISBLANK(U6),"",(AVERAGE($U$4:U34)))</f>
        <v>5.403225806451613</v>
      </c>
      <c r="AZ34" s="6"/>
      <c r="BA34" s="25">
        <f t="shared" si="9"/>
        <v>-3.0999999999999996</v>
      </c>
      <c r="BB34" s="25">
        <f t="shared" si="10"/>
        <v>-3.33</v>
      </c>
      <c r="BC34" s="25">
        <f t="shared" si="13"/>
        <v>-3.2149999999999999</v>
      </c>
      <c r="BD34" s="367">
        <f t="shared" si="12"/>
        <v>-0.23000000000000043</v>
      </c>
      <c r="BE34" s="72"/>
      <c r="BF34" s="25">
        <f>IF(ISBLANK(F34),"",AS34-AVERAGE($F$91:F121))</f>
        <v>0.40129032258064479</v>
      </c>
      <c r="BG34" s="25">
        <f>IF(ISBLANK(G34),"",AT34-AVERAGE($G$91:G121))</f>
        <v>-0.12096774193548487</v>
      </c>
      <c r="BH34" s="367">
        <f>IF(ISBLANK(G34),"",BG34-BF34)</f>
        <v>-0.52225806451612966</v>
      </c>
      <c r="BI34" s="115">
        <f>IF(ISBLANK(Z6),"",AB121/AA121)</f>
        <v>1.1587301587301586</v>
      </c>
      <c r="BJ34" s="115">
        <f t="shared" si="3"/>
        <v>0.85434782608695647</v>
      </c>
      <c r="BK34" s="88"/>
      <c r="BL34" s="572">
        <v>31</v>
      </c>
    </row>
    <row r="35" spans="1:64" s="10" customFormat="1" ht="3" customHeight="1" x14ac:dyDescent="0.2">
      <c r="A35" s="67"/>
      <c r="B35" s="284"/>
      <c r="C35" s="285"/>
      <c r="D35" s="685"/>
      <c r="E35" s="15"/>
      <c r="F35" s="29"/>
      <c r="G35" s="29"/>
      <c r="H35" s="28"/>
      <c r="I35" s="29"/>
      <c r="J35" s="6"/>
      <c r="K35" s="30"/>
      <c r="L35" s="30"/>
      <c r="M35" s="30"/>
      <c r="N35" s="30"/>
      <c r="O35" s="17"/>
      <c r="P35" s="30"/>
      <c r="Q35" s="30"/>
      <c r="R35" s="30"/>
      <c r="S35" s="30"/>
      <c r="T35" s="50"/>
      <c r="U35" s="28"/>
      <c r="V35" s="28"/>
      <c r="W35" s="32"/>
      <c r="X35" s="28"/>
      <c r="Y35" s="67"/>
      <c r="Z35" s="501"/>
      <c r="AA35" s="501"/>
      <c r="AB35" s="501"/>
      <c r="AC35" s="511"/>
      <c r="AD35" s="28"/>
      <c r="AE35" s="28"/>
      <c r="AF35" s="6"/>
      <c r="AG35" s="28"/>
      <c r="AH35" s="28"/>
      <c r="AI35" s="28"/>
      <c r="AJ35" s="28"/>
      <c r="AK35" s="67"/>
      <c r="AL35" s="95"/>
      <c r="AM35" s="6"/>
      <c r="AN35" s="29"/>
      <c r="AO35" s="400"/>
      <c r="AP35" s="28"/>
      <c r="AQ35" s="28"/>
      <c r="AR35" s="67"/>
      <c r="AS35" s="31"/>
      <c r="AT35" s="32"/>
      <c r="AU35" s="83"/>
      <c r="AV35" s="33"/>
      <c r="AW35" s="33"/>
      <c r="AX35" s="32"/>
      <c r="AY35" s="112"/>
      <c r="AZ35" s="54"/>
      <c r="BA35" s="112"/>
      <c r="BB35" s="112"/>
      <c r="BC35" s="112"/>
      <c r="BD35" s="82"/>
      <c r="BE35" s="402"/>
      <c r="BF35" s="32"/>
      <c r="BG35" s="32"/>
      <c r="BH35" s="32"/>
      <c r="BI35" s="28"/>
      <c r="BJ35" s="584"/>
      <c r="BK35" s="88"/>
      <c r="BL35" s="78"/>
    </row>
    <row r="36" spans="1:64" ht="12.75" customHeight="1" x14ac:dyDescent="0.2">
      <c r="A36" s="67"/>
      <c r="B36" s="697"/>
      <c r="C36" s="698"/>
      <c r="D36" s="685"/>
      <c r="E36" s="4"/>
      <c r="F36" s="25"/>
      <c r="G36" s="25"/>
      <c r="H36" s="21"/>
      <c r="I36" s="25"/>
      <c r="J36" s="18"/>
      <c r="K36" s="22"/>
      <c r="L36" s="22"/>
      <c r="M36" s="22"/>
      <c r="N36" s="22"/>
      <c r="O36" s="18"/>
      <c r="P36" s="48"/>
      <c r="Q36" s="48"/>
      <c r="R36" s="48"/>
      <c r="S36" s="48"/>
      <c r="T36" s="67"/>
      <c r="U36" s="21"/>
      <c r="V36" s="21"/>
      <c r="W36" s="21"/>
      <c r="X36" s="21"/>
      <c r="Y36" s="67"/>
      <c r="Z36" s="458" t="s">
        <v>34</v>
      </c>
      <c r="AA36" s="502"/>
      <c r="AB36" s="502"/>
      <c r="AC36" s="512"/>
      <c r="AD36" s="430" t="s">
        <v>202</v>
      </c>
      <c r="AE36" s="111"/>
      <c r="AF36" s="6"/>
      <c r="AG36" s="21"/>
      <c r="AJ36" s="21"/>
      <c r="AK36" s="67"/>
      <c r="AM36" s="6"/>
      <c r="AN36" s="182" t="s">
        <v>121</v>
      </c>
      <c r="AO36" s="402"/>
      <c r="AP36" s="185" t="s">
        <v>34</v>
      </c>
      <c r="AQ36" s="520" t="s">
        <v>34</v>
      </c>
      <c r="AR36" s="67"/>
      <c r="AS36" s="271" t="s">
        <v>16</v>
      </c>
      <c r="AT36" s="152" t="s">
        <v>26</v>
      </c>
      <c r="AU36" s="11" t="s">
        <v>41</v>
      </c>
      <c r="AV36" s="416" t="s">
        <v>81</v>
      </c>
      <c r="AW36" s="11" t="s">
        <v>6</v>
      </c>
      <c r="AX36" s="296" t="s">
        <v>79</v>
      </c>
      <c r="AY36" s="182" t="s">
        <v>201</v>
      </c>
      <c r="AZ36" s="71"/>
      <c r="BA36" s="699" t="s">
        <v>78</v>
      </c>
      <c r="BB36" s="699"/>
      <c r="BC36" s="569" t="s">
        <v>200</v>
      </c>
      <c r="BD36" s="417" t="s">
        <v>253</v>
      </c>
      <c r="BE36" s="402"/>
      <c r="BH36" s="21"/>
      <c r="BK36" s="88"/>
      <c r="BL36" s="78"/>
    </row>
    <row r="37" spans="1:64" ht="3" customHeight="1" x14ac:dyDescent="0.2">
      <c r="A37" s="73"/>
      <c r="B37" s="284"/>
      <c r="C37" s="286"/>
      <c r="D37" s="685"/>
      <c r="E37" s="35"/>
      <c r="F37" s="36"/>
      <c r="G37" s="36"/>
      <c r="H37" s="34"/>
      <c r="I37" s="36"/>
      <c r="J37" s="60"/>
      <c r="K37" s="37"/>
      <c r="L37" s="37"/>
      <c r="M37" s="37"/>
      <c r="N37" s="37"/>
      <c r="O37" s="18"/>
      <c r="P37" s="37"/>
      <c r="Q37" s="37"/>
      <c r="R37" s="37"/>
      <c r="S37" s="37"/>
      <c r="T37" s="73"/>
      <c r="U37" s="34"/>
      <c r="V37" s="34"/>
      <c r="W37" s="34"/>
      <c r="X37" s="34"/>
      <c r="Y37" s="73"/>
      <c r="Z37" s="503"/>
      <c r="AA37" s="503"/>
      <c r="AB37" s="503"/>
      <c r="AC37" s="513"/>
      <c r="AD37" s="261"/>
      <c r="AE37" s="261"/>
      <c r="AF37" s="6"/>
      <c r="AG37" s="34"/>
      <c r="AH37" s="34"/>
      <c r="AI37" s="34"/>
      <c r="AJ37" s="34"/>
      <c r="AK37" s="73"/>
      <c r="AL37" s="95"/>
      <c r="AM37" s="6"/>
      <c r="AN37" s="34"/>
      <c r="AO37" s="403"/>
      <c r="AP37" s="34"/>
      <c r="AQ37" s="34"/>
      <c r="AR37" s="73"/>
      <c r="AS37" s="272"/>
      <c r="AT37" s="270"/>
      <c r="AU37" s="36"/>
      <c r="AV37" s="269"/>
      <c r="AW37" s="36"/>
      <c r="AX37" s="297"/>
      <c r="AY37" s="269"/>
      <c r="AZ37" s="76"/>
      <c r="BA37" s="687"/>
      <c r="BB37" s="687"/>
      <c r="BC37" s="36"/>
      <c r="BD37" s="34"/>
      <c r="BE37" s="522"/>
      <c r="BF37" s="95"/>
      <c r="BG37" s="34"/>
      <c r="BH37" s="34"/>
      <c r="BI37" s="364"/>
      <c r="BJ37" s="364"/>
      <c r="BK37" s="403"/>
      <c r="BL37" s="79"/>
    </row>
    <row r="38" spans="1:64" ht="12.75" customHeight="1" x14ac:dyDescent="0.2">
      <c r="A38" s="67"/>
      <c r="B38" s="700" t="s">
        <v>4</v>
      </c>
      <c r="C38" s="701"/>
      <c r="D38" s="685"/>
      <c r="E38" s="4" t="s">
        <v>4</v>
      </c>
      <c r="F38" s="152">
        <f>IF(ISBLANK(F4),"",AVERAGE(F4:F34))</f>
        <v>2.803225806451612</v>
      </c>
      <c r="G38" s="151">
        <f>IF(ISBLANK(G4),"",AVERAGE(G4:G34))</f>
        <v>6.8838709677419345</v>
      </c>
      <c r="H38" s="14">
        <f>IF(ISBLANK(H4),"",AVERAGE(H4:H34))</f>
        <v>5.0806451612903221</v>
      </c>
      <c r="I38" s="129">
        <f>IF(ISBLANK(F4),"",AVERAGE(I4:I34))</f>
        <v>4.0806451612903238</v>
      </c>
      <c r="J38" s="19"/>
      <c r="K38" s="156">
        <f>IF(ISBLANK(K4),"",AVERAGE(K4:K34))</f>
        <v>76.032258064516128</v>
      </c>
      <c r="L38" s="153">
        <f>IF(ISBLANK(K4),"",AVERAGE(L4:L34))</f>
        <v>92.225806451612897</v>
      </c>
      <c r="M38" s="9">
        <f>IF(ISBLANK(M4),"",AVERAGE(M4:M34))</f>
        <v>85.193548387096769</v>
      </c>
      <c r="N38" s="398">
        <f>IF(ISBLANK(K4),"",AVERAGE(N4:N34))</f>
        <v>16.193548387096776</v>
      </c>
      <c r="O38" s="18"/>
      <c r="P38" s="154">
        <f>IF(ISBLANK(P4),"",AVERAGE(P4:P34))</f>
        <v>1015.1612903225806</v>
      </c>
      <c r="Q38" s="155">
        <f>IF(ISBLANK(P4),"",AVERAGE(Q4:Q34))</f>
        <v>1022.419355483871</v>
      </c>
      <c r="R38" s="378">
        <f>IF(ISBLANK(P4),"",AVERAGE(P4:Q34))</f>
        <v>1018.790322903226</v>
      </c>
      <c r="S38" s="130">
        <f>IF(ISBLANK(P4),"",AVERAGE(S4:S34))</f>
        <v>7.2580651612903209</v>
      </c>
      <c r="T38" s="70"/>
      <c r="U38" s="266">
        <f>IF(ISBLANK(U4),"",AVERAGE(U4:U34))</f>
        <v>5.403225806451613</v>
      </c>
      <c r="V38" s="266">
        <f>IF(ISBLANK(V4),"",AVERAGE(V4:V34))</f>
        <v>13.745161290322581</v>
      </c>
      <c r="W38" s="266">
        <f>IF(ISBLANK(U4),"",AVERAGE(W4:W34))</f>
        <v>19.335483870967742</v>
      </c>
      <c r="X38" s="266" t="s">
        <v>110</v>
      </c>
      <c r="Y38" s="56"/>
      <c r="Z38" s="466">
        <f>SUM(Z4:Z34)</f>
        <v>72.999999999999986</v>
      </c>
      <c r="AA38" s="466">
        <f>IF($AN$38=0,"",AVERAGE(AA4:AA34))</f>
        <v>2.2384615384615385</v>
      </c>
      <c r="AB38" s="466">
        <f>IF($AN$38=0,"",AVERAGE(AB4:AB34))</f>
        <v>1.0499999999999998</v>
      </c>
      <c r="AC38" s="514">
        <f>IF($AN$38=0,"",AVERAGE(AC4:AC34))</f>
        <v>5.2631578947368432E-2</v>
      </c>
      <c r="AD38" s="182">
        <f>IF(Z38=0,"",Z38/AQ38)</f>
        <v>1.1793214862681742</v>
      </c>
      <c r="AE38" s="254">
        <f>IF($AN$38=0,"",AVERAGE(AE4:AE34))</f>
        <v>11.518181818181818</v>
      </c>
      <c r="AF38" s="6"/>
      <c r="AG38" s="263">
        <f>IF(ISBLANK(AG4),"",AVERAGE(AG4:AG34))</f>
        <v>0.27419354838709664</v>
      </c>
      <c r="AH38" s="321">
        <f>IF(ISBLANK(AH4),"",AVERAGE(AH4:AH34))</f>
        <v>4.845161290322582</v>
      </c>
      <c r="AI38" s="301">
        <f>IF(ISBLANK(AI4),"",AVERAGE(AI4:AI34))</f>
        <v>2.7354838709677427</v>
      </c>
      <c r="AJ38" s="46">
        <f>IF(ISBLANK(AG4),"",AVERAGE(AJ4:AJ34))</f>
        <v>4.5709677419354842</v>
      </c>
      <c r="AK38" s="311"/>
      <c r="AL38" s="669" t="s">
        <v>417</v>
      </c>
      <c r="AM38" s="6"/>
      <c r="AN38" s="254">
        <f>COUNTIF(AL91:AL121,1)</f>
        <v>10</v>
      </c>
      <c r="AO38" s="224"/>
      <c r="AP38" s="528">
        <f>SUM(AP4:AP34)</f>
        <v>39.299999999999997</v>
      </c>
      <c r="AQ38" s="432">
        <f>SUM(AQ4:AQ34)</f>
        <v>61.9</v>
      </c>
      <c r="AR38" s="56"/>
      <c r="AS38" s="358">
        <f>COUNTIF(G4:G34, "&gt;25")</f>
        <v>0</v>
      </c>
      <c r="AT38" s="357">
        <f>COUNTIF(B4:B34,"&lt;0")</f>
        <v>4</v>
      </c>
      <c r="AU38" s="145">
        <f>SUM(COUNTIF(AN4:AN34,"Thunder"),COUNTIF(AN4:AN34,"*Thunder*"),COUNTIF(AN4:AN34,"*Storm*"))</f>
        <v>1</v>
      </c>
      <c r="AV38" s="396">
        <f xml:space="preserve"> SUM(COUNTIF(AN4:AN34,"*Slt*"),COUNTIF(AN4:AN34,"*Snw*"))</f>
        <v>1</v>
      </c>
      <c r="AW38" s="145">
        <f>COUNTIF(W4:W34, "&gt;38")</f>
        <v>0</v>
      </c>
      <c r="AX38" s="359">
        <f xml:space="preserve"> SUM(COUNTIF(AN4:AN34,"Hail"),COUNTIF(AN4:AN34,"*Hail*"))</f>
        <v>0</v>
      </c>
      <c r="AY38" s="396">
        <f>COUNTIF(Z4:Z34,"&gt;19.9")</f>
        <v>0</v>
      </c>
      <c r="AZ38" s="360"/>
      <c r="BA38" s="689">
        <f xml:space="preserve"> SUM(COUNTIF(AN4:AN34,"cm"),COUNTIF(AN4:AN34,"*cm*"))</f>
        <v>0</v>
      </c>
      <c r="BB38" s="689"/>
      <c r="BC38" s="568">
        <f xml:space="preserve"> SUM(COUNTIF(AN4:AN34,"Dense"),COUNTIF(AN4:AN34,"*Dense*"))</f>
        <v>0</v>
      </c>
      <c r="BD38" s="417">
        <f t="array" ref="BD38">SUM(IF(AP4:AP34&gt;0.95*AT91:AT121,1,0))</f>
        <v>1</v>
      </c>
      <c r="BE38" s="523"/>
      <c r="BH38" s="25"/>
      <c r="BK38" s="88"/>
      <c r="BL38" s="78"/>
    </row>
    <row r="39" spans="1:64" ht="12.75" customHeight="1" x14ac:dyDescent="0.2">
      <c r="A39" s="67"/>
      <c r="B39" s="214">
        <f>IF(ISBLANK(F4),"",AVERAGE(B4:B34))</f>
        <v>3.6967741935483871</v>
      </c>
      <c r="C39" s="287">
        <f>IF(ISBLANK(P4),"",AVERAGE(C4:C34))</f>
        <v>6.6161290322580628</v>
      </c>
      <c r="D39" s="686"/>
      <c r="E39" s="4" t="s">
        <v>9</v>
      </c>
      <c r="F39" s="163">
        <v>2.4</v>
      </c>
      <c r="G39" s="94">
        <v>7</v>
      </c>
      <c r="H39" s="390" t="s">
        <v>4</v>
      </c>
      <c r="I39" s="162">
        <f>G39-F39</f>
        <v>4.5999999999999996</v>
      </c>
      <c r="J39" s="19"/>
      <c r="K39" s="22"/>
      <c r="L39" s="22"/>
      <c r="M39" s="538" t="s">
        <v>4</v>
      </c>
      <c r="N39" s="22"/>
      <c r="O39" s="18"/>
      <c r="P39" s="22"/>
      <c r="Q39" s="22"/>
      <c r="R39" s="380">
        <v>1013.25</v>
      </c>
      <c r="S39" s="22"/>
      <c r="T39" s="70"/>
      <c r="U39" s="259">
        <v>5.2</v>
      </c>
      <c r="V39" s="259"/>
      <c r="X39" s="260"/>
      <c r="Y39" s="70"/>
      <c r="Z39" s="504">
        <v>63</v>
      </c>
      <c r="AA39" s="105"/>
      <c r="AB39" s="505"/>
      <c r="AC39" s="515"/>
      <c r="AD39" s="490">
        <f>Z39/AQ39</f>
        <v>1.0161290322580645</v>
      </c>
      <c r="AF39" s="6"/>
      <c r="AG39" s="25"/>
      <c r="AI39" s="25"/>
      <c r="AJ39" s="25"/>
      <c r="AK39" s="56"/>
      <c r="AL39" s="669"/>
      <c r="AM39" s="6"/>
      <c r="AN39" s="253">
        <v>11</v>
      </c>
      <c r="AO39" s="224"/>
      <c r="AP39" s="529">
        <v>46</v>
      </c>
      <c r="AQ39" s="460">
        <v>62</v>
      </c>
      <c r="AR39" s="67"/>
      <c r="AT39" s="357">
        <v>7</v>
      </c>
      <c r="AU39" s="25">
        <v>0.4</v>
      </c>
      <c r="AV39" s="396">
        <v>5</v>
      </c>
      <c r="AW39" s="145"/>
      <c r="AX39" s="359"/>
      <c r="AZ39" s="360"/>
      <c r="BA39" s="688">
        <v>2.5</v>
      </c>
      <c r="BB39" s="688"/>
      <c r="BC39" s="145"/>
      <c r="BD39" s="145"/>
      <c r="BE39" s="360"/>
      <c r="BF39" s="147"/>
      <c r="BG39" s="147"/>
      <c r="BH39" s="147"/>
      <c r="BI39" s="147"/>
      <c r="BK39" s="88"/>
      <c r="BL39" s="78"/>
    </row>
    <row r="40" spans="1:64" ht="12.75" customHeight="1" x14ac:dyDescent="0.2">
      <c r="A40" s="67"/>
      <c r="B40" s="215">
        <f>IF(ISBLANK(F4),"",B39-F38)</f>
        <v>0.89354838709677509</v>
      </c>
      <c r="C40" s="288">
        <f>IF(ISBLANK(P4),"",C39-G38)</f>
        <v>-0.26774193548387171</v>
      </c>
      <c r="D40" s="686"/>
      <c r="E40" s="4" t="s">
        <v>10</v>
      </c>
      <c r="F40" s="152">
        <f>IF(ISBLANK(F4),"",F38-F39)</f>
        <v>0.4032258064516121</v>
      </c>
      <c r="G40" s="151">
        <f>IF(ISBLANK(G4),"",G38-G39)</f>
        <v>-0.11612903225806548</v>
      </c>
      <c r="H40" s="383">
        <f>IF(M53&lt;1,"",AVERAGE(F4:G34))</f>
        <v>4.8435483870967753</v>
      </c>
      <c r="I40" s="129">
        <f>IF(ISBLANK(F4),"",SUM(I38-I39))</f>
        <v>-0.5193548387096758</v>
      </c>
      <c r="J40" s="19"/>
      <c r="K40" s="22"/>
      <c r="L40" s="22"/>
      <c r="M40" s="537">
        <f>IF(M53&lt;1,"",AVERAGE(K4:L34))</f>
        <v>84.129032258064512</v>
      </c>
      <c r="N40" s="25"/>
      <c r="O40" s="18"/>
      <c r="P40" s="102"/>
      <c r="Q40" s="22"/>
      <c r="R40" s="378">
        <f>IF(ISBLANK(P4),"",R38-R39)</f>
        <v>5.540322903225956</v>
      </c>
      <c r="S40" s="22"/>
      <c r="T40" s="70"/>
      <c r="U40" s="266">
        <f>IF(ISBLANK(U4),"",U38-U39)</f>
        <v>0.20322580645161281</v>
      </c>
      <c r="V40" s="435"/>
      <c r="W40" s="435"/>
      <c r="X40" s="435"/>
      <c r="Y40" s="70"/>
      <c r="Z40" s="465">
        <f>IF(ISBLANK(Z4),"",AB47/AB48)</f>
        <v>1.1587301587301586</v>
      </c>
      <c r="AA40" s="506">
        <f>Z38/Z39</f>
        <v>1.1587301587301586</v>
      </c>
      <c r="AB40" s="105"/>
      <c r="AC40" s="516"/>
      <c r="AD40" s="262">
        <f>IF(Z38&lt;0.3,"",AD38/(Z39/AQ39))</f>
        <v>1.1606020975972509</v>
      </c>
      <c r="AE40" s="527">
        <f>IF($AN$38=0,"",AVERAGE(AD4:AD34))</f>
        <v>1.1595070452423397</v>
      </c>
      <c r="AF40" s="6"/>
      <c r="AI40" s="25"/>
      <c r="AJ40" s="25"/>
      <c r="AK40" s="56"/>
      <c r="AL40" s="669"/>
      <c r="AM40" s="6"/>
      <c r="AN40" s="254">
        <f>SUM(AN38-AN39)</f>
        <v>-1</v>
      </c>
      <c r="AO40" s="224"/>
      <c r="AP40" s="530">
        <f>IF(ISBLANK(AP4),"",AP47/AP54)</f>
        <v>0.85434782608695636</v>
      </c>
      <c r="AQ40" s="427">
        <f>IF(ISBLANK(AQ4),"",AQ47/(AQ39/E34))</f>
        <v>0.99838709677419357</v>
      </c>
      <c r="AR40" s="418"/>
      <c r="AT40" s="357">
        <f>SUM(AT38-AT39)</f>
        <v>-3</v>
      </c>
      <c r="AU40" s="145">
        <f>SUM(AU38-AU39)</f>
        <v>0.6</v>
      </c>
      <c r="AV40" s="396">
        <f>AV38-AV39</f>
        <v>-4</v>
      </c>
      <c r="AW40" s="145"/>
      <c r="AX40" s="359"/>
      <c r="AZ40" s="360"/>
      <c r="BA40" s="689">
        <f>BA38-BA39</f>
        <v>-2.5</v>
      </c>
      <c r="BB40" s="689"/>
      <c r="BC40" s="145"/>
      <c r="BD40" s="145"/>
      <c r="BE40" s="360"/>
      <c r="BI40" s="25"/>
      <c r="BK40" s="88"/>
      <c r="BL40" s="78"/>
    </row>
    <row r="41" spans="1:64" ht="4.5" customHeight="1" x14ac:dyDescent="0.2">
      <c r="A41" s="74"/>
      <c r="B41" s="289"/>
      <c r="C41" s="290"/>
      <c r="D41" s="686"/>
      <c r="E41" s="40"/>
      <c r="F41" s="41"/>
      <c r="G41" s="41"/>
      <c r="H41" s="42"/>
      <c r="I41" s="41"/>
      <c r="J41" s="61"/>
      <c r="K41" s="43"/>
      <c r="L41" s="43"/>
      <c r="M41" s="44"/>
      <c r="N41" s="43"/>
      <c r="O41" s="18"/>
      <c r="P41" s="43"/>
      <c r="Q41" s="43"/>
      <c r="R41" s="44"/>
      <c r="S41" s="43"/>
      <c r="T41" s="74"/>
      <c r="U41" s="41"/>
      <c r="V41" s="41"/>
      <c r="W41" s="41"/>
      <c r="X41" s="41"/>
      <c r="Y41" s="77"/>
      <c r="Z41" s="507"/>
      <c r="AA41" s="507"/>
      <c r="AB41" s="507"/>
      <c r="AC41" s="517"/>
      <c r="AD41" s="41"/>
      <c r="AE41" s="41"/>
      <c r="AF41" s="6"/>
      <c r="AG41" s="41"/>
      <c r="AH41" s="41"/>
      <c r="AI41" s="41"/>
      <c r="AJ41" s="41"/>
      <c r="AK41" s="77"/>
      <c r="AL41" s="669"/>
      <c r="AM41" s="6"/>
      <c r="AN41" s="39"/>
      <c r="AO41" s="39"/>
      <c r="AP41" s="39"/>
      <c r="AQ41" s="39"/>
      <c r="AR41" s="39"/>
      <c r="AS41" s="41"/>
      <c r="AT41" s="43"/>
      <c r="AU41" s="41"/>
      <c r="AV41" s="41"/>
      <c r="AW41" s="41"/>
      <c r="AX41" s="41"/>
      <c r="AY41" s="41"/>
      <c r="AZ41" s="77"/>
      <c r="BA41" s="41"/>
      <c r="BB41" s="41"/>
      <c r="BC41" s="41"/>
      <c r="BD41" s="41"/>
      <c r="BE41" s="77"/>
      <c r="BF41" s="41"/>
      <c r="BG41" s="41"/>
      <c r="BH41" s="39"/>
      <c r="BI41" s="41"/>
      <c r="BJ41" s="41"/>
      <c r="BK41" s="39"/>
      <c r="BL41" s="80"/>
    </row>
    <row r="42" spans="1:64" ht="12.75" customHeight="1" x14ac:dyDescent="0.2">
      <c r="A42" s="67"/>
      <c r="B42" s="705" t="s">
        <v>98</v>
      </c>
      <c r="C42" s="706"/>
      <c r="D42" s="686"/>
      <c r="E42" s="4" t="s">
        <v>5</v>
      </c>
      <c r="F42" s="25">
        <f>F86-F85</f>
        <v>12.3</v>
      </c>
      <c r="G42" s="25">
        <f>G86-G85</f>
        <v>12.100000000000001</v>
      </c>
      <c r="H42" s="25">
        <f>H86-H85</f>
        <v>11.6</v>
      </c>
      <c r="I42" s="25">
        <f>I86-I85</f>
        <v>8.1</v>
      </c>
      <c r="J42" s="20"/>
      <c r="K42" s="22">
        <f>K86-K85</f>
        <v>37</v>
      </c>
      <c r="L42" s="22">
        <f>L86-L85</f>
        <v>22</v>
      </c>
      <c r="M42" s="22">
        <f>M86-M85</f>
        <v>33</v>
      </c>
      <c r="N42" s="22">
        <f>N86-N85</f>
        <v>26</v>
      </c>
      <c r="O42" s="20"/>
      <c r="P42" s="22">
        <f>P86-P85</f>
        <v>50</v>
      </c>
      <c r="Q42" s="22">
        <f>Q86-Q85</f>
        <v>37.000009999999975</v>
      </c>
      <c r="R42" s="22">
        <f>R86-R85</f>
        <v>42.500004999999874</v>
      </c>
      <c r="S42" s="22">
        <f>S86-S85</f>
        <v>19</v>
      </c>
      <c r="T42" s="75"/>
      <c r="U42" s="25">
        <f>U86-U85</f>
        <v>8.6</v>
      </c>
      <c r="V42" s="25">
        <f>V86-V85</f>
        <v>15.4</v>
      </c>
      <c r="W42" s="25">
        <f>W86-W85</f>
        <v>24.400000000000002</v>
      </c>
      <c r="X42" s="25"/>
      <c r="Y42" s="135"/>
      <c r="Z42" s="38">
        <f>Z86-Z85</f>
        <v>16.100000000000001</v>
      </c>
      <c r="AA42" s="38">
        <f>AA86-AA85</f>
        <v>5.2</v>
      </c>
      <c r="AB42" s="38">
        <f>AB86-AB85</f>
        <v>3.5999999999999996</v>
      </c>
      <c r="AC42" s="510">
        <f>AC86-AC85</f>
        <v>0.21917808219178089</v>
      </c>
      <c r="AD42" s="25">
        <f>AE86-AE85</f>
        <v>5.3</v>
      </c>
      <c r="AE42" s="22">
        <f>AD86-AD85</f>
        <v>39.200000000000003</v>
      </c>
      <c r="AF42" s="6"/>
      <c r="AG42" s="25">
        <f>AG86-AG85</f>
        <v>17</v>
      </c>
      <c r="AH42" s="25">
        <f>AH86-AH85</f>
        <v>15.8</v>
      </c>
      <c r="AI42" s="25">
        <f>AI86-AI85</f>
        <v>16.899999999999999</v>
      </c>
      <c r="AJ42" s="25">
        <f>AJ86-AJ85</f>
        <v>9.2000000000000011</v>
      </c>
      <c r="AK42" s="56"/>
      <c r="AL42" s="669"/>
      <c r="AM42" s="6"/>
      <c r="AN42" s="4" t="s">
        <v>80</v>
      </c>
      <c r="AO42" s="223"/>
      <c r="AP42" s="25">
        <f>AP86-AP85</f>
        <v>7.3</v>
      </c>
      <c r="AQ42" s="22">
        <f>AQ86-AQ85</f>
        <v>10</v>
      </c>
      <c r="AR42" s="70"/>
      <c r="AS42" s="25">
        <f t="shared" ref="AS42:AY42" si="26">AS86-AS85</f>
        <v>2.3217647058823516</v>
      </c>
      <c r="AT42" s="25">
        <f t="shared" si="26"/>
        <v>3.4188235294117639</v>
      </c>
      <c r="AU42" s="25">
        <f t="shared" si="26"/>
        <v>2.70235294117647</v>
      </c>
      <c r="AV42" s="25">
        <f t="shared" si="26"/>
        <v>2.1766666666666659</v>
      </c>
      <c r="AW42" s="25">
        <f t="shared" si="26"/>
        <v>5.1230769230769226</v>
      </c>
      <c r="AX42" s="25">
        <f t="shared" si="26"/>
        <v>8.4721406304986431</v>
      </c>
      <c r="AY42" s="25">
        <f t="shared" si="26"/>
        <v>1.6958333333333329</v>
      </c>
      <c r="AZ42" s="56"/>
      <c r="BA42" s="25">
        <f>G42</f>
        <v>12.100000000000001</v>
      </c>
      <c r="BB42" s="25">
        <f>H42</f>
        <v>11.6</v>
      </c>
      <c r="BC42" s="25">
        <f>I42</f>
        <v>8.1</v>
      </c>
      <c r="BD42" s="22"/>
      <c r="BE42" s="67"/>
      <c r="BF42" s="13">
        <f>AS42</f>
        <v>2.3217647058823516</v>
      </c>
      <c r="BG42" s="13">
        <f>AT42</f>
        <v>3.4188235294117639</v>
      </c>
      <c r="BH42" s="13">
        <f>BH86-BH85</f>
        <v>2.1049999999999969</v>
      </c>
      <c r="BI42" s="93">
        <f>BI86-BI85</f>
        <v>1.8441446208112877</v>
      </c>
      <c r="BJ42" s="93">
        <f>BJ86-BJ85</f>
        <v>0.58254401830678415</v>
      </c>
      <c r="BK42" s="88"/>
      <c r="BL42" s="78"/>
    </row>
    <row r="43" spans="1:64" ht="12.75" customHeight="1" x14ac:dyDescent="0.2">
      <c r="A43" s="67"/>
      <c r="B43" s="216">
        <f>COUNTIF(O4:O34,1)</f>
        <v>13</v>
      </c>
      <c r="C43" s="291">
        <f>COUNTIF(J4:J34,1)</f>
        <v>6</v>
      </c>
      <c r="D43" s="686"/>
      <c r="E43" s="12" t="s">
        <v>174</v>
      </c>
      <c r="F43" s="25">
        <f>IF(ISBLANK($G$6),"",STDEV(F4:F34))</f>
        <v>3.1096070352985916</v>
      </c>
      <c r="G43" s="25">
        <f>IF(ISBLANK($G$6),"",STDEV(G4:G34))</f>
        <v>3.2494201302379637</v>
      </c>
      <c r="H43" s="25">
        <f>IF(ISBLANK($H$6),"",STDEV(H4:H34))</f>
        <v>3.103913589308259</v>
      </c>
      <c r="I43" s="25">
        <f>IF(ISBLANK($G$6),"",STDEV(I4:I34))</f>
        <v>2.0932302556636699</v>
      </c>
      <c r="J43" s="56"/>
      <c r="K43" s="25">
        <f>IF(ISBLANK($G$6),"",STDEV(K4:K34))</f>
        <v>9.5375883428595039</v>
      </c>
      <c r="L43" s="25">
        <f>IF(ISBLANK($G$6),"",STDEV(L4:L34))</f>
        <v>6.8882009137333524</v>
      </c>
      <c r="M43" s="25">
        <f>IF(ISBLANK($H$6),"",STDEV(M4:M34))</f>
        <v>8.1421510460021551</v>
      </c>
      <c r="N43" s="25">
        <f>IF(ISBLANK($G$6),"",STDEV(N4:N34))</f>
        <v>6.8819539610913303</v>
      </c>
      <c r="O43" s="56"/>
      <c r="P43" s="25">
        <f>IF(ISBLANK($G$6),"",STDEV(P4:P34))</f>
        <v>13.331908526022692</v>
      </c>
      <c r="Q43" s="25">
        <f>IF(ISBLANK($G$6),"",STDEV(Q4:Q34))</f>
        <v>10.291660621303654</v>
      </c>
      <c r="R43" s="25">
        <f>IF(ISBLANK($G$6),"",STDEV(R4:R34))</f>
        <v>11.609460382188002</v>
      </c>
      <c r="S43" s="25">
        <f>IF(ISBLANK($G$6),"",STDEV(S4:S34))</f>
        <v>5.3101643212132164</v>
      </c>
      <c r="T43" s="75"/>
      <c r="U43" s="25">
        <f>IF(ISBLANK($G$6),"",STDEV(U4:U34))</f>
        <v>2.0677659234010268</v>
      </c>
      <c r="V43" s="25">
        <f>IF(ISBLANK($G$6),"",STDEV(V4:V34))</f>
        <v>4.5217134443834652</v>
      </c>
      <c r="W43" s="25">
        <f>IF(ISBLANK($G$6),"",STDEV(W4:W34))</f>
        <v>7.132066011430191</v>
      </c>
      <c r="X43" s="25"/>
      <c r="Y43" s="135"/>
      <c r="Z43" s="38">
        <f>IF(ISBLANK($G$6),"",STDEV(Z4:Z34))</f>
        <v>3.956163015656915</v>
      </c>
      <c r="AA43" s="38">
        <f>IF(AA86-AA85=0,"",STDEV(AA4:AA34))</f>
        <v>1.53380706171412</v>
      </c>
      <c r="AB43" s="38">
        <f>IF(AB86-AB85=0,"",STDEV(AB4:AB34))</f>
        <v>1.0384282995630145</v>
      </c>
      <c r="AC43" s="510">
        <f>IF(AC86-AC85=0,"",STDEV(AC4:AC34))</f>
        <v>6.1344301505331503E-2</v>
      </c>
      <c r="AD43" s="25">
        <f>IF(AE86-AE85=0,"",STDEV(AD4:AD34))</f>
        <v>1.2499974538943308</v>
      </c>
      <c r="AE43" s="25">
        <f>IF(AD86-AD85=0,"",STDEV(AE4:AE34))</f>
        <v>12.855879447304895</v>
      </c>
      <c r="AF43" s="6"/>
      <c r="AG43" s="25">
        <f>IF(ISBLANK($AG$6),"",STDEV(AG4:AG34))</f>
        <v>3.7913909269937229</v>
      </c>
      <c r="AH43" s="25">
        <f>IF(ISBLANK($AH$6),"",STDEV(AH4:AH34))</f>
        <v>4.2805637253113762</v>
      </c>
      <c r="AI43" s="25">
        <f>IF(ISBLANK($AI$6),"",STDEV(AI4:AI34))</f>
        <v>4.022482515984108</v>
      </c>
      <c r="AJ43" s="25">
        <f>IF(ISBLANK($AH$6),"",STDEV(AJ4:AJ34))</f>
        <v>2.4469291705301544</v>
      </c>
      <c r="AK43" s="56"/>
      <c r="AL43" s="669"/>
      <c r="AM43" s="6"/>
      <c r="AN43" s="22">
        <f>M53-AN91</f>
        <v>15</v>
      </c>
      <c r="AO43" s="224"/>
      <c r="AP43" s="25">
        <f>IF(ISBLANK($AP$6),"",STDEV(AP4:AP34))</f>
        <v>2.1368804516201019</v>
      </c>
      <c r="AQ43" s="25">
        <f>IF(ISBLANK($AQ$6),"",STDEV(AQ4:AQ34))</f>
        <v>2.7037608216418034</v>
      </c>
      <c r="AR43" s="56"/>
      <c r="AS43" s="25">
        <f>IF(ISBLANK($G$6),"",STDEV(AS4:AS34))</f>
        <v>0.80167882304726445</v>
      </c>
      <c r="AT43" s="25">
        <f>IF(ISBLANK($G$6),"",STDEV(AT4:AT34))</f>
        <v>1.1663209794635536</v>
      </c>
      <c r="AU43" s="25">
        <f>IF(ISBLANK($G$6),"",STDEV(AU4:AU34))</f>
        <v>0.95987686084296975</v>
      </c>
      <c r="AV43" s="25">
        <f>IF(ISBLANK($G$6),"",STDEV(AV4:AV34))</f>
        <v>0.64565355609223951</v>
      </c>
      <c r="AW43" s="25">
        <f>IF(ISBLANK($M$6),"",STDEV(AW4:AW34))</f>
        <v>1.4827558737227839</v>
      </c>
      <c r="AX43" s="25">
        <f>IF(ISBLANK($G$6),"",STDEV(AX4:AX34))</f>
        <v>4.7216581685976395</v>
      </c>
      <c r="AY43" s="25">
        <f>IF(ISBLANK($G$6),"",STDEV(BA4:BA34))</f>
        <v>3.1118180558803927</v>
      </c>
      <c r="AZ43" s="56"/>
      <c r="BA43" s="25">
        <f>IF(ISBLANK($G$6),"",STDEV(BB4:BB34))</f>
        <v>3.2398604443594063</v>
      </c>
      <c r="BB43" s="25">
        <f>IF(ISBLANK($G$6),"",STDEV(BD4:BD34))</f>
        <v>2.0922550986553867</v>
      </c>
      <c r="BC43" s="25">
        <f>IF(ISBLANK($G$6),"",STDEV(BD4:BD34))</f>
        <v>2.0922550986553867</v>
      </c>
      <c r="BD43" s="25"/>
      <c r="BE43" s="56"/>
      <c r="BF43" s="25">
        <f>IF(ISBLANK($G$6),"",STDEV(BF4:BF34))</f>
        <v>0.84426226221577216</v>
      </c>
      <c r="BG43" s="25">
        <f>IF(ISBLANK($G$6),"",STDEV(BG4:BG34))</f>
        <v>1.1700807091139465</v>
      </c>
      <c r="BH43" s="25">
        <f>IF(ISBLANK($G$6),"",STDEV(BH4:BH34))</f>
        <v>0.61472053887639733</v>
      </c>
      <c r="BI43" s="93">
        <f>IF(ISBLANK($Z$6),"",STDEV(BI4:BI34))</f>
        <v>0.57053689236130312</v>
      </c>
      <c r="BJ43" s="93">
        <f>IF(ISBLANK($Z$6),"",STDEV(BJ4:BJ34))</f>
        <v>0.23389646147465984</v>
      </c>
      <c r="BK43" s="402"/>
      <c r="BL43" s="78"/>
    </row>
    <row r="44" spans="1:64" ht="4.5" customHeight="1" x14ac:dyDescent="0.2">
      <c r="A44" s="67"/>
      <c r="B44" s="63"/>
      <c r="C44" s="66"/>
      <c r="D44" s="63"/>
      <c r="E44" s="64"/>
      <c r="F44" s="66"/>
      <c r="G44" s="66"/>
      <c r="H44" s="66"/>
      <c r="I44" s="66"/>
      <c r="J44" s="62"/>
      <c r="K44" s="66"/>
      <c r="L44" s="66"/>
      <c r="M44" s="66"/>
      <c r="N44" s="65"/>
      <c r="O44" s="62"/>
      <c r="P44" s="66"/>
      <c r="Q44" s="66"/>
      <c r="R44" s="66"/>
      <c r="S44" s="66"/>
      <c r="T44" s="66"/>
      <c r="U44" s="66"/>
      <c r="V44" s="66"/>
      <c r="W44" s="66"/>
      <c r="X44" s="66"/>
      <c r="Y44" s="135"/>
      <c r="Z44" s="66"/>
      <c r="AA44" s="66"/>
      <c r="AB44" s="66"/>
      <c r="AC44" s="66"/>
      <c r="AD44" s="66"/>
      <c r="AE44" s="66"/>
      <c r="AF44" s="6"/>
      <c r="AG44" s="66"/>
      <c r="AH44" s="66"/>
      <c r="AI44" s="132"/>
      <c r="AJ44" s="132"/>
      <c r="AK44" s="6"/>
      <c r="AL44" s="132"/>
      <c r="AM44" s="6"/>
      <c r="AN44" s="66"/>
      <c r="AO44" s="402"/>
      <c r="AP44" s="63"/>
      <c r="AQ44" s="63"/>
      <c r="AR44" s="67"/>
      <c r="AS44" s="66"/>
      <c r="AT44" s="65"/>
      <c r="AU44" s="66"/>
      <c r="AV44" s="66"/>
      <c r="AW44" s="66"/>
      <c r="AX44" s="66"/>
      <c r="AY44" s="66"/>
      <c r="AZ44" s="56"/>
      <c r="BA44" s="66"/>
      <c r="BB44" s="66"/>
      <c r="BC44" s="66"/>
      <c r="BD44" s="66"/>
      <c r="BE44" s="56"/>
      <c r="BF44" s="66"/>
      <c r="BG44" s="66"/>
      <c r="BH44" s="63"/>
      <c r="BI44" s="63"/>
      <c r="BJ44" s="66"/>
      <c r="BK44" s="88"/>
      <c r="BL44" s="78"/>
    </row>
    <row r="45" spans="1:64" ht="5.25" customHeight="1" thickBot="1" x14ac:dyDescent="0.25">
      <c r="A45" s="67"/>
      <c r="B45" s="21"/>
      <c r="C45" s="25"/>
      <c r="D45" s="21"/>
      <c r="E45" s="4"/>
      <c r="F45" s="25"/>
      <c r="G45" s="25"/>
      <c r="H45" s="25"/>
      <c r="I45" s="25"/>
      <c r="J45" s="18"/>
      <c r="K45" s="25"/>
      <c r="L45" s="25"/>
      <c r="M45" s="25"/>
      <c r="N45" s="22"/>
      <c r="O45" s="18"/>
      <c r="P45" s="25"/>
      <c r="Q45" s="25"/>
      <c r="R45" s="25"/>
      <c r="S45" s="25"/>
      <c r="T45" s="56"/>
      <c r="U45" s="25"/>
      <c r="V45" s="25"/>
      <c r="W45" s="25"/>
      <c r="X45" s="25"/>
      <c r="Y45" s="135"/>
      <c r="AF45" s="56"/>
      <c r="AG45" s="25"/>
      <c r="AH45" s="25"/>
      <c r="AK45" s="6"/>
      <c r="AM45" s="6"/>
      <c r="AN45" s="25"/>
      <c r="AO45" s="402"/>
      <c r="AP45" s="21"/>
      <c r="AQ45" s="21"/>
      <c r="AR45" s="67"/>
      <c r="AS45" s="25"/>
      <c r="AT45" s="22"/>
      <c r="AU45" s="25"/>
      <c r="AV45" s="25"/>
      <c r="AW45" s="25"/>
      <c r="AX45" s="25"/>
      <c r="AY45" s="25"/>
      <c r="AZ45" s="56"/>
      <c r="BA45" s="25"/>
      <c r="BB45" s="25"/>
      <c r="BC45" s="25"/>
      <c r="BD45" s="25"/>
      <c r="BE45" s="56"/>
      <c r="BF45" s="25"/>
      <c r="BG45" s="25"/>
      <c r="BH45" s="21"/>
      <c r="BI45" s="21"/>
      <c r="BJ45" s="25"/>
      <c r="BK45" s="67"/>
      <c r="BL45" s="78"/>
    </row>
    <row r="46" spans="1:64" ht="15" customHeight="1" x14ac:dyDescent="0.2">
      <c r="A46" s="67"/>
      <c r="B46" s="702" t="s">
        <v>132</v>
      </c>
      <c r="C46" s="703"/>
      <c r="D46" s="703"/>
      <c r="E46" s="704"/>
      <c r="F46" s="349">
        <f>F40</f>
        <v>0.4032258064516121</v>
      </c>
      <c r="G46" s="350">
        <f>G40</f>
        <v>-0.11612903225806548</v>
      </c>
      <c r="H46" s="382">
        <f>AY82</f>
        <v>0.14354838709677509</v>
      </c>
      <c r="I46" s="352">
        <f>I40</f>
        <v>-0.5193548387096758</v>
      </c>
      <c r="J46" s="18"/>
      <c r="K46" s="353">
        <f>K38</f>
        <v>76.032258064516128</v>
      </c>
      <c r="L46" s="298">
        <f>L38</f>
        <v>92.225806451612897</v>
      </c>
      <c r="M46" s="354">
        <f>M38</f>
        <v>85.193548387096769</v>
      </c>
      <c r="N46" s="25">
        <f>N38</f>
        <v>16.193548387096776</v>
      </c>
      <c r="O46" s="18"/>
      <c r="P46" s="25"/>
      <c r="Q46" s="25"/>
      <c r="R46" s="381">
        <f>R40</f>
        <v>5.540322903225956</v>
      </c>
      <c r="S46" s="162">
        <f>S38</f>
        <v>7.2580651612903209</v>
      </c>
      <c r="T46" s="56"/>
      <c r="U46" s="355">
        <f>U38</f>
        <v>5.403225806451613</v>
      </c>
      <c r="W46" s="304" t="s">
        <v>113</v>
      </c>
      <c r="X46" s="22">
        <f>COUNTIF(X4:X34,"N")</f>
        <v>6</v>
      </c>
      <c r="Y46" s="135"/>
      <c r="Z46" s="681" t="s">
        <v>151</v>
      </c>
      <c r="AA46" s="668">
        <f>IF(AN48=0,"n/a",Z38/AN48)</f>
        <v>4.2941176470588225</v>
      </c>
      <c r="AB46" s="385" t="s">
        <v>189</v>
      </c>
      <c r="AC46" s="268" t="s">
        <v>282</v>
      </c>
      <c r="AF46" s="135"/>
      <c r="AG46" s="392">
        <f>AG38</f>
        <v>0.27419354838709664</v>
      </c>
      <c r="AH46" s="393">
        <f>AH38</f>
        <v>4.845161290322582</v>
      </c>
      <c r="AI46" s="348">
        <f>AI38</f>
        <v>2.7354838709677427</v>
      </c>
      <c r="AJ46" s="49">
        <f>AJ38</f>
        <v>4.5709677419354842</v>
      </c>
      <c r="AK46" s="126"/>
      <c r="AL46" s="356"/>
      <c r="AM46" s="6"/>
      <c r="AO46" s="404"/>
      <c r="AP46" s="445">
        <f>AP38/AP39</f>
        <v>0.85434782608695647</v>
      </c>
      <c r="AQ46" s="446">
        <f>AQ38/AQ39</f>
        <v>0.99838709677419357</v>
      </c>
      <c r="AR46" s="6"/>
      <c r="AS46" s="696" t="s">
        <v>131</v>
      </c>
      <c r="AT46" s="650"/>
      <c r="AU46" s="650"/>
      <c r="AV46" s="650"/>
      <c r="AW46" s="650"/>
      <c r="AX46" s="650"/>
      <c r="AY46" s="25"/>
      <c r="AZ46" s="56"/>
      <c r="BC46" s="25"/>
      <c r="BD46" s="25"/>
      <c r="BE46" s="56"/>
      <c r="BF46" s="693" t="s">
        <v>232</v>
      </c>
      <c r="BG46" s="693"/>
      <c r="BH46" s="693"/>
      <c r="BI46" s="693"/>
      <c r="BJ46" s="693"/>
      <c r="BK46" s="67"/>
      <c r="BL46" s="78"/>
    </row>
    <row r="47" spans="1:64" ht="12.75" customHeight="1" x14ac:dyDescent="0.2">
      <c r="A47" s="67"/>
      <c r="B47" s="682" t="s">
        <v>17</v>
      </c>
      <c r="C47" s="683"/>
      <c r="D47" s="684"/>
      <c r="E47" s="581" t="s">
        <v>15</v>
      </c>
      <c r="F47" s="349">
        <f>F38</f>
        <v>2.803225806451612</v>
      </c>
      <c r="G47" s="350">
        <f>G38</f>
        <v>6.8838709677419345</v>
      </c>
      <c r="H47" s="351">
        <f>H38</f>
        <v>5.0806451612903221</v>
      </c>
      <c r="I47" s="352">
        <f>I38</f>
        <v>4.0806451612903238</v>
      </c>
      <c r="J47" s="18"/>
      <c r="K47" s="21"/>
      <c r="L47" s="170"/>
      <c r="M47" s="52"/>
      <c r="N47" s="118"/>
      <c r="O47" s="18"/>
      <c r="P47" s="21"/>
      <c r="Q47" s="21"/>
      <c r="R47" s="381">
        <f>R38</f>
        <v>1018.790322903226</v>
      </c>
      <c r="S47" s="21"/>
      <c r="T47" s="56"/>
      <c r="U47" s="7"/>
      <c r="W47" s="143" t="s">
        <v>105</v>
      </c>
      <c r="X47" s="22">
        <f>COUNTIF(X4:X34,"NE")</f>
        <v>6</v>
      </c>
      <c r="Y47" s="56"/>
      <c r="Z47" s="681"/>
      <c r="AA47" s="668"/>
      <c r="AB47" s="384">
        <f>IF(M53=0,"",AVERAGE(Z4:Z34))</f>
        <v>2.354838709677419</v>
      </c>
      <c r="AC47" s="323" t="str">
        <f>IF(M54&gt;0,IF(Z38&gt;Z39,"n/a",AC48/M54/AB48),"n/a")</f>
        <v>n/a</v>
      </c>
      <c r="AE47" s="548"/>
      <c r="AF47" s="56"/>
      <c r="AH47" s="124"/>
      <c r="AI47" s="124"/>
      <c r="AJ47" s="124"/>
      <c r="AK47" s="126"/>
      <c r="AL47" s="124"/>
      <c r="AM47" s="6"/>
      <c r="AN47" s="179" t="s">
        <v>67</v>
      </c>
      <c r="AO47" s="405"/>
      <c r="AP47" s="456">
        <f>IF(ISBLANK(AP4),"",AVERAGE(AP4:AP34))</f>
        <v>1.2677419354838708</v>
      </c>
      <c r="AQ47" s="443">
        <f>IF(ISBLANK(AQ4),"",AVERAGE(AQ4:AQ34))</f>
        <v>1.9967741935483871</v>
      </c>
      <c r="AR47" s="6"/>
      <c r="AS47" s="25"/>
      <c r="AT47" s="22"/>
      <c r="AU47" s="25"/>
      <c r="AV47" s="25"/>
      <c r="AW47" s="25"/>
      <c r="AX47" s="25"/>
      <c r="AY47" s="695" t="s">
        <v>35</v>
      </c>
      <c r="AZ47" s="695"/>
      <c r="BA47" s="695"/>
      <c r="BB47" s="695"/>
      <c r="BC47" s="695"/>
      <c r="BD47" s="695"/>
      <c r="BE47" s="67"/>
      <c r="BF47" s="694" t="s">
        <v>169</v>
      </c>
      <c r="BG47" s="694"/>
      <c r="BH47" s="694"/>
      <c r="BI47" s="694"/>
      <c r="BJ47" s="694"/>
      <c r="BK47" s="2"/>
      <c r="BL47" s="78"/>
    </row>
    <row r="48" spans="1:64" ht="12.75" customHeight="1" x14ac:dyDescent="0.2">
      <c r="A48" s="67"/>
      <c r="B48" s="707" t="s">
        <v>51</v>
      </c>
      <c r="C48" s="708"/>
      <c r="D48" s="709"/>
      <c r="E48" s="142">
        <f>IF(ISBLANK(H5),"",CORREL(H4:H34,R4:R34))</f>
        <v>-0.40097931142611065</v>
      </c>
      <c r="F48" s="576">
        <f>IF(ISBLANK(H5),"",ABS(E48))</f>
        <v>0.40097931142611065</v>
      </c>
      <c r="J48" s="573">
        <v>1</v>
      </c>
      <c r="K48" s="636" t="s">
        <v>377</v>
      </c>
      <c r="L48" s="636"/>
      <c r="M48" s="636"/>
      <c r="N48" s="636"/>
      <c r="O48" s="17"/>
      <c r="R48" s="25"/>
      <c r="S48" s="25"/>
      <c r="T48" s="56"/>
      <c r="U48" s="266"/>
      <c r="W48" s="304" t="s">
        <v>106</v>
      </c>
      <c r="X48" s="22">
        <f>COUNTIF(X4:X34,"E")</f>
        <v>0</v>
      </c>
      <c r="Y48" s="6"/>
      <c r="AB48" s="438">
        <f>Z39/E34</f>
        <v>2.032258064516129</v>
      </c>
      <c r="AC48" s="579">
        <f>ABS(Z39-Z38)</f>
        <v>9.9999999999999858</v>
      </c>
      <c r="AD48" s="578" t="str">
        <f>IF(Z38&gt;Z39,"Excess","Deficit")</f>
        <v>Excess</v>
      </c>
      <c r="AE48" s="547"/>
      <c r="AF48" s="6"/>
      <c r="AK48" s="6"/>
      <c r="AL48" s="426"/>
      <c r="AM48" s="6"/>
      <c r="AN48" s="5">
        <f>SUM(AJ91:AJ121)</f>
        <v>17</v>
      </c>
      <c r="AO48" s="406"/>
      <c r="AR48" s="6"/>
      <c r="AS48" s="641" t="s">
        <v>447</v>
      </c>
      <c r="AT48" s="642"/>
      <c r="AU48" s="643"/>
      <c r="AV48" s="139"/>
      <c r="AY48" s="4" t="s">
        <v>164</v>
      </c>
      <c r="AZ48" s="68"/>
      <c r="BA48" s="4" t="s">
        <v>199</v>
      </c>
      <c r="BB48" s="329" t="s">
        <v>166</v>
      </c>
      <c r="BC48" s="147" t="s">
        <v>326</v>
      </c>
      <c r="BD48" s="147" t="s">
        <v>10</v>
      </c>
      <c r="BE48" s="67"/>
      <c r="BF48" s="181" t="s">
        <v>21</v>
      </c>
      <c r="BG48" s="294" t="s">
        <v>22</v>
      </c>
      <c r="BH48" s="335" t="s">
        <v>171</v>
      </c>
      <c r="BI48" s="336" t="s">
        <v>170</v>
      </c>
      <c r="BJ48" s="97" t="s">
        <v>172</v>
      </c>
      <c r="BK48" s="16"/>
      <c r="BL48" s="78"/>
    </row>
    <row r="49" spans="1:64" ht="12.75" customHeight="1" x14ac:dyDescent="0.2">
      <c r="A49" s="67"/>
      <c r="B49" s="707" t="s">
        <v>50</v>
      </c>
      <c r="C49" s="708"/>
      <c r="D49" s="709"/>
      <c r="E49" s="89">
        <f>IF(ISBLANK(H5),"",CORREL(H4:H34,M4:M34))</f>
        <v>0.56915034237299134</v>
      </c>
      <c r="F49" s="576">
        <f>IF(ISBLANK(H5),"",ABS(E49))</f>
        <v>0.56915034237299134</v>
      </c>
      <c r="H49" s="4"/>
      <c r="I49" s="4"/>
      <c r="J49" s="573">
        <v>1</v>
      </c>
      <c r="K49" s="152">
        <f ca="1">IF(ISBLANK(F4),"",F38-AVERAGE(OFFSET(F91,0,0,M53)))</f>
        <v>0.40129032258064479</v>
      </c>
      <c r="L49" s="151">
        <f ca="1">IF(ISBLANK(G4),"",G38-AVERAGE(OFFSET(G91,0,0,M53)))</f>
        <v>-0.12096774193548487</v>
      </c>
      <c r="M49" s="14">
        <f ca="1">IF(ISBLANK(G4),"",AVERAGE(K49:L49))</f>
        <v>0.14016129032257996</v>
      </c>
      <c r="N49" s="129">
        <f ca="1">IF(ISBLANK(G4),"",I38-AVERAGE(OFFSET(I91,0,0,M53)))</f>
        <v>-0.52225806451612744</v>
      </c>
      <c r="O49" s="18"/>
      <c r="R49" s="21"/>
      <c r="S49" s="21"/>
      <c r="T49" s="56"/>
      <c r="U49" s="300"/>
      <c r="W49" s="304" t="s">
        <v>112</v>
      </c>
      <c r="X49" s="22">
        <f>COUNTIF(X4:X34,"SE")</f>
        <v>0</v>
      </c>
      <c r="Y49" s="67"/>
      <c r="Z49" s="648" t="s">
        <v>115</v>
      </c>
      <c r="AA49" s="648"/>
      <c r="AE49" s="547"/>
      <c r="AF49" s="67"/>
      <c r="AG49" s="710" t="s">
        <v>179</v>
      </c>
      <c r="AH49" s="710"/>
      <c r="AI49" s="710"/>
      <c r="AJ49" s="710"/>
      <c r="AK49" s="313"/>
      <c r="AL49" s="426"/>
      <c r="AM49" s="67"/>
      <c r="AO49" s="224"/>
      <c r="AP49" s="457" t="s">
        <v>215</v>
      </c>
      <c r="AR49" s="6"/>
      <c r="AS49" s="644" t="s">
        <v>17</v>
      </c>
      <c r="AT49" s="645"/>
      <c r="AU49" s="280" t="s">
        <v>15</v>
      </c>
      <c r="AX49" s="361">
        <v>1</v>
      </c>
      <c r="AY49" s="23">
        <f t="shared" ref="AY49:AY79" si="27">IF(ISBLANK(G4),"",AVERAGE(F4:G4))</f>
        <v>4.9000000000000004</v>
      </c>
      <c r="AZ49" s="50"/>
      <c r="BA49" s="26">
        <f>BC4</f>
        <v>8.4999999999999742E-2</v>
      </c>
      <c r="BB49" s="7">
        <f t="shared" ref="BB49:BB79" si="28">IF(ISBLANK(H4),"",AY49-H4)</f>
        <v>-0.29999999999999982</v>
      </c>
      <c r="BC49" s="25">
        <f>IF(ISBLANK(G4),"",(AVERAGE($AY$49:AY49)))</f>
        <v>4.9000000000000004</v>
      </c>
      <c r="BD49" s="13">
        <f>IF(ISBLANK(G4),"",AVERAGE(BF4:BG4))</f>
        <v>8.4999999999999742E-2</v>
      </c>
      <c r="BE49" s="67"/>
      <c r="BF49" s="444" t="s">
        <v>233</v>
      </c>
      <c r="BG49" s="444">
        <v>0.55208333333333337</v>
      </c>
      <c r="BH49" s="444" t="s">
        <v>291</v>
      </c>
      <c r="BI49" s="444" t="s">
        <v>292</v>
      </c>
      <c r="BJ49" s="444">
        <v>0.66736111111111107</v>
      </c>
      <c r="BK49" s="20"/>
      <c r="BL49" s="78"/>
    </row>
    <row r="50" spans="1:64" ht="12.75" customHeight="1" x14ac:dyDescent="0.2">
      <c r="A50" s="67"/>
      <c r="B50" s="707" t="s">
        <v>56</v>
      </c>
      <c r="C50" s="708"/>
      <c r="D50" s="709"/>
      <c r="E50" s="89">
        <f>IF(ISBLANK(H5),"",CORREL(M4:M34,R4:R34))</f>
        <v>-0.14237421727637781</v>
      </c>
      <c r="F50" s="576">
        <f>IF(ISBLANK(H5),"",ABS(E50))</f>
        <v>0.14237421727637781</v>
      </c>
      <c r="H50" s="598"/>
      <c r="I50" s="598"/>
      <c r="J50" s="573">
        <v>1</v>
      </c>
      <c r="K50" s="8"/>
      <c r="L50" s="118"/>
      <c r="O50" s="18"/>
      <c r="Q50" s="662" t="s">
        <v>132</v>
      </c>
      <c r="R50" s="662"/>
      <c r="T50" s="68"/>
      <c r="U50" s="300"/>
      <c r="W50" s="305" t="s">
        <v>111</v>
      </c>
      <c r="X50" s="22">
        <f>COUNTIF(X4:X34,"S")</f>
        <v>3</v>
      </c>
      <c r="Y50" s="84"/>
      <c r="Z50" s="661" t="s">
        <v>120</v>
      </c>
      <c r="AA50" s="660">
        <v>0</v>
      </c>
      <c r="AB50" s="322"/>
      <c r="AC50" s="646" t="s">
        <v>285</v>
      </c>
      <c r="AD50" s="647"/>
      <c r="AF50" s="67"/>
      <c r="AH50" s="713">
        <f>SUM(AW91:AW121)</f>
        <v>8</v>
      </c>
      <c r="AI50" s="713"/>
      <c r="AJ50" s="93">
        <f>IF(M53=0,"",AH50/M53)</f>
        <v>0.25806451612903225</v>
      </c>
      <c r="AK50" s="68"/>
      <c r="AM50" s="67"/>
      <c r="AN50" s="180" t="s">
        <v>68</v>
      </c>
      <c r="AO50" s="87"/>
      <c r="AP50" s="397">
        <f>IF(M53=0,"",AP38/SUM(AT91:AT121))</f>
        <v>0.16864155278683746</v>
      </c>
      <c r="AR50" s="6"/>
      <c r="AS50" s="637" t="s">
        <v>44</v>
      </c>
      <c r="AT50" s="638"/>
      <c r="AU50" s="92">
        <f>IF(AP4=AP5,"",IF(AP42=0,"",CORREL(G4:G34,AP4:AP34)))</f>
        <v>-0.22863248505623809</v>
      </c>
      <c r="AV50" s="577">
        <f>IF(AP4=AP5,"",IF(AP42=0,"",ABS(AU50)))</f>
        <v>0.22863248505623809</v>
      </c>
      <c r="AX50" s="361">
        <v>2</v>
      </c>
      <c r="AY50" s="23">
        <f t="shared" si="27"/>
        <v>2.35</v>
      </c>
      <c r="AZ50" s="50"/>
      <c r="BA50" s="26">
        <f t="shared" ref="BA50:BA79" si="29">BC5</f>
        <v>-2.4550000000000001</v>
      </c>
      <c r="BB50" s="7">
        <f t="shared" si="28"/>
        <v>5.0000000000000266E-2</v>
      </c>
      <c r="BC50" s="25">
        <f>IF(ISBLANK(G5),"",(AVERAGE($AY$49:AY50)))</f>
        <v>3.625</v>
      </c>
      <c r="BD50" s="13">
        <f t="shared" ref="BD50:BD79" si="30">IF(ISBLANK(G5),"",AVERAGE(BF5:BG5))</f>
        <v>-1.1849999999999998</v>
      </c>
      <c r="BE50" s="67"/>
      <c r="BF50" s="444">
        <v>0.38541666666666669</v>
      </c>
      <c r="BG50" s="444">
        <v>0.60416666666666663</v>
      </c>
      <c r="BH50" s="444" t="s">
        <v>234</v>
      </c>
      <c r="BI50" s="444">
        <v>0.375</v>
      </c>
      <c r="BJ50" s="444">
        <v>0.3979166666666667</v>
      </c>
      <c r="BK50" s="55"/>
      <c r="BL50" s="78"/>
    </row>
    <row r="51" spans="1:64" ht="12.75" customHeight="1" x14ac:dyDescent="0.2">
      <c r="A51" s="67"/>
      <c r="B51" s="707" t="s">
        <v>11</v>
      </c>
      <c r="C51" s="708"/>
      <c r="D51" s="709"/>
      <c r="E51" s="89">
        <f>IF(ISBLANK(H5),"",CORREL(F4:F34,G4:G34))</f>
        <v>0.78415063248348127</v>
      </c>
      <c r="F51" s="576">
        <f>IF(ISBLANK(H5),"",ABS(E51))</f>
        <v>0.78415063248348127</v>
      </c>
      <c r="H51" s="598"/>
      <c r="I51" s="598"/>
      <c r="J51" s="573">
        <v>1</v>
      </c>
      <c r="O51" s="18"/>
      <c r="P51" s="21"/>
      <c r="Q51" s="649" t="s">
        <v>143</v>
      </c>
      <c r="R51" s="649"/>
      <c r="S51" s="21"/>
      <c r="T51" s="68"/>
      <c r="W51" s="304" t="s">
        <v>110</v>
      </c>
      <c r="X51" s="22">
        <f>COUNTIF(X4:X34,"SW")</f>
        <v>10</v>
      </c>
      <c r="Y51" s="67"/>
      <c r="Z51" s="661"/>
      <c r="AA51" s="660"/>
      <c r="AC51" s="714" t="s">
        <v>286</v>
      </c>
      <c r="AD51" s="717">
        <v>0.1</v>
      </c>
      <c r="AF51" s="67"/>
      <c r="AG51" s="650"/>
      <c r="AH51" s="650"/>
      <c r="AI51" s="650"/>
      <c r="AJ51" s="650"/>
      <c r="AK51" s="6"/>
      <c r="AM51" s="67"/>
      <c r="AN51" s="5">
        <f>M53-AN48</f>
        <v>14</v>
      </c>
      <c r="AO51" s="406"/>
      <c r="AR51" s="6"/>
      <c r="AS51" s="637" t="s">
        <v>39</v>
      </c>
      <c r="AT51" s="638"/>
      <c r="AU51" s="92">
        <f>IF(AP4=AP5,"",IF(AP42=0,"",CORREL(AP4:AP34,I4:I34)))</f>
        <v>3.9203110317837533E-2</v>
      </c>
      <c r="AV51" s="577">
        <f>IF(AP4=AP5,"",IF(AP42=0,"",ABS(AU51)))</f>
        <v>3.9203110317837533E-2</v>
      </c>
      <c r="AX51" s="361">
        <v>3</v>
      </c>
      <c r="AY51" s="23">
        <f t="shared" si="27"/>
        <v>1.2</v>
      </c>
      <c r="AZ51" s="50"/>
      <c r="BA51" s="26">
        <f t="shared" si="29"/>
        <v>-3.5950000000000002</v>
      </c>
      <c r="BB51" s="7">
        <f t="shared" si="28"/>
        <v>-0.8</v>
      </c>
      <c r="BC51" s="25">
        <f>IF(ISBLANK(G6),"",(AVERAGE($AY$49:AY51)))</f>
        <v>2.8166666666666664</v>
      </c>
      <c r="BD51" s="13">
        <f t="shared" si="30"/>
        <v>-1.9883333333333333</v>
      </c>
      <c r="BE51" s="67"/>
      <c r="BF51" s="444">
        <v>0.38194444444444442</v>
      </c>
      <c r="BG51" s="444">
        <v>0.58333333333333337</v>
      </c>
      <c r="BH51" s="444">
        <v>0.68402777777777779</v>
      </c>
      <c r="BI51" s="444">
        <v>0.43402777777777773</v>
      </c>
      <c r="BJ51" s="444">
        <v>0.91527777777777775</v>
      </c>
      <c r="BK51" s="18"/>
      <c r="BL51" s="78"/>
    </row>
    <row r="52" spans="1:64" ht="12.75" customHeight="1" x14ac:dyDescent="0.2">
      <c r="A52" s="67"/>
      <c r="B52" s="707" t="s">
        <v>92</v>
      </c>
      <c r="C52" s="708"/>
      <c r="D52" s="709"/>
      <c r="E52" s="89">
        <f>IF(ISBLANK(H5),"",CORREL(K4:K34,L4:L34))</f>
        <v>0.69296814013619479</v>
      </c>
      <c r="F52" s="576">
        <f>IF(ISBLANK(H5),"",ABS(E52))</f>
        <v>0.69296814013619479</v>
      </c>
      <c r="H52" s="598"/>
      <c r="I52" s="598"/>
      <c r="J52" s="573">
        <v>1</v>
      </c>
      <c r="K52" s="8"/>
      <c r="L52" s="4" t="s">
        <v>346</v>
      </c>
      <c r="O52" s="18"/>
      <c r="P52" s="25"/>
      <c r="Q52" s="715">
        <f>IF(ISBLANK(H5),"",AVERAGE(F48:F66,F72:F80,AV50:AV60))</f>
        <v>0.36327122087641239</v>
      </c>
      <c r="R52" s="716"/>
      <c r="S52" s="25"/>
      <c r="T52" s="67"/>
      <c r="W52" s="304" t="s">
        <v>114</v>
      </c>
      <c r="X52" s="22">
        <f>COUNTIF(X4:X34,"W")</f>
        <v>2</v>
      </c>
      <c r="Y52" s="67"/>
      <c r="Z52" s="659" t="s">
        <v>116</v>
      </c>
      <c r="AA52" s="711">
        <f>(Z38+AA50)/Z39</f>
        <v>1.1587301587301586</v>
      </c>
      <c r="AC52" s="714"/>
      <c r="AD52" s="717"/>
      <c r="AF52" s="67"/>
      <c r="AG52" s="712" t="s">
        <v>180</v>
      </c>
      <c r="AH52" s="712"/>
      <c r="AI52" s="712"/>
      <c r="AJ52" s="712"/>
      <c r="AK52" s="314"/>
      <c r="AM52" s="67"/>
      <c r="AO52" s="407"/>
      <c r="AP52" s="639" t="s">
        <v>190</v>
      </c>
      <c r="AQ52" s="640"/>
      <c r="AR52" s="6"/>
      <c r="AS52" s="637" t="s">
        <v>40</v>
      </c>
      <c r="AT52" s="638"/>
      <c r="AU52" s="92">
        <f>IF(AP4=AP5,"",IF(AP42=0,"",CORREL(AP4:AP34,K4:K34)))</f>
        <v>-0.2263053385532228</v>
      </c>
      <c r="AV52" s="577">
        <f>IF(AP4=AP5,"",IF(AP42=0,"",ABS(AU52)))</f>
        <v>0.2263053385532228</v>
      </c>
      <c r="AX52" s="361">
        <v>4</v>
      </c>
      <c r="AY52" s="23">
        <f t="shared" si="27"/>
        <v>3.8</v>
      </c>
      <c r="AZ52" s="50"/>
      <c r="BA52" s="26">
        <f t="shared" si="29"/>
        <v>-0.9850000000000001</v>
      </c>
      <c r="BB52" s="7">
        <f t="shared" si="28"/>
        <v>0.19999999999999973</v>
      </c>
      <c r="BC52" s="25">
        <f>IF(ISBLANK(G7),"",(AVERAGE($AY$49:AY52)))</f>
        <v>3.0625</v>
      </c>
      <c r="BD52" s="13">
        <f t="shared" si="30"/>
        <v>-1.7375</v>
      </c>
      <c r="BE52" s="6"/>
      <c r="BF52" s="444">
        <v>0.38194444444444442</v>
      </c>
      <c r="BG52" s="444" t="s">
        <v>230</v>
      </c>
      <c r="BH52" s="444">
        <v>0.60069444444444442</v>
      </c>
      <c r="BI52" s="444">
        <v>0.375</v>
      </c>
      <c r="BJ52" s="444">
        <v>6.9444444444444447E-4</v>
      </c>
      <c r="BK52" s="18"/>
      <c r="BL52" s="78"/>
    </row>
    <row r="53" spans="1:64" ht="12.75" customHeight="1" x14ac:dyDescent="0.2">
      <c r="A53" s="67"/>
      <c r="B53" s="707" t="s">
        <v>93</v>
      </c>
      <c r="C53" s="708"/>
      <c r="D53" s="709"/>
      <c r="E53" s="89">
        <f>IF(ISBLANK(H5),"",CORREL(P4:P34,Q4:Q34))</f>
        <v>0.93092673200240861</v>
      </c>
      <c r="F53" s="576">
        <f>IF(ISBLANK(H5),"",ABS(E53))</f>
        <v>0.93092673200240861</v>
      </c>
      <c r="H53" s="598"/>
      <c r="I53" s="598"/>
      <c r="J53" s="573">
        <v>1</v>
      </c>
      <c r="L53" s="21" t="s">
        <v>88</v>
      </c>
      <c r="M53" s="21">
        <f>COUNT(H4:H34)</f>
        <v>31</v>
      </c>
      <c r="O53" s="18"/>
      <c r="Q53" s="663" t="s">
        <v>34</v>
      </c>
      <c r="R53" s="663"/>
      <c r="S53" s="22"/>
      <c r="T53" s="67"/>
      <c r="U53" s="7"/>
      <c r="W53" s="304" t="s">
        <v>128</v>
      </c>
      <c r="X53" s="22">
        <f>COUNTIF(X4:X34,"NW")</f>
        <v>4</v>
      </c>
      <c r="Y53" s="136"/>
      <c r="Z53" s="659"/>
      <c r="AA53" s="711"/>
      <c r="AB53" s="323"/>
      <c r="AC53" s="542" t="s">
        <v>281</v>
      </c>
      <c r="AD53" s="549">
        <f>IF(Z38=0,"",AD51/Z38)</f>
        <v>1.3698630136986306E-3</v>
      </c>
      <c r="AF53" s="67"/>
      <c r="AH53" s="713">
        <f>SUM(AX91:AX121)</f>
        <v>8</v>
      </c>
      <c r="AI53" s="713"/>
      <c r="AJ53" s="93">
        <f>IF(M53=0,"",AH53/M53)</f>
        <v>0.25806451612903225</v>
      </c>
      <c r="AK53" s="68"/>
      <c r="AL53" s="426"/>
      <c r="AM53" s="67"/>
      <c r="AN53" s="179" t="s">
        <v>77</v>
      </c>
      <c r="AO53" s="88"/>
      <c r="AP53" s="718" t="str">
        <f>IF(M54=0,"",(AP39-AP38)/M54/(AP39/E34))</f>
        <v/>
      </c>
      <c r="AQ53" s="719"/>
      <c r="AR53" s="6"/>
      <c r="AS53" s="637" t="s">
        <v>38</v>
      </c>
      <c r="AT53" s="638"/>
      <c r="AU53" s="92">
        <f>IF(AQ38=0,"",CORREL(AP4:AP34,AQ4:AQ34))</f>
        <v>-0.1455804383041385</v>
      </c>
      <c r="AV53" s="577">
        <f>IF(AQ38=0,"",ABS(AU53))</f>
        <v>0.1455804383041385</v>
      </c>
      <c r="AX53" s="361">
        <v>5</v>
      </c>
      <c r="AY53" s="23">
        <f t="shared" si="27"/>
        <v>5.6</v>
      </c>
      <c r="AZ53" s="50"/>
      <c r="BA53" s="26">
        <f t="shared" si="29"/>
        <v>0.82499999999999951</v>
      </c>
      <c r="BB53" s="7">
        <f t="shared" si="28"/>
        <v>-0.20000000000000018</v>
      </c>
      <c r="BC53" s="25">
        <f>IF(ISBLANK(G8),"",(AVERAGE($AY$49:AY53)))</f>
        <v>3.5700000000000003</v>
      </c>
      <c r="BD53" s="13">
        <f t="shared" si="30"/>
        <v>-1.2249999999999992</v>
      </c>
      <c r="BE53" s="6"/>
      <c r="BF53" s="556">
        <v>0.35416666666666669</v>
      </c>
      <c r="BG53" s="556" t="s">
        <v>294</v>
      </c>
      <c r="BH53" s="556">
        <v>0.55555555555555558</v>
      </c>
      <c r="BI53" s="556" t="s">
        <v>233</v>
      </c>
      <c r="BJ53" s="556">
        <v>0.53402777777777777</v>
      </c>
      <c r="BK53" s="18"/>
      <c r="BL53" s="78"/>
    </row>
    <row r="54" spans="1:64" ht="12.75" customHeight="1" x14ac:dyDescent="0.2">
      <c r="A54" s="67"/>
      <c r="B54" s="707" t="s">
        <v>53</v>
      </c>
      <c r="C54" s="708"/>
      <c r="D54" s="709"/>
      <c r="E54" s="89">
        <f>IF(ISBLANK(H5),"",(CORREL(G4:G34,R4:R34)))</f>
        <v>-0.48188123502033769</v>
      </c>
      <c r="F54" s="576">
        <f>IF(ISBLANK(H5),"",ABS(E54))</f>
        <v>0.48188123502033769</v>
      </c>
      <c r="H54" s="598"/>
      <c r="I54" s="598"/>
      <c r="J54" s="573">
        <v>1</v>
      </c>
      <c r="K54" s="8"/>
      <c r="L54" s="21" t="s">
        <v>89</v>
      </c>
      <c r="M54" s="21">
        <f>SUM(E34-M53)</f>
        <v>0</v>
      </c>
      <c r="O54" s="18"/>
      <c r="Q54" s="5">
        <f>SUM(E69,E83,AU63)</f>
        <v>8</v>
      </c>
      <c r="R54" s="21" t="s">
        <v>193</v>
      </c>
      <c r="S54" s="608"/>
      <c r="T54" s="67"/>
      <c r="U54" s="7"/>
      <c r="W54" s="300"/>
      <c r="X54" s="25"/>
      <c r="Y54" s="136"/>
      <c r="Z54" s="659" t="s">
        <v>153</v>
      </c>
      <c r="AA54" s="659" t="str">
        <f>IF(M54&gt;0,(Z39-Z38)/M54,"n/a")</f>
        <v>n/a</v>
      </c>
      <c r="AB54" s="267"/>
      <c r="AC54" s="542" t="s">
        <v>283</v>
      </c>
      <c r="AD54" s="549">
        <f>IF(AT67=0,"",AV38/AT67)</f>
        <v>5.5555555555555552E-2</v>
      </c>
      <c r="AF54" s="67"/>
      <c r="AK54" s="6"/>
      <c r="AL54" s="426"/>
      <c r="AM54" s="67"/>
      <c r="AN54" s="138">
        <f>IF(M53=0,"",AN48/M53)</f>
        <v>0.54838709677419351</v>
      </c>
      <c r="AO54" s="406"/>
      <c r="AP54" s="531">
        <f>AP39/E34</f>
        <v>1.4838709677419355</v>
      </c>
      <c r="AQ54" s="532" t="str">
        <f>IF(M54=0,"",(AP39-AP38)/M54)</f>
        <v/>
      </c>
      <c r="AR54" s="6"/>
      <c r="AS54" s="637" t="s">
        <v>49</v>
      </c>
      <c r="AT54" s="638"/>
      <c r="AU54" s="92">
        <f>IF(AQ38=0,"",CORREL(AQ4:AQ34,I4:I34))</f>
        <v>0.45773639782396008</v>
      </c>
      <c r="AV54" s="577">
        <f>IF(AQ38=0,"",ABS(AU54))</f>
        <v>0.45773639782396008</v>
      </c>
      <c r="AX54" s="361">
        <v>6</v>
      </c>
      <c r="AY54" s="23">
        <f t="shared" si="27"/>
        <v>4.05</v>
      </c>
      <c r="AZ54" s="50"/>
      <c r="BA54" s="26">
        <f t="shared" si="29"/>
        <v>-0.71500000000000019</v>
      </c>
      <c r="BB54" s="7">
        <f t="shared" si="28"/>
        <v>4.9999999999999822E-2</v>
      </c>
      <c r="BC54" s="25">
        <f>IF(ISBLANK(G9),"",(AVERAGE($AY$49:AY54)))</f>
        <v>3.6500000000000004</v>
      </c>
      <c r="BD54" s="13">
        <f t="shared" si="30"/>
        <v>-1.1400000000000003</v>
      </c>
      <c r="BE54" s="6"/>
      <c r="BF54" s="556" t="s">
        <v>233</v>
      </c>
      <c r="BG54" s="556" t="s">
        <v>274</v>
      </c>
      <c r="BH54" s="556" t="s">
        <v>297</v>
      </c>
      <c r="BI54" s="556" t="s">
        <v>298</v>
      </c>
      <c r="BJ54" s="556">
        <v>0.55555555555555558</v>
      </c>
      <c r="BK54" s="18"/>
      <c r="BL54" s="78"/>
    </row>
    <row r="55" spans="1:64" ht="12.75" customHeight="1" x14ac:dyDescent="0.2">
      <c r="A55" s="67"/>
      <c r="B55" s="707" t="s">
        <v>54</v>
      </c>
      <c r="C55" s="708"/>
      <c r="D55" s="709"/>
      <c r="E55" s="89">
        <f>IF(ISBLANK(H5),"",CORREL(F4:F34,R4:R34))</f>
        <v>-0.22213603722061118</v>
      </c>
      <c r="F55" s="576">
        <f>IF(ISBLANK(H5),"",ABS(E55))</f>
        <v>0.22213603722061118</v>
      </c>
      <c r="H55" s="598"/>
      <c r="I55" s="598"/>
      <c r="J55" s="573">
        <v>1</v>
      </c>
      <c r="O55" s="18"/>
      <c r="Q55" s="21"/>
      <c r="S55" s="21"/>
      <c r="T55" s="67"/>
      <c r="U55" s="7"/>
      <c r="V55" s="1" t="s">
        <v>257</v>
      </c>
      <c r="W55" s="300" t="s">
        <v>129</v>
      </c>
      <c r="X55" s="22">
        <f>MAX(X46:X53)</f>
        <v>10</v>
      </c>
      <c r="Y55" s="136"/>
      <c r="Z55" s="659"/>
      <c r="AA55" s="659"/>
      <c r="AB55" s="267"/>
      <c r="AC55" s="543" t="s">
        <v>284</v>
      </c>
      <c r="AD55" s="546" t="s">
        <v>205</v>
      </c>
      <c r="AE55" s="267"/>
      <c r="AF55" s="67"/>
      <c r="AK55" s="6"/>
      <c r="AM55" s="67"/>
      <c r="AO55" s="408"/>
      <c r="AP55" s="8">
        <f>AP38+AP54*M54</f>
        <v>39.299999999999997</v>
      </c>
      <c r="AR55" s="6"/>
      <c r="AS55" s="637" t="s">
        <v>96</v>
      </c>
      <c r="AT55" s="638"/>
      <c r="AU55" s="92">
        <f>IF(AQ38=0,"",CORREL(M4:M34,AQ4:AQ34))</f>
        <v>0.54300652056427989</v>
      </c>
      <c r="AV55" s="577">
        <f>IF(AQ38=0,"",ABS(AU55))</f>
        <v>0.54300652056427989</v>
      </c>
      <c r="AX55" s="361">
        <v>7</v>
      </c>
      <c r="AY55" s="23">
        <f t="shared" si="27"/>
        <v>5.35</v>
      </c>
      <c r="AZ55" s="50"/>
      <c r="BA55" s="26">
        <f t="shared" si="29"/>
        <v>0.59999999999999964</v>
      </c>
      <c r="BB55" s="7">
        <f t="shared" si="28"/>
        <v>-0.45000000000000018</v>
      </c>
      <c r="BC55" s="25">
        <f>IF(ISBLANK(G10),"",(AVERAGE($AY$49:AY55)))</f>
        <v>3.8928571428571428</v>
      </c>
      <c r="BD55" s="13">
        <f t="shared" si="30"/>
        <v>-0.89142857142857157</v>
      </c>
      <c r="BE55" s="6"/>
      <c r="BF55" s="556">
        <v>4.8611111111111112E-2</v>
      </c>
      <c r="BG55" s="556" t="s">
        <v>300</v>
      </c>
      <c r="BH55" s="556" t="s">
        <v>230</v>
      </c>
      <c r="BI55" s="556"/>
      <c r="BJ55" s="556">
        <v>0.71944444444444444</v>
      </c>
      <c r="BK55" s="18"/>
      <c r="BL55" s="78"/>
    </row>
    <row r="56" spans="1:64" ht="12.75" customHeight="1" thickBot="1" x14ac:dyDescent="0.25">
      <c r="A56" s="67"/>
      <c r="B56" s="707" t="s">
        <v>55</v>
      </c>
      <c r="C56" s="708"/>
      <c r="D56" s="709"/>
      <c r="E56" s="89">
        <f>IF(ISBLANK(H5),"",CORREL(I4:I34,R4:R34))</f>
        <v>-0.41805185977832349</v>
      </c>
      <c r="F56" s="576">
        <f>IF(ISBLANK(H5),"",ABS(E56))</f>
        <v>0.41805185977832349</v>
      </c>
      <c r="J56" s="573">
        <v>1</v>
      </c>
      <c r="O56" s="20"/>
      <c r="T56" s="67"/>
      <c r="U56" s="7"/>
      <c r="V56" s="7"/>
      <c r="W56" s="25"/>
      <c r="X56" s="25"/>
      <c r="Y56" s="136"/>
      <c r="AD56" s="267"/>
      <c r="AE56" s="267"/>
      <c r="AF56" s="166"/>
      <c r="AG56" s="710" t="s">
        <v>126</v>
      </c>
      <c r="AH56" s="710"/>
      <c r="AI56" s="710"/>
      <c r="AJ56" s="710"/>
      <c r="AK56" s="313"/>
      <c r="AM56" s="67"/>
      <c r="AN56" s="181" t="s">
        <v>109</v>
      </c>
      <c r="AO56" s="88"/>
      <c r="AP56" s="115">
        <f>AP55/AP39</f>
        <v>0.85434782608695647</v>
      </c>
      <c r="AR56" s="6"/>
      <c r="AS56" s="637" t="s">
        <v>37</v>
      </c>
      <c r="AT56" s="638"/>
      <c r="AU56" s="92">
        <f>IF(AQ38=0,"",CORREL(Z4:Z34,AQ4:AQ34))</f>
        <v>0.84864211408827217</v>
      </c>
      <c r="AV56" s="577">
        <f>IF(AQ38=0,"",ABS(AU56))</f>
        <v>0.84864211408827217</v>
      </c>
      <c r="AX56" s="361">
        <v>8</v>
      </c>
      <c r="AY56" s="23">
        <f t="shared" si="27"/>
        <v>6.35</v>
      </c>
      <c r="AZ56" s="50"/>
      <c r="BA56" s="26">
        <f t="shared" si="29"/>
        <v>1.6099999999999999</v>
      </c>
      <c r="BB56" s="7">
        <f t="shared" si="28"/>
        <v>-0.85000000000000053</v>
      </c>
      <c r="BC56" s="25">
        <f>IF(ISBLANK(G11),"",(AVERAGE($AY$49:AY56)))</f>
        <v>4.2</v>
      </c>
      <c r="BD56" s="13">
        <f t="shared" si="30"/>
        <v>-0.57874999999999988</v>
      </c>
      <c r="BE56" s="6"/>
      <c r="BF56" s="556" t="s">
        <v>233</v>
      </c>
      <c r="BG56" s="556" t="s">
        <v>302</v>
      </c>
      <c r="BH56" s="556">
        <v>0.61875000000000002</v>
      </c>
      <c r="BI56" s="556">
        <v>0.28472222222222221</v>
      </c>
      <c r="BJ56" s="556">
        <v>0.27777777777777779</v>
      </c>
      <c r="BK56" s="18"/>
      <c r="BL56" s="78"/>
    </row>
    <row r="57" spans="1:64" ht="12.75" customHeight="1" x14ac:dyDescent="0.2">
      <c r="A57" s="67"/>
      <c r="B57" s="707" t="s">
        <v>94</v>
      </c>
      <c r="C57" s="708"/>
      <c r="D57" s="709"/>
      <c r="E57" s="89">
        <f>IF(ISBLANK(H5),"",CORREL(N4:N34,R4:R34))</f>
        <v>-0.1402835884709582</v>
      </c>
      <c r="F57" s="576">
        <f>IF(ISBLANK(H5),"",ABS(E57))</f>
        <v>0.1402835884709582</v>
      </c>
      <c r="H57" s="720" t="s">
        <v>135</v>
      </c>
      <c r="I57" s="721"/>
      <c r="J57" s="573">
        <v>1</v>
      </c>
      <c r="K57" s="721" t="s">
        <v>35</v>
      </c>
      <c r="L57" s="721"/>
      <c r="M57" s="721"/>
      <c r="N57" s="721"/>
      <c r="O57" s="194"/>
      <c r="P57" s="721" t="s">
        <v>136</v>
      </c>
      <c r="Q57" s="721"/>
      <c r="R57" s="721"/>
      <c r="S57" s="721"/>
      <c r="T57" s="195"/>
      <c r="U57" s="651" t="s">
        <v>159</v>
      </c>
      <c r="V57" s="653" t="s">
        <v>134</v>
      </c>
      <c r="W57" s="655" t="s">
        <v>160</v>
      </c>
      <c r="X57" s="657" t="s">
        <v>181</v>
      </c>
      <c r="Y57" s="196"/>
      <c r="Z57" s="724" t="s">
        <v>133</v>
      </c>
      <c r="AA57" s="724"/>
      <c r="AB57" s="725"/>
      <c r="AC57" s="726" t="s">
        <v>122</v>
      </c>
      <c r="AD57" s="727"/>
      <c r="AE57" s="728"/>
      <c r="AF57" s="166"/>
      <c r="AH57" s="713">
        <f t="array" ref="AH57">MAX(FREQUENCY(IF(AW91:AW121=1,ROW(91:121)),IF(AW91:AW121&lt;&gt;1,ROW(91:121))))</f>
        <v>5</v>
      </c>
      <c r="AI57" s="713"/>
      <c r="AJ57" s="4"/>
      <c r="AK57" s="68"/>
      <c r="AM57" s="67"/>
      <c r="AN57" s="138">
        <f>IF(AN48=0,"",AN38/AN48)</f>
        <v>0.58823529411764708</v>
      </c>
      <c r="AO57" s="223"/>
      <c r="AR57" s="6"/>
      <c r="AS57" s="637" t="s">
        <v>45</v>
      </c>
      <c r="AT57" s="638"/>
      <c r="AU57" s="92">
        <f>IF(AP4=AP5,"",IF(AP42=0,"",CORREL(AP4:AP34,R4:R34)))</f>
        <v>0.20536406949112351</v>
      </c>
      <c r="AV57" s="577">
        <f>IF(AP4=AP5,"",IF(AP42=0,"",ABS(AU57)))</f>
        <v>0.20536406949112351</v>
      </c>
      <c r="AX57" s="361">
        <v>9</v>
      </c>
      <c r="AY57" s="23">
        <f t="shared" si="27"/>
        <v>3.65</v>
      </c>
      <c r="AZ57" s="50"/>
      <c r="BA57" s="26">
        <f t="shared" si="29"/>
        <v>-1.0800000000000003</v>
      </c>
      <c r="BB57" s="7">
        <f t="shared" si="28"/>
        <v>0.44999999999999973</v>
      </c>
      <c r="BC57" s="25">
        <f>IF(ISBLANK(G12),"",(AVERAGE($AY$49:AY57)))</f>
        <v>4.1388888888888893</v>
      </c>
      <c r="BD57" s="13">
        <f t="shared" si="30"/>
        <v>-0.63444444444444437</v>
      </c>
      <c r="BE57" s="6"/>
      <c r="BF57" s="556">
        <v>0.36805555555555558</v>
      </c>
      <c r="BG57" s="556">
        <v>0.625</v>
      </c>
      <c r="BH57" s="556">
        <v>0.64236111111111105</v>
      </c>
      <c r="BI57" s="556">
        <v>0.39930555555555558</v>
      </c>
      <c r="BJ57" s="556">
        <v>0.52986111111111112</v>
      </c>
      <c r="BK57" s="18"/>
      <c r="BL57" s="78"/>
    </row>
    <row r="58" spans="1:64" ht="12.75" x14ac:dyDescent="0.2">
      <c r="A58" s="67"/>
      <c r="B58" s="707" t="s">
        <v>14</v>
      </c>
      <c r="C58" s="708"/>
      <c r="D58" s="709"/>
      <c r="E58" s="89">
        <f>IF(ISBLANK(H5),"",CORREL(I4:I34,N4:N34))</f>
        <v>9.166889925223326E-2</v>
      </c>
      <c r="F58" s="576">
        <f>IF(ISBLANK(H5),"",ABS(E58))</f>
        <v>9.166889925223326E-2</v>
      </c>
      <c r="H58" s="722"/>
      <c r="I58" s="723"/>
      <c r="J58" s="573">
        <v>1</v>
      </c>
      <c r="K58" s="205" t="s">
        <v>2</v>
      </c>
      <c r="L58" s="206" t="s">
        <v>3</v>
      </c>
      <c r="M58" s="207" t="s">
        <v>156</v>
      </c>
      <c r="N58" s="208" t="s">
        <v>5</v>
      </c>
      <c r="O58" s="204"/>
      <c r="P58" s="205" t="s">
        <v>2</v>
      </c>
      <c r="Q58" s="206" t="s">
        <v>3</v>
      </c>
      <c r="R58" s="207" t="s">
        <v>4</v>
      </c>
      <c r="S58" s="208" t="s">
        <v>5</v>
      </c>
      <c r="T58" s="209"/>
      <c r="U58" s="652"/>
      <c r="V58" s="654"/>
      <c r="W58" s="656"/>
      <c r="X58" s="658"/>
      <c r="Y58" s="210"/>
      <c r="Z58" s="211" t="s">
        <v>137</v>
      </c>
      <c r="AA58" s="211" t="s">
        <v>235</v>
      </c>
      <c r="AB58" s="495" t="s">
        <v>138</v>
      </c>
      <c r="AC58" s="533" t="s">
        <v>140</v>
      </c>
      <c r="AD58" s="534" t="s">
        <v>235</v>
      </c>
      <c r="AE58" s="535" t="s">
        <v>141</v>
      </c>
      <c r="AF58" s="166"/>
      <c r="AG58" s="650"/>
      <c r="AH58" s="650"/>
      <c r="AI58" s="650"/>
      <c r="AJ58" s="650"/>
      <c r="AK58" s="6"/>
      <c r="AL58" s="426"/>
      <c r="AM58" s="67"/>
      <c r="AO58" s="224"/>
      <c r="AR58" s="6"/>
      <c r="AS58" s="637" t="s">
        <v>46</v>
      </c>
      <c r="AT58" s="638"/>
      <c r="AU58" s="92">
        <f>IF(ISBLANK(U5),"",CORREL(U4:U34,R4:R34))</f>
        <v>-0.23755389148445419</v>
      </c>
      <c r="AV58" s="577">
        <f>IF(ISBLANK(U5),"",ABS(AU58))</f>
        <v>0.23755389148445419</v>
      </c>
      <c r="AX58" s="361">
        <v>10</v>
      </c>
      <c r="AY58" s="23">
        <f t="shared" si="27"/>
        <v>3.7499999999999996</v>
      </c>
      <c r="AZ58" s="50"/>
      <c r="BA58" s="26">
        <f t="shared" si="29"/>
        <v>-0.97000000000000064</v>
      </c>
      <c r="BB58" s="7">
        <f t="shared" si="28"/>
        <v>-1.1500000000000008</v>
      </c>
      <c r="BC58" s="25">
        <f>IF(ISBLANK(G13),"",(AVERAGE($AY$49:AY58)))</f>
        <v>4.0999999999999996</v>
      </c>
      <c r="BD58" s="13">
        <f t="shared" si="30"/>
        <v>-0.66799999999999971</v>
      </c>
      <c r="BE58" s="6"/>
      <c r="BF58" s="556">
        <v>9.0277777777777776E-2</v>
      </c>
      <c r="BG58" s="556">
        <v>0.58333333333333337</v>
      </c>
      <c r="BH58" s="556" t="s">
        <v>305</v>
      </c>
      <c r="BI58" s="556">
        <v>0.30902777777777779</v>
      </c>
      <c r="BJ58" s="556">
        <v>0.8965277777777777</v>
      </c>
      <c r="BK58" s="18"/>
      <c r="BL58" s="78"/>
    </row>
    <row r="59" spans="1:64" ht="12.75" x14ac:dyDescent="0.2">
      <c r="A59" s="67"/>
      <c r="B59" s="707" t="s">
        <v>52</v>
      </c>
      <c r="C59" s="708"/>
      <c r="D59" s="709"/>
      <c r="E59" s="89">
        <f>IF(ISBLANK(H5),"",CORREL(L4:L34,R4:R34))</f>
        <v>-0.22135114558213254</v>
      </c>
      <c r="F59" s="576">
        <f>IF(ISBLANK(H5),"",ABS(E59))</f>
        <v>0.22135114558213254</v>
      </c>
      <c r="H59" s="729" t="s">
        <v>19</v>
      </c>
      <c r="I59" s="730"/>
      <c r="J59" s="573">
        <v>1</v>
      </c>
      <c r="K59" s="100">
        <f>IF(ISBLANK(F4),"",AVERAGE(F4:F18))</f>
        <v>3.4066666666666663</v>
      </c>
      <c r="L59" s="100">
        <f>IF(ISBLANK(G4),"",AVERAGE(G4:G18))</f>
        <v>8.1133333333333333</v>
      </c>
      <c r="M59" s="100">
        <f>IF(ISBLANK(H4),"",AVERAGE(H4:H18))</f>
        <v>6.1</v>
      </c>
      <c r="N59" s="100">
        <f>IF(ISBLANK(G4),"",AVERAGE(I4:I18))</f>
        <v>4.706666666666667</v>
      </c>
      <c r="O59" s="191"/>
      <c r="P59" s="100">
        <f>IF(ISBLANK(F4),"",K59-AVERAGE(F91:F105))</f>
        <v>0.93599999999999994</v>
      </c>
      <c r="Q59" s="100">
        <f>IF(ISBLANK(G4),"",L59-AVERAGE(G91:G105))</f>
        <v>1.0853333333333328</v>
      </c>
      <c r="R59" s="100">
        <f>IF(ISBLANK(H4),"",M59-AVERAGE(H91:H105))</f>
        <v>1.3506666666666645</v>
      </c>
      <c r="S59" s="100">
        <f>IF(ISBLANK(G4),"",N59-AVERAGE(I91:I105))</f>
        <v>0.14933333333333287</v>
      </c>
      <c r="T59" s="166"/>
      <c r="U59" s="342">
        <f>IF(ISBLANK(M4),"",AVERAGE(M4:M18))</f>
        <v>86.733333333333334</v>
      </c>
      <c r="V59" s="342">
        <f>IF(ISBLANK(P4),"",AVERAGE(R4:R18))</f>
        <v>1010.9000003333333</v>
      </c>
      <c r="W59" s="345">
        <f>IF(ISBLANK(U4),"",AVERAGE(U4:U18))</f>
        <v>5.52</v>
      </c>
      <c r="X59" s="100">
        <f>IF(ISBLANK(AI4),"",AVERAGE(AI4:AI18))</f>
        <v>4.0199999999999996</v>
      </c>
      <c r="Y59" s="192"/>
      <c r="Z59" s="38">
        <f>IF(ISBLANK(Z4),"",SUM(Z4:Z18))</f>
        <v>45.6</v>
      </c>
      <c r="AA59" s="492">
        <f>IF(ISBLANK(Z4),"",Z59/($Z$39/$E$34*15))</f>
        <v>1.4958730158730158</v>
      </c>
      <c r="AB59" s="496">
        <f>IF(Z38=0,"",Z59/$Z$38)</f>
        <v>0.62465753424657544</v>
      </c>
      <c r="AC59" s="499">
        <f>IF(ISBLANK(AP4),"",SUM(AP4:AP18))</f>
        <v>14.1</v>
      </c>
      <c r="AD59" s="492">
        <f>IF(ISBLANK(AP4),"",AC59/SUM(AS91:AS105))</f>
        <v>0.65789750215252762</v>
      </c>
      <c r="AE59" s="197">
        <f>IF(ISBLANK(AP4),"",AC59/$AP$38)</f>
        <v>0.35877862595419852</v>
      </c>
      <c r="AF59" s="166"/>
      <c r="AG59" s="712" t="s">
        <v>127</v>
      </c>
      <c r="AH59" s="712"/>
      <c r="AI59" s="712"/>
      <c r="AJ59" s="712"/>
      <c r="AK59" s="314"/>
      <c r="AM59" s="67"/>
      <c r="AN59" s="182" t="s">
        <v>66</v>
      </c>
      <c r="AO59" s="87"/>
      <c r="AP59" s="800" t="s">
        <v>97</v>
      </c>
      <c r="AQ59" s="800"/>
      <c r="AR59" s="6"/>
      <c r="AS59" s="637" t="s">
        <v>47</v>
      </c>
      <c r="AT59" s="638"/>
      <c r="AU59" s="92">
        <f>IF(AQ38=0,"",CORREL(AQ4:AQ34,R4:R34))</f>
        <v>-0.48782266893953607</v>
      </c>
      <c r="AV59" s="577">
        <f>IF(AQ38=0,"",ABS(AU59))</f>
        <v>0.48782266893953607</v>
      </c>
      <c r="AX59" s="361">
        <v>11</v>
      </c>
      <c r="AY59" s="23">
        <f t="shared" si="27"/>
        <v>5.6999999999999993</v>
      </c>
      <c r="AZ59" s="50"/>
      <c r="BA59" s="26">
        <f t="shared" si="29"/>
        <v>0.98499999999999965</v>
      </c>
      <c r="BB59" s="7">
        <f t="shared" si="28"/>
        <v>0.19999999999999929</v>
      </c>
      <c r="BC59" s="25">
        <f>IF(ISBLANK(G14),"",(AVERAGE($AY$49:AY59)))</f>
        <v>4.245454545454546</v>
      </c>
      <c r="BD59" s="13">
        <f t="shared" si="30"/>
        <v>-0.51772727272727315</v>
      </c>
      <c r="BE59" s="6"/>
      <c r="BF59" s="556" t="s">
        <v>309</v>
      </c>
      <c r="BG59" s="556">
        <v>0.4375</v>
      </c>
      <c r="BH59" s="556">
        <v>0.59375</v>
      </c>
      <c r="BI59" s="556">
        <v>0.39583333333333331</v>
      </c>
      <c r="BJ59" s="556">
        <v>0.46736111111111112</v>
      </c>
      <c r="BK59" s="18"/>
      <c r="BL59" s="78"/>
    </row>
    <row r="60" spans="1:64" ht="12.75" customHeight="1" x14ac:dyDescent="0.2">
      <c r="A60" s="67"/>
      <c r="B60" s="707" t="s">
        <v>57</v>
      </c>
      <c r="C60" s="708"/>
      <c r="D60" s="709"/>
      <c r="E60" s="89">
        <f>IF(ISBLANK(H5),"",CORREL(G4:G34,N4:N34))</f>
        <v>2.7422231538900395E-2</v>
      </c>
      <c r="F60" s="576">
        <f>IF(ISBLANK(H5),"",ABS(E60))</f>
        <v>2.7422231538900395E-2</v>
      </c>
      <c r="H60" s="729" t="s">
        <v>18</v>
      </c>
      <c r="I60" s="730"/>
      <c r="J60" s="573">
        <v>1</v>
      </c>
      <c r="K60" s="100">
        <f>IF(ISBLANK(F19),"",AVERAGE(F19:F34))</f>
        <v>2.2375000000000003</v>
      </c>
      <c r="L60" s="100">
        <f>IF(ISBLANK(G19),"",AVERAGE(G19:G34))</f>
        <v>5.7312499999999993</v>
      </c>
      <c r="M60" s="100">
        <f>IF(ISBLANK(H19),"",AVERAGE(H19:H34))</f>
        <v>4.125</v>
      </c>
      <c r="N60" s="100">
        <f>IF(ISBLANK(G19),"",AVERAGE(I19:I34))</f>
        <v>3.4937499999999995</v>
      </c>
      <c r="O60" s="191"/>
      <c r="P60" s="100">
        <f>IF(ISBLANK(F19),"",K60-AVERAGE(F106:F121))</f>
        <v>-0.10000000000000009</v>
      </c>
      <c r="Q60" s="100">
        <f>IF(ISBLANK(G19),"",L60-AVERAGE(G106:G121))</f>
        <v>-1.2518750000000001</v>
      </c>
      <c r="R60" s="100">
        <f>IF(ISBLANK(H19),"",M60-AVERAGE(H106:H121))</f>
        <v>-0.53531249999999897</v>
      </c>
      <c r="S60" s="100">
        <f>IF(ISBLANK(G19),"",N60-AVERAGE(I106:I121))</f>
        <v>-1.1518750000000013</v>
      </c>
      <c r="T60" s="166"/>
      <c r="U60" s="342">
        <f>IF(ISBLANK(M19),"",AVERAGE(M19:M34))</f>
        <v>83.75</v>
      </c>
      <c r="V60" s="342">
        <f>IF(ISBLANK(P19),"",AVERAGE(R19:R34))</f>
        <v>1026.1875003125001</v>
      </c>
      <c r="W60" s="345">
        <f>IF(ISBLANK(U19),"",AVERAGE(U19:U34))</f>
        <v>5.2937500000000011</v>
      </c>
      <c r="X60" s="100">
        <f>IF(ISBLANK(AI19),"",AVERAGE(AI19:AI34))</f>
        <v>1.5312499999999998</v>
      </c>
      <c r="Y60" s="192"/>
      <c r="Z60" s="38">
        <f>IF(ISBLANK(Z19),"",SUM(Z19:Z34))</f>
        <v>27.400000000000006</v>
      </c>
      <c r="AA60" s="492">
        <f>IF(ISBLANK(Z19),"",(Z60/($Z$39/$E$34*16)))</f>
        <v>0.84265873015873038</v>
      </c>
      <c r="AB60" s="496">
        <f>IF(ISBLANK(Z19),"",Z60/$Z$38)</f>
        <v>0.37534246575342478</v>
      </c>
      <c r="AC60" s="118">
        <f>IF(ISBLANK(AP19),"",SUM(AP19:AP34))</f>
        <v>25.199999999999996</v>
      </c>
      <c r="AD60" s="492">
        <f>IF(ISBLANK(AP19),"",AC60/SUM(AS106:AS121))</f>
        <v>1.0257207586626511</v>
      </c>
      <c r="AE60" s="197">
        <f>IF(ISBLANK(AP19),"",AC60/$AP$38)</f>
        <v>0.64122137404580148</v>
      </c>
      <c r="AF60" s="166"/>
      <c r="AH60" s="713">
        <f t="array" ref="AH60">MAX(FREQUENCY(IF(AX91:AX121=1,ROW(91:121)),IF(AX91:AX121&lt;&gt;1,ROW(91:121))))</f>
        <v>6</v>
      </c>
      <c r="AI60" s="713"/>
      <c r="AJ60" s="4"/>
      <c r="AK60" s="68"/>
      <c r="AM60" s="67"/>
      <c r="AN60" s="53">
        <f t="array" ref="AN60">MAX(FREQUENCY(IF(AJ91:AJ121=1,ROW(53:83)),IF(AJ91:AJ121&lt;&gt;1,ROW(53:83))))</f>
        <v>5</v>
      </c>
      <c r="AO60" s="223"/>
      <c r="AP60" s="767" t="s">
        <v>268</v>
      </c>
      <c r="AQ60" s="767"/>
      <c r="AR60" s="6"/>
      <c r="AS60" s="801" t="s">
        <v>48</v>
      </c>
      <c r="AT60" s="802"/>
      <c r="AU60" s="96">
        <f>IF(U42=0,"",CORREL(U4:U34,S4:S34))</f>
        <v>-3.9239888740710126E-2</v>
      </c>
      <c r="AV60" s="577">
        <f>IF(U42=0,"",ABS(AU60))</f>
        <v>3.9239888740710126E-2</v>
      </c>
      <c r="AX60" s="361">
        <v>12</v>
      </c>
      <c r="AY60" s="23">
        <f t="shared" si="27"/>
        <v>8.1</v>
      </c>
      <c r="AZ60" s="50"/>
      <c r="BA60" s="26">
        <f t="shared" si="29"/>
        <v>3.3849999999999998</v>
      </c>
      <c r="BB60" s="7">
        <f t="shared" si="28"/>
        <v>-1</v>
      </c>
      <c r="BC60" s="25">
        <f>IF(ISBLANK(G15),"",(AVERAGE($AY$49:AY60)))</f>
        <v>4.5666666666666673</v>
      </c>
      <c r="BD60" s="13">
        <f t="shared" si="30"/>
        <v>-0.19250000000000034</v>
      </c>
      <c r="BE60" s="6"/>
      <c r="BF60" s="556">
        <v>0</v>
      </c>
      <c r="BG60" s="556">
        <v>0.59027777777777779</v>
      </c>
      <c r="BH60" s="556" t="s">
        <v>311</v>
      </c>
      <c r="BI60" s="556">
        <v>0.45833333333333331</v>
      </c>
      <c r="BJ60" s="556">
        <v>0.22361111111111109</v>
      </c>
      <c r="BK60" s="18"/>
      <c r="BL60" s="78"/>
    </row>
    <row r="61" spans="1:64" ht="12.75" x14ac:dyDescent="0.2">
      <c r="A61" s="67"/>
      <c r="B61" s="707" t="s">
        <v>58</v>
      </c>
      <c r="C61" s="708"/>
      <c r="D61" s="709"/>
      <c r="E61" s="89">
        <f>IF(ISBLANK(H5),"",CORREL(G4:G34,K4:K34))</f>
        <v>0.50789638507309098</v>
      </c>
      <c r="F61" s="576">
        <f>IF(ISBLANK(H5),"",ABS(E61))</f>
        <v>0.50789638507309098</v>
      </c>
      <c r="H61" s="198"/>
      <c r="I61" s="110"/>
      <c r="J61" s="573">
        <v>1</v>
      </c>
      <c r="K61" s="50"/>
      <c r="L61" s="50"/>
      <c r="M61" s="50"/>
      <c r="N61" s="50"/>
      <c r="O61" s="191"/>
      <c r="P61" s="50"/>
      <c r="Q61" s="50"/>
      <c r="R61" s="50"/>
      <c r="S61" s="50"/>
      <c r="T61" s="166"/>
      <c r="U61" s="343"/>
      <c r="V61" s="343"/>
      <c r="W61" s="346"/>
      <c r="X61" s="50"/>
      <c r="Y61" s="192"/>
      <c r="Z61" s="110"/>
      <c r="AA61" s="493"/>
      <c r="AB61" s="497"/>
      <c r="AC61" s="69"/>
      <c r="AD61" s="493"/>
      <c r="AE61" s="199"/>
      <c r="AF61" s="166"/>
      <c r="AK61" s="6"/>
      <c r="AM61" s="136"/>
      <c r="AO61" s="225"/>
      <c r="AP61" s="767"/>
      <c r="AQ61" s="767"/>
      <c r="AR61" s="6"/>
      <c r="AX61" s="361">
        <v>13</v>
      </c>
      <c r="AY61" s="23">
        <f t="shared" si="27"/>
        <v>12.350000000000001</v>
      </c>
      <c r="AZ61" s="50"/>
      <c r="BA61" s="26">
        <f t="shared" si="29"/>
        <v>7.6349999999999998</v>
      </c>
      <c r="BB61" s="7">
        <f t="shared" si="28"/>
        <v>0.25000000000000178</v>
      </c>
      <c r="BC61" s="25">
        <f>IF(ISBLANK(G16),"",(AVERAGE($AY$49:AY61)))</f>
        <v>5.1653846153846157</v>
      </c>
      <c r="BD61" s="13">
        <f t="shared" si="30"/>
        <v>0.40961538461538405</v>
      </c>
      <c r="BE61" s="6"/>
      <c r="BF61" s="556">
        <v>4.1666666666666664E-2</v>
      </c>
      <c r="BG61" s="556">
        <v>0.53125</v>
      </c>
      <c r="BH61" s="556">
        <v>0.57638888888888895</v>
      </c>
      <c r="BI61" s="556">
        <v>0.26041666666666669</v>
      </c>
      <c r="BJ61" s="556">
        <v>0.99722222222222223</v>
      </c>
      <c r="BK61" s="18"/>
      <c r="BL61" s="78"/>
    </row>
    <row r="62" spans="1:64" ht="12.75" x14ac:dyDescent="0.2">
      <c r="A62" s="67"/>
      <c r="B62" s="707" t="s">
        <v>59</v>
      </c>
      <c r="C62" s="708"/>
      <c r="D62" s="709"/>
      <c r="E62" s="89">
        <f>IF(ISBLANK(H5),"",CORREL(I4:I34,K4:K34))</f>
        <v>0.25415171525960661</v>
      </c>
      <c r="F62" s="576">
        <f>IF(ISBLANK(H5),"",ABS(E62))</f>
        <v>0.25415171525960661</v>
      </c>
      <c r="H62" s="729" t="s">
        <v>27</v>
      </c>
      <c r="I62" s="730"/>
      <c r="J62" s="573">
        <v>1</v>
      </c>
      <c r="K62" s="100">
        <f>IF(ISBLANK(F4),"",AVERAGE(F4:F13))</f>
        <v>1.5900000000000003</v>
      </c>
      <c r="L62" s="100">
        <f>IF(ISBLANK(G4),"",AVERAGE(G4:G13))</f>
        <v>6.6099999999999994</v>
      </c>
      <c r="M62" s="100">
        <f>IF(ISBLANK(H4),"",AVERAGE(H4:H13))</f>
        <v>4.4000000000000004</v>
      </c>
      <c r="N62" s="100">
        <f>IF(ISBLANK(G4),"",AVERAGE(I4:I13))</f>
        <v>5.0199999999999996</v>
      </c>
      <c r="O62" s="191"/>
      <c r="P62" s="100">
        <f>IF(ISBLANK(F4),"",K62-AVERAGE(F91:F100))</f>
        <v>-0.91599999999999948</v>
      </c>
      <c r="Q62" s="100">
        <f>IF(ISBLANK(G4),"",L62-AVERAGE(G91:G100))</f>
        <v>-0.41999999999999993</v>
      </c>
      <c r="R62" s="100">
        <f>IF(ISBLANK(H4),"",M62-AVERAGE(H91:H100))</f>
        <v>-0.36800000000000033</v>
      </c>
      <c r="S62" s="100">
        <f>IF(ISBLANK(G4),"",N62-AVERAGE(I91:I100))</f>
        <v>0.49599999999999955</v>
      </c>
      <c r="T62" s="166"/>
      <c r="U62" s="342">
        <f>IF(ISBLANK(M4),"",AVERAGE(M4:M13))</f>
        <v>85.5</v>
      </c>
      <c r="V62" s="342">
        <f>IF(ISBLANK(P4),"",AVERAGE(R4:R13))</f>
        <v>1010.6500005</v>
      </c>
      <c r="W62" s="345">
        <f>IF(ISBLANK(U4),"",AVERAGE(U4:U13))</f>
        <v>4.7700000000000005</v>
      </c>
      <c r="X62" s="100">
        <f>IF(ISBLANK(AI4),"",AVERAGE(AI4:AI13))</f>
        <v>2.1300000000000003</v>
      </c>
      <c r="Y62" s="192"/>
      <c r="Z62" s="38">
        <f>IF(ISBLANK(Z4),"",SUM(Z4:Z13))</f>
        <v>24</v>
      </c>
      <c r="AA62" s="492">
        <f>IF(ISBLANK(Z4),"",Z62/($Z$39/$E$34*10))</f>
        <v>1.180952380952381</v>
      </c>
      <c r="AB62" s="496">
        <f>IF(Z38=0,"",Z62/$Z$38)</f>
        <v>0.32876712328767127</v>
      </c>
      <c r="AC62" s="118">
        <f>IF(ISBLANK(AP4),"",SUM(AP4:AP13))</f>
        <v>13.9</v>
      </c>
      <c r="AD62" s="492">
        <f>IF(ISBLANK(AP4),"",AC62/SUM(AS91:AS100))</f>
        <v>0.98199845649083228</v>
      </c>
      <c r="AE62" s="197">
        <f>IF(ISBLANK(AP4),"",AC62/$AP$38)</f>
        <v>0.3536895674300255</v>
      </c>
      <c r="AF62" s="222"/>
      <c r="AK62" s="6"/>
      <c r="AL62" s="426"/>
      <c r="AM62" s="136"/>
      <c r="AN62" s="180" t="s">
        <v>65</v>
      </c>
      <c r="AO62" s="226"/>
      <c r="AP62" s="767"/>
      <c r="AQ62" s="767"/>
      <c r="AR62" s="6"/>
      <c r="AS62" s="785" t="s">
        <v>4</v>
      </c>
      <c r="AT62" s="785"/>
      <c r="AU62" s="220">
        <f>IF(AQ38=0,"",AVERAGE(AV50:AV60))</f>
        <v>0.31446244757852482</v>
      </c>
      <c r="AV62" s="577">
        <f>AU62</f>
        <v>0.31446244757852482</v>
      </c>
      <c r="AX62" s="361">
        <v>14</v>
      </c>
      <c r="AY62" s="23">
        <f t="shared" si="27"/>
        <v>9.75</v>
      </c>
      <c r="AZ62" s="50"/>
      <c r="BA62" s="26">
        <f t="shared" si="29"/>
        <v>5.0350000000000001</v>
      </c>
      <c r="BB62" s="7">
        <f t="shared" si="28"/>
        <v>-0.75</v>
      </c>
      <c r="BC62" s="25">
        <f>IF(ISBLANK(G17),"",(AVERAGE($AY$49:AY62)))</f>
        <v>5.4928571428571429</v>
      </c>
      <c r="BD62" s="13">
        <f t="shared" si="30"/>
        <v>0.7399999999999991</v>
      </c>
      <c r="BE62" s="6"/>
      <c r="BF62" s="556" t="s">
        <v>233</v>
      </c>
      <c r="BG62" s="556">
        <v>0.4861111111111111</v>
      </c>
      <c r="BH62" s="556">
        <v>0.57986111111111105</v>
      </c>
      <c r="BI62" s="556">
        <v>0</v>
      </c>
      <c r="BJ62" s="556">
        <v>7.9166666666666663E-2</v>
      </c>
      <c r="BK62" s="55"/>
      <c r="BL62" s="78"/>
    </row>
    <row r="63" spans="1:64" ht="12.75" customHeight="1" x14ac:dyDescent="0.2">
      <c r="A63" s="67"/>
      <c r="B63" s="707" t="s">
        <v>72</v>
      </c>
      <c r="C63" s="708"/>
      <c r="D63" s="709"/>
      <c r="E63" s="89">
        <f>IF(ISBLANK(H5),"",CORREL(R4:R34,K4:K34))</f>
        <v>-5.8640187204103057E-2</v>
      </c>
      <c r="F63" s="576">
        <f>IF(ISBLANK(H5),"",ABS(E63))</f>
        <v>5.8640187204103057E-2</v>
      </c>
      <c r="H63" s="729" t="s">
        <v>28</v>
      </c>
      <c r="I63" s="730"/>
      <c r="J63" s="573">
        <v>1</v>
      </c>
      <c r="K63" s="100">
        <f>IF(ISBLANK(F14),"",AVERAGE(F14:F23))</f>
        <v>5.7200000000000006</v>
      </c>
      <c r="L63" s="100">
        <f>IF(ISBLANK(G14),"",AVERAGE(G14:G23))</f>
        <v>9.52</v>
      </c>
      <c r="M63" s="100">
        <f>IF(ISBLANK(H14),"",AVERAGE(H14:H23))</f>
        <v>7.7799999999999994</v>
      </c>
      <c r="N63" s="100">
        <f>IF(ISBLANK(G14),"",AVERAGE(I14:I23))</f>
        <v>3.8</v>
      </c>
      <c r="O63" s="191"/>
      <c r="P63" s="100">
        <f>IF(ISBLANK(F14),"",K63-AVERAGE(F101:F110))</f>
        <v>3.3400000000000007</v>
      </c>
      <c r="Q63" s="100">
        <f>IF(ISBLANK(G14),"",L63-AVERAGE(G101:G110))</f>
        <v>2.5079999999999991</v>
      </c>
      <c r="R63" s="100">
        <f>IF(ISBLANK(H14),"",M63-AVERAGE(H101:H110))</f>
        <v>3.0839999999999996</v>
      </c>
      <c r="S63" s="100">
        <f>IF(ISBLANK(G14),"",N63-AVERAGE(I101:I110))</f>
        <v>-0.83200000000000163</v>
      </c>
      <c r="T63" s="166"/>
      <c r="U63" s="342">
        <f>IF(ISBLANK(M14),"",AVERAGE(M14:M23))</f>
        <v>89.4</v>
      </c>
      <c r="V63" s="342">
        <f>IF(ISBLANK(P14),"",AVERAGE(R14:R23))</f>
        <v>1018.95</v>
      </c>
      <c r="W63" s="345">
        <f>IF(ISBLANK(U14),"",AVERAGE(U14:U23))</f>
        <v>5.839999999999999</v>
      </c>
      <c r="X63" s="100">
        <f>IF(ISBLANK(AI14),"",AVERAGE(AI14:AI23))</f>
        <v>6.1</v>
      </c>
      <c r="Y63" s="192"/>
      <c r="Z63" s="38">
        <f>IF(ISBLANK(Z14),"",SUM(Z14:Z23))</f>
        <v>46.800000000000004</v>
      </c>
      <c r="AA63" s="492">
        <f>IF(ISBLANK(Z14),"",Z63/($Z$39/$E$34*10))</f>
        <v>2.3028571428571434</v>
      </c>
      <c r="AB63" s="496">
        <f>IF(ISBLANK(Z14),"",Z63/$Z$38)</f>
        <v>0.64109589041095905</v>
      </c>
      <c r="AC63" s="118">
        <f>IF(ISBLANK(AP14),"",SUM(AP14:AP23))</f>
        <v>13.5</v>
      </c>
      <c r="AD63" s="492">
        <f>IF(ISBLANK(AP14),"",AC63/SUM(AS101:AS110))</f>
        <v>0.91669344429000987</v>
      </c>
      <c r="AE63" s="197">
        <f>IF(ISBLANK(AP14),"",AC63/$AP$38)</f>
        <v>0.34351145038167941</v>
      </c>
      <c r="AF63" s="222"/>
      <c r="AK63" s="315"/>
      <c r="AL63" s="426"/>
      <c r="AM63" s="136"/>
      <c r="AN63" s="5">
        <f>MIN(AT79,AN92)</f>
        <v>5</v>
      </c>
      <c r="AO63" s="227"/>
      <c r="AP63" s="784" t="s">
        <v>228</v>
      </c>
      <c r="AQ63" s="784"/>
      <c r="AR63" s="6"/>
      <c r="AS63" s="785" t="s">
        <v>34</v>
      </c>
      <c r="AT63" s="785"/>
      <c r="AU63" s="9">
        <f>AN96+AN101</f>
        <v>2</v>
      </c>
      <c r="AV63" s="103" t="s">
        <v>69</v>
      </c>
      <c r="AX63" s="361">
        <v>15</v>
      </c>
      <c r="AY63" s="23">
        <f t="shared" si="27"/>
        <v>9.5</v>
      </c>
      <c r="AZ63" s="50"/>
      <c r="BA63" s="26">
        <f t="shared" si="29"/>
        <v>4.8</v>
      </c>
      <c r="BB63" s="7">
        <f t="shared" si="28"/>
        <v>-0.80000000000000071</v>
      </c>
      <c r="BC63" s="25">
        <f>IF(ISBLANK(G18),"",(AVERAGE($AY$49:AY63)))</f>
        <v>5.7600000000000007</v>
      </c>
      <c r="BD63" s="13">
        <f t="shared" si="30"/>
        <v>1.0106666666666664</v>
      </c>
      <c r="BE63" s="6"/>
      <c r="BF63" s="556">
        <v>2.0833333333333332E-2</v>
      </c>
      <c r="BG63" s="556">
        <v>0.55902777777777779</v>
      </c>
      <c r="BH63" s="556">
        <v>0.54513888888888895</v>
      </c>
      <c r="BI63" s="556" t="s">
        <v>316</v>
      </c>
      <c r="BJ63" s="556">
        <v>0.56388888888888888</v>
      </c>
      <c r="BK63" s="18"/>
      <c r="BL63" s="78"/>
    </row>
    <row r="64" spans="1:64" ht="12.75" x14ac:dyDescent="0.2">
      <c r="A64" s="67"/>
      <c r="B64" s="707" t="s">
        <v>74</v>
      </c>
      <c r="C64" s="708"/>
      <c r="D64" s="709"/>
      <c r="E64" s="89">
        <f>IF(ISBLANK(H5),"",CORREL(K4:K34,N4:N34))</f>
        <v>-0.69228660838494616</v>
      </c>
      <c r="F64" s="576">
        <f>IF(ISBLANK(H5),"",ABS(E64))</f>
        <v>0.69228660838494616</v>
      </c>
      <c r="H64" s="729" t="s">
        <v>42</v>
      </c>
      <c r="I64" s="730"/>
      <c r="J64" s="573">
        <v>1</v>
      </c>
      <c r="K64" s="100">
        <f>IF(ISBLANK(F24),"",AVERAGE(F24:F34))</f>
        <v>1.2545454545454546</v>
      </c>
      <c r="L64" s="100">
        <f>IF(ISBLANK(G24),"",AVERAGE(G24:G34))</f>
        <v>4.7363636363636372</v>
      </c>
      <c r="M64" s="100">
        <f>IF(ISBLANK(H24),"",AVERAGE(H24:H34))</f>
        <v>3.2454545454545451</v>
      </c>
      <c r="N64" s="100">
        <f>IF(ISBLANK(G24),"",AVERAGE(I24:I34))</f>
        <v>3.4818181818181815</v>
      </c>
      <c r="O64" s="191"/>
      <c r="P64" s="100">
        <f>IF(ISBLANK(F24),"",K64-AVERAGE(F111:F121))</f>
        <v>-1.0727272727272725</v>
      </c>
      <c r="Q64" s="100">
        <f>IF(ISBLANK(G24),"",L64-AVERAGE(G111:G121))</f>
        <v>-2.2390909090909084</v>
      </c>
      <c r="R64" s="100">
        <f>IF(ISBLANK(H24),"",M64-AVERAGE(H111:H121))</f>
        <v>-1.4059090909090903</v>
      </c>
      <c r="S64" s="100">
        <f>IF(ISBLANK(G24),"",N64-AVERAGE(I111:I121))</f>
        <v>-1.1663636363636378</v>
      </c>
      <c r="T64" s="166"/>
      <c r="U64" s="342">
        <f>IF(ISBLANK(M24),"",AVERAGE(M24:M34))</f>
        <v>81.090909090909093</v>
      </c>
      <c r="V64" s="342">
        <f>IF(ISBLANK(P24),"",AVERAGE(R24:R34))</f>
        <v>1026.0454549999999</v>
      </c>
      <c r="W64" s="345">
        <f>IF(ISBLANK(U24),"",AVERAGE(U24:U34))</f>
        <v>5.581818181818182</v>
      </c>
      <c r="X64" s="100">
        <f>IF(ISBLANK(AI24),"",AVERAGE(AI24:AI34))</f>
        <v>0.22727272727272751</v>
      </c>
      <c r="Y64" s="192"/>
      <c r="Z64" s="38">
        <f>IF(ISBLANK(Z24),"",SUM(Z24:Z34))</f>
        <v>2.2000000000000002</v>
      </c>
      <c r="AA64" s="492">
        <f>IF(ISBLANK(Z24),"",Z64/($Z$39/$E$34*11))</f>
        <v>9.8412698412698424E-2</v>
      </c>
      <c r="AB64" s="496">
        <f>IF(ISBLANK(Z24),"",Z64/$Z$38)</f>
        <v>3.0136986301369871E-2</v>
      </c>
      <c r="AC64" s="118">
        <f>IF(ISBLANK(AP24),"",SUM(AP24:AP34))</f>
        <v>11.9</v>
      </c>
      <c r="AD64" s="492">
        <f>IF(ISBLANK(AP24),"",AC64/SUM(AS111:AS121))</f>
        <v>0.69516049410199399</v>
      </c>
      <c r="AE64" s="197">
        <f>IF(ISBLANK(AP24),"",AC64/$AP$38)</f>
        <v>0.30279898218829521</v>
      </c>
      <c r="AF64" s="50"/>
      <c r="AG64" s="739" t="s">
        <v>177</v>
      </c>
      <c r="AH64" s="739"/>
      <c r="AI64" s="739"/>
      <c r="AJ64" s="739"/>
      <c r="AK64" s="68"/>
      <c r="AM64" s="136"/>
      <c r="AN64" s="105"/>
      <c r="AO64" s="228"/>
      <c r="AP64" s="784"/>
      <c r="AQ64" s="784"/>
      <c r="AR64" s="6"/>
      <c r="AX64" s="361">
        <v>16</v>
      </c>
      <c r="AY64" s="23">
        <f t="shared" si="27"/>
        <v>11.05</v>
      </c>
      <c r="AZ64" s="50"/>
      <c r="BA64" s="26">
        <f t="shared" si="29"/>
        <v>6.3500000000000005</v>
      </c>
      <c r="BB64" s="7">
        <f t="shared" si="28"/>
        <v>-4.9999999999998934E-2</v>
      </c>
      <c r="BC64" s="25">
        <f>IF(ISBLANK(G19),"",(AVERAGE($AY$49:AY64)))</f>
        <v>6.0906250000000002</v>
      </c>
      <c r="BD64" s="13">
        <f t="shared" si="30"/>
        <v>1.3443749999999999</v>
      </c>
      <c r="BE64" s="6"/>
      <c r="BF64" s="556" t="s">
        <v>233</v>
      </c>
      <c r="BG64" s="556">
        <v>0.46180555555555558</v>
      </c>
      <c r="BH64" s="556">
        <v>0.54861111111111105</v>
      </c>
      <c r="BI64" s="556" t="s">
        <v>233</v>
      </c>
      <c r="BJ64" s="556">
        <v>0.5131944444444444</v>
      </c>
      <c r="BK64" s="18"/>
      <c r="BL64" s="78"/>
    </row>
    <row r="65" spans="1:64" ht="12.75" customHeight="1" thickBot="1" x14ac:dyDescent="0.25">
      <c r="A65" s="67"/>
      <c r="B65" s="707" t="s">
        <v>73</v>
      </c>
      <c r="C65" s="708"/>
      <c r="D65" s="709"/>
      <c r="E65" s="89">
        <f>IF(ISBLANK(H5),"",CORREL(F4:F34,I4:I34))</f>
        <v>-0.26828017770548002</v>
      </c>
      <c r="F65" s="576">
        <f>IF(ISBLANK(H5),"",ABS(E65))</f>
        <v>0.26828017770548002</v>
      </c>
      <c r="G65" s="21"/>
      <c r="H65" s="198"/>
      <c r="I65" s="110"/>
      <c r="J65" s="573">
        <v>1</v>
      </c>
      <c r="K65" s="50"/>
      <c r="L65" s="50"/>
      <c r="M65" s="50"/>
      <c r="N65" s="50"/>
      <c r="O65" s="191"/>
      <c r="P65" s="50"/>
      <c r="Q65" s="50"/>
      <c r="R65" s="50"/>
      <c r="S65" s="50"/>
      <c r="T65" s="166"/>
      <c r="U65" s="343"/>
      <c r="V65" s="343"/>
      <c r="W65" s="346"/>
      <c r="X65" s="50"/>
      <c r="Y65" s="192"/>
      <c r="Z65" s="110"/>
      <c r="AA65" s="493"/>
      <c r="AB65" s="497"/>
      <c r="AC65" s="69"/>
      <c r="AD65" s="493"/>
      <c r="AE65" s="199"/>
      <c r="AF65" s="50"/>
      <c r="AH65" s="713">
        <f>SUM(BH91:BH121)</f>
        <v>5</v>
      </c>
      <c r="AI65" s="713"/>
      <c r="AJ65" s="93">
        <f>IF(M53=0,"",AH65/M53)</f>
        <v>0.16129032258064516</v>
      </c>
      <c r="AK65" s="6"/>
      <c r="AM65" s="136"/>
      <c r="AO65" s="229"/>
      <c r="AP65" s="784"/>
      <c r="AQ65" s="784"/>
      <c r="AR65" s="6"/>
      <c r="AV65" s="332"/>
      <c r="AW65" s="332"/>
      <c r="AX65" s="361">
        <v>17</v>
      </c>
      <c r="AY65" s="23">
        <f t="shared" si="27"/>
        <v>7.7</v>
      </c>
      <c r="AZ65" s="50"/>
      <c r="BA65" s="26">
        <f t="shared" si="29"/>
        <v>3</v>
      </c>
      <c r="BB65" s="7">
        <f t="shared" si="28"/>
        <v>0.10000000000000053</v>
      </c>
      <c r="BC65" s="25">
        <f>IF(ISBLANK(G20),"",(AVERAGE($AY$49:AY65)))</f>
        <v>6.1852941176470591</v>
      </c>
      <c r="BD65" s="13">
        <f t="shared" si="30"/>
        <v>1.4417647058823528</v>
      </c>
      <c r="BE65" s="6"/>
      <c r="BF65" s="556" t="s">
        <v>233</v>
      </c>
      <c r="BG65" s="556" t="s">
        <v>274</v>
      </c>
      <c r="BH65" s="556" t="s">
        <v>231</v>
      </c>
      <c r="BI65" s="556">
        <v>0.36458333333333331</v>
      </c>
      <c r="BJ65" s="556">
        <v>0.44791666666666669</v>
      </c>
      <c r="BK65" s="18"/>
      <c r="BL65" s="78"/>
    </row>
    <row r="66" spans="1:64" ht="12.75" customHeight="1" thickTop="1" x14ac:dyDescent="0.2">
      <c r="A66" s="67"/>
      <c r="B66" s="707" t="s">
        <v>82</v>
      </c>
      <c r="C66" s="708"/>
      <c r="D66" s="709"/>
      <c r="E66" s="89">
        <f>IF(ISBLANK(H5),"",CORREL(G4:G34,I4:I34))</f>
        <v>0.38744892232429107</v>
      </c>
      <c r="F66" s="576">
        <f>IF(ISBLANK(H5),"",ABS(E66))</f>
        <v>0.38744892232429107</v>
      </c>
      <c r="H66" s="729" t="s">
        <v>29</v>
      </c>
      <c r="I66" s="730"/>
      <c r="J66" s="573">
        <v>1</v>
      </c>
      <c r="K66" s="100">
        <f>IF(ISBLANK(F4),"",AVERAGE(F4:F8))</f>
        <v>2.1</v>
      </c>
      <c r="L66" s="100">
        <f>IF(ISBLANK(G4),"",AVERAGE(G4:G8))</f>
        <v>5.0400000000000009</v>
      </c>
      <c r="M66" s="100">
        <f>IF(ISBLANK(H4),"",AVERAGE(H4:H8))</f>
        <v>3.78</v>
      </c>
      <c r="N66" s="100">
        <f>IF(ISBLANK(G4),"",AVERAGE(I4:I8))</f>
        <v>2.9400000000000004</v>
      </c>
      <c r="O66" s="191"/>
      <c r="P66" s="100">
        <f>IF(ISBLANK(F4),"",K66-AVERAGE(F91:F95))</f>
        <v>-0.45999999999999996</v>
      </c>
      <c r="Q66" s="100">
        <f>IF(ISBLANK(G4),"",L66-AVERAGE(G91:G95))</f>
        <v>-1.9899999999999984</v>
      </c>
      <c r="R66" s="100">
        <f>IF(ISBLANK(H4),"",M66-AVERAGE(H91:H95))</f>
        <v>-1.0150000000000001</v>
      </c>
      <c r="S66" s="100">
        <f>IF(ISBLANK(G4),"",N66-AVERAGE(I91:I95))</f>
        <v>-1.5300000000000002</v>
      </c>
      <c r="T66" s="166"/>
      <c r="U66" s="342">
        <f>IF(ISBLANK(M4),"",AVERAGE(M4:M8))</f>
        <v>82.8</v>
      </c>
      <c r="V66" s="342">
        <f>IF(ISBLANK(P4),"",AVERAGE(R4:R8))</f>
        <v>1018.1</v>
      </c>
      <c r="W66" s="345">
        <f>IF(ISBLANK(U4),"",AVERAGE(U4:U8))</f>
        <v>4.4000000000000004</v>
      </c>
      <c r="X66" s="100">
        <f>IF(ISBLANK(AI4),"",AVERAGE(AI4:AI8))</f>
        <v>1.1000000000000001</v>
      </c>
      <c r="Y66" s="192"/>
      <c r="Z66" s="100">
        <f>IF(ISBLANK(Z4),"",SUM(Z4:Z8))</f>
        <v>0.9</v>
      </c>
      <c r="AA66" s="492">
        <f>IF(ISBLANK(Z4),"",Z66/($Z$39/$E$34*5))</f>
        <v>8.8571428571428579E-2</v>
      </c>
      <c r="AB66" s="496">
        <f>IF(Z38=0,"",Z66/$Z$38)</f>
        <v>1.2328767123287674E-2</v>
      </c>
      <c r="AC66" s="165">
        <f>IF(ISBLANK(AP4),"",SUM(AP4:AP8))</f>
        <v>4.5999999999999996</v>
      </c>
      <c r="AD66" s="492">
        <f>IF(ISBLANK(AP4),"",AC66/SUM(AS91:AS95))</f>
        <v>0.65513347955634316</v>
      </c>
      <c r="AE66" s="197">
        <f>IF(ISBLANK(AP4),"",AC66/$AP$38)</f>
        <v>0.11704834605597965</v>
      </c>
      <c r="AF66" s="50"/>
      <c r="AG66" s="650"/>
      <c r="AH66" s="650"/>
      <c r="AI66" s="650"/>
      <c r="AJ66" s="650"/>
      <c r="AK66" s="316"/>
      <c r="AM66" s="136"/>
      <c r="AN66" s="190" t="s">
        <v>254</v>
      </c>
      <c r="AO66" s="229"/>
      <c r="AP66" s="784"/>
      <c r="AQ66" s="784"/>
      <c r="AR66" s="6"/>
      <c r="AT66" s="186" t="s">
        <v>86</v>
      </c>
      <c r="AU66" s="186"/>
      <c r="AV66" s="165"/>
      <c r="AW66" s="118"/>
      <c r="AX66" s="361">
        <v>18</v>
      </c>
      <c r="AY66" s="23">
        <f t="shared" si="27"/>
        <v>4.5999999999999996</v>
      </c>
      <c r="AZ66" s="50"/>
      <c r="BA66" s="26">
        <f t="shared" si="29"/>
        <v>-9.9999999999999867E-2</v>
      </c>
      <c r="BB66" s="7">
        <f t="shared" si="28"/>
        <v>9.9999999999999645E-2</v>
      </c>
      <c r="BC66" s="25">
        <f>IF(ISBLANK(G21),"",(AVERAGE($AY$49:AY66)))</f>
        <v>6.0972222222222223</v>
      </c>
      <c r="BD66" s="13">
        <f t="shared" si="30"/>
        <v>1.3561111111111113</v>
      </c>
      <c r="BE66" s="6"/>
      <c r="BF66" s="556">
        <v>0.38194444444444442</v>
      </c>
      <c r="BG66" s="556">
        <v>0.60763888888888895</v>
      </c>
      <c r="BH66" s="556">
        <v>0.65208333333333335</v>
      </c>
      <c r="BI66" s="556">
        <v>0.29166666666666669</v>
      </c>
      <c r="BJ66" s="556">
        <v>0.54097222222222219</v>
      </c>
      <c r="BK66" s="18"/>
      <c r="BL66" s="78"/>
    </row>
    <row r="67" spans="1:64" ht="12.75" x14ac:dyDescent="0.2">
      <c r="A67" s="67"/>
      <c r="B67" s="740"/>
      <c r="C67" s="741"/>
      <c r="D67" s="741"/>
      <c r="E67" s="157"/>
      <c r="F67" s="576"/>
      <c r="H67" s="729" t="s">
        <v>36</v>
      </c>
      <c r="I67" s="730"/>
      <c r="J67" s="573">
        <v>1</v>
      </c>
      <c r="K67" s="100">
        <f>IF(ISBLANK(F9),"",AVERAGE(F9:F13))</f>
        <v>1.0799999999999998</v>
      </c>
      <c r="L67" s="100">
        <f>IF(ISBLANK(G9),"",AVERAGE(G9:G13))</f>
        <v>8.1799999999999979</v>
      </c>
      <c r="M67" s="100">
        <f>IF(ISBLANK(H9),"",AVERAGE(H9:H13))</f>
        <v>5.0200000000000005</v>
      </c>
      <c r="N67" s="100">
        <f>IF(ISBLANK(G9),"",AVERAGE(I9:I13))</f>
        <v>7.1</v>
      </c>
      <c r="O67" s="191"/>
      <c r="P67" s="100">
        <f>IF(ISBLANK(F9),"",K67-AVERAGE(F96:F100))</f>
        <v>-1.3720000000000006</v>
      </c>
      <c r="Q67" s="100">
        <f>IF(ISBLANK(G9),"",L67-AVERAGE(G96:G100))</f>
        <v>1.1499999999999986</v>
      </c>
      <c r="R67" s="100">
        <f>IF(ISBLANK(H9),"",M67-AVERAGE(H96:H100))</f>
        <v>0.2790000000000008</v>
      </c>
      <c r="S67" s="100">
        <f>IF(ISBLANK(G9),"",N67-AVERAGE(I96:I100))</f>
        <v>2.5219999999999994</v>
      </c>
      <c r="T67" s="166"/>
      <c r="U67" s="342">
        <f>IF(ISBLANK(M9),"",AVERAGE(M9:M13))</f>
        <v>88.2</v>
      </c>
      <c r="V67" s="342">
        <f>IF(ISBLANK(P9),"",AVERAGE(R9:R13))</f>
        <v>1003.2000009999999</v>
      </c>
      <c r="W67" s="345">
        <f>IF(ISBLANK(U9),"",AVERAGE(U9:U13))</f>
        <v>5.14</v>
      </c>
      <c r="X67" s="100">
        <f>IF(ISBLANK(AI9),"",AVERAGE(AI9:AI13))</f>
        <v>3.1599999999999997</v>
      </c>
      <c r="Y67" s="192"/>
      <c r="Z67" s="100">
        <f>IF(ISBLANK(Z9),"",SUM(Z9:Z13))</f>
        <v>23.1</v>
      </c>
      <c r="AA67" s="492">
        <f>IF(ISBLANK(Z9),"",Z67/($Z$39/$E$34*5))</f>
        <v>2.2733333333333339</v>
      </c>
      <c r="AB67" s="496">
        <f>IF(ISBLANK(Z9),"",Z67/$Z$38)</f>
        <v>0.31643835616438365</v>
      </c>
      <c r="AC67" s="165">
        <f>IF(ISBLANK(AP9),"",SUM(AP9:AP13))</f>
        <v>9.3000000000000007</v>
      </c>
      <c r="AD67" s="492">
        <f>IF(ISBLANK(AP9),"",AC67/SUM(AS96:AS100))</f>
        <v>1.3037373715908582</v>
      </c>
      <c r="AE67" s="197">
        <f>IF(ISBLANK(AP9),"",AC67/$AP$38)</f>
        <v>0.23664122137404583</v>
      </c>
      <c r="AF67" s="50"/>
      <c r="AG67" s="780" t="s">
        <v>178</v>
      </c>
      <c r="AH67" s="780"/>
      <c r="AI67" s="780"/>
      <c r="AJ67" s="780"/>
      <c r="AK67" s="84"/>
      <c r="AM67" s="71"/>
      <c r="AN67" s="5">
        <f t="array" ref="AN67">SUM(IF(AP4:AP34&gt;0.25*AT91:AT121,1,0))</f>
        <v>6</v>
      </c>
      <c r="AO67" s="229"/>
      <c r="AP67" s="784"/>
      <c r="AQ67" s="784"/>
      <c r="AR67" s="6"/>
      <c r="AT67" s="187">
        <f>M53-AT70</f>
        <v>18</v>
      </c>
      <c r="AU67" s="187"/>
      <c r="AV67" s="168"/>
      <c r="AW67" s="118"/>
      <c r="AX67" s="361">
        <v>19</v>
      </c>
      <c r="AY67" s="23">
        <f t="shared" si="27"/>
        <v>3.65</v>
      </c>
      <c r="AZ67" s="50"/>
      <c r="BA67" s="26">
        <f t="shared" si="29"/>
        <v>-1</v>
      </c>
      <c r="BB67" s="7">
        <f t="shared" si="28"/>
        <v>0.35000000000000009</v>
      </c>
      <c r="BC67" s="25">
        <f>IF(ISBLANK(G22),"",(AVERAGE($AY$49:AY67)))</f>
        <v>5.9684210526315793</v>
      </c>
      <c r="BD67" s="13">
        <f t="shared" si="30"/>
        <v>1.2321052631578944</v>
      </c>
      <c r="BE67" s="6"/>
      <c r="BF67" s="556">
        <v>0.30902777777777779</v>
      </c>
      <c r="BG67" s="556">
        <v>0.64583333333333337</v>
      </c>
      <c r="BH67" s="556">
        <v>0.6875</v>
      </c>
      <c r="BI67" s="556">
        <v>0.4201388888888889</v>
      </c>
      <c r="BJ67" s="556">
        <v>0.43541666666666662</v>
      </c>
      <c r="BK67" s="18"/>
      <c r="BL67" s="78"/>
    </row>
    <row r="68" spans="1:64" ht="12.75" x14ac:dyDescent="0.2">
      <c r="A68" s="67"/>
      <c r="B68" s="731" t="s">
        <v>4</v>
      </c>
      <c r="C68" s="732"/>
      <c r="D68" s="732"/>
      <c r="E68" s="582">
        <f>IF(ISBLANK(H5),"",AVERAGE(F48:F66))</f>
        <v>0.38379201939539892</v>
      </c>
      <c r="F68" s="576">
        <f>IF(ISBLANK(H5),"",ABS(E68))</f>
        <v>0.38379201939539892</v>
      </c>
      <c r="H68" s="729" t="s">
        <v>30</v>
      </c>
      <c r="I68" s="730"/>
      <c r="J68" s="573">
        <v>1</v>
      </c>
      <c r="K68" s="100">
        <f>IF(ISBLANK(F14),"",AVERAGE(F14:F18))</f>
        <v>7.0400000000000009</v>
      </c>
      <c r="L68" s="100">
        <f>IF(ISBLANK(G14),"",AVERAGE(G14:G18))</f>
        <v>11.120000000000001</v>
      </c>
      <c r="M68" s="100">
        <f>IF(ISBLANK(H14),"",AVERAGE(H14:H18))</f>
        <v>9.5</v>
      </c>
      <c r="N68" s="100">
        <f>IF(ISBLANK(G14),"",AVERAGE(I14:I18))</f>
        <v>4.08</v>
      </c>
      <c r="O68" s="191"/>
      <c r="P68" s="100">
        <f>IF(ISBLANK(F14),"",K68-AVERAGE(F101:F105))</f>
        <v>4.6400000000000006</v>
      </c>
      <c r="Q68" s="100">
        <f>IF(ISBLANK(G14),"",L68-AVERAGE(G101:G105))</f>
        <v>4.0960000000000001</v>
      </c>
      <c r="R68" s="100">
        <f>IF(ISBLANK(H14),"",M68-AVERAGE(H101:H105))</f>
        <v>4.7880000000000003</v>
      </c>
      <c r="S68" s="100">
        <f>IF(ISBLANK(G14),"",N68-AVERAGE(I101:I105))</f>
        <v>-0.54400000000000048</v>
      </c>
      <c r="T68" s="166"/>
      <c r="U68" s="342">
        <f>IF(ISBLANK(M14),"",AVERAGE(M14:M18))</f>
        <v>89.2</v>
      </c>
      <c r="V68" s="342">
        <f>IF(ISBLANK(P14),"",AVERAGE(R14:R18))</f>
        <v>1011.4</v>
      </c>
      <c r="W68" s="345">
        <f>IF(ISBLANK(U14),"",AVERAGE(U14:U18))</f>
        <v>7.0199999999999987</v>
      </c>
      <c r="X68" s="100">
        <f>IF(ISBLANK(AI14),"",AVERAGE(AI14:AI18))</f>
        <v>7.8</v>
      </c>
      <c r="Y68" s="192"/>
      <c r="Z68" s="100">
        <f>IF(ISBLANK(Z14),"",SUM(Z14:Z18))</f>
        <v>21.6</v>
      </c>
      <c r="AA68" s="492">
        <f>IF(ISBLANK(Z14),"",Z68/($Z$39/$E$34*5))</f>
        <v>2.1257142857142859</v>
      </c>
      <c r="AB68" s="496">
        <f>IF(ISBLANK(Z14),"",Z68/$Z$38)</f>
        <v>0.29589041095890417</v>
      </c>
      <c r="AC68" s="165">
        <f>IF(ISBLANK(AP14),"",SUM(AP14:AP18))</f>
        <v>0.2</v>
      </c>
      <c r="AD68" s="492">
        <f>IF(ISBLANK(AP14),"",AC68/SUM(AS101:AS105))</f>
        <v>2.7483469832591968E-2</v>
      </c>
      <c r="AE68" s="197">
        <f>IF(ISBLANK(AP14),"",AC68/$AP$38)</f>
        <v>5.0890585241730284E-3</v>
      </c>
      <c r="AF68" s="50"/>
      <c r="AH68" s="781">
        <f>SUM(AY91:AY121)</f>
        <v>18</v>
      </c>
      <c r="AI68" s="781"/>
      <c r="AJ68" s="93">
        <f>IF(M53=0,"",AH68/M53)</f>
        <v>0.58064516129032262</v>
      </c>
      <c r="AK68" s="6"/>
      <c r="AM68" s="136"/>
      <c r="AO68" s="228"/>
      <c r="AP68" s="784"/>
      <c r="AQ68" s="784"/>
      <c r="AR68" s="6"/>
      <c r="AT68" s="4"/>
      <c r="AU68" s="4"/>
      <c r="AV68" s="168"/>
      <c r="AW68" s="118"/>
      <c r="AX68" s="361">
        <v>20</v>
      </c>
      <c r="AY68" s="23">
        <f t="shared" si="27"/>
        <v>3.8</v>
      </c>
      <c r="AZ68" s="50"/>
      <c r="BA68" s="26">
        <f t="shared" si="29"/>
        <v>-0.84999999999999987</v>
      </c>
      <c r="BB68" s="7">
        <f t="shared" si="28"/>
        <v>0</v>
      </c>
      <c r="BC68" s="25">
        <f>IF(ISBLANK(G23),"",(AVERAGE($AY$49:AY68)))</f>
        <v>5.86</v>
      </c>
      <c r="BD68" s="13">
        <f t="shared" si="30"/>
        <v>1.1280000000000001</v>
      </c>
      <c r="BE68" s="6"/>
      <c r="BF68" s="556">
        <v>0.23611111111111113</v>
      </c>
      <c r="BG68" s="556">
        <v>0.61111111111111105</v>
      </c>
      <c r="BH68" s="556">
        <v>0.64583333333333337</v>
      </c>
      <c r="BI68" s="556">
        <v>0.41666666666666669</v>
      </c>
      <c r="BJ68" s="556">
        <v>0.38194444444444442</v>
      </c>
      <c r="BK68" s="54"/>
      <c r="BL68" s="78"/>
    </row>
    <row r="69" spans="1:64" ht="12.75" customHeight="1" x14ac:dyDescent="0.2">
      <c r="A69" s="67"/>
      <c r="B69" s="731" t="s">
        <v>34</v>
      </c>
      <c r="C69" s="732"/>
      <c r="D69" s="732"/>
      <c r="E69" s="583">
        <f>AN100+AN97</f>
        <v>6</v>
      </c>
      <c r="F69" s="85" t="s">
        <v>90</v>
      </c>
      <c r="H69" s="729" t="s">
        <v>31</v>
      </c>
      <c r="I69" s="730"/>
      <c r="J69" s="573">
        <v>1</v>
      </c>
      <c r="K69" s="100">
        <f>IF(ISBLANK(F19),"",AVERAGE(F19:F23))</f>
        <v>4.4000000000000004</v>
      </c>
      <c r="L69" s="100">
        <f>IF(ISBLANK(G19),"",AVERAGE(G19:G23))</f>
        <v>7.92</v>
      </c>
      <c r="M69" s="100">
        <f>IF(ISBLANK(H19),"",AVERAGE(H19:H23))</f>
        <v>6.0600000000000005</v>
      </c>
      <c r="N69" s="100">
        <f>IF(ISBLANK(G19),"",AVERAGE(I19:I23))</f>
        <v>3.5199999999999996</v>
      </c>
      <c r="O69" s="191"/>
      <c r="P69" s="100">
        <f>IF(ISBLANK(F19),"",K69-AVERAGE(F106:F110))</f>
        <v>2.04</v>
      </c>
      <c r="Q69" s="100">
        <f>IF(ISBLANK(G19),"",L69-AVERAGE(G106:G110))</f>
        <v>0.91999999999999993</v>
      </c>
      <c r="R69" s="100">
        <f>IF(ISBLANK(H19),"",M69-AVERAGE(H106:H110))</f>
        <v>1.3800000000000008</v>
      </c>
      <c r="S69" s="100">
        <f>IF(ISBLANK(G19),"",N69-AVERAGE(I106:I110))</f>
        <v>-1.1200000000000001</v>
      </c>
      <c r="T69" s="166"/>
      <c r="U69" s="342">
        <f>IF(ISBLANK(M19),"",AVERAGE(M19:M23))</f>
        <v>89.6</v>
      </c>
      <c r="V69" s="342">
        <f>IF(ISBLANK(P19),"",AVERAGE(R19:R23))</f>
        <v>1026.5</v>
      </c>
      <c r="W69" s="345">
        <f>IF(ISBLANK(U19),"",AVERAGE(U19:U23))</f>
        <v>4.66</v>
      </c>
      <c r="X69" s="100">
        <f>IF(ISBLANK(AI19),"",AVERAGE(AI19:AI23))</f>
        <v>4.4000000000000004</v>
      </c>
      <c r="Y69" s="192"/>
      <c r="Z69" s="100">
        <f>IF(ISBLANK(Z19),"",SUM(Z19:Z23))</f>
        <v>25.200000000000003</v>
      </c>
      <c r="AA69" s="492">
        <f>IF(ISBLANK(Z19),"",Z69/($Z$39/$E$34*5))</f>
        <v>2.4800000000000004</v>
      </c>
      <c r="AB69" s="496">
        <f>IF(ISBLANK(Z19),"",Z69/$Z$38)</f>
        <v>0.34520547945205488</v>
      </c>
      <c r="AC69" s="165">
        <f>IF(ISBLANK(AP19),"",SUM(AP19:AP23))</f>
        <v>13.299999999999999</v>
      </c>
      <c r="AD69" s="492">
        <f>IF(ISBLANK(AP19),"",AC69/SUM(AS106:AS110))</f>
        <v>1.7852969627570545</v>
      </c>
      <c r="AE69" s="197">
        <f>IF(ISBLANK(AP19),"",AC69/$AP$38)</f>
        <v>0.33842239185750633</v>
      </c>
      <c r="AF69" s="50"/>
      <c r="AK69" s="6"/>
      <c r="AL69" s="426"/>
      <c r="AM69" s="136"/>
      <c r="AN69" s="183" t="s">
        <v>255</v>
      </c>
      <c r="AO69" s="228"/>
      <c r="AP69" s="767" t="s">
        <v>195</v>
      </c>
      <c r="AQ69" s="767"/>
      <c r="AR69" s="6"/>
      <c r="AT69" s="189" t="s">
        <v>85</v>
      </c>
      <c r="AU69" s="189"/>
      <c r="AV69" s="168"/>
      <c r="AW69" s="118"/>
      <c r="AX69" s="361">
        <v>21</v>
      </c>
      <c r="AY69" s="23">
        <f t="shared" si="27"/>
        <v>1.95</v>
      </c>
      <c r="AZ69" s="50"/>
      <c r="BA69" s="26">
        <f t="shared" si="29"/>
        <v>-2.6849999999999996</v>
      </c>
      <c r="BB69" s="7">
        <f t="shared" si="28"/>
        <v>0.25</v>
      </c>
      <c r="BC69" s="25">
        <f>IF(ISBLANK(G24),"",(AVERAGE($AY$49:AY69)))</f>
        <v>5.6738095238095241</v>
      </c>
      <c r="BD69" s="13">
        <f t="shared" si="30"/>
        <v>0.94642857142857117</v>
      </c>
      <c r="BE69" s="6"/>
      <c r="BF69" s="556">
        <v>0.43055555555555558</v>
      </c>
      <c r="BG69" s="556">
        <v>0.63888888888888895</v>
      </c>
      <c r="BH69" s="556">
        <v>0.66666666666666663</v>
      </c>
      <c r="BI69" s="556">
        <v>0.10416666666666667</v>
      </c>
      <c r="BJ69" s="556">
        <v>0.38194444444444442</v>
      </c>
      <c r="BK69" s="54"/>
      <c r="BL69" s="78"/>
    </row>
    <row r="70" spans="1:64" ht="12.75" x14ac:dyDescent="0.2">
      <c r="A70" s="67"/>
      <c r="B70" s="160"/>
      <c r="C70" s="161"/>
      <c r="D70" s="161"/>
      <c r="E70" s="158"/>
      <c r="F70" s="120"/>
      <c r="H70" s="729" t="s">
        <v>32</v>
      </c>
      <c r="I70" s="730"/>
      <c r="J70" s="573">
        <v>1</v>
      </c>
      <c r="K70" s="100">
        <f>IF(ISBLANK(F24),"",AVERAGE(F24:F28))</f>
        <v>2.54</v>
      </c>
      <c r="L70" s="100">
        <f>IF(ISBLANK(G24),"",AVERAGE(G24:G28))</f>
        <v>6.44</v>
      </c>
      <c r="M70" s="100">
        <f>IF(ISBLANK(H24),"",AVERAGE(H24:H28))</f>
        <v>4.7799999999999994</v>
      </c>
      <c r="N70" s="100">
        <f>IF(ISBLANK(G24),"",AVERAGE(I24:I28))</f>
        <v>3.9</v>
      </c>
      <c r="O70" s="191"/>
      <c r="P70" s="100">
        <f>IF(ISBLANK(F24),"",K70-AVERAGE(F111:F115))</f>
        <v>0.24000000000000021</v>
      </c>
      <c r="Q70" s="100">
        <f>IF(ISBLANK(G24),"",L70-AVERAGE(G111:G115))</f>
        <v>-0.53000000000000025</v>
      </c>
      <c r="R70" s="100">
        <f>IF(ISBLANK(H24),"",M70-AVERAGE(H111:H115))</f>
        <v>0.14499999999999957</v>
      </c>
      <c r="S70" s="100">
        <f>IF(ISBLANK(G24),"",N70-AVERAGE(I111:I115))</f>
        <v>-0.77</v>
      </c>
      <c r="T70" s="166"/>
      <c r="U70" s="342">
        <f>IF(ISBLANK(M24),"",AVERAGE(M24:M28))</f>
        <v>89</v>
      </c>
      <c r="V70" s="342">
        <f>IF(ISBLANK(P24),"",AVERAGE(R24:R28))</f>
        <v>1031.3000010000001</v>
      </c>
      <c r="W70" s="345">
        <f>IF(ISBLANK(U24),"",AVERAGE(U24:U28))</f>
        <v>4.88</v>
      </c>
      <c r="X70" s="100">
        <f>IF(ISBLANK(AI24),"",AVERAGE(AI24:AI28))</f>
        <v>3.12</v>
      </c>
      <c r="Y70" s="192"/>
      <c r="Z70" s="100">
        <f>IF(ISBLANK(Z24),"",SUM(Z24:Z28))</f>
        <v>1.7</v>
      </c>
      <c r="AA70" s="492">
        <f>IF(ISBLANK(Z24),"",Z70/($Z$39/$E$34*5))</f>
        <v>0.16730158730158731</v>
      </c>
      <c r="AB70" s="496">
        <f>IF(ISBLANK(Z24),"",Z70/$Z$38)</f>
        <v>2.3287671232876717E-2</v>
      </c>
      <c r="AC70" s="165">
        <f>IF(ISBLANK(AP24),"",SUM(AP24:AP28))</f>
        <v>5.2</v>
      </c>
      <c r="AD70" s="492">
        <f>IF(ISBLANK(AP24),"",AC70/SUM(AS111:AS115))</f>
        <v>0.67991794826776908</v>
      </c>
      <c r="AE70" s="197">
        <f>IF(ISBLANK(AP24),"",AC70/$AP$38)</f>
        <v>0.13231552162849874</v>
      </c>
      <c r="AF70" s="50"/>
      <c r="AK70" s="6"/>
      <c r="AL70" s="426"/>
      <c r="AM70" s="149"/>
      <c r="AN70" s="5">
        <f>M53-AN67</f>
        <v>25</v>
      </c>
      <c r="AO70" s="88"/>
      <c r="AP70" s="767"/>
      <c r="AQ70" s="767"/>
      <c r="AR70" s="6"/>
      <c r="AT70" s="5">
        <f>M53-SUM(BI91:BI121)</f>
        <v>13</v>
      </c>
      <c r="AU70" s="5"/>
      <c r="AV70" s="118"/>
      <c r="AW70" s="118"/>
      <c r="AX70" s="361">
        <v>22</v>
      </c>
      <c r="AY70" s="23">
        <f t="shared" si="27"/>
        <v>3.4</v>
      </c>
      <c r="AZ70" s="50"/>
      <c r="BA70" s="26">
        <f t="shared" si="29"/>
        <v>-1.2349999999999999</v>
      </c>
      <c r="BB70" s="7">
        <f t="shared" si="28"/>
        <v>-0.39999999999999991</v>
      </c>
      <c r="BC70" s="25">
        <f>IF(ISBLANK(G25),"",(AVERAGE($AY$49:AY70)))</f>
        <v>5.5704545454545462</v>
      </c>
      <c r="BD70" s="13">
        <f t="shared" si="30"/>
        <v>0.8472727272727274</v>
      </c>
      <c r="BE70" s="6"/>
      <c r="BF70" s="556">
        <v>0.14583333333333334</v>
      </c>
      <c r="BG70" s="556">
        <v>0.65625</v>
      </c>
      <c r="BH70" s="556" t="s">
        <v>342</v>
      </c>
      <c r="BI70" s="556">
        <v>0.46875</v>
      </c>
      <c r="BJ70" s="556">
        <v>0.99444444444444446</v>
      </c>
      <c r="BK70" s="54"/>
      <c r="BL70" s="78"/>
    </row>
    <row r="71" spans="1:64" ht="13.5" customHeight="1" thickBot="1" x14ac:dyDescent="0.25">
      <c r="A71" s="67"/>
      <c r="B71" s="748" t="s">
        <v>7</v>
      </c>
      <c r="C71" s="749"/>
      <c r="D71" s="749"/>
      <c r="E71" s="221" t="s">
        <v>15</v>
      </c>
      <c r="F71" s="120"/>
      <c r="G71" s="575" t="s">
        <v>340</v>
      </c>
      <c r="H71" s="750" t="s">
        <v>43</v>
      </c>
      <c r="I71" s="751"/>
      <c r="J71" s="573">
        <v>1</v>
      </c>
      <c r="K71" s="201">
        <f>IF(ISBLANK(F29),"",AVERAGE(F29:F34))</f>
        <v>0.18333333333333332</v>
      </c>
      <c r="L71" s="201">
        <f>IF(ISBLANK(G29),"",AVERAGE(G29:G34))</f>
        <v>3.3166666666666664</v>
      </c>
      <c r="M71" s="201">
        <f>IF(ISBLANK(H29),"",AVERAGE(H29:H34))</f>
        <v>1.9666666666666668</v>
      </c>
      <c r="N71" s="201">
        <f>IF(ISBLANK(G29),"",AVERAGE(I29:I34))</f>
        <v>3.1333333333333333</v>
      </c>
      <c r="O71" s="200"/>
      <c r="P71" s="201">
        <f>IF(ISBLANK(F29),"",K71-AVERAGE(F116:F121))</f>
        <v>-2.166666666666667</v>
      </c>
      <c r="Q71" s="201">
        <f>IF(ISBLANK(G29),"",L71-AVERAGE(G116:G121))</f>
        <v>-3.663333333333334</v>
      </c>
      <c r="R71" s="201">
        <f>IF(ISBLANK(H29),"",M71-AVERAGE(H116:H121))</f>
        <v>-2.6983333333333333</v>
      </c>
      <c r="S71" s="201">
        <f>IF(ISBLANK(G29),"",N71-AVERAGE(I116:I121))</f>
        <v>-1.4966666666666666</v>
      </c>
      <c r="T71" s="202"/>
      <c r="U71" s="344">
        <f>IF(ISBLANK(M29),"",AVERAGE(M29:M34))</f>
        <v>74.5</v>
      </c>
      <c r="V71" s="344">
        <f>IF(ISBLANK(P29),"",AVERAGE(R29:R34))</f>
        <v>1021.6666666666666</v>
      </c>
      <c r="W71" s="347">
        <f>IF(ISBLANK(U29),"",AVERAGE(U29:U34))</f>
        <v>6.166666666666667</v>
      </c>
      <c r="X71" s="201">
        <f>IF(ISBLANK(AI29),"",AVERAGE(AI29:AI34))</f>
        <v>-2.1833333333333331</v>
      </c>
      <c r="Y71" s="203"/>
      <c r="Z71" s="201">
        <f>IF(ISBLANK(Z29),"",SUM(Z29:Z34))</f>
        <v>0.5</v>
      </c>
      <c r="AA71" s="494">
        <f>IF(ISBLANK(Z29),"",Z71/($Z$39/$E$34*6))</f>
        <v>4.1005291005291003E-2</v>
      </c>
      <c r="AB71" s="498">
        <f>IF(ISBLANK(Z29),"",Z71/$Z$38)</f>
        <v>6.849315068493152E-3</v>
      </c>
      <c r="AC71" s="255">
        <f>IF(ISBLANK(AP29),"",SUM(AP29:AP34))</f>
        <v>6.7</v>
      </c>
      <c r="AD71" s="494">
        <f>IF(ISBLANK(AP29),"",AC71/SUM(AS116:AS121))</f>
        <v>0.70746991209592303</v>
      </c>
      <c r="AE71" s="256">
        <f>IF(ISBLANK(AP29),"",AC71/$AP$38)</f>
        <v>0.17048346055979646</v>
      </c>
      <c r="AF71" s="50"/>
      <c r="AG71" s="739" t="s">
        <v>125</v>
      </c>
      <c r="AH71" s="739"/>
      <c r="AI71" s="739"/>
      <c r="AJ71" s="739"/>
      <c r="AK71" s="315"/>
      <c r="AL71" s="426"/>
      <c r="AM71" s="136"/>
      <c r="AO71" s="88"/>
      <c r="AP71" s="767"/>
      <c r="AQ71" s="767"/>
      <c r="AR71" s="6"/>
      <c r="AT71" s="52"/>
      <c r="AU71" s="52"/>
      <c r="AV71" s="118"/>
      <c r="AW71" s="118"/>
      <c r="AX71" s="361">
        <v>23</v>
      </c>
      <c r="AY71" s="23">
        <f t="shared" si="27"/>
        <v>6.25</v>
      </c>
      <c r="AZ71" s="50"/>
      <c r="BA71" s="26">
        <f t="shared" si="29"/>
        <v>1.6150000000000002</v>
      </c>
      <c r="BB71" s="7">
        <f t="shared" si="28"/>
        <v>-4.9999999999999822E-2</v>
      </c>
      <c r="BC71" s="25">
        <f>IF(ISBLANK(G26),"",(AVERAGE($AY$49:AY71)))</f>
        <v>5.6000000000000005</v>
      </c>
      <c r="BD71" s="13">
        <f t="shared" si="30"/>
        <v>0.88065217391304351</v>
      </c>
      <c r="BE71" s="6"/>
      <c r="BF71" s="556">
        <v>0.30208333333333331</v>
      </c>
      <c r="BG71" s="556">
        <v>0.64236111111111105</v>
      </c>
      <c r="BH71" s="556" t="s">
        <v>349</v>
      </c>
      <c r="BI71" s="556">
        <v>0.1875</v>
      </c>
      <c r="BJ71" s="556">
        <v>0.53749999999999998</v>
      </c>
      <c r="BK71" s="54"/>
      <c r="BL71" s="78"/>
    </row>
    <row r="72" spans="1:64" ht="12.75" customHeight="1" x14ac:dyDescent="0.2">
      <c r="A72" s="67"/>
      <c r="B72" s="742" t="s">
        <v>33</v>
      </c>
      <c r="C72" s="743"/>
      <c r="D72" s="744"/>
      <c r="E72" s="89">
        <f>IF(Z38=0,"",CORREL(Z4:Z34,R4:R34))</f>
        <v>-0.43127768876693673</v>
      </c>
      <c r="F72" s="576">
        <f>IF(Z38=0,"",ABS(E72))</f>
        <v>0.43127768876693673</v>
      </c>
      <c r="G72" s="574">
        <f>IF(Z38=0,"",IF(AQ86&lt;0.5,"n/a",CORREL(Y4:Y34,R4:R34)))</f>
        <v>-0.4838846068883505</v>
      </c>
      <c r="H72" s="102"/>
      <c r="I72" s="21"/>
      <c r="J72" s="573">
        <v>1</v>
      </c>
      <c r="K72" s="21"/>
      <c r="O72" s="20"/>
      <c r="Q72" s="122"/>
      <c r="S72" s="100"/>
      <c r="T72" s="166"/>
      <c r="W72" s="24"/>
      <c r="X72" s="24"/>
      <c r="Y72" s="192"/>
      <c r="Z72" s="24"/>
      <c r="AA72" s="24"/>
      <c r="AB72" s="24"/>
      <c r="AC72" s="24"/>
      <c r="AE72" s="544"/>
      <c r="AF72" s="6"/>
      <c r="AH72" s="713">
        <f t="array" ref="AH72">MAX(FREQUENCY(IF(BH91:BH121=1,ROW(91:121)),IF(BH91:BH121&lt;&gt;1,ROW(91:121))))</f>
        <v>4</v>
      </c>
      <c r="AI72" s="713"/>
      <c r="AJ72" s="4"/>
      <c r="AK72" s="68"/>
      <c r="AL72" s="561"/>
      <c r="AM72" s="136"/>
      <c r="AN72" s="185" t="s">
        <v>123</v>
      </c>
      <c r="AO72" s="409"/>
      <c r="AP72" s="767"/>
      <c r="AQ72" s="767"/>
      <c r="AR72" s="6"/>
      <c r="AT72" s="307" t="s">
        <v>87</v>
      </c>
      <c r="AU72" s="307"/>
      <c r="AV72" s="118"/>
      <c r="AW72" s="118"/>
      <c r="AX72" s="361">
        <v>24</v>
      </c>
      <c r="AY72" s="23">
        <f t="shared" si="27"/>
        <v>5.05</v>
      </c>
      <c r="AZ72" s="50"/>
      <c r="BA72" s="26">
        <f t="shared" si="29"/>
        <v>0.41500000000000004</v>
      </c>
      <c r="BB72" s="7">
        <f t="shared" si="28"/>
        <v>-0.54999999999999982</v>
      </c>
      <c r="BC72" s="25">
        <f>IF(ISBLANK(G27),"",(AVERAGE($AY$49:AY72)))</f>
        <v>5.5770833333333343</v>
      </c>
      <c r="BD72" s="13">
        <f t="shared" si="30"/>
        <v>0.86125000000000029</v>
      </c>
      <c r="BE72" s="6"/>
      <c r="BF72" s="556">
        <v>0.37152777777777773</v>
      </c>
      <c r="BG72" s="556">
        <v>0.60069444444444442</v>
      </c>
      <c r="BH72" s="556">
        <v>0.61458333333333337</v>
      </c>
      <c r="BI72" s="556">
        <v>4.1666666666666664E-2</v>
      </c>
      <c r="BJ72" s="556">
        <v>0.19791666666666666</v>
      </c>
      <c r="BK72" s="54"/>
      <c r="BL72" s="78"/>
    </row>
    <row r="73" spans="1:64" ht="12.75" customHeight="1" x14ac:dyDescent="0.2">
      <c r="A73" s="67"/>
      <c r="B73" s="742" t="s">
        <v>61</v>
      </c>
      <c r="C73" s="743"/>
      <c r="D73" s="744"/>
      <c r="E73" s="89">
        <f>IF(Z38=0,"",CORREL(Z4:Z34,H4:H34))</f>
        <v>0.34450912011802509</v>
      </c>
      <c r="F73" s="576">
        <f>IF(Z38=0,"",ABS(E73))</f>
        <v>0.34450912011802509</v>
      </c>
      <c r="H73" s="102"/>
      <c r="J73" s="573">
        <v>1</v>
      </c>
      <c r="K73" s="231"/>
      <c r="L73" s="4" t="s">
        <v>352</v>
      </c>
      <c r="M73" s="4" t="s">
        <v>10</v>
      </c>
      <c r="N73" s="122"/>
      <c r="O73" s="20"/>
      <c r="Q73" s="753" t="s">
        <v>103</v>
      </c>
      <c r="R73" s="754"/>
      <c r="S73" s="754"/>
      <c r="T73" s="754"/>
      <c r="U73" s="754"/>
      <c r="V73" s="754"/>
      <c r="W73" s="754"/>
      <c r="X73" s="754"/>
      <c r="Y73" s="754"/>
      <c r="Z73" s="754"/>
      <c r="AA73" s="754"/>
      <c r="AB73" s="755"/>
      <c r="AC73" s="303"/>
      <c r="AD73" s="772" t="s">
        <v>359</v>
      </c>
      <c r="AE73" s="773"/>
      <c r="AF73" s="6"/>
      <c r="AG73" s="650"/>
      <c r="AH73" s="650"/>
      <c r="AI73" s="650"/>
      <c r="AJ73" s="650"/>
      <c r="AK73" s="6"/>
      <c r="AL73" s="477"/>
      <c r="AM73" s="136"/>
      <c r="AN73" s="138">
        <f>IF(M53=0,"",AN67/M53)</f>
        <v>0.19354838709677419</v>
      </c>
      <c r="AO73" s="409"/>
      <c r="AP73" s="783" t="s">
        <v>269</v>
      </c>
      <c r="AQ73" s="661"/>
      <c r="AR73" s="6"/>
      <c r="AT73" s="587">
        <f>IF(AT67=0,"",AT67/M53)</f>
        <v>0.58064516129032262</v>
      </c>
      <c r="AU73" s="587"/>
      <c r="AV73" s="118"/>
      <c r="AW73" s="187"/>
      <c r="AX73" s="361">
        <v>25</v>
      </c>
      <c r="AY73" s="23">
        <f t="shared" si="27"/>
        <v>5.8</v>
      </c>
      <c r="AZ73" s="50"/>
      <c r="BA73" s="26">
        <f t="shared" si="29"/>
        <v>1.1649999999999998</v>
      </c>
      <c r="BB73" s="7">
        <f t="shared" si="28"/>
        <v>-0.70000000000000018</v>
      </c>
      <c r="BC73" s="25">
        <f>IF(ISBLANK(G28),"",(AVERAGE($AY$49:AY73)))</f>
        <v>5.5860000000000012</v>
      </c>
      <c r="BD73" s="13">
        <f t="shared" si="30"/>
        <v>0.87340000000000018</v>
      </c>
      <c r="BE73" s="6"/>
      <c r="BF73" s="556">
        <v>0</v>
      </c>
      <c r="BG73" s="556">
        <v>0.55555555555555558</v>
      </c>
      <c r="BH73" s="556">
        <v>0.52083333333333337</v>
      </c>
      <c r="BI73" s="556" t="s">
        <v>355</v>
      </c>
      <c r="BJ73" s="556">
        <v>0.4861111111111111</v>
      </c>
      <c r="BK73" s="54"/>
      <c r="BL73" s="78"/>
    </row>
    <row r="74" spans="1:64" ht="12.75" customHeight="1" x14ac:dyDescent="0.2">
      <c r="A74" s="67"/>
      <c r="B74" s="742" t="s">
        <v>60</v>
      </c>
      <c r="C74" s="743"/>
      <c r="D74" s="744"/>
      <c r="E74" s="89">
        <f>IF(Z38=0,"",CORREL(Z4:Z34,G4:G34))</f>
        <v>0.44562237210734135</v>
      </c>
      <c r="F74" s="576">
        <f>IF(Z38=0,"",ABS(E74))</f>
        <v>0.44562237210734135</v>
      </c>
      <c r="G74" s="236"/>
      <c r="H74" s="747" t="s">
        <v>2</v>
      </c>
      <c r="I74" s="237" t="s">
        <v>203</v>
      </c>
      <c r="J74" s="573">
        <v>1</v>
      </c>
      <c r="K74" s="106">
        <f>F39</f>
        <v>2.4</v>
      </c>
      <c r="L74" s="108" t="str">
        <f>IF(ISBLANK(F4),"",(IF(M54=0,"n/a",(E34*K74-M53*F38)/M54)))</f>
        <v>n/a</v>
      </c>
      <c r="M74" s="106" t="str">
        <f>IF(ISBLANK(F4),"",IF(M54&gt;0,L74-F39,"n/a"))</f>
        <v>n/a</v>
      </c>
      <c r="N74" s="246" t="s">
        <v>142</v>
      </c>
      <c r="O74" s="67"/>
      <c r="Q74" s="733" t="s">
        <v>363</v>
      </c>
      <c r="R74" s="734"/>
      <c r="S74" s="734"/>
      <c r="T74" s="734"/>
      <c r="U74" s="734"/>
      <c r="V74" s="734"/>
      <c r="W74" s="734"/>
      <c r="X74" s="734"/>
      <c r="Y74" s="734"/>
      <c r="Z74" s="734"/>
      <c r="AA74" s="734"/>
      <c r="AB74" s="735"/>
      <c r="AC74" s="437"/>
      <c r="AD74" s="774"/>
      <c r="AE74" s="775"/>
      <c r="AF74" s="6"/>
      <c r="AG74" s="780" t="s">
        <v>130</v>
      </c>
      <c r="AH74" s="780"/>
      <c r="AI74" s="780"/>
      <c r="AJ74" s="780"/>
      <c r="AK74" s="316"/>
      <c r="AL74" s="477"/>
      <c r="AM74" s="136"/>
      <c r="AO74" s="88"/>
      <c r="AP74" s="661"/>
      <c r="AQ74" s="661"/>
      <c r="AR74" s="6"/>
      <c r="AV74" s="105"/>
      <c r="AW74" s="105"/>
      <c r="AX74" s="361">
        <v>26</v>
      </c>
      <c r="AY74" s="23">
        <f t="shared" si="27"/>
        <v>4.3499999999999996</v>
      </c>
      <c r="AZ74" s="50"/>
      <c r="BA74" s="26">
        <f t="shared" si="29"/>
        <v>-0.28499999999999981</v>
      </c>
      <c r="BB74" s="7">
        <f t="shared" si="28"/>
        <v>-0.85000000000000053</v>
      </c>
      <c r="BC74" s="25">
        <f>IF(ISBLANK(G29),"",(AVERAGE($AY$49:AY74)))</f>
        <v>5.5384615384615392</v>
      </c>
      <c r="BD74" s="13">
        <f t="shared" si="30"/>
        <v>0.82884615384615423</v>
      </c>
      <c r="BE74" s="6"/>
      <c r="BF74" s="556">
        <v>0.24305555555555555</v>
      </c>
      <c r="BG74" s="556">
        <v>0.56805555555555554</v>
      </c>
      <c r="BH74" s="556" t="s">
        <v>230</v>
      </c>
      <c r="BI74" s="556">
        <v>0.30555555555555552</v>
      </c>
      <c r="BJ74" s="556">
        <v>0.96736111111111101</v>
      </c>
      <c r="BK74" s="54"/>
      <c r="BL74" s="78"/>
    </row>
    <row r="75" spans="1:64" ht="12.75" customHeight="1" x14ac:dyDescent="0.2">
      <c r="A75" s="67"/>
      <c r="B75" s="742" t="s">
        <v>64</v>
      </c>
      <c r="C75" s="743"/>
      <c r="D75" s="744"/>
      <c r="E75" s="89">
        <f>IF(Z38=0,"",CORREL(Z4:Z34,I4:I34))</f>
        <v>0.33917511555363666</v>
      </c>
      <c r="F75" s="576">
        <f>IF(Z38=0,"",ABS(E75))</f>
        <v>0.33917511555363666</v>
      </c>
      <c r="G75" s="236"/>
      <c r="H75" s="746"/>
      <c r="I75" s="238" t="s">
        <v>149</v>
      </c>
      <c r="J75" s="573">
        <v>1</v>
      </c>
      <c r="K75" s="249">
        <v>0</v>
      </c>
      <c r="L75" s="91">
        <f>IF(ISBLANK(F4),"",(M54*K75+M53*F38)/E34)</f>
        <v>2.803225806451612</v>
      </c>
      <c r="M75" s="232">
        <f>IF(ISBLANK(F4),"",L75-F39)</f>
        <v>0.4032258064516121</v>
      </c>
      <c r="N75" s="248" t="s">
        <v>148</v>
      </c>
      <c r="O75" s="67"/>
      <c r="Q75" s="736"/>
      <c r="R75" s="737"/>
      <c r="S75" s="737"/>
      <c r="T75" s="737"/>
      <c r="U75" s="737"/>
      <c r="V75" s="737"/>
      <c r="W75" s="737"/>
      <c r="X75" s="737"/>
      <c r="Y75" s="737"/>
      <c r="Z75" s="737"/>
      <c r="AA75" s="737"/>
      <c r="AB75" s="738"/>
      <c r="AC75" s="437"/>
      <c r="AD75" s="774"/>
      <c r="AE75" s="775"/>
      <c r="AF75" s="6"/>
      <c r="AH75" s="781">
        <f t="array" ref="AH75">MAX(FREQUENCY(IF(AY91:AY121=1,ROW(91:121)),IF(AY91:AY121&lt;&gt;1,ROW(91:121))))</f>
        <v>10</v>
      </c>
      <c r="AI75" s="781"/>
      <c r="AJ75" s="5"/>
      <c r="AK75" s="84"/>
      <c r="AL75" s="486"/>
      <c r="AM75" s="136"/>
      <c r="AN75" s="184" t="s">
        <v>293</v>
      </c>
      <c r="AO75" s="88"/>
      <c r="AP75" s="661"/>
      <c r="AQ75" s="661"/>
      <c r="AR75" s="6"/>
      <c r="AT75" s="589" t="s">
        <v>84</v>
      </c>
      <c r="AU75" s="589"/>
      <c r="AV75" s="605"/>
      <c r="AW75" s="105"/>
      <c r="AX75" s="361">
        <v>27</v>
      </c>
      <c r="AY75" s="23">
        <f t="shared" si="27"/>
        <v>1.85</v>
      </c>
      <c r="AZ75" s="50"/>
      <c r="BA75" s="26">
        <f t="shared" si="29"/>
        <v>-2.7849999999999993</v>
      </c>
      <c r="BB75" s="7">
        <f t="shared" si="28"/>
        <v>0.25</v>
      </c>
      <c r="BC75" s="25">
        <f>IF(ISBLANK(G30),"",(AVERAGE($AY$49:AY75)))</f>
        <v>5.4018518518518528</v>
      </c>
      <c r="BD75" s="13">
        <f t="shared" si="30"/>
        <v>0.69500000000000006</v>
      </c>
      <c r="BE75" s="6"/>
      <c r="BF75" s="556">
        <v>0.21180555555555555</v>
      </c>
      <c r="BG75" s="556">
        <v>0.625</v>
      </c>
      <c r="BH75" s="556" t="s">
        <v>357</v>
      </c>
      <c r="BI75" s="556">
        <v>0.22222222222222221</v>
      </c>
      <c r="BJ75" s="556">
        <v>0.6479166666666667</v>
      </c>
      <c r="BK75" s="54"/>
      <c r="BL75" s="78"/>
    </row>
    <row r="76" spans="1:64" ht="12.75" customHeight="1" x14ac:dyDescent="0.2">
      <c r="A76" s="67"/>
      <c r="B76" s="742" t="s">
        <v>62</v>
      </c>
      <c r="C76" s="743"/>
      <c r="D76" s="744"/>
      <c r="E76" s="89">
        <f>IF(Z38=0,"",CORREL(Z4:Z34,M4:M34))</f>
        <v>0.49244147307561498</v>
      </c>
      <c r="F76" s="576">
        <f>IF(Z38=0,"",ABS(E76))</f>
        <v>0.49244147307561498</v>
      </c>
      <c r="G76" s="236"/>
      <c r="H76" s="745" t="s">
        <v>3</v>
      </c>
      <c r="I76" s="237" t="s">
        <v>203</v>
      </c>
      <c r="J76" s="573">
        <v>1</v>
      </c>
      <c r="K76" s="90">
        <f>G39</f>
        <v>7</v>
      </c>
      <c r="L76" s="38" t="str">
        <f>IF(ISBLANK(G4),"",IF(M54&gt;0,(E34*K76-G38*M53)/M54,"n/a"))</f>
        <v>n/a</v>
      </c>
      <c r="M76" s="90" t="str">
        <f>IF(ISBLANK(G4),"",IF(M54&gt;0,L76-G39,"n/a"))</f>
        <v>n/a</v>
      </c>
      <c r="N76" s="247" t="s">
        <v>142</v>
      </c>
      <c r="O76" s="67"/>
      <c r="P76" s="454"/>
      <c r="Q76" s="768" t="s">
        <v>304</v>
      </c>
      <c r="R76" s="769"/>
      <c r="S76" s="769"/>
      <c r="T76" s="769"/>
      <c r="U76" s="769"/>
      <c r="V76" s="769"/>
      <c r="W76" s="769"/>
      <c r="X76" s="769"/>
      <c r="Y76" s="769"/>
      <c r="Z76" s="769"/>
      <c r="AA76" s="769"/>
      <c r="AB76" s="770"/>
      <c r="AC76" s="437"/>
      <c r="AD76" s="774"/>
      <c r="AE76" s="775"/>
      <c r="AF76" s="6"/>
      <c r="AK76" s="6"/>
      <c r="AL76" s="487"/>
      <c r="AM76" s="136"/>
      <c r="AN76" s="5">
        <f>COUNTIF(AP4:AP34, "0")</f>
        <v>10</v>
      </c>
      <c r="AO76" s="88"/>
      <c r="AP76" s="782" t="s">
        <v>272</v>
      </c>
      <c r="AQ76" s="782"/>
      <c r="AR76" s="6"/>
      <c r="AT76" s="188">
        <f>AN94</f>
        <v>5</v>
      </c>
      <c r="AU76" s="188"/>
      <c r="AV76" s="188"/>
      <c r="AW76" s="105"/>
      <c r="AX76" s="361">
        <v>28</v>
      </c>
      <c r="AY76" s="23">
        <f t="shared" si="27"/>
        <v>0.35</v>
      </c>
      <c r="AZ76" s="50"/>
      <c r="BA76" s="26">
        <f t="shared" si="29"/>
        <v>-4.2850000000000001</v>
      </c>
      <c r="BB76" s="7">
        <f t="shared" si="28"/>
        <v>-0.15000000000000002</v>
      </c>
      <c r="BC76" s="25">
        <f>IF(ISBLANK(G31),"",(AVERAGE($AY$49:AY76)))</f>
        <v>5.2214285714285724</v>
      </c>
      <c r="BD76" s="13">
        <f t="shared" si="30"/>
        <v>0.51714285714285713</v>
      </c>
      <c r="BE76" s="6"/>
      <c r="BF76" s="556">
        <v>0.28125</v>
      </c>
      <c r="BG76" s="556">
        <v>0.625</v>
      </c>
      <c r="BH76" s="556">
        <v>0.52083333333333337</v>
      </c>
      <c r="BI76" s="556" t="s">
        <v>233</v>
      </c>
      <c r="BJ76" s="556">
        <v>0.4</v>
      </c>
      <c r="BK76" s="54"/>
      <c r="BL76" s="78"/>
    </row>
    <row r="77" spans="1:64" ht="12.75" customHeight="1" x14ac:dyDescent="0.2">
      <c r="A77" s="67"/>
      <c r="B77" s="742" t="s">
        <v>95</v>
      </c>
      <c r="C77" s="743"/>
      <c r="D77" s="744"/>
      <c r="E77" s="89">
        <f>IF(Z38=0,"",CORREL(Z4:Z34,L4:L34))</f>
        <v>0.43303381350474723</v>
      </c>
      <c r="F77" s="576">
        <f>IF(Z38=0,"",ABS(E77))</f>
        <v>0.43303381350474723</v>
      </c>
      <c r="G77" s="236"/>
      <c r="H77" s="746"/>
      <c r="I77" s="238" t="s">
        <v>149</v>
      </c>
      <c r="J77" s="573">
        <v>1</v>
      </c>
      <c r="K77" s="249">
        <v>3</v>
      </c>
      <c r="L77" s="91">
        <f>IF(ISBLANK(G4),"",(M54*K77+M53*G38)/E34)</f>
        <v>6.8838709677419345</v>
      </c>
      <c r="M77" s="233">
        <f>IF(ISBLANK(G4),"",L77-G39)</f>
        <v>-0.11612903225806548</v>
      </c>
      <c r="N77" s="248" t="s">
        <v>148</v>
      </c>
      <c r="O77" s="67"/>
      <c r="P77" s="454"/>
      <c r="Q77" s="787" t="s">
        <v>422</v>
      </c>
      <c r="R77" s="788"/>
      <c r="S77" s="788"/>
      <c r="T77" s="788"/>
      <c r="U77" s="788"/>
      <c r="V77" s="788"/>
      <c r="W77" s="788"/>
      <c r="X77" s="788"/>
      <c r="Y77" s="788"/>
      <c r="Z77" s="788"/>
      <c r="AA77" s="788"/>
      <c r="AB77" s="789"/>
      <c r="AC77" s="437"/>
      <c r="AD77" s="774"/>
      <c r="AE77" s="775"/>
      <c r="AF77" s="6"/>
      <c r="AK77" s="6"/>
      <c r="AL77" s="487"/>
      <c r="AM77" s="136"/>
      <c r="AN77" s="105"/>
      <c r="AO77" s="410"/>
      <c r="AP77" s="782"/>
      <c r="AQ77" s="782"/>
      <c r="AR77" s="6"/>
      <c r="AT77" s="21"/>
      <c r="AU77" s="21"/>
      <c r="AV77" s="52"/>
      <c r="AW77" s="105"/>
      <c r="AX77" s="361">
        <v>29</v>
      </c>
      <c r="AY77" s="23">
        <f t="shared" si="27"/>
        <v>0.6</v>
      </c>
      <c r="AZ77" s="50"/>
      <c r="BA77" s="26">
        <f t="shared" si="29"/>
        <v>-4.085</v>
      </c>
      <c r="BB77" s="7">
        <f t="shared" si="28"/>
        <v>-9.9999999999999978E-2</v>
      </c>
      <c r="BC77" s="25">
        <f>IF(ISBLANK(G32),"",(AVERAGE($AY$49:AY77)))</f>
        <v>5.0620689655172422</v>
      </c>
      <c r="BD77" s="13">
        <f t="shared" si="30"/>
        <v>0.35844827586206907</v>
      </c>
      <c r="BE77" s="6"/>
      <c r="BF77" s="556" t="s">
        <v>360</v>
      </c>
      <c r="BG77" s="556">
        <v>0.57986111111111105</v>
      </c>
      <c r="BH77" s="556">
        <v>0.61805555555555558</v>
      </c>
      <c r="BI77" s="556">
        <v>7.2916666666666671E-2</v>
      </c>
      <c r="BJ77" s="556">
        <v>0.87361111111111101</v>
      </c>
      <c r="BK77" s="54"/>
      <c r="BL77" s="78"/>
    </row>
    <row r="78" spans="1:64" ht="12.75" customHeight="1" x14ac:dyDescent="0.2">
      <c r="A78" s="67"/>
      <c r="B78" s="742" t="s">
        <v>63</v>
      </c>
      <c r="C78" s="743"/>
      <c r="D78" s="744"/>
      <c r="E78" s="89">
        <f>IF(Z38=0,"",CORREL(Z4:Z34,N4:N34))</f>
        <v>-0.22090178412106098</v>
      </c>
      <c r="F78" s="576">
        <f>IF(Z38=0,"",ABS(E78))</f>
        <v>0.22090178412106098</v>
      </c>
      <c r="G78" s="236"/>
      <c r="H78" s="745" t="s">
        <v>4</v>
      </c>
      <c r="I78" s="237" t="s">
        <v>203</v>
      </c>
      <c r="J78" s="573">
        <v>1</v>
      </c>
      <c r="K78" s="90">
        <f>AY81</f>
        <v>4.7</v>
      </c>
      <c r="L78" s="38" t="str">
        <f>IF(ISBLANK(F4),"",IF(M54&gt;0,(E34*K78-AY80*M53)/M54,"n/a"))</f>
        <v>n/a</v>
      </c>
      <c r="M78" s="90" t="str">
        <f>IF(ISBLANK(F4),"",IF(M54&gt;0,L78-AY81,"n/a"))</f>
        <v>n/a</v>
      </c>
      <c r="N78" s="247" t="s">
        <v>142</v>
      </c>
      <c r="O78" s="67"/>
      <c r="Q78" s="796" t="s">
        <v>339</v>
      </c>
      <c r="R78" s="796"/>
      <c r="S78" s="796"/>
      <c r="T78" s="796"/>
      <c r="U78" s="796"/>
      <c r="V78" s="796"/>
      <c r="W78" s="796"/>
      <c r="X78" s="796"/>
      <c r="Y78" s="796"/>
      <c r="Z78" s="796"/>
      <c r="AA78" s="796"/>
      <c r="AB78" s="796"/>
      <c r="AC78" s="437"/>
      <c r="AD78" s="774"/>
      <c r="AE78" s="775"/>
      <c r="AF78" s="6"/>
      <c r="AG78" s="804" t="s">
        <v>273</v>
      </c>
      <c r="AH78" s="804"/>
      <c r="AI78" s="804"/>
      <c r="AJ78" s="804"/>
      <c r="AK78" s="317"/>
      <c r="AL78" s="487"/>
      <c r="AM78" s="136"/>
      <c r="AN78" s="230" t="s">
        <v>175</v>
      </c>
      <c r="AO78" s="88"/>
      <c r="AP78" s="782"/>
      <c r="AQ78" s="782"/>
      <c r="AR78" s="6"/>
      <c r="AT78" s="189" t="s">
        <v>83</v>
      </c>
      <c r="AU78" s="189"/>
      <c r="AV78" s="606"/>
      <c r="AW78" s="105"/>
      <c r="AX78" s="361">
        <v>30</v>
      </c>
      <c r="AY78" s="23">
        <f t="shared" si="27"/>
        <v>1.8499999999999999</v>
      </c>
      <c r="AZ78" s="50"/>
      <c r="BA78" s="26">
        <f t="shared" si="29"/>
        <v>-2.835</v>
      </c>
      <c r="BB78" s="389">
        <f t="shared" si="28"/>
        <v>4.9999999999999822E-2</v>
      </c>
      <c r="BC78" s="38">
        <f>IF(ISBLANK(G33),"",(AVERAGE($AY$49:AY78)))</f>
        <v>4.9550000000000001</v>
      </c>
      <c r="BD78" s="13">
        <f t="shared" si="30"/>
        <v>0.25199999999999956</v>
      </c>
      <c r="BE78" s="6"/>
      <c r="BF78" s="556">
        <v>0.15277777777777776</v>
      </c>
      <c r="BG78" s="556">
        <v>0.56944444444444442</v>
      </c>
      <c r="BH78" s="556">
        <v>0.57986111111111105</v>
      </c>
      <c r="BI78" s="556">
        <v>0.24652777777777779</v>
      </c>
      <c r="BJ78" s="556">
        <v>0.50694444444444442</v>
      </c>
      <c r="BK78" s="54"/>
      <c r="BL78" s="78"/>
    </row>
    <row r="79" spans="1:64" ht="12.75" customHeight="1" x14ac:dyDescent="0.2">
      <c r="A79" s="67"/>
      <c r="B79" s="742" t="s">
        <v>76</v>
      </c>
      <c r="C79" s="743"/>
      <c r="D79" s="744"/>
      <c r="E79" s="89">
        <f>IF(Z38=0,"",CORREL(Z4:Z34,F4:F34))</f>
        <v>0.23734275237579155</v>
      </c>
      <c r="F79" s="576">
        <f>IF(Z38=0,"",ABS(E79))</f>
        <v>0.23734275237579155</v>
      </c>
      <c r="G79" s="236"/>
      <c r="H79" s="746"/>
      <c r="I79" s="238" t="s">
        <v>149</v>
      </c>
      <c r="J79" s="573">
        <v>1</v>
      </c>
      <c r="K79" s="250">
        <f>AVERAGE(K75,K77)</f>
        <v>1.5</v>
      </c>
      <c r="L79" s="38">
        <f>IF(ISBLANK(F4),"",(M54*K79+M53*AY80)/E34)</f>
        <v>4.8435483870967753</v>
      </c>
      <c r="M79" s="234">
        <f>IF(ISBLANK(F4),"",L79-AY81)</f>
        <v>0.14354838709677509</v>
      </c>
      <c r="N79" s="248" t="s">
        <v>148</v>
      </c>
      <c r="O79" s="67"/>
      <c r="Q79" s="797"/>
      <c r="R79" s="797"/>
      <c r="S79" s="797"/>
      <c r="T79" s="797"/>
      <c r="U79" s="797"/>
      <c r="V79" s="797"/>
      <c r="W79" s="797"/>
      <c r="X79" s="797"/>
      <c r="Y79" s="797"/>
      <c r="Z79" s="797"/>
      <c r="AA79" s="797"/>
      <c r="AB79" s="797"/>
      <c r="AC79" s="437"/>
      <c r="AD79" s="774"/>
      <c r="AE79" s="775"/>
      <c r="AF79" s="6"/>
      <c r="AH79" s="778">
        <v>-6.5</v>
      </c>
      <c r="AI79" s="778"/>
      <c r="AJ79" s="52" t="s">
        <v>358</v>
      </c>
      <c r="AK79" s="318"/>
      <c r="AL79" s="309"/>
      <c r="AM79" s="136"/>
      <c r="AN79" s="4">
        <f t="array" ref="AN79">MAX(FREQUENCY(IF(AV91:AV121=1,ROW(91:121)),IF(AV91:AV121&lt;&gt;1,ROW(91:121))))</f>
        <v>2</v>
      </c>
      <c r="AO79" s="88"/>
      <c r="AP79" s="803" t="s">
        <v>278</v>
      </c>
      <c r="AQ79" s="661"/>
      <c r="AR79" s="6"/>
      <c r="AT79" s="5">
        <f>AN95</f>
        <v>5</v>
      </c>
      <c r="AU79" s="5"/>
      <c r="AV79" s="5"/>
      <c r="AX79" s="386">
        <v>31</v>
      </c>
      <c r="AY79" s="387">
        <f t="shared" si="27"/>
        <v>1.5</v>
      </c>
      <c r="AZ79" s="388"/>
      <c r="BA79" s="101">
        <f t="shared" si="29"/>
        <v>-3.2149999999999999</v>
      </c>
      <c r="BB79" s="239">
        <f t="shared" si="28"/>
        <v>-0.5</v>
      </c>
      <c r="BC79" s="91">
        <f>IF(ISBLANK(G34),"",(AVERAGE($AY$49:AY79)))</f>
        <v>4.8435483870967744</v>
      </c>
      <c r="BD79" s="241">
        <f t="shared" si="30"/>
        <v>0.14016129032257996</v>
      </c>
      <c r="BE79" s="243"/>
      <c r="BF79" s="560">
        <v>0.30208333333333331</v>
      </c>
      <c r="BG79" s="560">
        <v>0.59375</v>
      </c>
      <c r="BH79" s="560">
        <v>0.65625</v>
      </c>
      <c r="BI79" s="560">
        <v>0</v>
      </c>
      <c r="BJ79" s="560">
        <v>0.93819444444444444</v>
      </c>
      <c r="BK79" s="58"/>
      <c r="BL79" s="78"/>
    </row>
    <row r="80" spans="1:64" ht="12.75" customHeight="1" x14ac:dyDescent="0.2">
      <c r="A80" s="67"/>
      <c r="B80" s="742" t="s">
        <v>75</v>
      </c>
      <c r="C80" s="743"/>
      <c r="D80" s="744"/>
      <c r="E80" s="89">
        <f>IF(Z38=0,"",CORREL(Z4:Z34,K4:K34))</f>
        <v>0.47213820268057766</v>
      </c>
      <c r="F80" s="576">
        <f>IF(Z38=0,"",ABS(E80))</f>
        <v>0.47213820268057766</v>
      </c>
      <c r="G80" s="236"/>
      <c r="H80" s="745" t="s">
        <v>5</v>
      </c>
      <c r="I80" s="237" t="s">
        <v>203</v>
      </c>
      <c r="J80" s="573">
        <v>1</v>
      </c>
      <c r="K80" s="106">
        <f>K76-K74</f>
        <v>4.5999999999999996</v>
      </c>
      <c r="L80" s="108" t="str">
        <f>IF(ISBLANK(F4),"",IF(M54&gt;0,(E34*K80-I38*M53)/M54,"n/a"))</f>
        <v>n/a</v>
      </c>
      <c r="M80" s="90" t="str">
        <f>IF(ISBLANK(F4),"",IF(M54&gt;0,L80-I39,"n/a"))</f>
        <v>n/a</v>
      </c>
      <c r="N80" s="247" t="s">
        <v>142</v>
      </c>
      <c r="O80" s="67"/>
      <c r="Q80" s="793" t="s">
        <v>324</v>
      </c>
      <c r="R80" s="794"/>
      <c r="S80" s="794"/>
      <c r="T80" s="794"/>
      <c r="U80" s="794"/>
      <c r="V80" s="794"/>
      <c r="W80" s="794"/>
      <c r="X80" s="794"/>
      <c r="Y80" s="794"/>
      <c r="Z80" s="794"/>
      <c r="AA80" s="794"/>
      <c r="AB80" s="795"/>
      <c r="AC80" s="437"/>
      <c r="AD80" s="774"/>
      <c r="AE80" s="775"/>
      <c r="AF80" s="6"/>
      <c r="AK80" s="319"/>
      <c r="AL80" s="99"/>
      <c r="AM80" s="136"/>
      <c r="AO80" s="88"/>
      <c r="AP80" s="661"/>
      <c r="AQ80" s="661"/>
      <c r="AR80" s="6"/>
      <c r="AS80" s="4"/>
      <c r="AT80" s="4"/>
      <c r="AU80" s="4"/>
      <c r="AV80" s="4"/>
      <c r="AX80" s="11" t="s">
        <v>4</v>
      </c>
      <c r="AY80" s="57">
        <f>IF(ISBLANK(G4),"",AVERAGE(F4:G34))</f>
        <v>4.8435483870967753</v>
      </c>
      <c r="AZ80" s="362"/>
      <c r="BB80" s="7">
        <f>IF(ISBLANK(H4),"",AVERAGE(BB49:BB79))</f>
        <v>-0.23709677419354841</v>
      </c>
      <c r="BC80" s="114">
        <f>IF(ISBLANK(G4),"",(AVERAGE($AY$49:AY79)))</f>
        <v>4.8435483870967744</v>
      </c>
      <c r="BD80" s="585">
        <f>IF(ISBLANK(H4),"",BC80-D120)</f>
        <v>0.1435483870967742</v>
      </c>
      <c r="BE80" s="6"/>
      <c r="BF80" s="341">
        <f>IF(ISBLANK(BF50),"",AVERAGE(BF49:BF79))</f>
        <v>0.23656400966183574</v>
      </c>
      <c r="BG80" s="340">
        <f>IF(ISBLANK(BG49),"",AVERAGE(BG49:BG79))</f>
        <v>0.58133333333333337</v>
      </c>
      <c r="BH80" s="339">
        <f>IF(ISBLANK(BH49),"",AVERAGE(BH49:BH79))</f>
        <v>0.60538194444444449</v>
      </c>
      <c r="BI80" s="338">
        <f>IF(ISBLANK(BI50),"",AVERAGE(BI49:BI79))</f>
        <v>0.27974033816425126</v>
      </c>
      <c r="BJ80" s="337">
        <f>IF(ISBLANK(BJ49),"",AVERAGE(BJ49:BJ79))</f>
        <v>0.55087365591397863</v>
      </c>
      <c r="BK80" s="19"/>
      <c r="BL80" s="78"/>
    </row>
    <row r="81" spans="1:64" ht="12.75" customHeight="1" thickBot="1" x14ac:dyDescent="0.25">
      <c r="A81" s="67"/>
      <c r="B81" s="740"/>
      <c r="C81" s="741"/>
      <c r="D81" s="741"/>
      <c r="E81" s="159"/>
      <c r="F81" s="25"/>
      <c r="G81" s="236"/>
      <c r="H81" s="752"/>
      <c r="I81" s="281" t="s">
        <v>149</v>
      </c>
      <c r="J81" s="573">
        <v>1</v>
      </c>
      <c r="K81" s="252">
        <f>K77-K75</f>
        <v>3</v>
      </c>
      <c r="L81" s="167">
        <f>IF(ISBLANK(F4),"",(M54*K81+M53*I38)/E34)</f>
        <v>4.0806451612903238</v>
      </c>
      <c r="M81" s="235">
        <f>IF(ISBLANK(F4),"",L81-I39)</f>
        <v>-0.5193548387096758</v>
      </c>
      <c r="N81" s="279" t="s">
        <v>148</v>
      </c>
      <c r="O81" s="67"/>
      <c r="P81" s="454"/>
      <c r="Q81" s="790"/>
      <c r="R81" s="791"/>
      <c r="S81" s="791"/>
      <c r="T81" s="791"/>
      <c r="U81" s="791"/>
      <c r="V81" s="791"/>
      <c r="W81" s="791"/>
      <c r="X81" s="791"/>
      <c r="Y81" s="791"/>
      <c r="Z81" s="791"/>
      <c r="AA81" s="791"/>
      <c r="AB81" s="792"/>
      <c r="AC81" s="437"/>
      <c r="AD81" s="774"/>
      <c r="AE81" s="775"/>
      <c r="AF81" s="6"/>
      <c r="AG81" s="779" t="s">
        <v>275</v>
      </c>
      <c r="AH81" s="779"/>
      <c r="AI81" s="779"/>
      <c r="AJ81" s="779"/>
      <c r="AK81" s="222"/>
      <c r="AM81" s="136"/>
      <c r="AN81" s="183" t="s">
        <v>176</v>
      </c>
      <c r="AO81" s="411"/>
      <c r="AP81" s="661"/>
      <c r="AQ81" s="661"/>
      <c r="AR81" s="6"/>
      <c r="AT81" s="588" t="s">
        <v>194</v>
      </c>
      <c r="AU81" s="588"/>
      <c r="AX81" s="4" t="s">
        <v>9</v>
      </c>
      <c r="AY81" s="379">
        <f>AVERAGE(F39:G39)</f>
        <v>4.7</v>
      </c>
      <c r="AZ81" s="363"/>
      <c r="BB81" s="713" t="s">
        <v>343</v>
      </c>
      <c r="BC81" s="713"/>
      <c r="BE81" s="6"/>
      <c r="BK81" s="67"/>
      <c r="BL81" s="78"/>
    </row>
    <row r="82" spans="1:64" ht="12.75" customHeight="1" x14ac:dyDescent="0.2">
      <c r="A82" s="67"/>
      <c r="B82" s="764" t="s">
        <v>4</v>
      </c>
      <c r="C82" s="765"/>
      <c r="D82" s="765"/>
      <c r="E82" s="218">
        <f>IF(Z38=0,"",AVERAGE(F72:F80))</f>
        <v>0.37960470247819245</v>
      </c>
      <c r="F82" s="25"/>
      <c r="G82" s="236"/>
      <c r="H82" s="766" t="s">
        <v>13</v>
      </c>
      <c r="I82" s="237" t="s">
        <v>203</v>
      </c>
      <c r="J82" s="573">
        <v>1</v>
      </c>
      <c r="K82" s="164">
        <f>R39</f>
        <v>1013.25</v>
      </c>
      <c r="L82" s="168" t="str">
        <f>IF(ISBLANK(P4),"",IF(M54&gt;0,(E34*K82-R38*M53)/M54,"n/a"))</f>
        <v>n/a</v>
      </c>
      <c r="M82" s="164" t="str">
        <f>IF(ISBLANK(P4),"",IF(M54&gt;0,L82-R39,"n/a"))</f>
        <v>n/a</v>
      </c>
      <c r="N82" s="247" t="s">
        <v>142</v>
      </c>
      <c r="O82" s="67"/>
      <c r="Q82" s="761"/>
      <c r="R82" s="762"/>
      <c r="S82" s="762"/>
      <c r="T82" s="762"/>
      <c r="U82" s="762"/>
      <c r="V82" s="762"/>
      <c r="W82" s="762"/>
      <c r="X82" s="762"/>
      <c r="Y82" s="762"/>
      <c r="Z82" s="762"/>
      <c r="AA82" s="762"/>
      <c r="AB82" s="763"/>
      <c r="AC82" s="436"/>
      <c r="AD82" s="774"/>
      <c r="AE82" s="775"/>
      <c r="AF82" s="6"/>
      <c r="AH82" s="636" t="s">
        <v>205</v>
      </c>
      <c r="AI82" s="636"/>
      <c r="AJ82" s="52"/>
      <c r="AK82" s="320"/>
      <c r="AL82" s="307"/>
      <c r="AM82" s="136"/>
      <c r="AN82" s="332">
        <f t="array" ref="AN82">MAX(FREQUENCY(IF(AV91:AV121=0,ROW(91:121)),IF(AV91:AV121&lt;&gt;0,ROW(91:121))))</f>
        <v>9</v>
      </c>
      <c r="AO82" s="412"/>
      <c r="AP82" s="798" t="s">
        <v>526</v>
      </c>
      <c r="AQ82" s="798"/>
      <c r="AR82" s="6"/>
      <c r="AT82" s="138">
        <f>IF(AN48=0,"n/a",AN48/AT67)</f>
        <v>0.94444444444444442</v>
      </c>
      <c r="AU82" s="138"/>
      <c r="AX82" s="4" t="s">
        <v>10</v>
      </c>
      <c r="AY82" s="57">
        <f>IF(ISBLANK(F4),"",AY80-AY81)</f>
        <v>0.14354838709677509</v>
      </c>
      <c r="AZ82" s="311"/>
      <c r="BA82" s="148" t="s">
        <v>158</v>
      </c>
      <c r="BB82" s="275" t="s">
        <v>145</v>
      </c>
      <c r="BC82" s="276" t="s">
        <v>146</v>
      </c>
      <c r="BE82" s="6"/>
      <c r="BF82" s="431">
        <f>MAX(BF49:BF79)-MIN(BF49:BF79)</f>
        <v>0.43055555555555558</v>
      </c>
      <c r="BG82" s="431">
        <f>MAX(BG49:BG79)-MIN(BG49:BG79)</f>
        <v>0.21875</v>
      </c>
      <c r="BH82" s="431">
        <f>MAX(BH49:BH79)-MIN(BH49:BH79)</f>
        <v>0.16666666666666663</v>
      </c>
      <c r="BI82" s="431">
        <f>MAX(BI49:BI79)-MIN(BI49:BI79)</f>
        <v>0.46875</v>
      </c>
      <c r="BJ82" s="431">
        <f>MAX(BJ49:BJ79)-MIN(BJ49:BJ79)</f>
        <v>0.99652777777777779</v>
      </c>
      <c r="BK82" s="67"/>
      <c r="BL82" s="78"/>
    </row>
    <row r="83" spans="1:64" ht="12.75" customHeight="1" thickBot="1" x14ac:dyDescent="0.25">
      <c r="A83" s="67"/>
      <c r="B83" s="756" t="s">
        <v>34</v>
      </c>
      <c r="C83" s="757"/>
      <c r="D83" s="757"/>
      <c r="E83" s="219">
        <f>AN93+AN98</f>
        <v>0</v>
      </c>
      <c r="F83" s="85" t="s">
        <v>91</v>
      </c>
      <c r="G83" s="236"/>
      <c r="H83" s="746"/>
      <c r="I83" s="238" t="s">
        <v>149</v>
      </c>
      <c r="J83" s="573">
        <v>1</v>
      </c>
      <c r="K83" s="251">
        <v>1020</v>
      </c>
      <c r="L83" s="119">
        <f>IF(ISBLANK(P4),"",SUM(M54*K83+M53*R38)/E34)</f>
        <v>1018.790322903226</v>
      </c>
      <c r="M83" s="169">
        <f>IF(ISBLANK(P4),"",L83-R39)</f>
        <v>5.540322903225956</v>
      </c>
      <c r="N83" s="248" t="s">
        <v>148</v>
      </c>
      <c r="O83" s="67"/>
      <c r="Q83" s="758"/>
      <c r="R83" s="759"/>
      <c r="S83" s="759"/>
      <c r="T83" s="759"/>
      <c r="U83" s="759"/>
      <c r="V83" s="759"/>
      <c r="W83" s="759"/>
      <c r="X83" s="759"/>
      <c r="Y83" s="759"/>
      <c r="Z83" s="759"/>
      <c r="AA83" s="759"/>
      <c r="AB83" s="760"/>
      <c r="AC83" s="436"/>
      <c r="AD83" s="776"/>
      <c r="AE83" s="777"/>
      <c r="AF83" s="6"/>
      <c r="AK83" s="312"/>
      <c r="AM83" s="136"/>
      <c r="AO83" s="88"/>
      <c r="AP83" s="798"/>
      <c r="AQ83" s="798"/>
      <c r="AR83" s="67"/>
      <c r="AZ83" s="6"/>
      <c r="BA83" s="25">
        <f>E91/3</f>
        <v>1.5333333333333332</v>
      </c>
      <c r="BB83" s="274">
        <f>AY81-BA83</f>
        <v>3.166666666666667</v>
      </c>
      <c r="BC83" s="273">
        <f>AY81+BA83</f>
        <v>6.2333333333333334</v>
      </c>
      <c r="BE83" s="6"/>
      <c r="BF83" s="334">
        <f>IF(ISBLANK(BF50),"",STDEV(BF49:BF79))</f>
        <v>0.14419817546402472</v>
      </c>
      <c r="BG83" s="334">
        <f>IF(ISBLANK(BG50),"",STDEV(BG49:BG79))</f>
        <v>5.5578453035978137E-2</v>
      </c>
      <c r="BH83" s="334">
        <f>IF(ISBLANK(BH51),"",STDEV(BH49:BH79))</f>
        <v>5.1714274798332793E-2</v>
      </c>
      <c r="BI83" s="334">
        <f>IF(ISBLANK(BI51),"",STDEV(BI49:BI79))</f>
        <v>0.14844354935896983</v>
      </c>
      <c r="BJ83" s="334">
        <f>IF(ISBLANK(BJ50),"",STDEV(BJ49:BJ79))</f>
        <v>0.26467785128498911</v>
      </c>
      <c r="BK83" s="67"/>
      <c r="BL83" s="78"/>
    </row>
    <row r="84" spans="1:64" s="107" customFormat="1" ht="12.75" x14ac:dyDescent="0.2">
      <c r="A84" s="240"/>
      <c r="C84" s="239"/>
      <c r="F84" s="117"/>
      <c r="H84" s="241"/>
      <c r="J84" s="573">
        <v>1</v>
      </c>
      <c r="O84" s="242"/>
      <c r="T84" s="243"/>
      <c r="Y84" s="243"/>
      <c r="AD84" s="545"/>
      <c r="AE84" s="545"/>
      <c r="AF84" s="243"/>
      <c r="AI84" s="117"/>
      <c r="AJ84" s="117"/>
      <c r="AK84" s="240"/>
      <c r="AL84" s="117"/>
      <c r="AM84" s="240"/>
      <c r="AO84" s="413"/>
      <c r="AP84" s="799"/>
      <c r="AQ84" s="799"/>
      <c r="AR84" s="240"/>
      <c r="AV84" s="117"/>
      <c r="AY84" s="117"/>
      <c r="AZ84" s="240"/>
      <c r="BA84" s="330">
        <f>MIN(AY49:AY79)</f>
        <v>0.35</v>
      </c>
      <c r="BB84" s="330">
        <f>MAX(AY49:AY79)</f>
        <v>12.350000000000001</v>
      </c>
      <c r="BE84" s="243"/>
      <c r="BF84" s="771" t="s">
        <v>191</v>
      </c>
      <c r="BG84" s="771"/>
      <c r="BH84" s="771"/>
      <c r="BI84" s="771"/>
      <c r="BJ84" s="771"/>
      <c r="BK84" s="240"/>
      <c r="BL84" s="244"/>
    </row>
    <row r="85" spans="1:64" s="172" customFormat="1" ht="12" x14ac:dyDescent="0.2">
      <c r="A85" s="171"/>
      <c r="C85" s="173">
        <f>MIN(C4:C34)</f>
        <v>1.2</v>
      </c>
      <c r="E85" s="174" t="s">
        <v>70</v>
      </c>
      <c r="F85" s="173">
        <f>MIN(F4:F34)</f>
        <v>-0.9</v>
      </c>
      <c r="G85" s="173">
        <f>MIN(G4:G34)</f>
        <v>1.2</v>
      </c>
      <c r="H85" s="173">
        <f>MIN(H4:H34)</f>
        <v>0.5</v>
      </c>
      <c r="I85" s="173">
        <f>MIN(I4:I34)</f>
        <v>1.4000000000000001</v>
      </c>
      <c r="J85" s="175"/>
      <c r="K85" s="176">
        <f>MIN(K4:K34)</f>
        <v>57</v>
      </c>
      <c r="L85" s="176">
        <f>MIN(L4:L34)</f>
        <v>76</v>
      </c>
      <c r="M85" s="176">
        <f>MIN(M4:M34)</f>
        <v>64</v>
      </c>
      <c r="N85" s="176">
        <f>MIN(N4:N34)</f>
        <v>4</v>
      </c>
      <c r="O85" s="177"/>
      <c r="P85" s="176">
        <f>MIN(P4:P34)</f>
        <v>988</v>
      </c>
      <c r="Q85" s="176">
        <f>MIN(Q4:Q34)</f>
        <v>1003</v>
      </c>
      <c r="R85" s="173">
        <f>MIN(R4:R34)</f>
        <v>996.5</v>
      </c>
      <c r="S85" s="176">
        <f>MIN(S4:S34)</f>
        <v>1</v>
      </c>
      <c r="T85" s="171"/>
      <c r="U85" s="173">
        <f t="shared" ref="U85:AC85" si="31">MIN(U4:U34)</f>
        <v>2.1</v>
      </c>
      <c r="V85" s="173">
        <f t="shared" si="31"/>
        <v>7.4</v>
      </c>
      <c r="W85" s="173">
        <f t="shared" si="31"/>
        <v>8.6999999999999993</v>
      </c>
      <c r="X85" s="173">
        <f t="shared" si="31"/>
        <v>0</v>
      </c>
      <c r="Y85" s="175">
        <f t="shared" si="31"/>
        <v>0</v>
      </c>
      <c r="Z85" s="173">
        <f t="shared" si="31"/>
        <v>0</v>
      </c>
      <c r="AA85" s="173">
        <f t="shared" si="31"/>
        <v>0.3</v>
      </c>
      <c r="AB85" s="173">
        <f t="shared" si="31"/>
        <v>0.2</v>
      </c>
      <c r="AC85" s="422">
        <f t="shared" si="31"/>
        <v>1.3698630136986306E-3</v>
      </c>
      <c r="AD85" s="173">
        <f>MIN(AE4:AE34)</f>
        <v>0.8</v>
      </c>
      <c r="AE85" s="173">
        <f>MIN(AD4:AD34)</f>
        <v>0.2</v>
      </c>
      <c r="AF85" s="175">
        <f>MIN(AF4:AF4)</f>
        <v>0</v>
      </c>
      <c r="AG85" s="173">
        <f>MIN(AG4:AG34)</f>
        <v>-6.5</v>
      </c>
      <c r="AH85" s="173">
        <f>MIN(AH4:AH34)</f>
        <v>-3.8</v>
      </c>
      <c r="AI85" s="173">
        <f>MIN(AI4:AI34)</f>
        <v>-5.6</v>
      </c>
      <c r="AJ85" s="173">
        <f>MIN(AJ4:AJ34)</f>
        <v>1</v>
      </c>
      <c r="AK85" s="175"/>
      <c r="AL85" s="173"/>
      <c r="AM85" s="175"/>
      <c r="AO85" s="414"/>
      <c r="AP85" s="173">
        <f>MIN(AP4:AP34)</f>
        <v>0</v>
      </c>
      <c r="AQ85" s="173">
        <f>MIN(AQ4:AQ34)</f>
        <v>0</v>
      </c>
      <c r="AR85" s="175"/>
      <c r="AS85" s="173">
        <f t="shared" ref="AS85:AZ85" si="32">MIN(AS8:AS34)</f>
        <v>1.5900000000000003</v>
      </c>
      <c r="AT85" s="173">
        <f t="shared" si="32"/>
        <v>5.0400000000000009</v>
      </c>
      <c r="AU85" s="173">
        <f t="shared" si="32"/>
        <v>3.78</v>
      </c>
      <c r="AV85" s="173">
        <f t="shared" si="32"/>
        <v>2.9400000000000004</v>
      </c>
      <c r="AW85" s="173">
        <f t="shared" si="32"/>
        <v>82.8</v>
      </c>
      <c r="AX85" s="176">
        <f t="shared" si="32"/>
        <v>1010.3181822727273</v>
      </c>
      <c r="AY85" s="173">
        <f t="shared" si="32"/>
        <v>4.0166666666666666</v>
      </c>
      <c r="AZ85" s="175">
        <f t="shared" si="32"/>
        <v>0</v>
      </c>
      <c r="BA85" s="173">
        <f>MIN(BA4:BA34)</f>
        <v>-3.46</v>
      </c>
      <c r="BB85" s="173">
        <f>MIN(BB4:BB34)</f>
        <v>-5.77</v>
      </c>
      <c r="BC85" s="173">
        <f>MIN(BC4:BC34)</f>
        <v>-4.2850000000000001</v>
      </c>
      <c r="BD85" s="173">
        <f>MIN(BD4:BD34)</f>
        <v>-3.17</v>
      </c>
      <c r="BE85" s="175">
        <f t="shared" ref="BE85:BJ85" si="33">MIN(BE8:BE34)</f>
        <v>0</v>
      </c>
      <c r="BF85" s="173">
        <f t="shared" si="33"/>
        <v>-0.91599999999999948</v>
      </c>
      <c r="BG85" s="173">
        <f t="shared" si="33"/>
        <v>-1.9899999999999984</v>
      </c>
      <c r="BH85" s="173">
        <f t="shared" si="33"/>
        <v>-1.5299999999999985</v>
      </c>
      <c r="BI85" s="422">
        <f t="shared" si="33"/>
        <v>8.8571428571428579E-2</v>
      </c>
      <c r="BJ85" s="422">
        <f t="shared" si="33"/>
        <v>0.48683853152275025</v>
      </c>
      <c r="BK85" s="177"/>
      <c r="BL85" s="178"/>
    </row>
    <row r="86" spans="1:64" s="172" customFormat="1" ht="12" x14ac:dyDescent="0.2">
      <c r="A86" s="171"/>
      <c r="B86" s="173">
        <f>MAX(B4:B34)</f>
        <v>11.4</v>
      </c>
      <c r="E86" s="174" t="s">
        <v>71</v>
      </c>
      <c r="F86" s="173">
        <f>MAX(F4:F34)</f>
        <v>11.4</v>
      </c>
      <c r="G86" s="173">
        <f>MAX(G4:G34)</f>
        <v>13.3</v>
      </c>
      <c r="H86" s="173">
        <f>MAX(H4:H34)</f>
        <v>12.1</v>
      </c>
      <c r="I86" s="173">
        <f>MAX(I4:I34)</f>
        <v>9.5</v>
      </c>
      <c r="J86" s="175"/>
      <c r="K86" s="176">
        <f>MAX(K4:K34)</f>
        <v>94</v>
      </c>
      <c r="L86" s="176">
        <f>MAX(L4:L34)</f>
        <v>98</v>
      </c>
      <c r="M86" s="176">
        <f>MAX(M4:M34)</f>
        <v>97</v>
      </c>
      <c r="N86" s="176">
        <f>MAX(N4:N34)</f>
        <v>30</v>
      </c>
      <c r="O86" s="177"/>
      <c r="P86" s="176">
        <f t="shared" ref="P86:AC86" si="34">MAX(P4:P34)</f>
        <v>1038</v>
      </c>
      <c r="Q86" s="176">
        <f t="shared" si="34"/>
        <v>1040.00001</v>
      </c>
      <c r="R86" s="173">
        <f t="shared" si="34"/>
        <v>1039.0000049999999</v>
      </c>
      <c r="S86" s="176">
        <f t="shared" si="34"/>
        <v>20</v>
      </c>
      <c r="T86" s="177">
        <f t="shared" si="34"/>
        <v>0</v>
      </c>
      <c r="U86" s="173">
        <f t="shared" si="34"/>
        <v>10.7</v>
      </c>
      <c r="V86" s="173">
        <f t="shared" si="34"/>
        <v>22.8</v>
      </c>
      <c r="W86" s="173">
        <f t="shared" si="34"/>
        <v>33.1</v>
      </c>
      <c r="X86" s="173">
        <f t="shared" si="34"/>
        <v>0</v>
      </c>
      <c r="Y86" s="175">
        <f t="shared" si="34"/>
        <v>2</v>
      </c>
      <c r="Z86" s="173">
        <f t="shared" si="34"/>
        <v>16.100000000000001</v>
      </c>
      <c r="AA86" s="173">
        <f t="shared" si="34"/>
        <v>5.5</v>
      </c>
      <c r="AB86" s="173">
        <f t="shared" si="34"/>
        <v>3.8</v>
      </c>
      <c r="AC86" s="422">
        <f t="shared" si="34"/>
        <v>0.22054794520547952</v>
      </c>
      <c r="AD86" s="173">
        <f>MAX(AE4:AE34)</f>
        <v>40</v>
      </c>
      <c r="AE86" s="173">
        <f>MAX(AD4:AD34)</f>
        <v>5.5</v>
      </c>
      <c r="AF86" s="175">
        <f>MAX(AF4:AF4)</f>
        <v>0</v>
      </c>
      <c r="AG86" s="173">
        <f>MAX(AG4:AG34)</f>
        <v>10.5</v>
      </c>
      <c r="AH86" s="173">
        <f>MAX(AH4:AH34)</f>
        <v>12</v>
      </c>
      <c r="AI86" s="173">
        <f>MAX(AI4:AI34)</f>
        <v>11.3</v>
      </c>
      <c r="AJ86" s="173">
        <f>MAX(AJ4:AJ34)</f>
        <v>10.200000000000001</v>
      </c>
      <c r="AK86" s="175"/>
      <c r="AL86" s="173"/>
      <c r="AM86" s="175"/>
      <c r="AO86" s="415"/>
      <c r="AP86" s="176">
        <f>MAX(AP4:AP34)</f>
        <v>7.3</v>
      </c>
      <c r="AQ86" s="173">
        <f>MAX(AQ4:AQ34)</f>
        <v>10</v>
      </c>
      <c r="AR86" s="177"/>
      <c r="AS86" s="173">
        <f t="shared" ref="AS86:AZ86" si="35">MAX(AS8:AS34)</f>
        <v>3.9117647058823519</v>
      </c>
      <c r="AT86" s="173">
        <f t="shared" si="35"/>
        <v>8.4588235294117649</v>
      </c>
      <c r="AU86" s="173">
        <f t="shared" si="35"/>
        <v>6.4823529411764698</v>
      </c>
      <c r="AV86" s="173">
        <f t="shared" si="35"/>
        <v>5.1166666666666663</v>
      </c>
      <c r="AW86" s="173">
        <f t="shared" si="35"/>
        <v>87.92307692307692</v>
      </c>
      <c r="AX86" s="176">
        <f t="shared" si="35"/>
        <v>1018.790322903226</v>
      </c>
      <c r="AY86" s="173">
        <f t="shared" si="35"/>
        <v>5.7124999999999995</v>
      </c>
      <c r="AZ86" s="175">
        <f t="shared" si="35"/>
        <v>0</v>
      </c>
      <c r="BA86" s="173">
        <f>MAX(BA4:BA34)</f>
        <v>9</v>
      </c>
      <c r="BB86" s="173">
        <f>MAX(BB4:BB34)</f>
        <v>6.2700000000000005</v>
      </c>
      <c r="BC86" s="173">
        <f>MAX(BC4:BC34)</f>
        <v>7.6349999999999998</v>
      </c>
      <c r="BD86" s="173">
        <f>MAX(BD4:BD34)</f>
        <v>4.9399999999999995</v>
      </c>
      <c r="BE86" s="175">
        <f t="shared" ref="BE86:BJ86" si="36">MAX(BE8:BE34)</f>
        <v>0</v>
      </c>
      <c r="BF86" s="173">
        <f t="shared" si="36"/>
        <v>1.4494117647058817</v>
      </c>
      <c r="BG86" s="173">
        <f t="shared" si="36"/>
        <v>1.4341176470588239</v>
      </c>
      <c r="BH86" s="173">
        <f t="shared" si="36"/>
        <v>0.5749999999999984</v>
      </c>
      <c r="BI86" s="422">
        <f t="shared" si="36"/>
        <v>1.9327160493827162</v>
      </c>
      <c r="BJ86" s="422">
        <f t="shared" si="36"/>
        <v>1.0693825498295344</v>
      </c>
      <c r="BK86" s="177"/>
      <c r="BL86" s="178"/>
    </row>
    <row r="87" spans="1:64" ht="10.5" customHeight="1" x14ac:dyDescent="0.2">
      <c r="A87" s="67"/>
      <c r="B87" s="21"/>
      <c r="C87" s="140"/>
      <c r="D87" s="146"/>
      <c r="E87" s="4"/>
      <c r="F87" s="21"/>
      <c r="H87" s="13"/>
      <c r="J87" s="20"/>
      <c r="K87" s="21"/>
      <c r="L87" s="21"/>
      <c r="M87" s="21"/>
      <c r="N87" s="22"/>
      <c r="O87" s="20"/>
      <c r="P87" s="21"/>
      <c r="Q87" s="21"/>
      <c r="R87" s="21"/>
      <c r="S87" s="21"/>
      <c r="T87" s="67"/>
      <c r="U87" s="21"/>
      <c r="V87" s="21"/>
      <c r="W87" s="21"/>
      <c r="X87" s="21"/>
      <c r="Y87" s="67"/>
      <c r="Z87" s="21"/>
      <c r="AA87" s="21"/>
      <c r="AB87" s="21"/>
      <c r="AC87" s="21"/>
      <c r="AD87" s="21"/>
      <c r="AE87" s="21"/>
      <c r="AF87" s="67"/>
      <c r="AG87" s="21"/>
      <c r="AH87" s="21"/>
      <c r="AI87" s="21"/>
      <c r="AJ87" s="21"/>
      <c r="AK87" s="67"/>
      <c r="AL87" s="21"/>
      <c r="AM87" s="67"/>
      <c r="AO87" s="88"/>
      <c r="AR87" s="6"/>
      <c r="AS87" s="21"/>
      <c r="AT87" s="22"/>
      <c r="AU87" s="21"/>
      <c r="AV87" s="21"/>
      <c r="AW87" s="21"/>
      <c r="AX87" s="21"/>
      <c r="AZ87" s="6"/>
      <c r="BA87" s="25"/>
      <c r="BB87" s="21"/>
      <c r="BC87" s="21"/>
      <c r="BD87" s="21"/>
      <c r="BE87" s="67"/>
      <c r="BF87" s="21"/>
      <c r="BG87" s="21"/>
      <c r="BH87" s="21"/>
      <c r="BI87" s="21"/>
      <c r="BJ87" s="21"/>
      <c r="BK87" s="67"/>
      <c r="BL87" s="95"/>
    </row>
    <row r="88" spans="1:64" s="327" customFormat="1" ht="10.5" customHeight="1" x14ac:dyDescent="0.2">
      <c r="C88" s="328"/>
    </row>
    <row r="89" spans="1:64" s="327" customFormat="1" ht="1.5" customHeight="1" x14ac:dyDescent="0.2">
      <c r="C89" s="328"/>
    </row>
    <row r="90" spans="1:64" s="331" customFormat="1" ht="11.25" x14ac:dyDescent="0.2">
      <c r="A90" s="331" t="s">
        <v>167</v>
      </c>
      <c r="B90" s="148" t="s">
        <v>2</v>
      </c>
      <c r="C90" s="148" t="s">
        <v>3</v>
      </c>
      <c r="D90" s="148" t="s">
        <v>4</v>
      </c>
      <c r="E90" s="147" t="s">
        <v>5</v>
      </c>
      <c r="F90" s="331" t="s">
        <v>332</v>
      </c>
      <c r="G90" s="331" t="s">
        <v>333</v>
      </c>
      <c r="H90" s="331" t="s">
        <v>348</v>
      </c>
      <c r="I90" s="331" t="s">
        <v>347</v>
      </c>
      <c r="K90" s="331" t="s">
        <v>167</v>
      </c>
      <c r="L90" s="331" t="s">
        <v>167</v>
      </c>
      <c r="M90" s="147" t="s">
        <v>184</v>
      </c>
      <c r="N90" s="331" t="s">
        <v>167</v>
      </c>
      <c r="O90" s="331" t="s">
        <v>167</v>
      </c>
      <c r="P90" s="331" t="s">
        <v>167</v>
      </c>
      <c r="Q90" s="331" t="s">
        <v>167</v>
      </c>
      <c r="R90" s="147" t="s">
        <v>165</v>
      </c>
      <c r="S90" s="331" t="s">
        <v>167</v>
      </c>
      <c r="T90" s="331" t="s">
        <v>334</v>
      </c>
      <c r="U90" s="331" t="s">
        <v>204</v>
      </c>
      <c r="V90" s="331" t="s">
        <v>346</v>
      </c>
      <c r="W90" s="786" t="s">
        <v>229</v>
      </c>
      <c r="X90" s="786"/>
      <c r="Y90" s="331" t="s">
        <v>167</v>
      </c>
      <c r="Z90" s="147" t="s">
        <v>144</v>
      </c>
      <c r="AA90" s="147" t="s">
        <v>185</v>
      </c>
      <c r="AB90" s="147" t="s">
        <v>236</v>
      </c>
      <c r="AC90" s="147" t="s">
        <v>237</v>
      </c>
      <c r="AD90" s="331" t="s">
        <v>167</v>
      </c>
      <c r="AE90" s="278" t="s">
        <v>345</v>
      </c>
      <c r="AF90" s="331" t="s">
        <v>344</v>
      </c>
      <c r="AG90" s="147" t="s">
        <v>155</v>
      </c>
      <c r="AH90" s="147" t="s">
        <v>183</v>
      </c>
      <c r="AI90" s="331" t="s">
        <v>328</v>
      </c>
      <c r="AJ90" s="147" t="s">
        <v>117</v>
      </c>
      <c r="AK90" s="331" t="s">
        <v>167</v>
      </c>
      <c r="AL90" s="147" t="s">
        <v>118</v>
      </c>
      <c r="AM90" s="331" t="s">
        <v>329</v>
      </c>
      <c r="AN90" s="331" t="s">
        <v>168</v>
      </c>
      <c r="AO90" s="331" t="s">
        <v>329</v>
      </c>
      <c r="AQ90" s="147"/>
      <c r="AR90" s="331" t="s">
        <v>329</v>
      </c>
      <c r="AS90" s="331" t="s">
        <v>256</v>
      </c>
      <c r="AT90" s="331" t="s">
        <v>253</v>
      </c>
      <c r="AU90" s="331" t="s">
        <v>346</v>
      </c>
      <c r="AV90" s="147" t="s">
        <v>196</v>
      </c>
      <c r="AW90" s="147" t="s">
        <v>145</v>
      </c>
      <c r="AX90" s="147" t="s">
        <v>146</v>
      </c>
      <c r="AY90" s="147" t="s">
        <v>400</v>
      </c>
      <c r="AZ90" s="147" t="s">
        <v>124</v>
      </c>
      <c r="BA90" s="147" t="s">
        <v>145</v>
      </c>
      <c r="BB90" s="147" t="s">
        <v>146</v>
      </c>
      <c r="BC90" s="331" t="s">
        <v>330</v>
      </c>
      <c r="BD90" s="331" t="s">
        <v>331</v>
      </c>
      <c r="BE90" s="147" t="s">
        <v>327</v>
      </c>
      <c r="BF90" s="331" t="s">
        <v>167</v>
      </c>
      <c r="BG90" s="147" t="s">
        <v>163</v>
      </c>
      <c r="BH90" s="147" t="s">
        <v>399</v>
      </c>
      <c r="BI90" s="147" t="s">
        <v>401</v>
      </c>
      <c r="BJ90" s="147" t="s">
        <v>119</v>
      </c>
      <c r="BK90" s="331" t="s">
        <v>327</v>
      </c>
    </row>
    <row r="91" spans="1:64" s="459" customFormat="1" ht="12" x14ac:dyDescent="0.2">
      <c r="A91" s="475">
        <f t="shared" ref="A91:A121" si="37">IF(ISBLANK(K4),NA(),N4)</f>
        <v>11</v>
      </c>
      <c r="B91" s="370">
        <f t="shared" ref="B91:B121" si="38">$F$39</f>
        <v>2.4</v>
      </c>
      <c r="C91" s="370">
        <f t="shared" ref="C91:C121" si="39">$G$39</f>
        <v>7</v>
      </c>
      <c r="D91" s="370">
        <f>AVERAGE(B91:C91)</f>
        <v>4.7</v>
      </c>
      <c r="E91" s="370">
        <f t="shared" ref="E91:E121" si="40">C91-B91</f>
        <v>4.5999999999999996</v>
      </c>
      <c r="F91" s="370">
        <v>2.6</v>
      </c>
      <c r="G91" s="370">
        <v>7.03</v>
      </c>
      <c r="H91" s="370">
        <f>AVERAGE(F91:G91)</f>
        <v>4.8150000000000004</v>
      </c>
      <c r="I91" s="370">
        <f>G91-F91</f>
        <v>4.43</v>
      </c>
      <c r="K91" s="370">
        <f t="shared" ref="K91:K121" si="41">IF(ISBLANK(G4),NA(),I4)</f>
        <v>3.3999999999999995</v>
      </c>
      <c r="L91" s="370">
        <f t="shared" ref="L91:L121" si="42">IF(ISBLANK(G4),NA(),AY49)</f>
        <v>4.9000000000000004</v>
      </c>
      <c r="M91" s="370">
        <f t="shared" ref="M91:M121" si="43">IF(ISBLANK(U4),NA(),AY4)</f>
        <v>4.2</v>
      </c>
      <c r="N91" s="459">
        <f t="shared" ref="N91:N121" si="44">IF(ISBLANK(F4),NA(),BJ91)</f>
        <v>3.3333333333333333E-2</v>
      </c>
      <c r="O91" s="370">
        <f t="shared" ref="O91:O121" si="45">IF(ISBLANK(M4),NA(),AW4)</f>
        <v>89</v>
      </c>
      <c r="P91" s="370">
        <f t="shared" ref="P91:P121" si="46">IF(ISBLANK(F4),NA(),AS4)</f>
        <v>3.2</v>
      </c>
      <c r="Q91" s="370">
        <f t="shared" ref="Q91:Q121" si="47">IF(ISBLANK(G4),NA(),AT4)</f>
        <v>6.6</v>
      </c>
      <c r="R91" s="370">
        <f t="shared" ref="R91:R121" si="48">IF(ISBLANK(H4),NA(),AU4)</f>
        <v>5.2</v>
      </c>
      <c r="S91" s="370">
        <f t="shared" ref="S91:S121" si="49">IF(ISBLANK(G4),NA(),AV4)</f>
        <v>3.3999999999999995</v>
      </c>
      <c r="T91" s="459">
        <v>32</v>
      </c>
      <c r="U91" s="476">
        <f t="shared" ref="U91:U121" si="50">$Z$39/$E$34</f>
        <v>2.032258064516129</v>
      </c>
      <c r="V91" s="474">
        <v>1</v>
      </c>
      <c r="W91" s="370">
        <f t="shared" ref="W91:W121" si="51">0.273*V91</f>
        <v>0.27300000000000002</v>
      </c>
      <c r="X91" s="370">
        <f t="shared" ref="X91:X121" si="52">0.273*T91</f>
        <v>8.7360000000000007</v>
      </c>
      <c r="Y91" s="475">
        <f t="shared" ref="Y91:Y121" si="53">IF(ISBLANK(Q4),NA(),S4)</f>
        <v>4</v>
      </c>
      <c r="Z91" s="370">
        <f>IF(ISBLANK(Z4),NA(),SUM($Z$4:Z4))</f>
        <v>0.1</v>
      </c>
      <c r="AA91" s="370">
        <f t="shared" ref="AA91:AA121" si="54">$AB$48*E4</f>
        <v>2.032258064516129</v>
      </c>
      <c r="AB91" s="477">
        <f>IF(ISBLANK(Z4),"",SUM($Z$4:Z4))</f>
        <v>0.1</v>
      </c>
      <c r="AC91" s="478">
        <f>IF(ISBLANK(Z4),NA(),AB91/AA91)</f>
        <v>4.9206349206349212E-2</v>
      </c>
      <c r="AD91" s="475">
        <f t="shared" ref="AD91:AD121" si="55">IF(ISBLANK(P4),NA(),AX4)</f>
        <v>1025</v>
      </c>
      <c r="AE91" s="483">
        <f t="shared" ref="AE91:AE121" si="56">IF(ISNA(AG91),"",AG91/AH91)</f>
        <v>7.1583707216850645E-2</v>
      </c>
      <c r="AF91" s="484" t="e">
        <f t="shared" ref="AF91:AF121" si="57">IF(ISTEXT(BI49),NA(),IF(ISBLANK(BI49),NA(),BI49))</f>
        <v>#N/A</v>
      </c>
      <c r="AG91" s="45">
        <f>IF(ISBLANK(AP4),NA(),SUM($AP$4:AP4))</f>
        <v>0.1</v>
      </c>
      <c r="AH91" s="370">
        <f>SUM($AS$91:AS91)</f>
        <v>1.3969659282532971</v>
      </c>
      <c r="AI91" s="478">
        <f t="shared" ref="AI91:AI121" si="58">IF(ISBLANK(AP4),NA(),AG91/AH91)</f>
        <v>7.1583707216850645E-2</v>
      </c>
      <c r="AJ91" s="459">
        <f t="shared" ref="AJ91:AJ121" si="59">IF(ISBLANK(F4),"",IF(Z4&gt;0.1,1,0))</f>
        <v>0</v>
      </c>
      <c r="AK91" s="475">
        <f t="shared" ref="AK91:AK121" si="60">IF(ISBLANK(P4),NA(),R4)</f>
        <v>1025</v>
      </c>
      <c r="AL91" s="459">
        <f t="shared" ref="AL91:AL121" si="61">IF(ISBLANK(Z4),"",IF(Z4&gt;0.9,1,0))</f>
        <v>0</v>
      </c>
      <c r="AM91" s="484" t="e">
        <f t="shared" ref="AM91:AM121" si="62">IF(ISTEXT(BH49),NA(),IF(ISBLANK(BH49),NA(),BH49))</f>
        <v>#N/A</v>
      </c>
      <c r="AN91" s="109">
        <f xml:space="preserve"> SUM(COUNTIF(AN4:AN34,"-"),COUNTIF(AN4:AN34,"*yy*"))</f>
        <v>16</v>
      </c>
      <c r="AO91" s="484">
        <f t="shared" ref="AO91:AO121" si="63">IF(ISTEXT(BG49),NA(),IF(ISBLANK(BG49),NA(),BG49))</f>
        <v>0.55208333333333337</v>
      </c>
      <c r="AR91" s="484" t="e">
        <f t="shared" ref="AR91:AR121" si="64">IF(ISTEXT(BF49),NA(),IF(ISBLANK(BF49),NA(),BF49))</f>
        <v>#N/A</v>
      </c>
      <c r="AS91" s="370">
        <f t="shared" ref="AS91:AS121" si="65">AT91/($AT$123/$AP$39)</f>
        <v>1.3969659282532971</v>
      </c>
      <c r="AT91" s="370">
        <v>7.0771099067696932</v>
      </c>
      <c r="AU91" s="474">
        <v>1</v>
      </c>
      <c r="AV91" s="475">
        <f t="shared" ref="AV91:AV121" si="66">IF(ISBLANK(AP4),"",IF(AP4&gt;0.25*AT91,1,0))</f>
        <v>0</v>
      </c>
      <c r="AW91" s="459">
        <f>IF(ISBLANK(F4),"",IF(AY49&lt;BC91,1,0))</f>
        <v>0</v>
      </c>
      <c r="AX91" s="459">
        <f>IF(ISBLANK(G4),"",IF(AY49&gt;BD91,1,0))</f>
        <v>0</v>
      </c>
      <c r="AY91" s="459">
        <f t="shared" ref="AY91:AY121" si="67">IF(ISBLANK(F4),"",IF(P4&gt;1013,1,0))</f>
        <v>1</v>
      </c>
      <c r="AZ91" s="370">
        <f t="shared" ref="AZ91:AZ121" si="68">$U$39</f>
        <v>5.2</v>
      </c>
      <c r="BA91" s="370">
        <f t="shared" ref="BA91:BA121" si="69">$BB$83</f>
        <v>3.166666666666667</v>
      </c>
      <c r="BB91" s="370">
        <f t="shared" ref="BB91:BB121" si="70">$BC$83</f>
        <v>6.2333333333333334</v>
      </c>
      <c r="BC91" s="370">
        <v>3.3383333333333338</v>
      </c>
      <c r="BD91" s="370">
        <v>6.291666666666667</v>
      </c>
      <c r="BF91" s="475">
        <f t="shared" ref="BF91:BF121" si="71">IF(ISBLANK(M4),NA(),M4)</f>
        <v>89</v>
      </c>
      <c r="BG91" s="472">
        <f t="shared" ref="BG91:BG121" si="72">IF(ISBLANK(H4),NA(),H4)</f>
        <v>5.2</v>
      </c>
      <c r="BH91" s="459">
        <f t="shared" ref="BH91:BH121" si="73">IF(ISBLANK(F4),"",IF(Q4&lt;1013,1,0))</f>
        <v>0</v>
      </c>
      <c r="BI91" s="459">
        <f>IF(ISBLANK(L4),"",IF(AQ4&gt;0.4,1,0))</f>
        <v>0</v>
      </c>
      <c r="BJ91" s="476">
        <f t="shared" ref="BJ91:BJ121" si="74">IF(ISBLANK(Z4),"",Z4/3)</f>
        <v>3.3333333333333333E-2</v>
      </c>
    </row>
    <row r="92" spans="1:64" s="459" customFormat="1" ht="12.75" x14ac:dyDescent="0.2">
      <c r="A92" s="475">
        <f t="shared" si="37"/>
        <v>11</v>
      </c>
      <c r="B92" s="370">
        <f t="shared" si="38"/>
        <v>2.4</v>
      </c>
      <c r="C92" s="370">
        <f t="shared" si="39"/>
        <v>7</v>
      </c>
      <c r="D92" s="370">
        <f t="shared" ref="D92:D121" si="75">AVERAGE(B92:C92)</f>
        <v>4.7</v>
      </c>
      <c r="E92" s="370">
        <f t="shared" si="40"/>
        <v>4.5999999999999996</v>
      </c>
      <c r="F92" s="370">
        <v>2.58</v>
      </c>
      <c r="G92" s="370">
        <v>7.03</v>
      </c>
      <c r="H92" s="370">
        <f t="shared" ref="H92:H121" si="76">AVERAGE(F92:G92)</f>
        <v>4.8049999999999997</v>
      </c>
      <c r="I92" s="370">
        <f t="shared" ref="I92:I121" si="77">G92-F92</f>
        <v>4.45</v>
      </c>
      <c r="K92" s="370">
        <f t="shared" si="41"/>
        <v>1.7000000000000002</v>
      </c>
      <c r="L92" s="370">
        <f t="shared" si="42"/>
        <v>2.35</v>
      </c>
      <c r="M92" s="370">
        <f t="shared" si="43"/>
        <v>3.85</v>
      </c>
      <c r="N92" s="459">
        <f t="shared" si="44"/>
        <v>0</v>
      </c>
      <c r="O92" s="370">
        <f t="shared" si="45"/>
        <v>86.5</v>
      </c>
      <c r="P92" s="370">
        <f t="shared" si="46"/>
        <v>2.35</v>
      </c>
      <c r="Q92" s="370">
        <f t="shared" si="47"/>
        <v>4.9000000000000004</v>
      </c>
      <c r="R92" s="370">
        <f t="shared" si="48"/>
        <v>3.75</v>
      </c>
      <c r="S92" s="370">
        <f t="shared" si="49"/>
        <v>2.5499999999999998</v>
      </c>
      <c r="T92" s="459">
        <v>33</v>
      </c>
      <c r="U92" s="476">
        <f t="shared" si="50"/>
        <v>2.032258064516129</v>
      </c>
      <c r="V92" s="474">
        <v>2</v>
      </c>
      <c r="W92" s="370">
        <f t="shared" si="51"/>
        <v>0.54600000000000004</v>
      </c>
      <c r="X92" s="370">
        <f t="shared" si="52"/>
        <v>9.0090000000000003</v>
      </c>
      <c r="Y92" s="475">
        <f t="shared" si="53"/>
        <v>2</v>
      </c>
      <c r="Z92" s="370">
        <f>IF(ISBLANK(Z5),NA(),SUM($Z$4:Z5))</f>
        <v>0.1</v>
      </c>
      <c r="AA92" s="370">
        <f t="shared" si="54"/>
        <v>4.064516129032258</v>
      </c>
      <c r="AB92" s="477">
        <f>IF(ISBLANK(Z5),"",SUM($Z$4:Z5))</f>
        <v>0.1</v>
      </c>
      <c r="AC92" s="478">
        <f t="shared" ref="AC92:AC121" si="78">IF(ISBLANK(Z5),NA(),AB92/AA92)</f>
        <v>2.4603174603174606E-2</v>
      </c>
      <c r="AD92" s="475">
        <f t="shared" si="55"/>
        <v>1026.5</v>
      </c>
      <c r="AE92" s="483">
        <f t="shared" si="56"/>
        <v>0.39323381213833886</v>
      </c>
      <c r="AF92" s="484">
        <f t="shared" si="57"/>
        <v>0.375</v>
      </c>
      <c r="AG92" s="45">
        <f>IF(ISBLANK(AP5),NA(),SUM($AP$4:AP5))</f>
        <v>1.1000000000000001</v>
      </c>
      <c r="AH92" s="370">
        <f>SUM($AS$91:AS92)</f>
        <v>2.7973179468428375</v>
      </c>
      <c r="AI92" s="478">
        <f t="shared" si="58"/>
        <v>0.39323381213833886</v>
      </c>
      <c r="AJ92" s="459">
        <f t="shared" si="59"/>
        <v>0</v>
      </c>
      <c r="AK92" s="475">
        <f t="shared" si="60"/>
        <v>1028</v>
      </c>
      <c r="AL92" s="459">
        <f t="shared" si="61"/>
        <v>0</v>
      </c>
      <c r="AM92" s="484" t="e">
        <f t="shared" si="62"/>
        <v>#N/A</v>
      </c>
      <c r="AN92" s="45">
        <f t="array" ref="AN92">MAX(FREQUENCY(IF(AJ91:AJ121=0,ROW(91:121)),IF(AJ91:AJ121&lt;&gt;0,ROW(91:121))))</f>
        <v>5</v>
      </c>
      <c r="AO92" s="484">
        <f t="shared" si="63"/>
        <v>0.60416666666666663</v>
      </c>
      <c r="AP92" s="59" t="s">
        <v>113</v>
      </c>
      <c r="AQ92" s="447">
        <v>0.111</v>
      </c>
      <c r="AR92" s="484">
        <f t="shared" si="64"/>
        <v>0.38541666666666669</v>
      </c>
      <c r="AS92" s="370">
        <f t="shared" si="65"/>
        <v>1.4003520185895404</v>
      </c>
      <c r="AT92" s="370">
        <v>7.0942640355706779</v>
      </c>
      <c r="AU92" s="474">
        <v>2</v>
      </c>
      <c r="AV92" s="475">
        <f t="shared" si="66"/>
        <v>0</v>
      </c>
      <c r="AW92" s="459">
        <f t="shared" ref="AW92:AW121" si="79">IF(ISBLANK(F5),"",IF(AY50&lt;BC92,1,0))</f>
        <v>1</v>
      </c>
      <c r="AX92" s="459">
        <f t="shared" ref="AX92:AX121" si="80">IF(ISBLANK(G5),"",IF(AY50&gt;BD92,1,0))</f>
        <v>0</v>
      </c>
      <c r="AY92" s="459">
        <f t="shared" si="67"/>
        <v>1</v>
      </c>
      <c r="AZ92" s="370">
        <f t="shared" si="68"/>
        <v>5.2</v>
      </c>
      <c r="BA92" s="370">
        <f t="shared" si="69"/>
        <v>3.166666666666667</v>
      </c>
      <c r="BB92" s="370">
        <f t="shared" si="70"/>
        <v>6.2333333333333334</v>
      </c>
      <c r="BC92" s="370">
        <v>3.3216666666666663</v>
      </c>
      <c r="BD92" s="370">
        <v>6.2883333333333331</v>
      </c>
      <c r="BF92" s="475">
        <f t="shared" si="71"/>
        <v>84</v>
      </c>
      <c r="BG92" s="472">
        <f t="shared" si="72"/>
        <v>2.2999999999999998</v>
      </c>
      <c r="BH92" s="459">
        <f t="shared" si="73"/>
        <v>0</v>
      </c>
      <c r="BI92" s="459">
        <f t="shared" ref="BI92:BI121" si="81">IF(ISBLANK(L5),"",IF(AQ5&gt;0.4,1,0))</f>
        <v>0</v>
      </c>
      <c r="BJ92" s="476">
        <f t="shared" si="74"/>
        <v>0</v>
      </c>
    </row>
    <row r="93" spans="1:64" s="459" customFormat="1" ht="12.75" x14ac:dyDescent="0.2">
      <c r="A93" s="475">
        <f t="shared" si="37"/>
        <v>22</v>
      </c>
      <c r="B93" s="370">
        <f t="shared" si="38"/>
        <v>2.4</v>
      </c>
      <c r="C93" s="370">
        <f t="shared" si="39"/>
        <v>7</v>
      </c>
      <c r="D93" s="370">
        <f t="shared" si="75"/>
        <v>4.7</v>
      </c>
      <c r="E93" s="370">
        <f t="shared" si="40"/>
        <v>4.5999999999999996</v>
      </c>
      <c r="F93" s="370">
        <v>2.56</v>
      </c>
      <c r="G93" s="370">
        <v>7.03</v>
      </c>
      <c r="H93" s="370">
        <f t="shared" si="76"/>
        <v>4.7949999999999999</v>
      </c>
      <c r="I93" s="370">
        <f t="shared" si="77"/>
        <v>4.4700000000000006</v>
      </c>
      <c r="K93" s="370">
        <f t="shared" si="41"/>
        <v>4.2</v>
      </c>
      <c r="L93" s="370">
        <f t="shared" si="42"/>
        <v>1.2</v>
      </c>
      <c r="M93" s="370">
        <f t="shared" si="43"/>
        <v>3.3000000000000003</v>
      </c>
      <c r="N93" s="459">
        <f t="shared" si="44"/>
        <v>0</v>
      </c>
      <c r="O93" s="370">
        <f t="shared" si="45"/>
        <v>83</v>
      </c>
      <c r="P93" s="370">
        <f t="shared" si="46"/>
        <v>1.2666666666666668</v>
      </c>
      <c r="Q93" s="370">
        <f t="shared" si="47"/>
        <v>4.3666666666666671</v>
      </c>
      <c r="R93" s="370">
        <f t="shared" si="48"/>
        <v>3.1666666666666665</v>
      </c>
      <c r="S93" s="370">
        <f t="shared" si="49"/>
        <v>3.1</v>
      </c>
      <c r="T93" s="459">
        <v>34</v>
      </c>
      <c r="U93" s="476">
        <f t="shared" si="50"/>
        <v>2.032258064516129</v>
      </c>
      <c r="V93" s="474">
        <v>3</v>
      </c>
      <c r="W93" s="370">
        <f t="shared" si="51"/>
        <v>0.81900000000000006</v>
      </c>
      <c r="X93" s="370">
        <f t="shared" si="52"/>
        <v>9.282</v>
      </c>
      <c r="Y93" s="475">
        <f t="shared" si="53"/>
        <v>9</v>
      </c>
      <c r="Z93" s="370">
        <f>IF(ISBLANK(Z6),NA(),SUM($Z$4:Z6))</f>
        <v>0.1</v>
      </c>
      <c r="AA93" s="370">
        <f t="shared" si="54"/>
        <v>6.096774193548387</v>
      </c>
      <c r="AB93" s="477">
        <f>IF(ISBLANK(Z6),"",SUM($Z$4:Z6))</f>
        <v>0.1</v>
      </c>
      <c r="AC93" s="478">
        <f t="shared" si="78"/>
        <v>1.6402116402116404E-2</v>
      </c>
      <c r="AD93" s="475">
        <f t="shared" si="55"/>
        <v>1025.1666666666667</v>
      </c>
      <c r="AE93" s="483">
        <f t="shared" si="56"/>
        <v>0.38083126117630156</v>
      </c>
      <c r="AF93" s="484">
        <f t="shared" si="57"/>
        <v>0.43402777777777773</v>
      </c>
      <c r="AG93" s="45">
        <f>IF(ISBLANK(AP6),NA(),SUM($AP$4:AP6))</f>
        <v>1.6</v>
      </c>
      <c r="AH93" s="370">
        <f>SUM($AS$91:AS93)</f>
        <v>4.2013357702252758</v>
      </c>
      <c r="AI93" s="478">
        <f t="shared" si="58"/>
        <v>0.38083126117630156</v>
      </c>
      <c r="AJ93" s="459">
        <f t="shared" si="59"/>
        <v>0</v>
      </c>
      <c r="AK93" s="475">
        <f t="shared" si="60"/>
        <v>1022.5</v>
      </c>
      <c r="AL93" s="459">
        <f t="shared" si="61"/>
        <v>0</v>
      </c>
      <c r="AM93" s="484">
        <f t="shared" si="62"/>
        <v>0.68402777777777779</v>
      </c>
      <c r="AN93" s="150">
        <f>COUNTIF(E72:E80, "&lt;-0.5")</f>
        <v>0</v>
      </c>
      <c r="AO93" s="484">
        <f t="shared" si="63"/>
        <v>0.58333333333333337</v>
      </c>
      <c r="AP93" s="59" t="s">
        <v>206</v>
      </c>
      <c r="AQ93" s="447">
        <v>0.105</v>
      </c>
      <c r="AR93" s="484">
        <f t="shared" si="64"/>
        <v>0.38194444444444442</v>
      </c>
      <c r="AS93" s="370">
        <f t="shared" si="65"/>
        <v>1.4040178233824379</v>
      </c>
      <c r="AT93" s="370">
        <v>7.1128352139304374</v>
      </c>
      <c r="AU93" s="474">
        <v>3</v>
      </c>
      <c r="AV93" s="475">
        <f t="shared" si="66"/>
        <v>0</v>
      </c>
      <c r="AW93" s="459">
        <f t="shared" si="79"/>
        <v>1</v>
      </c>
      <c r="AX93" s="459">
        <f t="shared" si="80"/>
        <v>0</v>
      </c>
      <c r="AY93" s="459">
        <f t="shared" si="67"/>
        <v>1</v>
      </c>
      <c r="AZ93" s="370">
        <f t="shared" si="68"/>
        <v>5.2</v>
      </c>
      <c r="BA93" s="370">
        <f t="shared" si="69"/>
        <v>3.166666666666667</v>
      </c>
      <c r="BB93" s="370">
        <f t="shared" si="70"/>
        <v>6.2333333333333334</v>
      </c>
      <c r="BC93" s="370">
        <v>3.3050000000000002</v>
      </c>
      <c r="BD93" s="370">
        <v>6.2850000000000001</v>
      </c>
      <c r="BF93" s="475">
        <f t="shared" si="71"/>
        <v>76</v>
      </c>
      <c r="BG93" s="472">
        <f t="shared" si="72"/>
        <v>2</v>
      </c>
      <c r="BH93" s="459">
        <f t="shared" si="73"/>
        <v>0</v>
      </c>
      <c r="BI93" s="459">
        <f t="shared" si="81"/>
        <v>0</v>
      </c>
      <c r="BJ93" s="476">
        <f t="shared" si="74"/>
        <v>0</v>
      </c>
    </row>
    <row r="94" spans="1:64" s="459" customFormat="1" ht="12.75" x14ac:dyDescent="0.2">
      <c r="A94" s="475">
        <f t="shared" si="37"/>
        <v>12</v>
      </c>
      <c r="B94" s="370">
        <f t="shared" si="38"/>
        <v>2.4</v>
      </c>
      <c r="C94" s="370">
        <f t="shared" si="39"/>
        <v>7</v>
      </c>
      <c r="D94" s="370">
        <f t="shared" si="75"/>
        <v>4.7</v>
      </c>
      <c r="E94" s="370">
        <f t="shared" si="40"/>
        <v>4.5999999999999996</v>
      </c>
      <c r="F94" s="370">
        <v>2.54</v>
      </c>
      <c r="G94" s="370">
        <v>7.03</v>
      </c>
      <c r="H94" s="370">
        <f t="shared" si="76"/>
        <v>4.7850000000000001</v>
      </c>
      <c r="I94" s="370">
        <f t="shared" si="77"/>
        <v>4.49</v>
      </c>
      <c r="K94" s="370">
        <f t="shared" si="41"/>
        <v>2.4</v>
      </c>
      <c r="L94" s="370">
        <f t="shared" si="42"/>
        <v>3.8</v>
      </c>
      <c r="M94" s="370">
        <f t="shared" si="43"/>
        <v>3.7</v>
      </c>
      <c r="N94" s="459">
        <f t="shared" si="44"/>
        <v>0</v>
      </c>
      <c r="O94" s="370">
        <f t="shared" si="45"/>
        <v>82.75</v>
      </c>
      <c r="P94" s="370">
        <f t="shared" si="46"/>
        <v>1.6</v>
      </c>
      <c r="Q94" s="370">
        <f t="shared" si="47"/>
        <v>4.5250000000000004</v>
      </c>
      <c r="R94" s="370">
        <f t="shared" si="48"/>
        <v>3.2749999999999999</v>
      </c>
      <c r="S94" s="370">
        <f t="shared" si="49"/>
        <v>2.9250000000000003</v>
      </c>
      <c r="T94" s="459">
        <v>35</v>
      </c>
      <c r="U94" s="476">
        <f t="shared" si="50"/>
        <v>2.032258064516129</v>
      </c>
      <c r="V94" s="474">
        <v>4</v>
      </c>
      <c r="W94" s="370">
        <f t="shared" si="51"/>
        <v>1.0920000000000001</v>
      </c>
      <c r="X94" s="370">
        <f t="shared" si="52"/>
        <v>9.5550000000000015</v>
      </c>
      <c r="Y94" s="475">
        <f t="shared" si="53"/>
        <v>11</v>
      </c>
      <c r="Z94" s="370">
        <f>IF(ISBLANK(Z7),NA(),SUM($Z$4:Z7))</f>
        <v>0.1</v>
      </c>
      <c r="AA94" s="370">
        <f t="shared" si="54"/>
        <v>8.129032258064516</v>
      </c>
      <c r="AB94" s="477">
        <f>IF(ISBLANK(Z7),"",SUM($Z$4:Z7))</f>
        <v>0.1</v>
      </c>
      <c r="AC94" s="478">
        <f t="shared" si="78"/>
        <v>1.2301587301587303E-2</v>
      </c>
      <c r="AD94" s="475">
        <f t="shared" si="55"/>
        <v>1022.25</v>
      </c>
      <c r="AE94" s="483">
        <f t="shared" si="56"/>
        <v>0.37437855856973445</v>
      </c>
      <c r="AF94" s="484">
        <f t="shared" si="57"/>
        <v>0.375</v>
      </c>
      <c r="AG94" s="45">
        <f>IF(ISBLANK(AP7),NA(),SUM($AP$4:AP7))</f>
        <v>2.1</v>
      </c>
      <c r="AH94" s="370">
        <f>SUM($AS$91:AS94)</f>
        <v>5.6092955964753495</v>
      </c>
      <c r="AI94" s="478">
        <f t="shared" si="58"/>
        <v>0.37437855856973445</v>
      </c>
      <c r="AJ94" s="459">
        <f t="shared" si="59"/>
        <v>0</v>
      </c>
      <c r="AK94" s="475">
        <f t="shared" si="60"/>
        <v>1013.5</v>
      </c>
      <c r="AL94" s="459">
        <f t="shared" si="61"/>
        <v>0</v>
      </c>
      <c r="AM94" s="484">
        <f t="shared" si="62"/>
        <v>0.60069444444444442</v>
      </c>
      <c r="AN94" s="141">
        <f t="array" ref="AN94">MAX(FREQUENCY(IF(BI91:BI121=1,ROW(91:121)),IF(BI91:BI121&lt;&gt;1,ROW(91:121))))</f>
        <v>5</v>
      </c>
      <c r="AO94" s="484" t="e">
        <f t="shared" si="63"/>
        <v>#N/A</v>
      </c>
      <c r="AP94" s="449" t="s">
        <v>105</v>
      </c>
      <c r="AQ94" s="448">
        <v>7.8E-2</v>
      </c>
      <c r="AR94" s="484">
        <f t="shared" si="64"/>
        <v>0.38194444444444442</v>
      </c>
      <c r="AS94" s="370">
        <f t="shared" si="65"/>
        <v>1.4079598262500737</v>
      </c>
      <c r="AT94" s="370">
        <v>7.1328056276555181</v>
      </c>
      <c r="AU94" s="474">
        <v>4</v>
      </c>
      <c r="AV94" s="475">
        <f t="shared" si="66"/>
        <v>0</v>
      </c>
      <c r="AW94" s="459">
        <f t="shared" si="79"/>
        <v>0</v>
      </c>
      <c r="AX94" s="459">
        <f t="shared" si="80"/>
        <v>0</v>
      </c>
      <c r="AY94" s="459">
        <f t="shared" si="67"/>
        <v>0</v>
      </c>
      <c r="AZ94" s="370">
        <f t="shared" si="68"/>
        <v>5.2</v>
      </c>
      <c r="BA94" s="370">
        <f t="shared" si="69"/>
        <v>3.166666666666667</v>
      </c>
      <c r="BB94" s="370">
        <f t="shared" si="70"/>
        <v>6.2333333333333334</v>
      </c>
      <c r="BC94" s="370">
        <v>3.2883333333333331</v>
      </c>
      <c r="BD94" s="370">
        <v>6.2816666666666672</v>
      </c>
      <c r="BF94" s="475">
        <f t="shared" si="71"/>
        <v>82</v>
      </c>
      <c r="BG94" s="472">
        <f t="shared" si="72"/>
        <v>3.6</v>
      </c>
      <c r="BH94" s="459">
        <f t="shared" si="73"/>
        <v>0</v>
      </c>
      <c r="BI94" s="459">
        <f t="shared" si="81"/>
        <v>0</v>
      </c>
      <c r="BJ94" s="476">
        <f t="shared" si="74"/>
        <v>0</v>
      </c>
    </row>
    <row r="95" spans="1:64" s="459" customFormat="1" ht="12.75" x14ac:dyDescent="0.2">
      <c r="A95" s="475">
        <f t="shared" si="37"/>
        <v>30</v>
      </c>
      <c r="B95" s="370">
        <f t="shared" si="38"/>
        <v>2.4</v>
      </c>
      <c r="C95" s="370">
        <f t="shared" si="39"/>
        <v>7</v>
      </c>
      <c r="D95" s="370">
        <f t="shared" si="75"/>
        <v>4.7</v>
      </c>
      <c r="E95" s="370">
        <f t="shared" si="40"/>
        <v>4.5999999999999996</v>
      </c>
      <c r="F95" s="370">
        <v>2.52</v>
      </c>
      <c r="G95" s="370">
        <v>7.03</v>
      </c>
      <c r="H95" s="370">
        <f t="shared" si="76"/>
        <v>4.7750000000000004</v>
      </c>
      <c r="I95" s="370">
        <f t="shared" si="77"/>
        <v>4.51</v>
      </c>
      <c r="K95" s="370">
        <f t="shared" si="41"/>
        <v>3</v>
      </c>
      <c r="L95" s="370">
        <f t="shared" si="42"/>
        <v>5.6</v>
      </c>
      <c r="M95" s="370">
        <f t="shared" si="43"/>
        <v>4.4000000000000004</v>
      </c>
      <c r="N95" s="459">
        <f t="shared" si="44"/>
        <v>0.26666666666666666</v>
      </c>
      <c r="O95" s="370">
        <f t="shared" si="45"/>
        <v>82.8</v>
      </c>
      <c r="P95" s="370">
        <f t="shared" si="46"/>
        <v>2.1</v>
      </c>
      <c r="Q95" s="370">
        <f t="shared" si="47"/>
        <v>5.0400000000000009</v>
      </c>
      <c r="R95" s="370">
        <f t="shared" si="48"/>
        <v>3.78</v>
      </c>
      <c r="S95" s="370">
        <f t="shared" si="49"/>
        <v>2.9400000000000004</v>
      </c>
      <c r="T95" s="459">
        <v>36</v>
      </c>
      <c r="U95" s="476">
        <f t="shared" si="50"/>
        <v>2.032258064516129</v>
      </c>
      <c r="V95" s="474">
        <v>5</v>
      </c>
      <c r="W95" s="370">
        <f t="shared" si="51"/>
        <v>1.3650000000000002</v>
      </c>
      <c r="X95" s="370">
        <f t="shared" si="52"/>
        <v>9.8280000000000012</v>
      </c>
      <c r="Y95" s="475">
        <f t="shared" si="53"/>
        <v>13</v>
      </c>
      <c r="Z95" s="370">
        <f>IF(ISBLANK(Z8),NA(),SUM($Z$4:Z8))</f>
        <v>0.9</v>
      </c>
      <c r="AA95" s="370">
        <f t="shared" si="54"/>
        <v>10.161290322580644</v>
      </c>
      <c r="AB95" s="477">
        <f>IF(ISBLANK(Z8),"",SUM($Z$4:Z8))</f>
        <v>0.9</v>
      </c>
      <c r="AC95" s="478">
        <f t="shared" si="78"/>
        <v>8.8571428571428579E-2</v>
      </c>
      <c r="AD95" s="475">
        <f t="shared" si="55"/>
        <v>1018.1</v>
      </c>
      <c r="AE95" s="483">
        <f t="shared" si="56"/>
        <v>0.65513347955634316</v>
      </c>
      <c r="AF95" s="484" t="e">
        <f t="shared" si="57"/>
        <v>#N/A</v>
      </c>
      <c r="AG95" s="45">
        <f>IF(ISBLANK(AP8),NA(),SUM($AP$4:AP8))</f>
        <v>4.5999999999999996</v>
      </c>
      <c r="AH95" s="370">
        <f>SUM($AS$91:AS95)</f>
        <v>7.0214698890295191</v>
      </c>
      <c r="AI95" s="478">
        <f t="shared" si="58"/>
        <v>0.65513347955634316</v>
      </c>
      <c r="AJ95" s="459">
        <f t="shared" si="59"/>
        <v>1</v>
      </c>
      <c r="AK95" s="475">
        <f t="shared" si="60"/>
        <v>1001.5</v>
      </c>
      <c r="AL95" s="459">
        <f t="shared" si="61"/>
        <v>0</v>
      </c>
      <c r="AM95" s="484">
        <f t="shared" si="62"/>
        <v>0.55555555555555558</v>
      </c>
      <c r="AN95" s="141">
        <f t="array" ref="AN95">MAX(FREQUENCY(IF(BI91:BI121=0,ROW(91:121)),IF(BI91:BI121&lt;&gt;0,ROW(91:121))))</f>
        <v>5</v>
      </c>
      <c r="AO95" s="484" t="e">
        <f t="shared" si="63"/>
        <v>#N/A</v>
      </c>
      <c r="AP95" s="449" t="s">
        <v>207</v>
      </c>
      <c r="AQ95" s="448">
        <v>5.1999999999999998E-2</v>
      </c>
      <c r="AR95" s="484">
        <f t="shared" si="64"/>
        <v>0.35416666666666669</v>
      </c>
      <c r="AS95" s="370">
        <f t="shared" si="65"/>
        <v>1.4121742925541698</v>
      </c>
      <c r="AT95" s="370">
        <v>7.1541563568531572</v>
      </c>
      <c r="AU95" s="474">
        <v>5</v>
      </c>
      <c r="AV95" s="475">
        <f t="shared" si="66"/>
        <v>1</v>
      </c>
      <c r="AW95" s="459">
        <f t="shared" si="79"/>
        <v>0</v>
      </c>
      <c r="AX95" s="459">
        <f t="shared" si="80"/>
        <v>0</v>
      </c>
      <c r="AY95" s="459">
        <f t="shared" si="67"/>
        <v>0</v>
      </c>
      <c r="AZ95" s="370">
        <f t="shared" si="68"/>
        <v>5.2</v>
      </c>
      <c r="BA95" s="370">
        <f t="shared" si="69"/>
        <v>3.166666666666667</v>
      </c>
      <c r="BB95" s="370">
        <f t="shared" si="70"/>
        <v>6.2333333333333334</v>
      </c>
      <c r="BC95" s="370">
        <v>3.2716666666666674</v>
      </c>
      <c r="BD95" s="370">
        <v>6.2783333333333333</v>
      </c>
      <c r="BF95" s="475">
        <f t="shared" si="71"/>
        <v>83</v>
      </c>
      <c r="BG95" s="472">
        <f t="shared" si="72"/>
        <v>5.8</v>
      </c>
      <c r="BH95" s="459">
        <f t="shared" si="73"/>
        <v>1</v>
      </c>
      <c r="BI95" s="459">
        <f t="shared" si="81"/>
        <v>1</v>
      </c>
      <c r="BJ95" s="476">
        <f t="shared" si="74"/>
        <v>0.26666666666666666</v>
      </c>
    </row>
    <row r="96" spans="1:64" s="459" customFormat="1" ht="12.75" x14ac:dyDescent="0.2">
      <c r="A96" s="475">
        <f t="shared" si="37"/>
        <v>4</v>
      </c>
      <c r="B96" s="370">
        <f t="shared" si="38"/>
        <v>2.4</v>
      </c>
      <c r="C96" s="370">
        <f t="shared" si="39"/>
        <v>7</v>
      </c>
      <c r="D96" s="370">
        <f t="shared" si="75"/>
        <v>4.7</v>
      </c>
      <c r="E96" s="370">
        <f t="shared" si="40"/>
        <v>4.5999999999999996</v>
      </c>
      <c r="F96" s="370">
        <v>2.5</v>
      </c>
      <c r="G96" s="370">
        <v>7.03</v>
      </c>
      <c r="H96" s="370">
        <f t="shared" si="76"/>
        <v>4.7650000000000006</v>
      </c>
      <c r="I96" s="370">
        <f t="shared" si="77"/>
        <v>4.53</v>
      </c>
      <c r="K96" s="370">
        <f t="shared" si="41"/>
        <v>5.5</v>
      </c>
      <c r="L96" s="370">
        <f t="shared" si="42"/>
        <v>4.05</v>
      </c>
      <c r="M96" s="370">
        <f t="shared" si="43"/>
        <v>4.0166666666666666</v>
      </c>
      <c r="N96" s="459">
        <f t="shared" si="44"/>
        <v>3.3666666666666667</v>
      </c>
      <c r="O96" s="370">
        <f t="shared" si="45"/>
        <v>84.833333333333329</v>
      </c>
      <c r="P96" s="370">
        <f t="shared" si="46"/>
        <v>1.9666666666666668</v>
      </c>
      <c r="Q96" s="370">
        <f t="shared" si="47"/>
        <v>5.333333333333333</v>
      </c>
      <c r="R96" s="370">
        <f t="shared" si="48"/>
        <v>3.8166666666666664</v>
      </c>
      <c r="S96" s="370">
        <f t="shared" si="49"/>
        <v>3.3666666666666671</v>
      </c>
      <c r="T96" s="459">
        <v>37</v>
      </c>
      <c r="U96" s="476">
        <f t="shared" si="50"/>
        <v>2.032258064516129</v>
      </c>
      <c r="V96" s="474">
        <v>6</v>
      </c>
      <c r="W96" s="370">
        <f t="shared" si="51"/>
        <v>1.6380000000000001</v>
      </c>
      <c r="X96" s="370">
        <f t="shared" si="52"/>
        <v>10.101000000000001</v>
      </c>
      <c r="Y96" s="475">
        <f t="shared" si="53"/>
        <v>10</v>
      </c>
      <c r="Z96" s="370">
        <f>IF(ISBLANK(Z9),NA(),SUM($Z$4:Z9))</f>
        <v>11</v>
      </c>
      <c r="AA96" s="370">
        <f t="shared" si="54"/>
        <v>12.193548387096774</v>
      </c>
      <c r="AB96" s="477">
        <f>IF(ISBLANK(Z9),"",SUM($Z$4:Z9))</f>
        <v>11</v>
      </c>
      <c r="AC96" s="478">
        <f t="shared" si="78"/>
        <v>0.90211640211640209</v>
      </c>
      <c r="AD96" s="475">
        <f t="shared" si="55"/>
        <v>1014.75</v>
      </c>
      <c r="AE96" s="483">
        <f t="shared" si="56"/>
        <v>0.54514466380888882</v>
      </c>
      <c r="AF96" s="484" t="e">
        <f t="shared" si="57"/>
        <v>#N/A</v>
      </c>
      <c r="AG96" s="45">
        <f>IF(ISBLANK(AP9),NA(),SUM($AP$4:AP9))</f>
        <v>4.5999999999999996</v>
      </c>
      <c r="AH96" s="370">
        <f>SUM($AS$91:AS96)</f>
        <v>8.4381271713458794</v>
      </c>
      <c r="AI96" s="478">
        <f t="shared" si="58"/>
        <v>0.54514466380888882</v>
      </c>
      <c r="AJ96" s="459">
        <f t="shared" si="59"/>
        <v>1</v>
      </c>
      <c r="AK96" s="475">
        <f t="shared" si="60"/>
        <v>998</v>
      </c>
      <c r="AL96" s="459">
        <f t="shared" si="61"/>
        <v>1</v>
      </c>
      <c r="AM96" s="484" t="e">
        <f t="shared" si="62"/>
        <v>#N/A</v>
      </c>
      <c r="AN96" s="124">
        <f>COUNTIF(AU50:AU60, "&lt;-0.5")</f>
        <v>0</v>
      </c>
      <c r="AO96" s="484" t="e">
        <f t="shared" si="63"/>
        <v>#N/A</v>
      </c>
      <c r="AP96" s="449" t="s">
        <v>106</v>
      </c>
      <c r="AQ96" s="448">
        <v>1.6E-2</v>
      </c>
      <c r="AR96" s="484" t="e">
        <f t="shared" si="64"/>
        <v>#N/A</v>
      </c>
      <c r="AS96" s="370">
        <f t="shared" si="65"/>
        <v>1.4166572823163601</v>
      </c>
      <c r="AT96" s="370">
        <v>7.1768674413658733</v>
      </c>
      <c r="AU96" s="474">
        <v>6</v>
      </c>
      <c r="AV96" s="475">
        <f t="shared" si="66"/>
        <v>0</v>
      </c>
      <c r="AW96" s="459">
        <f t="shared" si="79"/>
        <v>0</v>
      </c>
      <c r="AX96" s="459">
        <f t="shared" si="80"/>
        <v>0</v>
      </c>
      <c r="AY96" s="459">
        <f t="shared" si="67"/>
        <v>0</v>
      </c>
      <c r="AZ96" s="370">
        <f t="shared" si="68"/>
        <v>5.2</v>
      </c>
      <c r="BA96" s="370">
        <f t="shared" si="69"/>
        <v>3.166666666666667</v>
      </c>
      <c r="BB96" s="370">
        <f t="shared" si="70"/>
        <v>6.2333333333333334</v>
      </c>
      <c r="BC96" s="370">
        <v>3.2549999999999999</v>
      </c>
      <c r="BD96" s="370">
        <v>6.2750000000000004</v>
      </c>
      <c r="BF96" s="475">
        <f t="shared" si="71"/>
        <v>95</v>
      </c>
      <c r="BG96" s="472">
        <f t="shared" si="72"/>
        <v>4</v>
      </c>
      <c r="BH96" s="459">
        <f t="shared" si="73"/>
        <v>1</v>
      </c>
      <c r="BI96" s="459">
        <f t="shared" si="81"/>
        <v>1</v>
      </c>
      <c r="BJ96" s="476">
        <f t="shared" si="74"/>
        <v>3.3666666666666667</v>
      </c>
    </row>
    <row r="97" spans="1:62" s="459" customFormat="1" ht="12.75" x14ac:dyDescent="0.2">
      <c r="A97" s="475">
        <f t="shared" si="37"/>
        <v>5</v>
      </c>
      <c r="B97" s="370">
        <f t="shared" si="38"/>
        <v>2.4</v>
      </c>
      <c r="C97" s="370">
        <f t="shared" si="39"/>
        <v>7</v>
      </c>
      <c r="D97" s="370">
        <f t="shared" si="75"/>
        <v>4.7</v>
      </c>
      <c r="E97" s="370">
        <f t="shared" si="40"/>
        <v>4.5999999999999996</v>
      </c>
      <c r="F97" s="370">
        <v>2.4700000000000002</v>
      </c>
      <c r="G97" s="370">
        <v>7.03</v>
      </c>
      <c r="H97" s="370">
        <f t="shared" si="76"/>
        <v>4.75</v>
      </c>
      <c r="I97" s="370">
        <f t="shared" si="77"/>
        <v>4.5600000000000005</v>
      </c>
      <c r="K97" s="370">
        <f t="shared" si="41"/>
        <v>9.5</v>
      </c>
      <c r="L97" s="370">
        <f t="shared" si="42"/>
        <v>5.35</v>
      </c>
      <c r="M97" s="370">
        <f t="shared" si="43"/>
        <v>4.1428571428571432</v>
      </c>
      <c r="N97" s="459">
        <f t="shared" si="44"/>
        <v>3</v>
      </c>
      <c r="O97" s="370">
        <f t="shared" si="45"/>
        <v>86.571428571428569</v>
      </c>
      <c r="P97" s="370">
        <f t="shared" si="46"/>
        <v>1.7714285714285716</v>
      </c>
      <c r="Q97" s="370">
        <f t="shared" si="47"/>
        <v>6.0142857142857142</v>
      </c>
      <c r="R97" s="370">
        <f t="shared" si="48"/>
        <v>4.0999999999999996</v>
      </c>
      <c r="S97" s="370">
        <f t="shared" si="49"/>
        <v>4.2428571428571429</v>
      </c>
      <c r="T97" s="459">
        <v>38</v>
      </c>
      <c r="U97" s="476">
        <f t="shared" si="50"/>
        <v>2.032258064516129</v>
      </c>
      <c r="V97" s="474">
        <v>7</v>
      </c>
      <c r="W97" s="370">
        <f t="shared" si="51"/>
        <v>1.911</v>
      </c>
      <c r="X97" s="370">
        <f t="shared" si="52"/>
        <v>10.374000000000001</v>
      </c>
      <c r="Y97" s="475">
        <f t="shared" si="53"/>
        <v>6.0000099999999748</v>
      </c>
      <c r="Z97" s="370">
        <f>IF(ISBLANK(Z10),NA(),SUM($Z$4:Z10))</f>
        <v>20</v>
      </c>
      <c r="AA97" s="370">
        <f t="shared" si="54"/>
        <v>14.225806451612904</v>
      </c>
      <c r="AB97" s="477">
        <f>IF(ISBLANK(Z10),"",SUM($Z$4:Z10))</f>
        <v>20</v>
      </c>
      <c r="AC97" s="478">
        <f t="shared" si="78"/>
        <v>1.4058956916099772</v>
      </c>
      <c r="AD97" s="475">
        <f t="shared" si="55"/>
        <v>1012.6428578571429</v>
      </c>
      <c r="AE97" s="483">
        <f t="shared" si="56"/>
        <v>0.48683853152275025</v>
      </c>
      <c r="AF97" s="484" t="e">
        <f t="shared" si="57"/>
        <v>#N/A</v>
      </c>
      <c r="AG97" s="45">
        <f>IF(ISBLANK(AP10),NA(),SUM($AP$4:AP10))</f>
        <v>4.8</v>
      </c>
      <c r="AH97" s="370">
        <f>SUM($AS$91:AS97)</f>
        <v>9.8595318348907082</v>
      </c>
      <c r="AI97" s="478">
        <f t="shared" si="58"/>
        <v>0.48683853152275025</v>
      </c>
      <c r="AJ97" s="459">
        <f t="shared" si="59"/>
        <v>1</v>
      </c>
      <c r="AK97" s="475">
        <f t="shared" si="60"/>
        <v>1000.000005</v>
      </c>
      <c r="AL97" s="459">
        <f t="shared" si="61"/>
        <v>1</v>
      </c>
      <c r="AM97" s="484" t="e">
        <f t="shared" si="62"/>
        <v>#N/A</v>
      </c>
      <c r="AN97" s="150">
        <f>COUNTIF(E48:E66,"&gt;0.5")</f>
        <v>5</v>
      </c>
      <c r="AO97" s="484" t="e">
        <f t="shared" si="63"/>
        <v>#N/A</v>
      </c>
      <c r="AP97" s="449" t="s">
        <v>208</v>
      </c>
      <c r="AQ97" s="448">
        <v>7.0000000000000001E-3</v>
      </c>
      <c r="AR97" s="484">
        <f t="shared" si="64"/>
        <v>4.8611111111111112E-2</v>
      </c>
      <c r="AS97" s="370">
        <f t="shared" si="65"/>
        <v>1.4214046635448285</v>
      </c>
      <c r="AT97" s="370">
        <v>7.2009179482849754</v>
      </c>
      <c r="AU97" s="474">
        <v>7</v>
      </c>
      <c r="AV97" s="475">
        <f t="shared" si="66"/>
        <v>0</v>
      </c>
      <c r="AW97" s="459">
        <f t="shared" si="79"/>
        <v>0</v>
      </c>
      <c r="AX97" s="459">
        <f t="shared" si="80"/>
        <v>0</v>
      </c>
      <c r="AY97" s="459">
        <f t="shared" si="67"/>
        <v>0</v>
      </c>
      <c r="AZ97" s="370">
        <f t="shared" si="68"/>
        <v>5.2</v>
      </c>
      <c r="BA97" s="370">
        <f t="shared" si="69"/>
        <v>3.166666666666667</v>
      </c>
      <c r="BB97" s="370">
        <f t="shared" si="70"/>
        <v>6.2333333333333334</v>
      </c>
      <c r="BC97" s="370">
        <v>3.23</v>
      </c>
      <c r="BD97" s="370">
        <v>6.27</v>
      </c>
      <c r="BF97" s="475">
        <f t="shared" si="71"/>
        <v>97</v>
      </c>
      <c r="BG97" s="472">
        <f t="shared" si="72"/>
        <v>5.8</v>
      </c>
      <c r="BH97" s="459">
        <f t="shared" si="73"/>
        <v>1</v>
      </c>
      <c r="BI97" s="459">
        <f t="shared" si="81"/>
        <v>1</v>
      </c>
      <c r="BJ97" s="476">
        <f t="shared" si="74"/>
        <v>3</v>
      </c>
    </row>
    <row r="98" spans="1:62" s="459" customFormat="1" ht="12.75" x14ac:dyDescent="0.2">
      <c r="A98" s="475">
        <f t="shared" si="37"/>
        <v>28</v>
      </c>
      <c r="B98" s="370">
        <f t="shared" si="38"/>
        <v>2.4</v>
      </c>
      <c r="C98" s="370">
        <f t="shared" si="39"/>
        <v>7</v>
      </c>
      <c r="D98" s="370">
        <f t="shared" si="75"/>
        <v>4.7</v>
      </c>
      <c r="E98" s="370">
        <f t="shared" si="40"/>
        <v>4.5999999999999996</v>
      </c>
      <c r="F98" s="370">
        <v>2.4500000000000002</v>
      </c>
      <c r="G98" s="370">
        <v>7.03</v>
      </c>
      <c r="H98" s="370">
        <f t="shared" si="76"/>
        <v>4.74</v>
      </c>
      <c r="I98" s="370">
        <f t="shared" si="77"/>
        <v>4.58</v>
      </c>
      <c r="K98" s="370">
        <f t="shared" si="41"/>
        <v>7.3</v>
      </c>
      <c r="L98" s="370">
        <f t="shared" si="42"/>
        <v>6.35</v>
      </c>
      <c r="M98" s="370">
        <f t="shared" si="43"/>
        <v>4.5625</v>
      </c>
      <c r="N98" s="459">
        <f t="shared" si="44"/>
        <v>1.1666666666666667</v>
      </c>
      <c r="O98" s="370">
        <f t="shared" si="45"/>
        <v>86.125</v>
      </c>
      <c r="P98" s="370">
        <f t="shared" si="46"/>
        <v>1.8875000000000002</v>
      </c>
      <c r="Q98" s="370">
        <f t="shared" si="47"/>
        <v>6.5125000000000002</v>
      </c>
      <c r="R98" s="370">
        <f t="shared" si="48"/>
        <v>4.4874999999999998</v>
      </c>
      <c r="S98" s="370">
        <f t="shared" si="49"/>
        <v>4.625</v>
      </c>
      <c r="T98" s="459">
        <v>39</v>
      </c>
      <c r="U98" s="476">
        <f t="shared" si="50"/>
        <v>2.032258064516129</v>
      </c>
      <c r="V98" s="474">
        <v>8</v>
      </c>
      <c r="W98" s="370">
        <f t="shared" si="51"/>
        <v>2.1840000000000002</v>
      </c>
      <c r="X98" s="370">
        <f t="shared" si="52"/>
        <v>10.647</v>
      </c>
      <c r="Y98" s="475">
        <f t="shared" si="53"/>
        <v>17</v>
      </c>
      <c r="Z98" s="370">
        <f>IF(ISBLANK(Z11),NA(),SUM($Z$4:Z11))</f>
        <v>23.5</v>
      </c>
      <c r="AA98" s="370">
        <f t="shared" si="54"/>
        <v>16.258064516129032</v>
      </c>
      <c r="AB98" s="477">
        <f>IF(ISBLANK(Z11),"",SUM($Z$4:Z11))</f>
        <v>23.5</v>
      </c>
      <c r="AC98" s="478">
        <f t="shared" si="78"/>
        <v>1.4454365079365079</v>
      </c>
      <c r="AD98" s="475">
        <f t="shared" si="55"/>
        <v>1010.625000625</v>
      </c>
      <c r="AE98" s="483">
        <f t="shared" si="56"/>
        <v>0.55821648786295119</v>
      </c>
      <c r="AF98" s="484">
        <f t="shared" si="57"/>
        <v>0.28472222222222221</v>
      </c>
      <c r="AG98" s="45">
        <f>IF(ISBLANK(AP11),NA(),SUM($AP$4:AP11))</f>
        <v>6.3</v>
      </c>
      <c r="AH98" s="370">
        <f>SUM($AS$91:AS98)</f>
        <v>11.285943960771586</v>
      </c>
      <c r="AI98" s="478">
        <f t="shared" si="58"/>
        <v>0.55821648786295119</v>
      </c>
      <c r="AJ98" s="459">
        <f t="shared" si="59"/>
        <v>1</v>
      </c>
      <c r="AK98" s="475">
        <f t="shared" si="60"/>
        <v>996.5</v>
      </c>
      <c r="AL98" s="459">
        <f t="shared" si="61"/>
        <v>1</v>
      </c>
      <c r="AM98" s="484">
        <f t="shared" si="62"/>
        <v>0.61875000000000002</v>
      </c>
      <c r="AN98" s="150">
        <f>COUNTIF(E72:E80, "&gt;0.5")</f>
        <v>0</v>
      </c>
      <c r="AO98" s="484" t="e">
        <f t="shared" si="63"/>
        <v>#N/A</v>
      </c>
      <c r="AP98" s="449" t="s">
        <v>112</v>
      </c>
      <c r="AQ98" s="448">
        <v>4.0000000000000001E-3</v>
      </c>
      <c r="AR98" s="484" t="e">
        <f t="shared" si="64"/>
        <v>#N/A</v>
      </c>
      <c r="AS98" s="370">
        <f t="shared" si="65"/>
        <v>1.4264121258808784</v>
      </c>
      <c r="AT98" s="370">
        <v>7.2262860410848804</v>
      </c>
      <c r="AU98" s="474">
        <v>8</v>
      </c>
      <c r="AV98" s="475">
        <f t="shared" si="66"/>
        <v>0</v>
      </c>
      <c r="AW98" s="459">
        <f t="shared" si="79"/>
        <v>0</v>
      </c>
      <c r="AX98" s="459">
        <f t="shared" si="80"/>
        <v>1</v>
      </c>
      <c r="AY98" s="459">
        <f t="shared" si="67"/>
        <v>0</v>
      </c>
      <c r="AZ98" s="370">
        <f t="shared" si="68"/>
        <v>5.2</v>
      </c>
      <c r="BA98" s="370">
        <f t="shared" si="69"/>
        <v>3.166666666666667</v>
      </c>
      <c r="BB98" s="370">
        <f t="shared" si="70"/>
        <v>6.2333333333333334</v>
      </c>
      <c r="BC98" s="370">
        <v>3.2133333333333338</v>
      </c>
      <c r="BD98" s="370">
        <v>6.2666666666666666</v>
      </c>
      <c r="BF98" s="475">
        <f t="shared" si="71"/>
        <v>83</v>
      </c>
      <c r="BG98" s="472">
        <f t="shared" si="72"/>
        <v>7.2</v>
      </c>
      <c r="BH98" s="459">
        <f t="shared" si="73"/>
        <v>1</v>
      </c>
      <c r="BI98" s="459">
        <f t="shared" si="81"/>
        <v>1</v>
      </c>
      <c r="BJ98" s="476">
        <f t="shared" si="74"/>
        <v>1.1666666666666667</v>
      </c>
    </row>
    <row r="99" spans="1:62" s="459" customFormat="1" ht="12.75" x14ac:dyDescent="0.2">
      <c r="A99" s="475">
        <f t="shared" si="37"/>
        <v>24</v>
      </c>
      <c r="B99" s="370">
        <f t="shared" si="38"/>
        <v>2.4</v>
      </c>
      <c r="C99" s="370">
        <f t="shared" si="39"/>
        <v>7</v>
      </c>
      <c r="D99" s="370">
        <f t="shared" si="75"/>
        <v>4.7</v>
      </c>
      <c r="E99" s="370">
        <f t="shared" si="40"/>
        <v>4.5999999999999996</v>
      </c>
      <c r="F99" s="370">
        <v>2.4300000000000002</v>
      </c>
      <c r="G99" s="370">
        <v>7.03</v>
      </c>
      <c r="H99" s="370">
        <f t="shared" si="76"/>
        <v>4.7300000000000004</v>
      </c>
      <c r="I99" s="370">
        <f t="shared" si="77"/>
        <v>4.5999999999999996</v>
      </c>
      <c r="K99" s="370">
        <f t="shared" si="41"/>
        <v>4.3</v>
      </c>
      <c r="L99" s="370">
        <f t="shared" si="42"/>
        <v>3.65</v>
      </c>
      <c r="M99" s="370">
        <f t="shared" si="43"/>
        <v>4.5222222222222221</v>
      </c>
      <c r="N99" s="459">
        <f t="shared" si="44"/>
        <v>0</v>
      </c>
      <c r="O99" s="370">
        <f t="shared" si="45"/>
        <v>85.444444444444443</v>
      </c>
      <c r="P99" s="370">
        <f t="shared" si="46"/>
        <v>1.8444444444444446</v>
      </c>
      <c r="Q99" s="370">
        <f t="shared" si="47"/>
        <v>6.4333333333333336</v>
      </c>
      <c r="R99" s="370">
        <f t="shared" si="48"/>
        <v>4.344444444444445</v>
      </c>
      <c r="S99" s="370">
        <f t="shared" si="49"/>
        <v>4.5888888888888886</v>
      </c>
      <c r="T99" s="459">
        <v>40</v>
      </c>
      <c r="U99" s="476">
        <f t="shared" si="50"/>
        <v>2.032258064516129</v>
      </c>
      <c r="V99" s="474">
        <v>9</v>
      </c>
      <c r="W99" s="370">
        <f t="shared" si="51"/>
        <v>2.4570000000000003</v>
      </c>
      <c r="X99" s="370">
        <f t="shared" si="52"/>
        <v>10.920000000000002</v>
      </c>
      <c r="Y99" s="475">
        <f t="shared" si="53"/>
        <v>13</v>
      </c>
      <c r="Z99" s="370">
        <f>IF(ISBLANK(Z12),NA(),SUM($Z$4:Z12))</f>
        <v>23.5</v>
      </c>
      <c r="AA99" s="370">
        <f t="shared" si="54"/>
        <v>18.29032258064516</v>
      </c>
      <c r="AB99" s="477">
        <f>IF(ISBLANK(Z12),"",SUM($Z$4:Z12))</f>
        <v>23.5</v>
      </c>
      <c r="AC99" s="478">
        <f t="shared" si="78"/>
        <v>1.2848324514991183</v>
      </c>
      <c r="AD99" s="475">
        <f t="shared" si="55"/>
        <v>1010.7222227777778</v>
      </c>
      <c r="AE99" s="483">
        <f t="shared" si="56"/>
        <v>1.0693825498295344</v>
      </c>
      <c r="AF99" s="484">
        <f t="shared" si="57"/>
        <v>0.39930555555555558</v>
      </c>
      <c r="AG99" s="45">
        <f>IF(ISBLANK(AP12),NA(),SUM($AP$4:AP12))</f>
        <v>13.6</v>
      </c>
      <c r="AH99" s="370">
        <f>SUM($AS$91:AS99)</f>
        <v>12.717619155247966</v>
      </c>
      <c r="AI99" s="478">
        <f t="shared" si="58"/>
        <v>1.0693825498295344</v>
      </c>
      <c r="AJ99" s="459">
        <f t="shared" si="59"/>
        <v>0</v>
      </c>
      <c r="AK99" s="475">
        <f t="shared" si="60"/>
        <v>1011.5</v>
      </c>
      <c r="AL99" s="459">
        <f t="shared" si="61"/>
        <v>0</v>
      </c>
      <c r="AM99" s="484">
        <f t="shared" si="62"/>
        <v>0.64236111111111105</v>
      </c>
      <c r="AN99" s="7">
        <f>I39/3</f>
        <v>1.5333333333333332</v>
      </c>
      <c r="AO99" s="484">
        <f t="shared" si="63"/>
        <v>0.625</v>
      </c>
      <c r="AP99" s="449" t="s">
        <v>209</v>
      </c>
      <c r="AQ99" s="448">
        <v>8.9999999999999993E-3</v>
      </c>
      <c r="AR99" s="484">
        <f t="shared" si="64"/>
        <v>0.36805555555555558</v>
      </c>
      <c r="AS99" s="370">
        <f t="shared" si="65"/>
        <v>1.4316751944763799</v>
      </c>
      <c r="AT99" s="370">
        <v>7.2529490499270528</v>
      </c>
      <c r="AU99" s="474">
        <v>9</v>
      </c>
      <c r="AV99" s="475">
        <f t="shared" si="66"/>
        <v>1</v>
      </c>
      <c r="AW99" s="459">
        <f t="shared" si="79"/>
        <v>0</v>
      </c>
      <c r="AX99" s="459">
        <f t="shared" si="80"/>
        <v>0</v>
      </c>
      <c r="AY99" s="459">
        <f t="shared" si="67"/>
        <v>0</v>
      </c>
      <c r="AZ99" s="370">
        <f t="shared" si="68"/>
        <v>5.2</v>
      </c>
      <c r="BA99" s="370">
        <f t="shared" si="69"/>
        <v>3.166666666666667</v>
      </c>
      <c r="BB99" s="370">
        <f t="shared" si="70"/>
        <v>6.2333333333333334</v>
      </c>
      <c r="BC99" s="370">
        <v>3.1966666666666672</v>
      </c>
      <c r="BD99" s="370">
        <v>6.2633333333333336</v>
      </c>
      <c r="BF99" s="475">
        <f t="shared" si="71"/>
        <v>80</v>
      </c>
      <c r="BG99" s="472">
        <f t="shared" si="72"/>
        <v>3.2</v>
      </c>
      <c r="BH99" s="459">
        <f t="shared" si="73"/>
        <v>0</v>
      </c>
      <c r="BI99" s="459">
        <f t="shared" si="81"/>
        <v>0</v>
      </c>
      <c r="BJ99" s="476">
        <f t="shared" si="74"/>
        <v>0</v>
      </c>
    </row>
    <row r="100" spans="1:62" s="459" customFormat="1" ht="12.75" x14ac:dyDescent="0.2">
      <c r="A100" s="475">
        <f t="shared" si="37"/>
        <v>23</v>
      </c>
      <c r="B100" s="370">
        <f t="shared" si="38"/>
        <v>2.4</v>
      </c>
      <c r="C100" s="370">
        <f t="shared" si="39"/>
        <v>7</v>
      </c>
      <c r="D100" s="370">
        <f t="shared" si="75"/>
        <v>4.7</v>
      </c>
      <c r="E100" s="370">
        <f t="shared" si="40"/>
        <v>4.5999999999999996</v>
      </c>
      <c r="F100" s="370">
        <v>2.41</v>
      </c>
      <c r="G100" s="370">
        <v>7.03</v>
      </c>
      <c r="H100" s="370">
        <f t="shared" si="76"/>
        <v>4.7200000000000006</v>
      </c>
      <c r="I100" s="370">
        <f t="shared" si="77"/>
        <v>4.62</v>
      </c>
      <c r="K100" s="370">
        <f t="shared" si="41"/>
        <v>8.8999999999999986</v>
      </c>
      <c r="L100" s="370">
        <f t="shared" si="42"/>
        <v>3.7499999999999996</v>
      </c>
      <c r="M100" s="370">
        <f t="shared" si="43"/>
        <v>4.7700000000000005</v>
      </c>
      <c r="N100" s="459">
        <f t="shared" si="44"/>
        <v>0.16666666666666666</v>
      </c>
      <c r="O100" s="370">
        <f t="shared" si="45"/>
        <v>85.5</v>
      </c>
      <c r="P100" s="370">
        <f t="shared" si="46"/>
        <v>1.5900000000000003</v>
      </c>
      <c r="Q100" s="370">
        <f t="shared" si="47"/>
        <v>6.6099999999999994</v>
      </c>
      <c r="R100" s="370">
        <f t="shared" si="48"/>
        <v>4.4000000000000004</v>
      </c>
      <c r="S100" s="370">
        <f t="shared" si="49"/>
        <v>5.0199999999999996</v>
      </c>
      <c r="T100" s="459">
        <v>41</v>
      </c>
      <c r="U100" s="476">
        <f t="shared" si="50"/>
        <v>2.032258064516129</v>
      </c>
      <c r="V100" s="474">
        <v>10</v>
      </c>
      <c r="W100" s="370">
        <f t="shared" si="51"/>
        <v>2.7300000000000004</v>
      </c>
      <c r="X100" s="370">
        <f t="shared" si="52"/>
        <v>11.193000000000001</v>
      </c>
      <c r="Y100" s="475">
        <f t="shared" si="53"/>
        <v>16</v>
      </c>
      <c r="Z100" s="370">
        <f>IF(ISBLANK(Z13),NA(),SUM($Z$4:Z13))</f>
        <v>24</v>
      </c>
      <c r="AA100" s="370">
        <f t="shared" si="54"/>
        <v>20.322580645161288</v>
      </c>
      <c r="AB100" s="477">
        <f>IF(ISBLANK(Z13),"",SUM($Z$4:Z13))</f>
        <v>24</v>
      </c>
      <c r="AC100" s="478">
        <f t="shared" si="78"/>
        <v>1.180952380952381</v>
      </c>
      <c r="AD100" s="475">
        <f t="shared" si="55"/>
        <v>1010.6500005</v>
      </c>
      <c r="AE100" s="483">
        <f t="shared" si="56"/>
        <v>0.98199845649083228</v>
      </c>
      <c r="AF100" s="484">
        <f t="shared" si="57"/>
        <v>0.30902777777777779</v>
      </c>
      <c r="AG100" s="45">
        <f>IF(ISBLANK(AP13),NA(),SUM($AP$4:AP13))</f>
        <v>13.9</v>
      </c>
      <c r="AH100" s="370">
        <f>SUM($AS$91:AS100)</f>
        <v>14.154808399263271</v>
      </c>
      <c r="AI100" s="478">
        <f t="shared" si="58"/>
        <v>0.98199845649083228</v>
      </c>
      <c r="AJ100" s="459">
        <f t="shared" si="59"/>
        <v>1</v>
      </c>
      <c r="AK100" s="475">
        <f t="shared" si="60"/>
        <v>1010</v>
      </c>
      <c r="AL100" s="459">
        <f t="shared" si="61"/>
        <v>0</v>
      </c>
      <c r="AM100" s="484" t="e">
        <f t="shared" si="62"/>
        <v>#N/A</v>
      </c>
      <c r="AN100" s="150">
        <f>COUNTIF(E48:E66,"&lt;-0.5")</f>
        <v>1</v>
      </c>
      <c r="AO100" s="484">
        <f t="shared" si="63"/>
        <v>0.58333333333333337</v>
      </c>
      <c r="AP100" s="449" t="s">
        <v>111</v>
      </c>
      <c r="AQ100" s="448">
        <v>5.8999999999999997E-2</v>
      </c>
      <c r="AR100" s="484">
        <f t="shared" si="64"/>
        <v>9.0277777777777776E-2</v>
      </c>
      <c r="AS100" s="370">
        <f t="shared" si="65"/>
        <v>1.4371892440153049</v>
      </c>
      <c r="AT100" s="370">
        <v>7.2808835426939158</v>
      </c>
      <c r="AU100" s="474">
        <v>10</v>
      </c>
      <c r="AV100" s="475">
        <f t="shared" si="66"/>
        <v>0</v>
      </c>
      <c r="AW100" s="459">
        <f t="shared" si="79"/>
        <v>0</v>
      </c>
      <c r="AX100" s="459">
        <f t="shared" si="80"/>
        <v>0</v>
      </c>
      <c r="AY100" s="459">
        <f t="shared" si="67"/>
        <v>0</v>
      </c>
      <c r="AZ100" s="370">
        <f t="shared" si="68"/>
        <v>5.2</v>
      </c>
      <c r="BA100" s="370">
        <f t="shared" si="69"/>
        <v>3.166666666666667</v>
      </c>
      <c r="BB100" s="370">
        <f t="shared" si="70"/>
        <v>6.2333333333333334</v>
      </c>
      <c r="BC100" s="370">
        <v>3.18</v>
      </c>
      <c r="BD100" s="370">
        <v>6.26</v>
      </c>
      <c r="BF100" s="475">
        <f t="shared" si="71"/>
        <v>86</v>
      </c>
      <c r="BG100" s="472">
        <f t="shared" si="72"/>
        <v>4.9000000000000004</v>
      </c>
      <c r="BH100" s="459">
        <f t="shared" si="73"/>
        <v>0</v>
      </c>
      <c r="BI100" s="459">
        <f t="shared" si="81"/>
        <v>1</v>
      </c>
      <c r="BJ100" s="476">
        <f t="shared" si="74"/>
        <v>0.16666666666666666</v>
      </c>
    </row>
    <row r="101" spans="1:62" s="459" customFormat="1" ht="12.75" x14ac:dyDescent="0.2">
      <c r="A101" s="475">
        <f t="shared" si="37"/>
        <v>24</v>
      </c>
      <c r="B101" s="370">
        <f t="shared" si="38"/>
        <v>2.4</v>
      </c>
      <c r="C101" s="370">
        <f t="shared" si="39"/>
        <v>7</v>
      </c>
      <c r="D101" s="370">
        <f t="shared" si="75"/>
        <v>4.7</v>
      </c>
      <c r="E101" s="370">
        <f t="shared" si="40"/>
        <v>4.5999999999999996</v>
      </c>
      <c r="F101" s="370">
        <v>2.4</v>
      </c>
      <c r="G101" s="370">
        <v>7.03</v>
      </c>
      <c r="H101" s="370">
        <f t="shared" si="76"/>
        <v>4.7149999999999999</v>
      </c>
      <c r="I101" s="370">
        <f t="shared" si="77"/>
        <v>4.6300000000000008</v>
      </c>
      <c r="K101" s="370">
        <f t="shared" si="41"/>
        <v>3.2</v>
      </c>
      <c r="L101" s="370">
        <f t="shared" si="42"/>
        <v>5.6999999999999993</v>
      </c>
      <c r="M101" s="370">
        <f t="shared" si="43"/>
        <v>4.7727272727272725</v>
      </c>
      <c r="N101" s="459">
        <f t="shared" si="44"/>
        <v>2.2666666666666666</v>
      </c>
      <c r="O101" s="370">
        <f t="shared" si="45"/>
        <v>85.36363636363636</v>
      </c>
      <c r="P101" s="370">
        <f t="shared" si="46"/>
        <v>1.8181818181818181</v>
      </c>
      <c r="Q101" s="370">
        <f t="shared" si="47"/>
        <v>6.672727272727272</v>
      </c>
      <c r="R101" s="370">
        <f t="shared" si="48"/>
        <v>4.5</v>
      </c>
      <c r="S101" s="370">
        <f t="shared" si="49"/>
        <v>4.8545454545454545</v>
      </c>
      <c r="T101" s="459">
        <v>42</v>
      </c>
      <c r="U101" s="476">
        <f t="shared" si="50"/>
        <v>2.032258064516129</v>
      </c>
      <c r="V101" s="474">
        <v>11</v>
      </c>
      <c r="W101" s="370">
        <f t="shared" si="51"/>
        <v>3.0030000000000001</v>
      </c>
      <c r="X101" s="370">
        <f t="shared" si="52"/>
        <v>11.466000000000001</v>
      </c>
      <c r="Y101" s="475">
        <f t="shared" si="53"/>
        <v>20</v>
      </c>
      <c r="Z101" s="370">
        <f>IF(ISBLANK(Z14),NA(),SUM($Z$4:Z14))</f>
        <v>30.8</v>
      </c>
      <c r="AA101" s="370">
        <f t="shared" si="54"/>
        <v>22.35483870967742</v>
      </c>
      <c r="AB101" s="477">
        <f>IF(ISBLANK(Z14),"",SUM($Z$4:Z14))</f>
        <v>30.8</v>
      </c>
      <c r="AC101" s="478">
        <f t="shared" si="78"/>
        <v>1.3777777777777778</v>
      </c>
      <c r="AD101" s="475">
        <f t="shared" si="55"/>
        <v>1010.3181822727273</v>
      </c>
      <c r="AE101" s="483">
        <f t="shared" si="56"/>
        <v>0.90397607652950307</v>
      </c>
      <c r="AF101" s="484">
        <f t="shared" si="57"/>
        <v>0.39583333333333331</v>
      </c>
      <c r="AG101" s="45">
        <f>IF(ISBLANK(AP14),NA(),SUM($AP$4:AP14))</f>
        <v>14.1</v>
      </c>
      <c r="AH101" s="370">
        <f>SUM($AS$91:AS101)</f>
        <v>15.59775791205888</v>
      </c>
      <c r="AI101" s="478">
        <f t="shared" si="58"/>
        <v>0.90397607652950307</v>
      </c>
      <c r="AJ101" s="459">
        <f t="shared" si="59"/>
        <v>1</v>
      </c>
      <c r="AK101" s="475">
        <f t="shared" si="60"/>
        <v>1007</v>
      </c>
      <c r="AL101" s="459">
        <f t="shared" si="61"/>
        <v>1</v>
      </c>
      <c r="AM101" s="484">
        <f t="shared" si="62"/>
        <v>0.59375</v>
      </c>
      <c r="AN101" s="124">
        <f>COUNTIF(AU50:AU60, "&gt;0.5")</f>
        <v>2</v>
      </c>
      <c r="AO101" s="484">
        <f t="shared" si="63"/>
        <v>0.4375</v>
      </c>
      <c r="AP101" s="449" t="s">
        <v>210</v>
      </c>
      <c r="AQ101" s="450">
        <v>0.13400000000000001</v>
      </c>
      <c r="AR101" s="484" t="e">
        <f t="shared" si="64"/>
        <v>#N/A</v>
      </c>
      <c r="AS101" s="370">
        <f t="shared" si="65"/>
        <v>1.4429495127956087</v>
      </c>
      <c r="AT101" s="370">
        <v>7.3100653963284676</v>
      </c>
      <c r="AU101" s="474">
        <v>11</v>
      </c>
      <c r="AV101" s="475">
        <f t="shared" si="66"/>
        <v>0</v>
      </c>
      <c r="AW101" s="459">
        <f t="shared" si="79"/>
        <v>0</v>
      </c>
      <c r="AX101" s="459">
        <f t="shared" si="80"/>
        <v>0</v>
      </c>
      <c r="AY101" s="459">
        <f t="shared" si="67"/>
        <v>0</v>
      </c>
      <c r="AZ101" s="370">
        <f t="shared" si="68"/>
        <v>5.2</v>
      </c>
      <c r="BA101" s="370">
        <f t="shared" si="69"/>
        <v>3.166666666666667</v>
      </c>
      <c r="BB101" s="370">
        <f t="shared" si="70"/>
        <v>6.2333333333333334</v>
      </c>
      <c r="BC101" s="370">
        <v>3.171666666666666</v>
      </c>
      <c r="BD101" s="370">
        <v>6.2583333333333337</v>
      </c>
      <c r="BF101" s="475">
        <f t="shared" si="71"/>
        <v>84</v>
      </c>
      <c r="BG101" s="472">
        <f t="shared" si="72"/>
        <v>5.5</v>
      </c>
      <c r="BH101" s="459">
        <f t="shared" si="73"/>
        <v>0</v>
      </c>
      <c r="BI101" s="459">
        <f t="shared" si="81"/>
        <v>1</v>
      </c>
      <c r="BJ101" s="476">
        <f t="shared" si="74"/>
        <v>2.2666666666666666</v>
      </c>
    </row>
    <row r="102" spans="1:62" s="459" customFormat="1" ht="12.75" x14ac:dyDescent="0.2">
      <c r="A102" s="475">
        <f t="shared" si="37"/>
        <v>19</v>
      </c>
      <c r="B102" s="370">
        <f t="shared" si="38"/>
        <v>2.4</v>
      </c>
      <c r="C102" s="370">
        <f t="shared" si="39"/>
        <v>7</v>
      </c>
      <c r="D102" s="370">
        <f t="shared" si="75"/>
        <v>4.7</v>
      </c>
      <c r="E102" s="370">
        <f t="shared" si="40"/>
        <v>4.5999999999999996</v>
      </c>
      <c r="F102" s="370">
        <v>2.4</v>
      </c>
      <c r="G102" s="370">
        <v>7.03</v>
      </c>
      <c r="H102" s="370">
        <f t="shared" si="76"/>
        <v>4.7149999999999999</v>
      </c>
      <c r="I102" s="370">
        <f t="shared" si="77"/>
        <v>4.6300000000000008</v>
      </c>
      <c r="K102" s="370">
        <f t="shared" si="41"/>
        <v>8</v>
      </c>
      <c r="L102" s="370">
        <f t="shared" si="42"/>
        <v>8.1</v>
      </c>
      <c r="M102" s="370">
        <f t="shared" si="43"/>
        <v>4.833333333333333</v>
      </c>
      <c r="N102" s="459">
        <f t="shared" si="44"/>
        <v>2.1</v>
      </c>
      <c r="O102" s="370">
        <f t="shared" si="45"/>
        <v>86</v>
      </c>
      <c r="P102" s="370">
        <f t="shared" si="46"/>
        <v>2.0083333333333333</v>
      </c>
      <c r="Q102" s="370">
        <f t="shared" si="47"/>
        <v>7.1249999999999991</v>
      </c>
      <c r="R102" s="370">
        <f t="shared" si="48"/>
        <v>4.8833333333333337</v>
      </c>
      <c r="S102" s="370">
        <f t="shared" si="49"/>
        <v>5.1166666666666663</v>
      </c>
      <c r="T102" s="459">
        <v>43</v>
      </c>
      <c r="U102" s="476">
        <f t="shared" si="50"/>
        <v>2.032258064516129</v>
      </c>
      <c r="V102" s="474">
        <v>12</v>
      </c>
      <c r="W102" s="370">
        <f t="shared" si="51"/>
        <v>3.2760000000000002</v>
      </c>
      <c r="X102" s="370">
        <f t="shared" si="52"/>
        <v>11.739000000000001</v>
      </c>
      <c r="Y102" s="475">
        <f t="shared" si="53"/>
        <v>8</v>
      </c>
      <c r="Z102" s="370">
        <f>IF(ISBLANK(Z15),NA(),SUM($Z$4:Z15))</f>
        <v>37.1</v>
      </c>
      <c r="AA102" s="370">
        <f t="shared" si="54"/>
        <v>24.387096774193548</v>
      </c>
      <c r="AB102" s="477">
        <f>IF(ISBLANK(Z15),"",SUM($Z$4:Z15))</f>
        <v>37.1</v>
      </c>
      <c r="AC102" s="478">
        <f t="shared" si="78"/>
        <v>1.5212962962962964</v>
      </c>
      <c r="AD102" s="475">
        <f t="shared" si="55"/>
        <v>1010.5416670833333</v>
      </c>
      <c r="AE102" s="483">
        <f t="shared" si="56"/>
        <v>0.82713912557178737</v>
      </c>
      <c r="AF102" s="484">
        <f t="shared" si="57"/>
        <v>0.45833333333333331</v>
      </c>
      <c r="AG102" s="45">
        <f>IF(ISBLANK(AP15),NA(),SUM($AP$4:AP15))</f>
        <v>14.1</v>
      </c>
      <c r="AH102" s="370">
        <f>SUM($AS$91:AS102)</f>
        <v>17.046709028850383</v>
      </c>
      <c r="AI102" s="478">
        <f t="shared" si="58"/>
        <v>0.82713912557178737</v>
      </c>
      <c r="AJ102" s="459">
        <f t="shared" si="59"/>
        <v>1</v>
      </c>
      <c r="AK102" s="475">
        <f t="shared" si="60"/>
        <v>1013</v>
      </c>
      <c r="AL102" s="459">
        <f t="shared" si="61"/>
        <v>1</v>
      </c>
      <c r="AM102" s="484" t="e">
        <f t="shared" si="62"/>
        <v>#N/A</v>
      </c>
      <c r="AN102" s="141">
        <f t="array" ref="AN102">MAX(FREQUENCY(IF(AJ91:AJ121=1,ROW(91:121)),IF(AJ91:AJ121&lt;&gt;1,ROW(91:121))))</f>
        <v>5</v>
      </c>
      <c r="AO102" s="484">
        <f t="shared" si="63"/>
        <v>0.59027777777777779</v>
      </c>
      <c r="AP102" s="451" t="s">
        <v>110</v>
      </c>
      <c r="AQ102" s="450">
        <v>0.11600000000000001</v>
      </c>
      <c r="AR102" s="484">
        <f t="shared" si="64"/>
        <v>0</v>
      </c>
      <c r="AS102" s="370">
        <f t="shared" si="65"/>
        <v>1.4489511167915021</v>
      </c>
      <c r="AT102" s="370">
        <v>7.340469868074571</v>
      </c>
      <c r="AU102" s="474">
        <v>12</v>
      </c>
      <c r="AV102" s="475">
        <f t="shared" si="66"/>
        <v>0</v>
      </c>
      <c r="AW102" s="459">
        <f t="shared" si="79"/>
        <v>0</v>
      </c>
      <c r="AX102" s="459">
        <f t="shared" si="80"/>
        <v>1</v>
      </c>
      <c r="AY102" s="459">
        <f t="shared" si="67"/>
        <v>0</v>
      </c>
      <c r="AZ102" s="370">
        <f t="shared" si="68"/>
        <v>5.2</v>
      </c>
      <c r="BA102" s="370">
        <f t="shared" si="69"/>
        <v>3.166666666666667</v>
      </c>
      <c r="BB102" s="370">
        <f t="shared" si="70"/>
        <v>6.2333333333333334</v>
      </c>
      <c r="BC102" s="370">
        <v>3.171666666666666</v>
      </c>
      <c r="BD102" s="370">
        <v>6.2583333333333337</v>
      </c>
      <c r="BF102" s="475">
        <f t="shared" si="71"/>
        <v>93</v>
      </c>
      <c r="BG102" s="472">
        <f t="shared" si="72"/>
        <v>9.1</v>
      </c>
      <c r="BH102" s="459">
        <f t="shared" si="73"/>
        <v>0</v>
      </c>
      <c r="BI102" s="459">
        <f t="shared" si="81"/>
        <v>1</v>
      </c>
      <c r="BJ102" s="476">
        <f t="shared" si="74"/>
        <v>2.1</v>
      </c>
    </row>
    <row r="103" spans="1:62" s="459" customFormat="1" ht="12.75" x14ac:dyDescent="0.2">
      <c r="A103" s="475">
        <f t="shared" si="37"/>
        <v>8</v>
      </c>
      <c r="B103" s="370">
        <f t="shared" si="38"/>
        <v>2.4</v>
      </c>
      <c r="C103" s="370">
        <f t="shared" si="39"/>
        <v>7</v>
      </c>
      <c r="D103" s="370">
        <f t="shared" si="75"/>
        <v>4.7</v>
      </c>
      <c r="E103" s="370">
        <f t="shared" si="40"/>
        <v>4.5999999999999996</v>
      </c>
      <c r="F103" s="370">
        <v>2.4</v>
      </c>
      <c r="G103" s="370">
        <v>7.03</v>
      </c>
      <c r="H103" s="370">
        <f t="shared" si="76"/>
        <v>4.7149999999999999</v>
      </c>
      <c r="I103" s="370">
        <f t="shared" si="77"/>
        <v>4.6300000000000008</v>
      </c>
      <c r="K103" s="370">
        <f t="shared" si="41"/>
        <v>1.9000000000000004</v>
      </c>
      <c r="L103" s="370">
        <f t="shared" si="42"/>
        <v>12.350000000000001</v>
      </c>
      <c r="M103" s="370">
        <f t="shared" si="43"/>
        <v>5.0076923076923077</v>
      </c>
      <c r="N103" s="459">
        <f t="shared" si="44"/>
        <v>1</v>
      </c>
      <c r="O103" s="370">
        <f t="shared" si="45"/>
        <v>86.692307692307693</v>
      </c>
      <c r="P103" s="370">
        <f t="shared" si="46"/>
        <v>2.7307692307692308</v>
      </c>
      <c r="Q103" s="370">
        <f t="shared" si="47"/>
        <v>7.5999999999999988</v>
      </c>
      <c r="R103" s="370">
        <f t="shared" si="48"/>
        <v>5.4384615384615387</v>
      </c>
      <c r="S103" s="370">
        <f t="shared" si="49"/>
        <v>4.8692307692307688</v>
      </c>
      <c r="T103" s="459">
        <v>44</v>
      </c>
      <c r="U103" s="476">
        <f t="shared" si="50"/>
        <v>2.032258064516129</v>
      </c>
      <c r="V103" s="474">
        <v>13</v>
      </c>
      <c r="W103" s="370">
        <f t="shared" si="51"/>
        <v>3.5490000000000004</v>
      </c>
      <c r="X103" s="370">
        <f t="shared" si="52"/>
        <v>12.012</v>
      </c>
      <c r="Y103" s="475">
        <f t="shared" si="53"/>
        <v>2</v>
      </c>
      <c r="Z103" s="370">
        <f>IF(ISBLANK(Z16),NA(),SUM($Z$4:Z16))</f>
        <v>40.1</v>
      </c>
      <c r="AA103" s="370">
        <f t="shared" si="54"/>
        <v>26.419354838709676</v>
      </c>
      <c r="AB103" s="477">
        <f>IF(ISBLANK(Z16),"",SUM($Z$4:Z16))</f>
        <v>40.1</v>
      </c>
      <c r="AC103" s="478">
        <f t="shared" si="78"/>
        <v>1.517826617826618</v>
      </c>
      <c r="AD103" s="475">
        <f t="shared" si="55"/>
        <v>1010.5000003846154</v>
      </c>
      <c r="AE103" s="483">
        <f t="shared" si="56"/>
        <v>0.76208397265671846</v>
      </c>
      <c r="AF103" s="484">
        <f t="shared" si="57"/>
        <v>0.26041666666666669</v>
      </c>
      <c r="AG103" s="45">
        <f>IF(ISBLANK(AP16),NA(),SUM($AP$4:AP16))</f>
        <v>14.1</v>
      </c>
      <c r="AH103" s="370">
        <f>SUM($AS$91:AS103)</f>
        <v>18.50189809247092</v>
      </c>
      <c r="AI103" s="478">
        <f t="shared" si="58"/>
        <v>0.76208397265671846</v>
      </c>
      <c r="AJ103" s="459">
        <f t="shared" si="59"/>
        <v>1</v>
      </c>
      <c r="AK103" s="475">
        <f t="shared" si="60"/>
        <v>1010</v>
      </c>
      <c r="AL103" s="459">
        <f t="shared" si="61"/>
        <v>1</v>
      </c>
      <c r="AM103" s="484">
        <f t="shared" si="62"/>
        <v>0.57638888888888895</v>
      </c>
      <c r="AN103" s="7">
        <f>I39/-3</f>
        <v>-1.5333333333333332</v>
      </c>
      <c r="AO103" s="484">
        <f t="shared" si="63"/>
        <v>0.53125</v>
      </c>
      <c r="AP103" s="451" t="s">
        <v>211</v>
      </c>
      <c r="AQ103" s="450">
        <v>7.6999999999999999E-2</v>
      </c>
      <c r="AR103" s="484">
        <f t="shared" si="64"/>
        <v>4.1666666666666664E-2</v>
      </c>
      <c r="AS103" s="370">
        <f t="shared" si="65"/>
        <v>1.4551890636205362</v>
      </c>
      <c r="AT103" s="370">
        <v>7.3720716662350014</v>
      </c>
      <c r="AU103" s="474">
        <v>13</v>
      </c>
      <c r="AV103" s="475">
        <f t="shared" si="66"/>
        <v>0</v>
      </c>
      <c r="AW103" s="459">
        <f t="shared" si="79"/>
        <v>0</v>
      </c>
      <c r="AX103" s="459">
        <f t="shared" si="80"/>
        <v>1</v>
      </c>
      <c r="AY103" s="459">
        <f t="shared" si="67"/>
        <v>0</v>
      </c>
      <c r="AZ103" s="370">
        <f t="shared" si="68"/>
        <v>5.2</v>
      </c>
      <c r="BA103" s="370">
        <f t="shared" si="69"/>
        <v>3.166666666666667</v>
      </c>
      <c r="BB103" s="370">
        <f t="shared" si="70"/>
        <v>6.2333333333333334</v>
      </c>
      <c r="BC103" s="370">
        <v>3.171666666666666</v>
      </c>
      <c r="BD103" s="370">
        <v>6.2583333333333337</v>
      </c>
      <c r="BF103" s="475">
        <f t="shared" si="71"/>
        <v>95</v>
      </c>
      <c r="BG103" s="472">
        <f t="shared" si="72"/>
        <v>12.1</v>
      </c>
      <c r="BH103" s="459">
        <f t="shared" si="73"/>
        <v>1</v>
      </c>
      <c r="BI103" s="459">
        <f t="shared" si="81"/>
        <v>1</v>
      </c>
      <c r="BJ103" s="476">
        <f t="shared" si="74"/>
        <v>1</v>
      </c>
    </row>
    <row r="104" spans="1:62" s="459" customFormat="1" ht="12.75" x14ac:dyDescent="0.2">
      <c r="A104" s="475">
        <f t="shared" si="37"/>
        <v>10</v>
      </c>
      <c r="B104" s="370">
        <f t="shared" si="38"/>
        <v>2.4</v>
      </c>
      <c r="C104" s="370">
        <f t="shared" si="39"/>
        <v>7</v>
      </c>
      <c r="D104" s="370">
        <f t="shared" si="75"/>
        <v>4.7</v>
      </c>
      <c r="E104" s="370">
        <f t="shared" si="40"/>
        <v>4.5999999999999996</v>
      </c>
      <c r="F104" s="370">
        <v>2.4</v>
      </c>
      <c r="G104" s="370">
        <v>7.03</v>
      </c>
      <c r="H104" s="370">
        <f t="shared" si="76"/>
        <v>4.7149999999999999</v>
      </c>
      <c r="I104" s="370">
        <f t="shared" si="77"/>
        <v>4.6300000000000008</v>
      </c>
      <c r="K104" s="370">
        <f t="shared" si="41"/>
        <v>3.8999999999999995</v>
      </c>
      <c r="L104" s="370">
        <f t="shared" si="42"/>
        <v>9.75</v>
      </c>
      <c r="M104" s="370">
        <f t="shared" si="43"/>
        <v>5.1499999999999995</v>
      </c>
      <c r="N104" s="459">
        <f t="shared" si="44"/>
        <v>1.8333333333333333</v>
      </c>
      <c r="O104" s="370">
        <f t="shared" si="45"/>
        <v>87.071428571428569</v>
      </c>
      <c r="P104" s="370">
        <f t="shared" si="46"/>
        <v>3.0928571428571425</v>
      </c>
      <c r="Q104" s="370">
        <f t="shared" si="47"/>
        <v>7.8928571428571415</v>
      </c>
      <c r="R104" s="370">
        <f t="shared" si="48"/>
        <v>5.8</v>
      </c>
      <c r="S104" s="370">
        <f t="shared" si="49"/>
        <v>4.8</v>
      </c>
      <c r="T104" s="459">
        <v>45</v>
      </c>
      <c r="U104" s="476">
        <f t="shared" si="50"/>
        <v>2.032258064516129</v>
      </c>
      <c r="V104" s="474">
        <v>14</v>
      </c>
      <c r="W104" s="370">
        <f t="shared" si="51"/>
        <v>3.8220000000000001</v>
      </c>
      <c r="X104" s="370">
        <f t="shared" si="52"/>
        <v>12.285</v>
      </c>
      <c r="Y104" s="475">
        <f t="shared" si="53"/>
        <v>7</v>
      </c>
      <c r="Z104" s="370">
        <f>IF(ISBLANK(Z17),NA(),SUM($Z$4:Z17))</f>
        <v>45.6</v>
      </c>
      <c r="AA104" s="370">
        <f t="shared" si="54"/>
        <v>28.451612903225808</v>
      </c>
      <c r="AB104" s="477">
        <f>IF(ISBLANK(Z17),"",SUM($Z$4:Z17))</f>
        <v>45.6</v>
      </c>
      <c r="AC104" s="478">
        <f t="shared" si="78"/>
        <v>1.6027210884353742</v>
      </c>
      <c r="AD104" s="475">
        <f t="shared" si="55"/>
        <v>1010.5714289285714</v>
      </c>
      <c r="AE104" s="483">
        <f t="shared" si="56"/>
        <v>0.70628698346993546</v>
      </c>
      <c r="AF104" s="484">
        <f t="shared" si="57"/>
        <v>0</v>
      </c>
      <c r="AG104" s="45">
        <f>IF(ISBLANK(AP17),NA(),SUM($AP$4:AP17))</f>
        <v>14.1</v>
      </c>
      <c r="AH104" s="370">
        <f>SUM($AS$91:AS104)</f>
        <v>19.963556358815715</v>
      </c>
      <c r="AI104" s="478">
        <f t="shared" si="58"/>
        <v>0.70628698346993546</v>
      </c>
      <c r="AJ104" s="459">
        <f t="shared" si="59"/>
        <v>1</v>
      </c>
      <c r="AK104" s="475">
        <f t="shared" si="60"/>
        <v>1011.5</v>
      </c>
      <c r="AL104" s="459">
        <f t="shared" si="61"/>
        <v>1</v>
      </c>
      <c r="AM104" s="484">
        <f t="shared" si="62"/>
        <v>0.57986111111111105</v>
      </c>
      <c r="AN104" s="25">
        <f>AP39/E34</f>
        <v>1.4838709677419355</v>
      </c>
      <c r="AO104" s="484">
        <f t="shared" si="63"/>
        <v>0.4861111111111111</v>
      </c>
      <c r="AP104" s="451" t="s">
        <v>114</v>
      </c>
      <c r="AQ104" s="452">
        <v>5.6000000000000001E-2</v>
      </c>
      <c r="AR104" s="484" t="e">
        <f t="shared" si="64"/>
        <v>#N/A</v>
      </c>
      <c r="AS104" s="370">
        <f t="shared" si="65"/>
        <v>1.4616582663447959</v>
      </c>
      <c r="AT104" s="370">
        <v>7.4048450200890965</v>
      </c>
      <c r="AU104" s="474">
        <v>14</v>
      </c>
      <c r="AV104" s="475">
        <f t="shared" si="66"/>
        <v>0</v>
      </c>
      <c r="AW104" s="459">
        <f t="shared" si="79"/>
        <v>0</v>
      </c>
      <c r="AX104" s="459">
        <f t="shared" si="80"/>
        <v>1</v>
      </c>
      <c r="AY104" s="459">
        <f t="shared" si="67"/>
        <v>0</v>
      </c>
      <c r="AZ104" s="370">
        <f t="shared" si="68"/>
        <v>5.2</v>
      </c>
      <c r="BA104" s="370">
        <f t="shared" si="69"/>
        <v>3.166666666666667</v>
      </c>
      <c r="BB104" s="370">
        <f t="shared" si="70"/>
        <v>6.2333333333333334</v>
      </c>
      <c r="BC104" s="370">
        <v>3.171666666666666</v>
      </c>
      <c r="BD104" s="370">
        <v>6.2583333333333337</v>
      </c>
      <c r="BF104" s="475">
        <f t="shared" si="71"/>
        <v>92</v>
      </c>
      <c r="BG104" s="472">
        <f t="shared" si="72"/>
        <v>10.5</v>
      </c>
      <c r="BH104" s="459">
        <f t="shared" si="73"/>
        <v>0</v>
      </c>
      <c r="BI104" s="459">
        <f t="shared" si="81"/>
        <v>1</v>
      </c>
      <c r="BJ104" s="476">
        <f t="shared" si="74"/>
        <v>1.8333333333333333</v>
      </c>
    </row>
    <row r="105" spans="1:62" s="459" customFormat="1" ht="12.75" x14ac:dyDescent="0.2">
      <c r="A105" s="475">
        <f t="shared" si="37"/>
        <v>20</v>
      </c>
      <c r="B105" s="370">
        <f t="shared" si="38"/>
        <v>2.4</v>
      </c>
      <c r="C105" s="370">
        <f t="shared" si="39"/>
        <v>7</v>
      </c>
      <c r="D105" s="370">
        <f t="shared" si="75"/>
        <v>4.7</v>
      </c>
      <c r="E105" s="370">
        <f t="shared" si="40"/>
        <v>4.5999999999999996</v>
      </c>
      <c r="F105" s="370">
        <v>2.4</v>
      </c>
      <c r="G105" s="370">
        <v>7</v>
      </c>
      <c r="H105" s="370">
        <f t="shared" si="76"/>
        <v>4.7</v>
      </c>
      <c r="I105" s="370">
        <f t="shared" si="77"/>
        <v>4.5999999999999996</v>
      </c>
      <c r="K105" s="370">
        <f t="shared" si="41"/>
        <v>3.3999999999999995</v>
      </c>
      <c r="L105" s="370">
        <f t="shared" si="42"/>
        <v>9.5</v>
      </c>
      <c r="M105" s="370">
        <f t="shared" si="43"/>
        <v>5.52</v>
      </c>
      <c r="N105" s="459">
        <f t="shared" si="44"/>
        <v>0</v>
      </c>
      <c r="O105" s="370">
        <f t="shared" si="45"/>
        <v>86.733333333333334</v>
      </c>
      <c r="P105" s="370">
        <f t="shared" si="46"/>
        <v>3.4066666666666663</v>
      </c>
      <c r="Q105" s="370">
        <f t="shared" si="47"/>
        <v>8.1133333333333333</v>
      </c>
      <c r="R105" s="370">
        <f t="shared" si="48"/>
        <v>6.1</v>
      </c>
      <c r="S105" s="370">
        <f t="shared" si="49"/>
        <v>4.706666666666667</v>
      </c>
      <c r="T105" s="459">
        <v>46</v>
      </c>
      <c r="U105" s="476">
        <f t="shared" si="50"/>
        <v>2.032258064516129</v>
      </c>
      <c r="V105" s="474">
        <v>15</v>
      </c>
      <c r="W105" s="370">
        <f t="shared" si="51"/>
        <v>4.0950000000000006</v>
      </c>
      <c r="X105" s="370">
        <f t="shared" si="52"/>
        <v>12.558000000000002</v>
      </c>
      <c r="Y105" s="475">
        <f t="shared" si="53"/>
        <v>3</v>
      </c>
      <c r="Z105" s="370">
        <f>IF(ISBLANK(Z18),NA(),SUM($Z$4:Z18))</f>
        <v>45.6</v>
      </c>
      <c r="AA105" s="370">
        <f t="shared" si="54"/>
        <v>30.483870967741936</v>
      </c>
      <c r="AB105" s="477">
        <f>IF(ISBLANK(Z18),"",SUM($Z$4:Z18))</f>
        <v>45.6</v>
      </c>
      <c r="AC105" s="478">
        <f t="shared" si="78"/>
        <v>1.4958730158730158</v>
      </c>
      <c r="AD105" s="475">
        <f t="shared" si="55"/>
        <v>1010.9000003333333</v>
      </c>
      <c r="AE105" s="483">
        <f t="shared" si="56"/>
        <v>0.65789750215252762</v>
      </c>
      <c r="AF105" s="484" t="e">
        <f t="shared" si="57"/>
        <v>#N/A</v>
      </c>
      <c r="AG105" s="45">
        <f>IF(ISBLANK(AP18),NA(),SUM($AP$4:AP18))</f>
        <v>14.1</v>
      </c>
      <c r="AH105" s="370">
        <f>SUM($AS$91:AS105)</f>
        <v>21.431909915856529</v>
      </c>
      <c r="AI105" s="478">
        <f t="shared" si="58"/>
        <v>0.65789750215252762</v>
      </c>
      <c r="AJ105" s="459">
        <f t="shared" si="59"/>
        <v>0</v>
      </c>
      <c r="AK105" s="475">
        <f t="shared" si="60"/>
        <v>1015.5</v>
      </c>
      <c r="AL105" s="459">
        <f t="shared" si="61"/>
        <v>0</v>
      </c>
      <c r="AM105" s="484">
        <f t="shared" si="62"/>
        <v>0.54513888888888895</v>
      </c>
      <c r="AN105" s="1">
        <f t="array" ref="AN105">MAX(IF(F4:F34=$F$85,E4:E34,0))</f>
        <v>3</v>
      </c>
      <c r="AO105" s="484">
        <f t="shared" si="63"/>
        <v>0.55902777777777779</v>
      </c>
      <c r="AP105" s="451" t="s">
        <v>212</v>
      </c>
      <c r="AQ105" s="450">
        <v>4.7E-2</v>
      </c>
      <c r="AR105" s="484">
        <f t="shared" si="64"/>
        <v>2.0833333333333332E-2</v>
      </c>
      <c r="AS105" s="370">
        <f t="shared" si="65"/>
        <v>1.4683535570408133</v>
      </c>
      <c r="AT105" s="370">
        <v>7.4387637486387135</v>
      </c>
      <c r="AU105" s="474">
        <v>15</v>
      </c>
      <c r="AV105" s="475">
        <f t="shared" si="66"/>
        <v>0</v>
      </c>
      <c r="AW105" s="459">
        <f t="shared" si="79"/>
        <v>0</v>
      </c>
      <c r="AX105" s="459">
        <f t="shared" si="80"/>
        <v>1</v>
      </c>
      <c r="AY105" s="459">
        <f t="shared" si="67"/>
        <v>1</v>
      </c>
      <c r="AZ105" s="370">
        <f t="shared" si="68"/>
        <v>5.2</v>
      </c>
      <c r="BA105" s="370">
        <f t="shared" si="69"/>
        <v>3.166666666666667</v>
      </c>
      <c r="BB105" s="370">
        <f t="shared" si="70"/>
        <v>6.2333333333333334</v>
      </c>
      <c r="BC105" s="370">
        <v>3.166666666666667</v>
      </c>
      <c r="BD105" s="370">
        <v>6.2333333333333334</v>
      </c>
      <c r="BF105" s="475">
        <f t="shared" si="71"/>
        <v>82</v>
      </c>
      <c r="BG105" s="472">
        <f t="shared" si="72"/>
        <v>10.3</v>
      </c>
      <c r="BH105" s="459">
        <f t="shared" si="73"/>
        <v>0</v>
      </c>
      <c r="BI105" s="459">
        <f t="shared" si="81"/>
        <v>0</v>
      </c>
      <c r="BJ105" s="476">
        <f t="shared" si="74"/>
        <v>0</v>
      </c>
    </row>
    <row r="106" spans="1:62" s="459" customFormat="1" ht="12.75" x14ac:dyDescent="0.2">
      <c r="A106" s="475">
        <f t="shared" si="37"/>
        <v>21</v>
      </c>
      <c r="B106" s="370">
        <f t="shared" si="38"/>
        <v>2.4</v>
      </c>
      <c r="C106" s="370">
        <f t="shared" si="39"/>
        <v>7</v>
      </c>
      <c r="D106" s="370">
        <f t="shared" si="75"/>
        <v>4.7</v>
      </c>
      <c r="E106" s="370">
        <f t="shared" si="40"/>
        <v>4.5999999999999996</v>
      </c>
      <c r="F106" s="370">
        <v>2.4</v>
      </c>
      <c r="G106" s="370">
        <v>7</v>
      </c>
      <c r="H106" s="370">
        <f t="shared" si="76"/>
        <v>4.7</v>
      </c>
      <c r="I106" s="370">
        <f t="shared" si="77"/>
        <v>4.5999999999999996</v>
      </c>
      <c r="K106" s="370">
        <f t="shared" si="41"/>
        <v>2.5</v>
      </c>
      <c r="L106" s="370">
        <f t="shared" si="42"/>
        <v>11.05</v>
      </c>
      <c r="M106" s="370">
        <f t="shared" si="43"/>
        <v>5.7124999999999995</v>
      </c>
      <c r="N106" s="459">
        <f t="shared" si="44"/>
        <v>0.46666666666666662</v>
      </c>
      <c r="O106" s="370">
        <f t="shared" si="45"/>
        <v>86.5625</v>
      </c>
      <c r="P106" s="370">
        <f t="shared" si="46"/>
        <v>3.8062499999999995</v>
      </c>
      <c r="Q106" s="370">
        <f t="shared" si="47"/>
        <v>8.375</v>
      </c>
      <c r="R106" s="370">
        <f t="shared" si="48"/>
        <v>6.4124999999999996</v>
      </c>
      <c r="S106" s="370">
        <f t="shared" si="49"/>
        <v>4.5687500000000005</v>
      </c>
      <c r="T106" s="459">
        <v>47</v>
      </c>
      <c r="U106" s="476">
        <f t="shared" si="50"/>
        <v>2.032258064516129</v>
      </c>
      <c r="V106" s="474">
        <v>16</v>
      </c>
      <c r="W106" s="370">
        <f t="shared" si="51"/>
        <v>4.3680000000000003</v>
      </c>
      <c r="X106" s="370">
        <f t="shared" si="52"/>
        <v>12.831000000000001</v>
      </c>
      <c r="Y106" s="475">
        <f t="shared" si="53"/>
        <v>2</v>
      </c>
      <c r="Z106" s="370">
        <f>IF(ISBLANK(Z19),NA(),SUM($Z$4:Z19))</f>
        <v>47</v>
      </c>
      <c r="AA106" s="370">
        <f t="shared" si="54"/>
        <v>32.516129032258064</v>
      </c>
      <c r="AB106" s="477">
        <f>IF(ISBLANK(Z19),"",SUM($Z$4:Z19))</f>
        <v>47</v>
      </c>
      <c r="AC106" s="478">
        <f t="shared" si="78"/>
        <v>1.4454365079365079</v>
      </c>
      <c r="AD106" s="475">
        <f t="shared" si="55"/>
        <v>1011.2812503125</v>
      </c>
      <c r="AE106" s="483">
        <f t="shared" si="56"/>
        <v>0.63735476146717895</v>
      </c>
      <c r="AF106" s="484" t="e">
        <f t="shared" si="57"/>
        <v>#N/A</v>
      </c>
      <c r="AG106" s="45">
        <f>IF(ISBLANK(AP19),NA(),SUM($AP$4:AP19))</f>
        <v>14.6</v>
      </c>
      <c r="AH106" s="370">
        <f>SUM($AS$91:AS106)</f>
        <v>22.907179615934879</v>
      </c>
      <c r="AI106" s="478">
        <f t="shared" si="58"/>
        <v>0.63735476146717895</v>
      </c>
      <c r="AJ106" s="459">
        <f t="shared" si="59"/>
        <v>1</v>
      </c>
      <c r="AK106" s="475">
        <f t="shared" si="60"/>
        <v>1017</v>
      </c>
      <c r="AL106" s="459">
        <f t="shared" si="61"/>
        <v>1</v>
      </c>
      <c r="AM106" s="484">
        <f t="shared" si="62"/>
        <v>0.54861111111111105</v>
      </c>
      <c r="AN106" s="1">
        <f t="array" ref="AN106">MAX(IF(G4:G34=$G$86,E4:E34,0))</f>
        <v>13</v>
      </c>
      <c r="AO106" s="484">
        <f t="shared" si="63"/>
        <v>0.46180555555555558</v>
      </c>
      <c r="AP106" s="451" t="s">
        <v>128</v>
      </c>
      <c r="AQ106" s="450">
        <v>5.2999999999999999E-2</v>
      </c>
      <c r="AR106" s="484" t="e">
        <f t="shared" si="64"/>
        <v>#N/A</v>
      </c>
      <c r="AS106" s="370">
        <f t="shared" si="65"/>
        <v>1.4752697000783515</v>
      </c>
      <c r="AT106" s="370">
        <v>7.4738013278793165</v>
      </c>
      <c r="AU106" s="474">
        <v>16</v>
      </c>
      <c r="AV106" s="475">
        <f t="shared" si="66"/>
        <v>0</v>
      </c>
      <c r="AW106" s="459">
        <f t="shared" si="79"/>
        <v>0</v>
      </c>
      <c r="AX106" s="459">
        <f t="shared" si="80"/>
        <v>1</v>
      </c>
      <c r="AY106" s="459">
        <f t="shared" si="67"/>
        <v>1</v>
      </c>
      <c r="AZ106" s="370">
        <f t="shared" si="68"/>
        <v>5.2</v>
      </c>
      <c r="BA106" s="370">
        <f t="shared" si="69"/>
        <v>3.166666666666667</v>
      </c>
      <c r="BB106" s="370">
        <f t="shared" si="70"/>
        <v>6.2333333333333334</v>
      </c>
      <c r="BC106" s="370">
        <v>3.166666666666667</v>
      </c>
      <c r="BD106" s="370">
        <v>6.2333333333333334</v>
      </c>
      <c r="BF106" s="475">
        <f t="shared" si="71"/>
        <v>84</v>
      </c>
      <c r="BG106" s="472">
        <f t="shared" si="72"/>
        <v>11.1</v>
      </c>
      <c r="BH106" s="459">
        <f t="shared" si="73"/>
        <v>0</v>
      </c>
      <c r="BI106" s="459">
        <f t="shared" si="81"/>
        <v>1</v>
      </c>
      <c r="BJ106" s="476">
        <f t="shared" si="74"/>
        <v>0.46666666666666662</v>
      </c>
    </row>
    <row r="107" spans="1:62" s="459" customFormat="1" ht="12.75" x14ac:dyDescent="0.2">
      <c r="A107" s="475">
        <f t="shared" si="37"/>
        <v>12</v>
      </c>
      <c r="B107" s="370">
        <f t="shared" si="38"/>
        <v>2.4</v>
      </c>
      <c r="C107" s="370">
        <f t="shared" si="39"/>
        <v>7</v>
      </c>
      <c r="D107" s="370">
        <f t="shared" si="75"/>
        <v>4.7</v>
      </c>
      <c r="E107" s="370">
        <f t="shared" si="40"/>
        <v>4.5999999999999996</v>
      </c>
      <c r="F107" s="370">
        <v>2.4</v>
      </c>
      <c r="G107" s="370">
        <v>7</v>
      </c>
      <c r="H107" s="370">
        <f t="shared" si="76"/>
        <v>4.7</v>
      </c>
      <c r="I107" s="370">
        <f t="shared" si="77"/>
        <v>4.5999999999999996</v>
      </c>
      <c r="K107" s="370">
        <f t="shared" si="41"/>
        <v>4.2000000000000011</v>
      </c>
      <c r="L107" s="370">
        <f t="shared" si="42"/>
        <v>7.7</v>
      </c>
      <c r="M107" s="370">
        <f t="shared" si="43"/>
        <v>5.5764705882352938</v>
      </c>
      <c r="N107" s="459">
        <f t="shared" si="44"/>
        <v>5.3666666666666671</v>
      </c>
      <c r="O107" s="370">
        <f t="shared" si="45"/>
        <v>86.941176470588232</v>
      </c>
      <c r="P107" s="370">
        <f t="shared" si="46"/>
        <v>3.9117647058823519</v>
      </c>
      <c r="Q107" s="370">
        <f t="shared" si="47"/>
        <v>8.4588235294117649</v>
      </c>
      <c r="R107" s="370">
        <f t="shared" si="48"/>
        <v>6.4823529411764698</v>
      </c>
      <c r="S107" s="370">
        <f t="shared" si="49"/>
        <v>4.5470588235294125</v>
      </c>
      <c r="T107" s="459">
        <v>48</v>
      </c>
      <c r="U107" s="476">
        <f t="shared" si="50"/>
        <v>2.032258064516129</v>
      </c>
      <c r="V107" s="474">
        <v>17</v>
      </c>
      <c r="W107" s="370">
        <f t="shared" si="51"/>
        <v>4.641</v>
      </c>
      <c r="X107" s="370">
        <f t="shared" si="52"/>
        <v>13.104000000000001</v>
      </c>
      <c r="Y107" s="475">
        <f t="shared" si="53"/>
        <v>5</v>
      </c>
      <c r="Z107" s="370">
        <f>IF(ISBLANK(Z20),NA(),SUM($Z$4:Z20))</f>
        <v>63.1</v>
      </c>
      <c r="AA107" s="370">
        <f t="shared" si="54"/>
        <v>34.548387096774192</v>
      </c>
      <c r="AB107" s="477">
        <f>IF(ISBLANK(Z20),"",SUM($Z$4:Z20))</f>
        <v>63.1</v>
      </c>
      <c r="AC107" s="478">
        <f t="shared" si="78"/>
        <v>1.8264239028944913</v>
      </c>
      <c r="AD107" s="475">
        <f t="shared" si="55"/>
        <v>1011.705882647059</v>
      </c>
      <c r="AE107" s="483">
        <f t="shared" si="56"/>
        <v>0.60271638070984646</v>
      </c>
      <c r="AF107" s="484">
        <f t="shared" si="57"/>
        <v>0.36458333333333331</v>
      </c>
      <c r="AG107" s="45">
        <f>IF(ISBLANK(AP20),NA(),SUM($AP$4:AP20))</f>
        <v>14.7</v>
      </c>
      <c r="AH107" s="370">
        <f>SUM($AS$91:AS107)</f>
        <v>24.389581020988913</v>
      </c>
      <c r="AI107" s="478">
        <f t="shared" si="58"/>
        <v>0.60271638070984646</v>
      </c>
      <c r="AJ107" s="459">
        <f t="shared" si="59"/>
        <v>1</v>
      </c>
      <c r="AK107" s="475">
        <f t="shared" si="60"/>
        <v>1018.5</v>
      </c>
      <c r="AL107" s="459">
        <f t="shared" si="61"/>
        <v>1</v>
      </c>
      <c r="AM107" s="484" t="e">
        <f t="shared" si="62"/>
        <v>#N/A</v>
      </c>
      <c r="AN107" s="7">
        <f>C85-G39</f>
        <v>-5.8</v>
      </c>
      <c r="AO107" s="484" t="e">
        <f t="shared" si="63"/>
        <v>#N/A</v>
      </c>
      <c r="AP107" s="449" t="s">
        <v>213</v>
      </c>
      <c r="AQ107" s="448">
        <v>7.6999999999999999E-2</v>
      </c>
      <c r="AR107" s="484" t="e">
        <f t="shared" si="64"/>
        <v>#N/A</v>
      </c>
      <c r="AS107" s="370">
        <f t="shared" si="65"/>
        <v>1.4824014050540333</v>
      </c>
      <c r="AT107" s="370">
        <v>7.509930956322485</v>
      </c>
      <c r="AU107" s="474">
        <v>17</v>
      </c>
      <c r="AV107" s="475">
        <f t="shared" si="66"/>
        <v>0</v>
      </c>
      <c r="AW107" s="459">
        <f t="shared" si="79"/>
        <v>0</v>
      </c>
      <c r="AX107" s="459">
        <f t="shared" si="80"/>
        <v>1</v>
      </c>
      <c r="AY107" s="459">
        <f t="shared" si="67"/>
        <v>1</v>
      </c>
      <c r="AZ107" s="370">
        <f t="shared" si="68"/>
        <v>5.2</v>
      </c>
      <c r="BA107" s="370">
        <f t="shared" si="69"/>
        <v>3.166666666666667</v>
      </c>
      <c r="BB107" s="370">
        <f t="shared" si="70"/>
        <v>6.2333333333333334</v>
      </c>
      <c r="BC107" s="370">
        <v>3.166666666666667</v>
      </c>
      <c r="BD107" s="370">
        <v>6.2333333333333334</v>
      </c>
      <c r="BF107" s="475">
        <f t="shared" si="71"/>
        <v>93</v>
      </c>
      <c r="BG107" s="472">
        <f t="shared" si="72"/>
        <v>7.6</v>
      </c>
      <c r="BH107" s="459">
        <f t="shared" si="73"/>
        <v>0</v>
      </c>
      <c r="BI107" s="459">
        <f t="shared" si="81"/>
        <v>1</v>
      </c>
      <c r="BJ107" s="476">
        <f t="shared" si="74"/>
        <v>5.3666666666666671</v>
      </c>
    </row>
    <row r="108" spans="1:62" s="459" customFormat="1" ht="12.75" x14ac:dyDescent="0.2">
      <c r="A108" s="475">
        <f t="shared" si="37"/>
        <v>21</v>
      </c>
      <c r="B108" s="370">
        <f t="shared" si="38"/>
        <v>2.4</v>
      </c>
      <c r="C108" s="370">
        <f t="shared" si="39"/>
        <v>7</v>
      </c>
      <c r="D108" s="370">
        <f t="shared" si="75"/>
        <v>4.7</v>
      </c>
      <c r="E108" s="370">
        <f t="shared" si="40"/>
        <v>4.5999999999999996</v>
      </c>
      <c r="F108" s="370">
        <v>2.4</v>
      </c>
      <c r="G108" s="370">
        <v>7</v>
      </c>
      <c r="H108" s="370">
        <f t="shared" si="76"/>
        <v>4.7</v>
      </c>
      <c r="I108" s="370">
        <f t="shared" si="77"/>
        <v>4.5999999999999996</v>
      </c>
      <c r="K108" s="370">
        <f t="shared" si="41"/>
        <v>3.6000000000000005</v>
      </c>
      <c r="L108" s="370">
        <f t="shared" si="42"/>
        <v>4.5999999999999996</v>
      </c>
      <c r="M108" s="370">
        <f t="shared" si="43"/>
        <v>5.4722222222222223</v>
      </c>
      <c r="N108" s="459">
        <f t="shared" si="44"/>
        <v>2.5333333333333332</v>
      </c>
      <c r="O108" s="370">
        <f t="shared" si="45"/>
        <v>87.111111111111114</v>
      </c>
      <c r="P108" s="370">
        <f t="shared" si="46"/>
        <v>3.8499999999999992</v>
      </c>
      <c r="Q108" s="370">
        <f t="shared" si="47"/>
        <v>8.344444444444445</v>
      </c>
      <c r="R108" s="370">
        <f t="shared" si="48"/>
        <v>6.3722222222222218</v>
      </c>
      <c r="S108" s="370">
        <f t="shared" si="49"/>
        <v>4.4944444444444445</v>
      </c>
      <c r="T108" s="459">
        <v>49</v>
      </c>
      <c r="U108" s="476">
        <f t="shared" si="50"/>
        <v>2.032258064516129</v>
      </c>
      <c r="V108" s="474">
        <v>18</v>
      </c>
      <c r="W108" s="370">
        <f t="shared" si="51"/>
        <v>4.9140000000000006</v>
      </c>
      <c r="X108" s="370">
        <f t="shared" si="52"/>
        <v>13.377000000000001</v>
      </c>
      <c r="Y108" s="475">
        <f t="shared" si="53"/>
        <v>13</v>
      </c>
      <c r="Z108" s="370">
        <f>IF(ISBLANK(Z21),NA(),SUM($Z$4:Z21))</f>
        <v>70.7</v>
      </c>
      <c r="AA108" s="370">
        <f t="shared" si="54"/>
        <v>36.58064516129032</v>
      </c>
      <c r="AB108" s="477">
        <f>IF(ISBLANK(Z21),"",SUM($Z$4:Z21))</f>
        <v>70.7</v>
      </c>
      <c r="AC108" s="478">
        <f t="shared" si="78"/>
        <v>1.9327160493827162</v>
      </c>
      <c r="AD108" s="475">
        <f t="shared" si="55"/>
        <v>1012.5277780555557</v>
      </c>
      <c r="AE108" s="483">
        <f t="shared" si="56"/>
        <v>0.81918676487956765</v>
      </c>
      <c r="AF108" s="484">
        <f t="shared" si="57"/>
        <v>0.29166666666666669</v>
      </c>
      <c r="AG108" s="45">
        <f>IF(ISBLANK(AP21),NA(),SUM($AP$4:AP21))</f>
        <v>21.2</v>
      </c>
      <c r="AH108" s="370">
        <f>SUM($AS$91:AS108)</f>
        <v>25.879324360320577</v>
      </c>
      <c r="AI108" s="478">
        <f t="shared" si="58"/>
        <v>0.81918676487956765</v>
      </c>
      <c r="AJ108" s="459">
        <f t="shared" si="59"/>
        <v>1</v>
      </c>
      <c r="AK108" s="475">
        <f t="shared" si="60"/>
        <v>1026.5</v>
      </c>
      <c r="AL108" s="459">
        <f t="shared" si="61"/>
        <v>1</v>
      </c>
      <c r="AM108" s="484">
        <f t="shared" si="62"/>
        <v>0.65208333333333335</v>
      </c>
      <c r="AN108" s="124">
        <f t="array" ref="AN108">SUM(IF(Z4:Z34&gt;10,1,0))</f>
        <v>2</v>
      </c>
      <c r="AO108" s="484">
        <f t="shared" si="63"/>
        <v>0.60763888888888895</v>
      </c>
      <c r="AP108" s="303"/>
      <c r="AQ108" s="303"/>
      <c r="AR108" s="484">
        <f t="shared" si="64"/>
        <v>0.38194444444444442</v>
      </c>
      <c r="AS108" s="370">
        <f t="shared" si="65"/>
        <v>1.4897433393316635</v>
      </c>
      <c r="AT108" s="370">
        <v>7.5471256185259046</v>
      </c>
      <c r="AU108" s="474">
        <v>18</v>
      </c>
      <c r="AV108" s="475">
        <f t="shared" si="66"/>
        <v>1</v>
      </c>
      <c r="AW108" s="459">
        <f t="shared" si="79"/>
        <v>0</v>
      </c>
      <c r="AX108" s="459">
        <f t="shared" si="80"/>
        <v>0</v>
      </c>
      <c r="AY108" s="459">
        <f t="shared" si="67"/>
        <v>1</v>
      </c>
      <c r="AZ108" s="370">
        <f t="shared" si="68"/>
        <v>5.2</v>
      </c>
      <c r="BA108" s="370">
        <f t="shared" si="69"/>
        <v>3.166666666666667</v>
      </c>
      <c r="BB108" s="370">
        <f t="shared" si="70"/>
        <v>6.2333333333333334</v>
      </c>
      <c r="BC108" s="370">
        <v>3.166666666666667</v>
      </c>
      <c r="BD108" s="370">
        <v>6.2333333333333334</v>
      </c>
      <c r="BF108" s="475">
        <f t="shared" si="71"/>
        <v>90</v>
      </c>
      <c r="BG108" s="472">
        <f t="shared" si="72"/>
        <v>4.5</v>
      </c>
      <c r="BH108" s="459">
        <f t="shared" si="73"/>
        <v>0</v>
      </c>
      <c r="BI108" s="459">
        <f t="shared" si="81"/>
        <v>1</v>
      </c>
      <c r="BJ108" s="476">
        <f t="shared" si="74"/>
        <v>2.5333333333333332</v>
      </c>
    </row>
    <row r="109" spans="1:62" s="459" customFormat="1" ht="12.75" x14ac:dyDescent="0.2">
      <c r="A109" s="475">
        <f t="shared" si="37"/>
        <v>13</v>
      </c>
      <c r="B109" s="370">
        <f t="shared" si="38"/>
        <v>2.4</v>
      </c>
      <c r="C109" s="370">
        <f t="shared" si="39"/>
        <v>7</v>
      </c>
      <c r="D109" s="370">
        <f t="shared" si="75"/>
        <v>4.7</v>
      </c>
      <c r="E109" s="370">
        <f t="shared" si="40"/>
        <v>4.5999999999999996</v>
      </c>
      <c r="F109" s="370">
        <v>2.2999999999999998</v>
      </c>
      <c r="G109" s="370">
        <v>7</v>
      </c>
      <c r="H109" s="370">
        <f t="shared" si="76"/>
        <v>4.6500000000000004</v>
      </c>
      <c r="I109" s="370">
        <f t="shared" si="77"/>
        <v>4.7</v>
      </c>
      <c r="K109" s="370">
        <f t="shared" si="41"/>
        <v>4.8999999999999995</v>
      </c>
      <c r="L109" s="370">
        <f t="shared" si="42"/>
        <v>3.65</v>
      </c>
      <c r="M109" s="370">
        <f t="shared" si="43"/>
        <v>5.3578947368421055</v>
      </c>
      <c r="N109" s="459">
        <f t="shared" si="44"/>
        <v>0</v>
      </c>
      <c r="O109" s="370">
        <f t="shared" si="45"/>
        <v>87.315789473684205</v>
      </c>
      <c r="P109" s="370">
        <f t="shared" si="46"/>
        <v>3.710526315789473</v>
      </c>
      <c r="Q109" s="370">
        <f t="shared" si="47"/>
        <v>8.2263157894736842</v>
      </c>
      <c r="R109" s="370">
        <f t="shared" si="48"/>
        <v>6.2105263157894726</v>
      </c>
      <c r="S109" s="370">
        <f t="shared" si="49"/>
        <v>4.5157894736842108</v>
      </c>
      <c r="T109" s="459">
        <v>50</v>
      </c>
      <c r="U109" s="476">
        <f t="shared" si="50"/>
        <v>2.032258064516129</v>
      </c>
      <c r="V109" s="474">
        <v>19</v>
      </c>
      <c r="W109" s="370">
        <f t="shared" si="51"/>
        <v>5.1870000000000003</v>
      </c>
      <c r="X109" s="370">
        <f t="shared" si="52"/>
        <v>13.65</v>
      </c>
      <c r="Y109" s="475">
        <f t="shared" si="53"/>
        <v>2</v>
      </c>
      <c r="Z109" s="370">
        <f>IF(ISBLANK(Z22),NA(),SUM($Z$4:Z22))</f>
        <v>70.7</v>
      </c>
      <c r="AA109" s="370">
        <f t="shared" si="54"/>
        <v>38.612903225806448</v>
      </c>
      <c r="AB109" s="477">
        <f>IF(ISBLANK(Z22),"",SUM($Z$4:Z22))</f>
        <v>70.7</v>
      </c>
      <c r="AC109" s="478">
        <f t="shared" si="78"/>
        <v>1.8309941520467838</v>
      </c>
      <c r="AD109" s="475">
        <f t="shared" si="55"/>
        <v>1013.6578950000001</v>
      </c>
      <c r="AE109" s="483">
        <f t="shared" si="56"/>
        <v>0.99354870922901906</v>
      </c>
      <c r="AF109" s="484">
        <f t="shared" si="57"/>
        <v>0.4201388888888889</v>
      </c>
      <c r="AG109" s="45">
        <f>IF(ISBLANK(AP22),NA(),SUM($AP$4:AP22))</f>
        <v>27.2</v>
      </c>
      <c r="AH109" s="370">
        <f>SUM($AS$91:AS109)</f>
        <v>27.376614500467568</v>
      </c>
      <c r="AI109" s="478">
        <f t="shared" si="58"/>
        <v>0.99354870922901906</v>
      </c>
      <c r="AJ109" s="459">
        <f t="shared" si="59"/>
        <v>0</v>
      </c>
      <c r="AK109" s="475">
        <f t="shared" si="60"/>
        <v>1034</v>
      </c>
      <c r="AL109" s="459">
        <f t="shared" si="61"/>
        <v>0</v>
      </c>
      <c r="AM109" s="484">
        <f t="shared" si="62"/>
        <v>0.6875</v>
      </c>
      <c r="AO109" s="484">
        <f t="shared" si="63"/>
        <v>0.64583333333333337</v>
      </c>
      <c r="AP109" s="423" t="s">
        <v>129</v>
      </c>
      <c r="AQ109" s="453">
        <f>MAX(AQ92:AQ107)</f>
        <v>0.13400000000000001</v>
      </c>
      <c r="AR109" s="484">
        <f t="shared" si="64"/>
        <v>0.30902777777777779</v>
      </c>
      <c r="AS109" s="370">
        <f t="shared" si="65"/>
        <v>1.4972901401469894</v>
      </c>
      <c r="AT109" s="370">
        <v>7.5853581464167901</v>
      </c>
      <c r="AU109" s="474">
        <v>19</v>
      </c>
      <c r="AV109" s="475">
        <f t="shared" si="66"/>
        <v>1</v>
      </c>
      <c r="AW109" s="459">
        <f t="shared" si="79"/>
        <v>0</v>
      </c>
      <c r="AX109" s="459">
        <f t="shared" si="80"/>
        <v>0</v>
      </c>
      <c r="AY109" s="459">
        <f t="shared" si="67"/>
        <v>1</v>
      </c>
      <c r="AZ109" s="370">
        <f t="shared" si="68"/>
        <v>5.2</v>
      </c>
      <c r="BA109" s="370">
        <f t="shared" si="69"/>
        <v>3.166666666666667</v>
      </c>
      <c r="BB109" s="370">
        <f t="shared" si="70"/>
        <v>6.2333333333333334</v>
      </c>
      <c r="BC109" s="370">
        <v>3.0833333333333339</v>
      </c>
      <c r="BD109" s="370">
        <v>6.2166666666666668</v>
      </c>
      <c r="BF109" s="475">
        <f t="shared" si="71"/>
        <v>91</v>
      </c>
      <c r="BG109" s="472">
        <f t="shared" si="72"/>
        <v>3.3</v>
      </c>
      <c r="BH109" s="459">
        <f t="shared" si="73"/>
        <v>0</v>
      </c>
      <c r="BI109" s="459">
        <f t="shared" si="81"/>
        <v>0</v>
      </c>
      <c r="BJ109" s="476">
        <f t="shared" si="74"/>
        <v>0</v>
      </c>
    </row>
    <row r="110" spans="1:62" s="459" customFormat="1" ht="12" x14ac:dyDescent="0.2">
      <c r="A110" s="475">
        <f t="shared" si="37"/>
        <v>9</v>
      </c>
      <c r="B110" s="370">
        <f t="shared" si="38"/>
        <v>2.4</v>
      </c>
      <c r="C110" s="370">
        <f t="shared" si="39"/>
        <v>7</v>
      </c>
      <c r="D110" s="370">
        <f t="shared" si="75"/>
        <v>4.7</v>
      </c>
      <c r="E110" s="370">
        <f t="shared" si="40"/>
        <v>4.5999999999999996</v>
      </c>
      <c r="F110" s="370">
        <v>2.2999999999999998</v>
      </c>
      <c r="G110" s="370">
        <v>7</v>
      </c>
      <c r="H110" s="370">
        <f t="shared" si="76"/>
        <v>4.6500000000000004</v>
      </c>
      <c r="I110" s="370">
        <f t="shared" si="77"/>
        <v>4.7</v>
      </c>
      <c r="K110" s="370">
        <f t="shared" si="41"/>
        <v>2.4</v>
      </c>
      <c r="L110" s="370">
        <f t="shared" si="42"/>
        <v>3.8</v>
      </c>
      <c r="M110" s="370">
        <f t="shared" si="43"/>
        <v>5.3049999999999997</v>
      </c>
      <c r="N110" s="459">
        <f t="shared" si="44"/>
        <v>3.3333333333333333E-2</v>
      </c>
      <c r="O110" s="370">
        <f t="shared" si="45"/>
        <v>87.45</v>
      </c>
      <c r="P110" s="370">
        <f t="shared" si="46"/>
        <v>3.6549999999999989</v>
      </c>
      <c r="Q110" s="370">
        <f t="shared" si="47"/>
        <v>8.0650000000000013</v>
      </c>
      <c r="R110" s="370">
        <f t="shared" si="48"/>
        <v>6.089999999999999</v>
      </c>
      <c r="S110" s="370">
        <f t="shared" si="49"/>
        <v>4.410000000000001</v>
      </c>
      <c r="T110" s="459">
        <v>51</v>
      </c>
      <c r="U110" s="476">
        <f t="shared" si="50"/>
        <v>2.032258064516129</v>
      </c>
      <c r="V110" s="474">
        <v>20</v>
      </c>
      <c r="W110" s="370">
        <f t="shared" si="51"/>
        <v>5.4600000000000009</v>
      </c>
      <c r="X110" s="370">
        <f t="shared" si="52"/>
        <v>13.923000000000002</v>
      </c>
      <c r="Y110" s="475">
        <f t="shared" si="53"/>
        <v>3</v>
      </c>
      <c r="Z110" s="370">
        <f>IF(ISBLANK(Z23),NA(),SUM($Z$4:Z23))</f>
        <v>70.8</v>
      </c>
      <c r="AA110" s="370">
        <f t="shared" si="54"/>
        <v>40.645161290322577</v>
      </c>
      <c r="AB110" s="477">
        <f>IF(ISBLANK(Z23),"",SUM($Z$4:Z23))</f>
        <v>70.8</v>
      </c>
      <c r="AC110" s="478">
        <f t="shared" si="78"/>
        <v>1.7419047619047621</v>
      </c>
      <c r="AD110" s="475">
        <f t="shared" si="55"/>
        <v>1014.80000025</v>
      </c>
      <c r="AE110" s="483">
        <f t="shared" si="56"/>
        <v>0.94869923016284485</v>
      </c>
      <c r="AF110" s="484">
        <f t="shared" si="57"/>
        <v>0.41666666666666669</v>
      </c>
      <c r="AG110" s="45">
        <f>IF(ISBLANK(AP23),NA(),SUM($AP$4:AP23))</f>
        <v>27.4</v>
      </c>
      <c r="AH110" s="370">
        <f>SUM($AS$91:AS110)</f>
        <v>28.881650926708112</v>
      </c>
      <c r="AI110" s="478">
        <f t="shared" si="58"/>
        <v>0.94869923016284485</v>
      </c>
      <c r="AJ110" s="459">
        <f t="shared" si="59"/>
        <v>0</v>
      </c>
      <c r="AK110" s="475">
        <f t="shared" si="60"/>
        <v>1036.5</v>
      </c>
      <c r="AL110" s="459">
        <f t="shared" si="61"/>
        <v>0</v>
      </c>
      <c r="AM110" s="484">
        <f t="shared" si="62"/>
        <v>0.64583333333333337</v>
      </c>
      <c r="AO110" s="484">
        <f t="shared" si="63"/>
        <v>0.61111111111111105</v>
      </c>
      <c r="AR110" s="484">
        <f t="shared" si="64"/>
        <v>0.23611111111111113</v>
      </c>
      <c r="AS110" s="370">
        <f t="shared" si="65"/>
        <v>1.5050364262405445</v>
      </c>
      <c r="AT110" s="370">
        <v>7.6246012782245334</v>
      </c>
      <c r="AU110" s="474">
        <v>20</v>
      </c>
      <c r="AV110" s="475">
        <f t="shared" si="66"/>
        <v>0</v>
      </c>
      <c r="AW110" s="459">
        <f t="shared" si="79"/>
        <v>0</v>
      </c>
      <c r="AX110" s="459">
        <f t="shared" si="80"/>
        <v>0</v>
      </c>
      <c r="AY110" s="459">
        <f t="shared" si="67"/>
        <v>1</v>
      </c>
      <c r="AZ110" s="370">
        <f t="shared" si="68"/>
        <v>5.2</v>
      </c>
      <c r="BA110" s="370">
        <f t="shared" si="69"/>
        <v>3.166666666666667</v>
      </c>
      <c r="BB110" s="370">
        <f t="shared" si="70"/>
        <v>6.2333333333333334</v>
      </c>
      <c r="BC110" s="370">
        <v>3.0833333333333339</v>
      </c>
      <c r="BD110" s="370">
        <v>6.2166666666666668</v>
      </c>
      <c r="BF110" s="475">
        <f t="shared" si="71"/>
        <v>90</v>
      </c>
      <c r="BG110" s="472">
        <f t="shared" si="72"/>
        <v>3.8</v>
      </c>
      <c r="BH110" s="459">
        <f t="shared" si="73"/>
        <v>0</v>
      </c>
      <c r="BI110" s="459">
        <f t="shared" si="81"/>
        <v>1</v>
      </c>
      <c r="BJ110" s="476">
        <f t="shared" si="74"/>
        <v>3.3333333333333333E-2</v>
      </c>
    </row>
    <row r="111" spans="1:62" s="459" customFormat="1" ht="12" x14ac:dyDescent="0.2">
      <c r="A111" s="475">
        <f t="shared" si="37"/>
        <v>21</v>
      </c>
      <c r="B111" s="370">
        <f t="shared" si="38"/>
        <v>2.4</v>
      </c>
      <c r="C111" s="370">
        <f t="shared" si="39"/>
        <v>7</v>
      </c>
      <c r="D111" s="370">
        <f t="shared" si="75"/>
        <v>4.7</v>
      </c>
      <c r="E111" s="370">
        <f t="shared" si="40"/>
        <v>4.5999999999999996</v>
      </c>
      <c r="F111" s="370">
        <v>2.2999999999999998</v>
      </c>
      <c r="G111" s="370">
        <v>6.97</v>
      </c>
      <c r="H111" s="370">
        <f t="shared" si="76"/>
        <v>4.6349999999999998</v>
      </c>
      <c r="I111" s="370">
        <f t="shared" si="77"/>
        <v>4.67</v>
      </c>
      <c r="K111" s="370">
        <f t="shared" si="41"/>
        <v>3.9</v>
      </c>
      <c r="L111" s="370">
        <f t="shared" si="42"/>
        <v>1.95</v>
      </c>
      <c r="M111" s="370">
        <f t="shared" si="43"/>
        <v>5.2333333333333325</v>
      </c>
      <c r="N111" s="459">
        <f t="shared" si="44"/>
        <v>9.9999999999999992E-2</v>
      </c>
      <c r="O111" s="370">
        <f t="shared" si="45"/>
        <v>87.38095238095238</v>
      </c>
      <c r="P111" s="370">
        <f t="shared" si="46"/>
        <v>3.4809523809523801</v>
      </c>
      <c r="Q111" s="370">
        <f t="shared" si="47"/>
        <v>7.8666666666666671</v>
      </c>
      <c r="R111" s="370">
        <f t="shared" si="48"/>
        <v>5.8809523809523805</v>
      </c>
      <c r="S111" s="370">
        <f t="shared" si="49"/>
        <v>4.385714285714287</v>
      </c>
      <c r="T111" s="459">
        <v>52</v>
      </c>
      <c r="U111" s="476">
        <f t="shared" si="50"/>
        <v>2.032258064516129</v>
      </c>
      <c r="V111" s="474">
        <v>21</v>
      </c>
      <c r="W111" s="370">
        <f t="shared" si="51"/>
        <v>5.7330000000000005</v>
      </c>
      <c r="X111" s="370">
        <f t="shared" si="52"/>
        <v>14.196000000000002</v>
      </c>
      <c r="Y111" s="475">
        <f t="shared" si="53"/>
        <v>2.0000099999999748</v>
      </c>
      <c r="Z111" s="370">
        <f>IF(ISBLANK(Z24),NA(),SUM($Z$4:Z24))</f>
        <v>71.099999999999994</v>
      </c>
      <c r="AA111" s="370">
        <f t="shared" si="54"/>
        <v>42.677419354838712</v>
      </c>
      <c r="AB111" s="477">
        <f>IF(ISBLANK(Z24),"",SUM($Z$4:Z24))</f>
        <v>71.099999999999994</v>
      </c>
      <c r="AC111" s="478">
        <f t="shared" si="78"/>
        <v>1.6659863945578228</v>
      </c>
      <c r="AD111" s="475">
        <f t="shared" si="55"/>
        <v>1015.9523814285716</v>
      </c>
      <c r="AE111" s="483">
        <f t="shared" si="56"/>
        <v>1.0495275769584784</v>
      </c>
      <c r="AF111" s="484">
        <f t="shared" si="57"/>
        <v>0.10416666666666667</v>
      </c>
      <c r="AG111" s="45">
        <f>IF(ISBLANK(AP24),NA(),SUM($AP$4:AP24))</f>
        <v>31.9</v>
      </c>
      <c r="AH111" s="370">
        <f>SUM($AS$91:AS111)</f>
        <v>30.394627735696012</v>
      </c>
      <c r="AI111" s="478">
        <f t="shared" si="58"/>
        <v>1.0495275769584784</v>
      </c>
      <c r="AJ111" s="459">
        <f t="shared" si="59"/>
        <v>1</v>
      </c>
      <c r="AK111" s="475">
        <f t="shared" si="60"/>
        <v>1039.0000049999999</v>
      </c>
      <c r="AL111" s="459">
        <f t="shared" si="61"/>
        <v>0</v>
      </c>
      <c r="AM111" s="484">
        <f t="shared" si="62"/>
        <v>0.66666666666666663</v>
      </c>
      <c r="AO111" s="484">
        <f t="shared" si="63"/>
        <v>0.63888888888888895</v>
      </c>
      <c r="AQ111" s="536">
        <f>SUM(AQ92:AQ107)</f>
        <v>1.0010000000000001</v>
      </c>
      <c r="AR111" s="484">
        <f t="shared" si="64"/>
        <v>0.43055555555555558</v>
      </c>
      <c r="AS111" s="370">
        <f t="shared" si="65"/>
        <v>1.5129768089879001</v>
      </c>
      <c r="AT111" s="370">
        <v>7.6648277148672062</v>
      </c>
      <c r="AU111" s="474">
        <v>21</v>
      </c>
      <c r="AV111" s="475">
        <f t="shared" si="66"/>
        <v>1</v>
      </c>
      <c r="AW111" s="459">
        <f t="shared" si="79"/>
        <v>1</v>
      </c>
      <c r="AX111" s="459">
        <f t="shared" si="80"/>
        <v>0</v>
      </c>
      <c r="AY111" s="459">
        <f t="shared" si="67"/>
        <v>1</v>
      </c>
      <c r="AZ111" s="370">
        <f t="shared" si="68"/>
        <v>5.2</v>
      </c>
      <c r="BA111" s="370">
        <f t="shared" si="69"/>
        <v>3.166666666666667</v>
      </c>
      <c r="BB111" s="370">
        <f t="shared" si="70"/>
        <v>6.2333333333333334</v>
      </c>
      <c r="BC111" s="370">
        <v>3.0783333333333331</v>
      </c>
      <c r="BD111" s="370">
        <v>6.1916666666666664</v>
      </c>
      <c r="BF111" s="475">
        <f t="shared" si="71"/>
        <v>86</v>
      </c>
      <c r="BG111" s="472">
        <f t="shared" si="72"/>
        <v>1.7</v>
      </c>
      <c r="BH111" s="459">
        <f t="shared" si="73"/>
        <v>0</v>
      </c>
      <c r="BI111" s="459">
        <f t="shared" si="81"/>
        <v>1</v>
      </c>
      <c r="BJ111" s="476">
        <f t="shared" si="74"/>
        <v>9.9999999999999992E-2</v>
      </c>
    </row>
    <row r="112" spans="1:62" s="459" customFormat="1" ht="12" x14ac:dyDescent="0.2">
      <c r="A112" s="475">
        <f t="shared" si="37"/>
        <v>14</v>
      </c>
      <c r="B112" s="370">
        <f t="shared" si="38"/>
        <v>2.4</v>
      </c>
      <c r="C112" s="370">
        <f t="shared" si="39"/>
        <v>7</v>
      </c>
      <c r="D112" s="370">
        <f t="shared" si="75"/>
        <v>4.7</v>
      </c>
      <c r="E112" s="370">
        <f t="shared" si="40"/>
        <v>4.5999999999999996</v>
      </c>
      <c r="F112" s="370">
        <v>2.2999999999999998</v>
      </c>
      <c r="G112" s="370">
        <v>6.97</v>
      </c>
      <c r="H112" s="370">
        <f t="shared" si="76"/>
        <v>4.6349999999999998</v>
      </c>
      <c r="I112" s="370">
        <f t="shared" si="77"/>
        <v>4.67</v>
      </c>
      <c r="K112" s="370">
        <f t="shared" si="41"/>
        <v>5.3999999999999995</v>
      </c>
      <c r="L112" s="370">
        <f t="shared" si="42"/>
        <v>3.4</v>
      </c>
      <c r="M112" s="370">
        <f t="shared" si="43"/>
        <v>5.2318181818181815</v>
      </c>
      <c r="N112" s="459">
        <f t="shared" si="44"/>
        <v>9.9999999999999992E-2</v>
      </c>
      <c r="O112" s="370">
        <f t="shared" si="45"/>
        <v>87.545454545454547</v>
      </c>
      <c r="P112" s="370">
        <f t="shared" si="46"/>
        <v>3.3545454545454536</v>
      </c>
      <c r="Q112" s="370">
        <f t="shared" si="47"/>
        <v>7.786363636363637</v>
      </c>
      <c r="R112" s="370">
        <f t="shared" si="48"/>
        <v>5.7863636363636353</v>
      </c>
      <c r="S112" s="370">
        <f t="shared" si="49"/>
        <v>4.4318181818181834</v>
      </c>
      <c r="T112" s="459">
        <v>53</v>
      </c>
      <c r="U112" s="476">
        <f t="shared" si="50"/>
        <v>2.032258064516129</v>
      </c>
      <c r="V112" s="474">
        <v>22</v>
      </c>
      <c r="W112" s="370">
        <f t="shared" si="51"/>
        <v>6.0060000000000002</v>
      </c>
      <c r="X112" s="370">
        <f t="shared" si="52"/>
        <v>14.469000000000001</v>
      </c>
      <c r="Y112" s="475">
        <f t="shared" si="53"/>
        <v>5</v>
      </c>
      <c r="Z112" s="370">
        <f>IF(ISBLANK(Z25),NA(),SUM($Z$4:Z25))</f>
        <v>71.399999999999991</v>
      </c>
      <c r="AA112" s="370">
        <f t="shared" si="54"/>
        <v>44.70967741935484</v>
      </c>
      <c r="AB112" s="477">
        <f>IF(ISBLANK(Z25),"",SUM($Z$4:Z25))</f>
        <v>71.399999999999991</v>
      </c>
      <c r="AC112" s="478">
        <f t="shared" si="78"/>
        <v>1.5969696969696967</v>
      </c>
      <c r="AD112" s="475">
        <f t="shared" si="55"/>
        <v>1016.9318186363638</v>
      </c>
      <c r="AE112" s="483">
        <f t="shared" si="56"/>
        <v>1.0120400290857112</v>
      </c>
      <c r="AF112" s="484">
        <f t="shared" si="57"/>
        <v>0.46875</v>
      </c>
      <c r="AG112" s="45">
        <f>IF(ISBLANK(AP25),NA(),SUM($AP$4:AP25))</f>
        <v>32.299999999999997</v>
      </c>
      <c r="AH112" s="370">
        <f>SUM($AS$91:AS112)</f>
        <v>31.91573363869826</v>
      </c>
      <c r="AI112" s="478">
        <f t="shared" si="58"/>
        <v>1.0120400290857112</v>
      </c>
      <c r="AJ112" s="459">
        <f t="shared" si="59"/>
        <v>1</v>
      </c>
      <c r="AK112" s="475">
        <f t="shared" si="60"/>
        <v>1037.5</v>
      </c>
      <c r="AL112" s="459">
        <f t="shared" si="61"/>
        <v>0</v>
      </c>
      <c r="AM112" s="484" t="e">
        <f t="shared" si="62"/>
        <v>#N/A</v>
      </c>
      <c r="AO112" s="484">
        <f t="shared" si="63"/>
        <v>0.65625</v>
      </c>
      <c r="AR112" s="484">
        <f t="shared" si="64"/>
        <v>0.14583333333333334</v>
      </c>
      <c r="AS112" s="370">
        <f t="shared" si="65"/>
        <v>1.521105903002246</v>
      </c>
      <c r="AT112" s="370">
        <v>7.7060101736648399</v>
      </c>
      <c r="AU112" s="474">
        <v>22</v>
      </c>
      <c r="AV112" s="475">
        <f t="shared" si="66"/>
        <v>0</v>
      </c>
      <c r="AW112" s="459">
        <f t="shared" si="79"/>
        <v>0</v>
      </c>
      <c r="AX112" s="459">
        <f t="shared" si="80"/>
        <v>0</v>
      </c>
      <c r="AY112" s="459">
        <f t="shared" si="67"/>
        <v>1</v>
      </c>
      <c r="AZ112" s="370">
        <f t="shared" si="68"/>
        <v>5.2</v>
      </c>
      <c r="BA112" s="370">
        <f t="shared" si="69"/>
        <v>3.166666666666667</v>
      </c>
      <c r="BB112" s="370">
        <f t="shared" si="70"/>
        <v>6.2333333333333334</v>
      </c>
      <c r="BC112" s="370">
        <v>3.0783333333333331</v>
      </c>
      <c r="BD112" s="370">
        <v>6.1916666666666664</v>
      </c>
      <c r="BF112" s="475">
        <f t="shared" si="71"/>
        <v>91</v>
      </c>
      <c r="BG112" s="472">
        <f t="shared" si="72"/>
        <v>3.8</v>
      </c>
      <c r="BH112" s="459">
        <f t="shared" si="73"/>
        <v>0</v>
      </c>
      <c r="BI112" s="459">
        <f t="shared" si="81"/>
        <v>1</v>
      </c>
      <c r="BJ112" s="476">
        <f t="shared" si="74"/>
        <v>9.9999999999999992E-2</v>
      </c>
    </row>
    <row r="113" spans="1:64" s="459" customFormat="1" ht="12" x14ac:dyDescent="0.2">
      <c r="A113" s="475">
        <f t="shared" si="37"/>
        <v>13</v>
      </c>
      <c r="B113" s="370">
        <f t="shared" si="38"/>
        <v>2.4</v>
      </c>
      <c r="C113" s="370">
        <f t="shared" si="39"/>
        <v>7</v>
      </c>
      <c r="D113" s="370">
        <f t="shared" si="75"/>
        <v>4.7</v>
      </c>
      <c r="E113" s="370">
        <f t="shared" si="40"/>
        <v>4.5999999999999996</v>
      </c>
      <c r="F113" s="370">
        <v>2.2999999999999998</v>
      </c>
      <c r="G113" s="370">
        <v>6.97</v>
      </c>
      <c r="H113" s="370">
        <f t="shared" si="76"/>
        <v>4.6349999999999998</v>
      </c>
      <c r="I113" s="370">
        <f t="shared" si="77"/>
        <v>4.67</v>
      </c>
      <c r="K113" s="370">
        <f t="shared" si="41"/>
        <v>1.9000000000000004</v>
      </c>
      <c r="L113" s="370">
        <f t="shared" si="42"/>
        <v>6.25</v>
      </c>
      <c r="M113" s="370">
        <f t="shared" si="43"/>
        <v>5.2869565217391301</v>
      </c>
      <c r="N113" s="459">
        <f t="shared" si="44"/>
        <v>0</v>
      </c>
      <c r="O113" s="370">
        <f t="shared" si="45"/>
        <v>87.695652173913047</v>
      </c>
      <c r="P113" s="370">
        <f t="shared" si="46"/>
        <v>3.4391304347826077</v>
      </c>
      <c r="Q113" s="370">
        <f t="shared" si="47"/>
        <v>7.7608695652173916</v>
      </c>
      <c r="R113" s="370">
        <f t="shared" si="48"/>
        <v>5.8086956521739124</v>
      </c>
      <c r="S113" s="370">
        <f t="shared" si="49"/>
        <v>4.3217391304347839</v>
      </c>
      <c r="T113" s="459">
        <v>54</v>
      </c>
      <c r="U113" s="476">
        <f t="shared" si="50"/>
        <v>2.032258064516129</v>
      </c>
      <c r="V113" s="474">
        <v>23</v>
      </c>
      <c r="W113" s="370">
        <f t="shared" si="51"/>
        <v>6.2790000000000008</v>
      </c>
      <c r="X113" s="370">
        <f t="shared" si="52"/>
        <v>14.742000000000001</v>
      </c>
      <c r="Y113" s="475">
        <f t="shared" si="53"/>
        <v>2</v>
      </c>
      <c r="Z113" s="370">
        <f>IF(ISBLANK(Z26),NA(),SUM($Z$4:Z26))</f>
        <v>71.399999999999991</v>
      </c>
      <c r="AA113" s="370">
        <f t="shared" si="54"/>
        <v>46.741935483870968</v>
      </c>
      <c r="AB113" s="477">
        <f>IF(ISBLANK(Z26),"",SUM($Z$4:Z26))</f>
        <v>71.399999999999991</v>
      </c>
      <c r="AC113" s="478">
        <f t="shared" si="78"/>
        <v>1.5275362318840577</v>
      </c>
      <c r="AD113" s="475">
        <f t="shared" si="55"/>
        <v>1017.6739134782611</v>
      </c>
      <c r="AE113" s="483">
        <f t="shared" si="56"/>
        <v>0.96576029985608736</v>
      </c>
      <c r="AF113" s="484">
        <f t="shared" si="57"/>
        <v>0.1875</v>
      </c>
      <c r="AG113" s="45">
        <f>IF(ISBLANK(AP26),NA(),SUM($AP$4:AP26))</f>
        <v>32.299999999999997</v>
      </c>
      <c r="AH113" s="370">
        <f>SUM($AS$91:AS113)</f>
        <v>33.445151974887743</v>
      </c>
      <c r="AI113" s="478">
        <f t="shared" si="58"/>
        <v>0.96576029985608736</v>
      </c>
      <c r="AJ113" s="459">
        <f t="shared" si="59"/>
        <v>0</v>
      </c>
      <c r="AK113" s="475">
        <f t="shared" si="60"/>
        <v>1034</v>
      </c>
      <c r="AL113" s="459">
        <f t="shared" si="61"/>
        <v>0</v>
      </c>
      <c r="AM113" s="484" t="e">
        <f t="shared" si="62"/>
        <v>#N/A</v>
      </c>
      <c r="AO113" s="484">
        <f t="shared" si="63"/>
        <v>0.64236111111111105</v>
      </c>
      <c r="AR113" s="484">
        <f t="shared" si="64"/>
        <v>0.30208333333333331</v>
      </c>
      <c r="AS113" s="370">
        <f t="shared" si="65"/>
        <v>1.5294183361894857</v>
      </c>
      <c r="AT113" s="370">
        <v>7.7481214392791209</v>
      </c>
      <c r="AU113" s="474">
        <v>23</v>
      </c>
      <c r="AV113" s="475">
        <f t="shared" si="66"/>
        <v>0</v>
      </c>
      <c r="AW113" s="459">
        <f t="shared" si="79"/>
        <v>0</v>
      </c>
      <c r="AX113" s="459">
        <f t="shared" si="80"/>
        <v>1</v>
      </c>
      <c r="AY113" s="459">
        <f t="shared" si="67"/>
        <v>1</v>
      </c>
      <c r="AZ113" s="370">
        <f t="shared" si="68"/>
        <v>5.2</v>
      </c>
      <c r="BA113" s="370">
        <f t="shared" si="69"/>
        <v>3.166666666666667</v>
      </c>
      <c r="BB113" s="370">
        <f t="shared" si="70"/>
        <v>6.2333333333333334</v>
      </c>
      <c r="BC113" s="370">
        <v>3.0783333333333331</v>
      </c>
      <c r="BD113" s="370">
        <v>6.1916666666666664</v>
      </c>
      <c r="BF113" s="475">
        <f t="shared" si="71"/>
        <v>91</v>
      </c>
      <c r="BG113" s="472">
        <f t="shared" si="72"/>
        <v>6.3</v>
      </c>
      <c r="BH113" s="459">
        <f t="shared" si="73"/>
        <v>0</v>
      </c>
      <c r="BI113" s="459">
        <f t="shared" si="81"/>
        <v>0</v>
      </c>
      <c r="BJ113" s="476">
        <f t="shared" si="74"/>
        <v>0</v>
      </c>
    </row>
    <row r="114" spans="1:64" s="459" customFormat="1" ht="12" x14ac:dyDescent="0.2">
      <c r="A114" s="475">
        <f t="shared" si="37"/>
        <v>22</v>
      </c>
      <c r="B114" s="370">
        <f t="shared" si="38"/>
        <v>2.4</v>
      </c>
      <c r="C114" s="370">
        <f t="shared" si="39"/>
        <v>7</v>
      </c>
      <c r="D114" s="370">
        <f t="shared" si="75"/>
        <v>4.7</v>
      </c>
      <c r="E114" s="370">
        <f t="shared" si="40"/>
        <v>4.5999999999999996</v>
      </c>
      <c r="F114" s="370">
        <v>2.2999999999999998</v>
      </c>
      <c r="G114" s="370">
        <v>6.97</v>
      </c>
      <c r="H114" s="370">
        <f t="shared" si="76"/>
        <v>4.6349999999999998</v>
      </c>
      <c r="I114" s="370">
        <f t="shared" si="77"/>
        <v>4.67</v>
      </c>
      <c r="K114" s="370">
        <f t="shared" si="41"/>
        <v>3.5</v>
      </c>
      <c r="L114" s="370">
        <f t="shared" si="42"/>
        <v>5.05</v>
      </c>
      <c r="M114" s="370">
        <f t="shared" si="43"/>
        <v>5.2625000000000002</v>
      </c>
      <c r="N114" s="459">
        <f t="shared" si="44"/>
        <v>9.9999999999999992E-2</v>
      </c>
      <c r="O114" s="370">
        <f t="shared" si="45"/>
        <v>87.625</v>
      </c>
      <c r="P114" s="370">
        <f t="shared" si="46"/>
        <v>3.4333333333333322</v>
      </c>
      <c r="Q114" s="370">
        <f t="shared" si="47"/>
        <v>7.7208333333333341</v>
      </c>
      <c r="R114" s="370">
        <f t="shared" si="48"/>
        <v>5.8</v>
      </c>
      <c r="S114" s="370">
        <f t="shared" si="49"/>
        <v>4.2875000000000014</v>
      </c>
      <c r="T114" s="459">
        <v>55</v>
      </c>
      <c r="U114" s="476">
        <f t="shared" si="50"/>
        <v>2.032258064516129</v>
      </c>
      <c r="V114" s="474">
        <v>24</v>
      </c>
      <c r="W114" s="370">
        <f t="shared" si="51"/>
        <v>6.5520000000000005</v>
      </c>
      <c r="X114" s="370">
        <f t="shared" si="52"/>
        <v>15.015000000000001</v>
      </c>
      <c r="Y114" s="475">
        <f t="shared" si="53"/>
        <v>10</v>
      </c>
      <c r="Z114" s="370">
        <f>IF(ISBLANK(Z27),NA(),SUM($Z$4:Z27))</f>
        <v>71.699999999999989</v>
      </c>
      <c r="AA114" s="370">
        <f t="shared" si="54"/>
        <v>48.774193548387096</v>
      </c>
      <c r="AB114" s="477">
        <f>IF(ISBLANK(Z27),"",SUM($Z$4:Z27))</f>
        <v>71.699999999999989</v>
      </c>
      <c r="AC114" s="478">
        <f t="shared" si="78"/>
        <v>1.4700396825396824</v>
      </c>
      <c r="AD114" s="475">
        <f t="shared" si="55"/>
        <v>1018.1458337500002</v>
      </c>
      <c r="AE114" s="483">
        <f t="shared" si="56"/>
        <v>0.92330400262801116</v>
      </c>
      <c r="AF114" s="484">
        <f t="shared" si="57"/>
        <v>4.1666666666666664E-2</v>
      </c>
      <c r="AG114" s="45">
        <f>IF(ISBLANK(AP27),NA(),SUM($AP$4:AP27))</f>
        <v>32.299999999999997</v>
      </c>
      <c r="AH114" s="370">
        <f>SUM($AS$91:AS114)</f>
        <v>34.98306073412887</v>
      </c>
      <c r="AI114" s="478">
        <f t="shared" si="58"/>
        <v>0.92330400262801116</v>
      </c>
      <c r="AJ114" s="459">
        <f t="shared" si="59"/>
        <v>1</v>
      </c>
      <c r="AK114" s="475">
        <f t="shared" si="60"/>
        <v>1029</v>
      </c>
      <c r="AL114" s="459">
        <f t="shared" si="61"/>
        <v>0</v>
      </c>
      <c r="AM114" s="484">
        <f t="shared" si="62"/>
        <v>0.61458333333333337</v>
      </c>
      <c r="AO114" s="484">
        <f t="shared" si="63"/>
        <v>0.60069444444444442</v>
      </c>
      <c r="AR114" s="484">
        <f t="shared" si="64"/>
        <v>0.37152777777777773</v>
      </c>
      <c r="AS114" s="370">
        <f t="shared" si="65"/>
        <v>1.5379087592411234</v>
      </c>
      <c r="AT114" s="370">
        <v>7.7911344118049017</v>
      </c>
      <c r="AU114" s="474">
        <v>24</v>
      </c>
      <c r="AV114" s="475">
        <f t="shared" si="66"/>
        <v>0</v>
      </c>
      <c r="AW114" s="459">
        <f t="shared" si="79"/>
        <v>0</v>
      </c>
      <c r="AX114" s="459">
        <f t="shared" si="80"/>
        <v>0</v>
      </c>
      <c r="AY114" s="459">
        <f t="shared" si="67"/>
        <v>1</v>
      </c>
      <c r="AZ114" s="370">
        <f t="shared" si="68"/>
        <v>5.2</v>
      </c>
      <c r="BA114" s="370">
        <f t="shared" si="69"/>
        <v>3.166666666666667</v>
      </c>
      <c r="BB114" s="370">
        <f t="shared" si="70"/>
        <v>6.2333333333333334</v>
      </c>
      <c r="BC114" s="370">
        <v>3.0783333333333331</v>
      </c>
      <c r="BD114" s="370">
        <v>6.1916666666666664</v>
      </c>
      <c r="BF114" s="475">
        <f t="shared" si="71"/>
        <v>86</v>
      </c>
      <c r="BG114" s="472">
        <f t="shared" si="72"/>
        <v>5.6</v>
      </c>
      <c r="BH114" s="459">
        <f t="shared" si="73"/>
        <v>0</v>
      </c>
      <c r="BI114" s="459">
        <f t="shared" si="81"/>
        <v>1</v>
      </c>
      <c r="BJ114" s="476">
        <f t="shared" si="74"/>
        <v>9.9999999999999992E-2</v>
      </c>
    </row>
    <row r="115" spans="1:64" s="459" customFormat="1" ht="12" x14ac:dyDescent="0.2">
      <c r="A115" s="475">
        <f t="shared" si="37"/>
        <v>12</v>
      </c>
      <c r="B115" s="370">
        <f t="shared" si="38"/>
        <v>2.4</v>
      </c>
      <c r="C115" s="370">
        <f t="shared" si="39"/>
        <v>7</v>
      </c>
      <c r="D115" s="370">
        <f t="shared" si="75"/>
        <v>4.7</v>
      </c>
      <c r="E115" s="370">
        <f t="shared" si="40"/>
        <v>4.5999999999999996</v>
      </c>
      <c r="F115" s="370">
        <v>2.2999999999999998</v>
      </c>
      <c r="G115" s="370">
        <v>6.97</v>
      </c>
      <c r="H115" s="370">
        <f t="shared" si="76"/>
        <v>4.6349999999999998</v>
      </c>
      <c r="I115" s="370">
        <f t="shared" si="77"/>
        <v>4.67</v>
      </c>
      <c r="K115" s="370">
        <f t="shared" si="41"/>
        <v>4.7999999999999989</v>
      </c>
      <c r="L115" s="370">
        <f t="shared" si="42"/>
        <v>5.8</v>
      </c>
      <c r="M115" s="370">
        <f t="shared" si="43"/>
        <v>5.22</v>
      </c>
      <c r="N115" s="459">
        <f t="shared" si="44"/>
        <v>0.26666666666666666</v>
      </c>
      <c r="O115" s="370">
        <f t="shared" si="45"/>
        <v>87.76</v>
      </c>
      <c r="P115" s="370">
        <f t="shared" si="46"/>
        <v>3.4319999999999995</v>
      </c>
      <c r="Q115" s="370">
        <f t="shared" si="47"/>
        <v>7.74</v>
      </c>
      <c r="R115" s="370">
        <f t="shared" si="48"/>
        <v>5.8279999999999994</v>
      </c>
      <c r="S115" s="370">
        <f t="shared" si="49"/>
        <v>4.3080000000000016</v>
      </c>
      <c r="T115" s="459">
        <v>56</v>
      </c>
      <c r="U115" s="476">
        <f t="shared" si="50"/>
        <v>2.032258064516129</v>
      </c>
      <c r="V115" s="474">
        <v>25</v>
      </c>
      <c r="W115" s="370">
        <f t="shared" si="51"/>
        <v>6.8250000000000002</v>
      </c>
      <c r="X115" s="370">
        <f t="shared" si="52"/>
        <v>15.288</v>
      </c>
      <c r="Y115" s="475">
        <f t="shared" si="53"/>
        <v>14</v>
      </c>
      <c r="Z115" s="370">
        <f>IF(ISBLANK(Z28),NA(),SUM($Z$4:Z28))</f>
        <v>72.499999999999986</v>
      </c>
      <c r="AA115" s="370">
        <f t="shared" si="54"/>
        <v>50.806451612903224</v>
      </c>
      <c r="AB115" s="477">
        <f>IF(ISBLANK(Z28),"",SUM($Z$4:Z28))</f>
        <v>72.499999999999986</v>
      </c>
      <c r="AC115" s="478">
        <f t="shared" si="78"/>
        <v>1.4269841269841268</v>
      </c>
      <c r="AD115" s="475">
        <f t="shared" si="55"/>
        <v>1018.1000004000001</v>
      </c>
      <c r="AE115" s="483">
        <f t="shared" si="56"/>
        <v>0.89242616719060319</v>
      </c>
      <c r="AF115" s="484" t="e">
        <f t="shared" si="57"/>
        <v>#N/A</v>
      </c>
      <c r="AG115" s="45">
        <f>IF(ISBLANK(AP28),NA(),SUM($AP$4:AP28))</f>
        <v>32.599999999999994</v>
      </c>
      <c r="AH115" s="370">
        <f>SUM($AS$91:AS115)</f>
        <v>36.529632588683754</v>
      </c>
      <c r="AI115" s="478">
        <f t="shared" si="58"/>
        <v>0.89242616719060319</v>
      </c>
      <c r="AJ115" s="459">
        <f t="shared" si="59"/>
        <v>1</v>
      </c>
      <c r="AK115" s="475">
        <f t="shared" si="60"/>
        <v>1017</v>
      </c>
      <c r="AL115" s="459">
        <f t="shared" si="61"/>
        <v>0</v>
      </c>
      <c r="AM115" s="484">
        <f t="shared" si="62"/>
        <v>0.52083333333333337</v>
      </c>
      <c r="AO115" s="484">
        <f t="shared" si="63"/>
        <v>0.55555555555555558</v>
      </c>
      <c r="AR115" s="484">
        <f t="shared" si="64"/>
        <v>0</v>
      </c>
      <c r="AS115" s="370">
        <f t="shared" si="65"/>
        <v>1.5465718545548861</v>
      </c>
      <c r="AT115" s="370">
        <v>7.8350221519625869</v>
      </c>
      <c r="AU115" s="474">
        <v>25</v>
      </c>
      <c r="AV115" s="475">
        <f t="shared" si="66"/>
        <v>0</v>
      </c>
      <c r="AW115" s="459">
        <f t="shared" si="79"/>
        <v>0</v>
      </c>
      <c r="AX115" s="459">
        <f t="shared" si="80"/>
        <v>0</v>
      </c>
      <c r="AY115" s="459">
        <f t="shared" si="67"/>
        <v>0</v>
      </c>
      <c r="AZ115" s="370">
        <f t="shared" si="68"/>
        <v>5.2</v>
      </c>
      <c r="BA115" s="370">
        <f t="shared" si="69"/>
        <v>3.166666666666667</v>
      </c>
      <c r="BB115" s="370">
        <f t="shared" si="70"/>
        <v>6.2333333333333334</v>
      </c>
      <c r="BC115" s="370">
        <v>3.0783333333333331</v>
      </c>
      <c r="BD115" s="370">
        <v>6.1916666666666664</v>
      </c>
      <c r="BF115" s="475">
        <f t="shared" si="71"/>
        <v>91</v>
      </c>
      <c r="BG115" s="472">
        <f t="shared" si="72"/>
        <v>6.5</v>
      </c>
      <c r="BH115" s="459">
        <f t="shared" si="73"/>
        <v>0</v>
      </c>
      <c r="BI115" s="459">
        <f t="shared" si="81"/>
        <v>1</v>
      </c>
      <c r="BJ115" s="476">
        <f t="shared" si="74"/>
        <v>0.26666666666666666</v>
      </c>
    </row>
    <row r="116" spans="1:64" s="459" customFormat="1" ht="12" x14ac:dyDescent="0.2">
      <c r="A116" s="475">
        <f t="shared" si="37"/>
        <v>20</v>
      </c>
      <c r="B116" s="370">
        <f t="shared" si="38"/>
        <v>2.4</v>
      </c>
      <c r="C116" s="370">
        <f t="shared" si="39"/>
        <v>7</v>
      </c>
      <c r="D116" s="370">
        <f t="shared" si="75"/>
        <v>4.7</v>
      </c>
      <c r="E116" s="370">
        <f t="shared" si="40"/>
        <v>4.5999999999999996</v>
      </c>
      <c r="F116" s="370">
        <v>2.2999999999999998</v>
      </c>
      <c r="G116" s="370">
        <v>6.97</v>
      </c>
      <c r="H116" s="370">
        <f t="shared" si="76"/>
        <v>4.6349999999999998</v>
      </c>
      <c r="I116" s="370">
        <f t="shared" si="77"/>
        <v>4.67</v>
      </c>
      <c r="K116" s="370">
        <f t="shared" si="41"/>
        <v>5.3</v>
      </c>
      <c r="L116" s="370">
        <f t="shared" si="42"/>
        <v>4.3499999999999996</v>
      </c>
      <c r="M116" s="370">
        <f t="shared" si="43"/>
        <v>5.2615384615384624</v>
      </c>
      <c r="N116" s="459">
        <f t="shared" si="44"/>
        <v>0.16666666666666666</v>
      </c>
      <c r="O116" s="370">
        <f t="shared" si="45"/>
        <v>87.92307692307692</v>
      </c>
      <c r="P116" s="370">
        <f t="shared" si="46"/>
        <v>3.365384615384615</v>
      </c>
      <c r="Q116" s="370">
        <f t="shared" si="47"/>
        <v>7.7115384615384617</v>
      </c>
      <c r="R116" s="370">
        <f t="shared" si="48"/>
        <v>5.8038461538461528</v>
      </c>
      <c r="S116" s="370">
        <f t="shared" si="49"/>
        <v>4.3461538461538476</v>
      </c>
      <c r="T116" s="459">
        <v>57</v>
      </c>
      <c r="U116" s="476">
        <f t="shared" si="50"/>
        <v>2.032258064516129</v>
      </c>
      <c r="V116" s="474">
        <v>26</v>
      </c>
      <c r="W116" s="370">
        <f t="shared" si="51"/>
        <v>7.0980000000000008</v>
      </c>
      <c r="X116" s="370">
        <f t="shared" si="52"/>
        <v>15.561000000000002</v>
      </c>
      <c r="Y116" s="475">
        <f t="shared" si="53"/>
        <v>10</v>
      </c>
      <c r="Z116" s="370">
        <f>IF(ISBLANK(Z29),NA(),SUM($Z$4:Z29))</f>
        <v>72.999999999999986</v>
      </c>
      <c r="AA116" s="370">
        <f t="shared" si="54"/>
        <v>52.838709677419352</v>
      </c>
      <c r="AB116" s="477">
        <f>IF(ISBLANK(Z29),"",SUM($Z$4:Z29))</f>
        <v>72.999999999999986</v>
      </c>
      <c r="AC116" s="478">
        <f t="shared" si="78"/>
        <v>1.3815628815628813</v>
      </c>
      <c r="AD116" s="475">
        <f t="shared" si="55"/>
        <v>1017.9038465384617</v>
      </c>
      <c r="AE116" s="483">
        <f t="shared" si="56"/>
        <v>0.85597925949462861</v>
      </c>
      <c r="AF116" s="484">
        <f t="shared" si="57"/>
        <v>0.30555555555555552</v>
      </c>
      <c r="AG116" s="45">
        <f>IF(ISBLANK(AP29),NA(),SUM($AP$4:AP29))</f>
        <v>32.599999999999994</v>
      </c>
      <c r="AH116" s="370">
        <f>SUM($AS$91:AS116)</f>
        <v>38.085034933261213</v>
      </c>
      <c r="AI116" s="478">
        <f t="shared" si="58"/>
        <v>0.85597925949462861</v>
      </c>
      <c r="AJ116" s="459">
        <f t="shared" si="59"/>
        <v>1</v>
      </c>
      <c r="AK116" s="475">
        <f t="shared" si="60"/>
        <v>1013</v>
      </c>
      <c r="AL116" s="459">
        <f t="shared" si="61"/>
        <v>0</v>
      </c>
      <c r="AM116" s="484" t="e">
        <f t="shared" si="62"/>
        <v>#N/A</v>
      </c>
      <c r="AO116" s="484">
        <f t="shared" si="63"/>
        <v>0.56805555555555554</v>
      </c>
      <c r="AR116" s="484">
        <f t="shared" si="64"/>
        <v>0.24305555555555555</v>
      </c>
      <c r="AS116" s="370">
        <f t="shared" si="65"/>
        <v>1.5554023445774625</v>
      </c>
      <c r="AT116" s="370">
        <v>7.8797579233629298</v>
      </c>
      <c r="AU116" s="474">
        <v>26</v>
      </c>
      <c r="AV116" s="475">
        <f t="shared" si="66"/>
        <v>0</v>
      </c>
      <c r="AW116" s="459">
        <f t="shared" si="79"/>
        <v>0</v>
      </c>
      <c r="AX116" s="459">
        <f t="shared" si="80"/>
        <v>0</v>
      </c>
      <c r="AY116" s="459">
        <f t="shared" si="67"/>
        <v>0</v>
      </c>
      <c r="AZ116" s="370">
        <f t="shared" si="68"/>
        <v>5.2</v>
      </c>
      <c r="BA116" s="370">
        <f t="shared" si="69"/>
        <v>3.166666666666667</v>
      </c>
      <c r="BB116" s="370">
        <f t="shared" si="70"/>
        <v>6.2333333333333334</v>
      </c>
      <c r="BC116" s="370">
        <v>3.0783333333333331</v>
      </c>
      <c r="BD116" s="370">
        <v>6.1916666666666664</v>
      </c>
      <c r="BF116" s="475">
        <f t="shared" si="71"/>
        <v>92</v>
      </c>
      <c r="BG116" s="472">
        <f t="shared" si="72"/>
        <v>5.2</v>
      </c>
      <c r="BH116" s="459">
        <f t="shared" si="73"/>
        <v>0</v>
      </c>
      <c r="BI116" s="459">
        <f t="shared" si="81"/>
        <v>1</v>
      </c>
      <c r="BJ116" s="476">
        <f t="shared" si="74"/>
        <v>0.16666666666666666</v>
      </c>
    </row>
    <row r="117" spans="1:64" s="459" customFormat="1" ht="12" x14ac:dyDescent="0.2">
      <c r="A117" s="475">
        <f t="shared" si="37"/>
        <v>21</v>
      </c>
      <c r="B117" s="370">
        <f t="shared" si="38"/>
        <v>2.4</v>
      </c>
      <c r="C117" s="370">
        <f t="shared" si="39"/>
        <v>7</v>
      </c>
      <c r="D117" s="370">
        <f t="shared" si="75"/>
        <v>4.7</v>
      </c>
      <c r="E117" s="370">
        <f t="shared" si="40"/>
        <v>4.5999999999999996</v>
      </c>
      <c r="F117" s="370">
        <v>2.2999999999999998</v>
      </c>
      <c r="G117" s="370">
        <v>6.97</v>
      </c>
      <c r="H117" s="370">
        <f t="shared" si="76"/>
        <v>4.6349999999999998</v>
      </c>
      <c r="I117" s="370">
        <f t="shared" si="77"/>
        <v>4.67</v>
      </c>
      <c r="K117" s="370">
        <f t="shared" si="41"/>
        <v>1.5</v>
      </c>
      <c r="L117" s="370">
        <f t="shared" si="42"/>
        <v>1.85</v>
      </c>
      <c r="M117" s="370">
        <f t="shared" si="43"/>
        <v>5.3851851851851853</v>
      </c>
      <c r="N117" s="459">
        <f t="shared" si="44"/>
        <v>0</v>
      </c>
      <c r="O117" s="370">
        <f t="shared" si="45"/>
        <v>87.18518518518519</v>
      </c>
      <c r="P117" s="370">
        <f t="shared" si="46"/>
        <v>3.2814814814814808</v>
      </c>
      <c r="Q117" s="370">
        <f t="shared" si="47"/>
        <v>7.5222222222222221</v>
      </c>
      <c r="R117" s="370">
        <f t="shared" si="48"/>
        <v>5.648148148148147</v>
      </c>
      <c r="S117" s="370">
        <f t="shared" si="49"/>
        <v>4.2407407407407414</v>
      </c>
      <c r="T117" s="459">
        <v>58</v>
      </c>
      <c r="U117" s="476">
        <f t="shared" si="50"/>
        <v>2.032258064516129</v>
      </c>
      <c r="V117" s="474">
        <v>27</v>
      </c>
      <c r="W117" s="370">
        <f t="shared" si="51"/>
        <v>7.3710000000000004</v>
      </c>
      <c r="X117" s="370">
        <f t="shared" si="52"/>
        <v>15.834000000000001</v>
      </c>
      <c r="Y117" s="475">
        <f t="shared" si="53"/>
        <v>7</v>
      </c>
      <c r="Z117" s="370">
        <f>IF(ISBLANK(Z30),NA(),SUM($Z$4:Z30))</f>
        <v>72.999999999999986</v>
      </c>
      <c r="AA117" s="370">
        <f t="shared" si="54"/>
        <v>54.87096774193548</v>
      </c>
      <c r="AB117" s="477">
        <f>IF(ISBLANK(Z30),"",SUM($Z$4:Z30))</f>
        <v>72.999999999999986</v>
      </c>
      <c r="AC117" s="478">
        <f t="shared" si="78"/>
        <v>1.3303938859494413</v>
      </c>
      <c r="AD117" s="475">
        <f t="shared" si="55"/>
        <v>1018.0370374074075</v>
      </c>
      <c r="AE117" s="483">
        <f t="shared" si="56"/>
        <v>0.82220602049584113</v>
      </c>
      <c r="AF117" s="484">
        <f t="shared" si="57"/>
        <v>0.22222222222222221</v>
      </c>
      <c r="AG117" s="45">
        <f>IF(ISBLANK(AP30),NA(),SUM($AP$4:AP30))</f>
        <v>32.599999999999994</v>
      </c>
      <c r="AH117" s="370">
        <f>SUM($AS$91:AS117)</f>
        <v>39.649429932828973</v>
      </c>
      <c r="AI117" s="478">
        <f t="shared" si="58"/>
        <v>0.82220602049584113</v>
      </c>
      <c r="AJ117" s="459">
        <f t="shared" si="59"/>
        <v>0</v>
      </c>
      <c r="AK117" s="475">
        <f t="shared" si="60"/>
        <v>1021.5</v>
      </c>
      <c r="AL117" s="459">
        <f t="shared" si="61"/>
        <v>0</v>
      </c>
      <c r="AM117" s="484" t="e">
        <f t="shared" si="62"/>
        <v>#N/A</v>
      </c>
      <c r="AO117" s="484">
        <f t="shared" si="63"/>
        <v>0.625</v>
      </c>
      <c r="AR117" s="484">
        <f t="shared" si="64"/>
        <v>0.21180555555555555</v>
      </c>
      <c r="AS117" s="370">
        <f t="shared" si="65"/>
        <v>1.5643949995677571</v>
      </c>
      <c r="AT117" s="370">
        <v>7.9253152318361222</v>
      </c>
      <c r="AU117" s="474">
        <v>27</v>
      </c>
      <c r="AV117" s="475">
        <f t="shared" si="66"/>
        <v>0</v>
      </c>
      <c r="AW117" s="459">
        <f t="shared" si="79"/>
        <v>1</v>
      </c>
      <c r="AX117" s="459">
        <f t="shared" si="80"/>
        <v>0</v>
      </c>
      <c r="AY117" s="459">
        <f t="shared" si="67"/>
        <v>1</v>
      </c>
      <c r="AZ117" s="370">
        <f t="shared" si="68"/>
        <v>5.2</v>
      </c>
      <c r="BA117" s="370">
        <f t="shared" si="69"/>
        <v>3.166666666666667</v>
      </c>
      <c r="BB117" s="370">
        <f t="shared" si="70"/>
        <v>6.2333333333333334</v>
      </c>
      <c r="BC117" s="370">
        <v>3.0783333333333331</v>
      </c>
      <c r="BD117" s="370">
        <v>6.1916666666666664</v>
      </c>
      <c r="BF117" s="475">
        <f t="shared" si="71"/>
        <v>68</v>
      </c>
      <c r="BG117" s="472">
        <f t="shared" si="72"/>
        <v>1.6</v>
      </c>
      <c r="BH117" s="459">
        <f t="shared" si="73"/>
        <v>0</v>
      </c>
      <c r="BI117" s="459">
        <f t="shared" si="81"/>
        <v>0</v>
      </c>
      <c r="BJ117" s="476">
        <f t="shared" si="74"/>
        <v>0</v>
      </c>
    </row>
    <row r="118" spans="1:64" s="459" customFormat="1" ht="12" x14ac:dyDescent="0.2">
      <c r="A118" s="475">
        <f t="shared" si="37"/>
        <v>18</v>
      </c>
      <c r="B118" s="370">
        <f t="shared" si="38"/>
        <v>2.4</v>
      </c>
      <c r="C118" s="370">
        <f t="shared" si="39"/>
        <v>7</v>
      </c>
      <c r="D118" s="370">
        <f t="shared" si="75"/>
        <v>4.7</v>
      </c>
      <c r="E118" s="370">
        <f t="shared" si="40"/>
        <v>4.5999999999999996</v>
      </c>
      <c r="F118" s="370">
        <v>2.2999999999999998</v>
      </c>
      <c r="G118" s="370">
        <v>6.97</v>
      </c>
      <c r="H118" s="370">
        <f t="shared" si="76"/>
        <v>4.6349999999999998</v>
      </c>
      <c r="I118" s="370">
        <f t="shared" si="77"/>
        <v>4.67</v>
      </c>
      <c r="K118" s="370">
        <f t="shared" si="41"/>
        <v>1.7</v>
      </c>
      <c r="L118" s="370">
        <f t="shared" si="42"/>
        <v>0.35</v>
      </c>
      <c r="M118" s="370">
        <f t="shared" si="43"/>
        <v>5.4857142857142858</v>
      </c>
      <c r="N118" s="459">
        <f t="shared" si="44"/>
        <v>0</v>
      </c>
      <c r="O118" s="370">
        <f t="shared" si="45"/>
        <v>86.357142857142861</v>
      </c>
      <c r="P118" s="370">
        <f t="shared" si="46"/>
        <v>3.1464285714285709</v>
      </c>
      <c r="Q118" s="370">
        <f t="shared" si="47"/>
        <v>7.2964285714285708</v>
      </c>
      <c r="R118" s="370">
        <f t="shared" si="48"/>
        <v>5.4642857142857135</v>
      </c>
      <c r="S118" s="370">
        <f t="shared" si="49"/>
        <v>4.1500000000000012</v>
      </c>
      <c r="T118" s="459">
        <v>59</v>
      </c>
      <c r="U118" s="476">
        <f t="shared" si="50"/>
        <v>2.032258064516129</v>
      </c>
      <c r="V118" s="474">
        <v>28</v>
      </c>
      <c r="W118" s="370">
        <f t="shared" si="51"/>
        <v>7.6440000000000001</v>
      </c>
      <c r="X118" s="370">
        <f t="shared" si="52"/>
        <v>16.107000000000003</v>
      </c>
      <c r="Y118" s="475">
        <f t="shared" si="53"/>
        <v>3</v>
      </c>
      <c r="Z118" s="370">
        <f>IF(ISBLANK(Z31),NA(),SUM($Z$4:Z31))</f>
        <v>72.999999999999986</v>
      </c>
      <c r="AA118" s="370">
        <f t="shared" si="54"/>
        <v>56.903225806451616</v>
      </c>
      <c r="AB118" s="477">
        <f>IF(ISBLANK(Z31),"",SUM($Z$4:Z31))</f>
        <v>72.999999999999986</v>
      </c>
      <c r="AC118" s="478">
        <f t="shared" si="78"/>
        <v>1.2828798185941039</v>
      </c>
      <c r="AD118" s="475">
        <f t="shared" si="55"/>
        <v>1018.2321432142859</v>
      </c>
      <c r="AE118" s="483">
        <f t="shared" si="56"/>
        <v>0.79567280954571751</v>
      </c>
      <c r="AF118" s="484" t="e">
        <f t="shared" si="57"/>
        <v>#N/A</v>
      </c>
      <c r="AG118" s="45">
        <f>IF(ISBLANK(AP31),NA(),SUM($AP$4:AP31))</f>
        <v>32.799999999999997</v>
      </c>
      <c r="AH118" s="370">
        <f>SUM($AS$91:AS118)</f>
        <v>41.222974577611708</v>
      </c>
      <c r="AI118" s="478">
        <f t="shared" si="58"/>
        <v>0.79567280954571751</v>
      </c>
      <c r="AJ118" s="459">
        <f t="shared" si="59"/>
        <v>0</v>
      </c>
      <c r="AK118" s="475">
        <f t="shared" si="60"/>
        <v>1023.5</v>
      </c>
      <c r="AL118" s="459">
        <f t="shared" si="61"/>
        <v>0</v>
      </c>
      <c r="AM118" s="484">
        <f t="shared" si="62"/>
        <v>0.52083333333333337</v>
      </c>
      <c r="AO118" s="484">
        <f t="shared" si="63"/>
        <v>0.625</v>
      </c>
      <c r="AR118" s="484">
        <f t="shared" si="64"/>
        <v>0.28125</v>
      </c>
      <c r="AS118" s="370">
        <f t="shared" si="65"/>
        <v>1.5735446447827375</v>
      </c>
      <c r="AT118" s="370">
        <v>7.9716678618357175</v>
      </c>
      <c r="AU118" s="474">
        <v>28</v>
      </c>
      <c r="AV118" s="475">
        <f t="shared" si="66"/>
        <v>0</v>
      </c>
      <c r="AW118" s="459">
        <f t="shared" si="79"/>
        <v>1</v>
      </c>
      <c r="AX118" s="459">
        <f t="shared" si="80"/>
        <v>0</v>
      </c>
      <c r="AY118" s="459">
        <f t="shared" si="67"/>
        <v>1</v>
      </c>
      <c r="AZ118" s="370">
        <f t="shared" si="68"/>
        <v>5.2</v>
      </c>
      <c r="BA118" s="370">
        <f t="shared" si="69"/>
        <v>3.166666666666667</v>
      </c>
      <c r="BB118" s="370">
        <f t="shared" si="70"/>
        <v>6.2333333333333334</v>
      </c>
      <c r="BC118" s="370">
        <v>3.0783333333333331</v>
      </c>
      <c r="BD118" s="370">
        <v>6.1916666666666664</v>
      </c>
      <c r="BF118" s="475">
        <f t="shared" si="71"/>
        <v>64</v>
      </c>
      <c r="BG118" s="472">
        <f t="shared" si="72"/>
        <v>0.5</v>
      </c>
      <c r="BH118" s="459">
        <f t="shared" si="73"/>
        <v>0</v>
      </c>
      <c r="BI118" s="459">
        <f t="shared" si="81"/>
        <v>0</v>
      </c>
      <c r="BJ118" s="476">
        <f t="shared" si="74"/>
        <v>0</v>
      </c>
    </row>
    <row r="119" spans="1:64" s="459" customFormat="1" ht="12" x14ac:dyDescent="0.2">
      <c r="A119" s="475">
        <f t="shared" si="37"/>
        <v>4</v>
      </c>
      <c r="B119" s="370">
        <f t="shared" si="38"/>
        <v>2.4</v>
      </c>
      <c r="C119" s="370">
        <f t="shared" si="39"/>
        <v>7</v>
      </c>
      <c r="D119" s="370">
        <f t="shared" si="75"/>
        <v>4.7</v>
      </c>
      <c r="E119" s="370">
        <f t="shared" si="40"/>
        <v>4.5999999999999996</v>
      </c>
      <c r="F119" s="370">
        <v>2.4</v>
      </c>
      <c r="G119" s="370">
        <v>6.97</v>
      </c>
      <c r="H119" s="370">
        <f t="shared" si="76"/>
        <v>4.6849999999999996</v>
      </c>
      <c r="I119" s="370">
        <f t="shared" si="77"/>
        <v>4.57</v>
      </c>
      <c r="K119" s="370">
        <f t="shared" si="41"/>
        <v>1.4000000000000001</v>
      </c>
      <c r="L119" s="370">
        <f t="shared" si="42"/>
        <v>0.6</v>
      </c>
      <c r="M119" s="370">
        <f t="shared" si="43"/>
        <v>5.5172413793103452</v>
      </c>
      <c r="N119" s="459">
        <f t="shared" si="44"/>
        <v>0</v>
      </c>
      <c r="O119" s="370">
        <f t="shared" si="45"/>
        <v>85.931034482758619</v>
      </c>
      <c r="P119" s="370">
        <f t="shared" si="46"/>
        <v>3.0344827586206891</v>
      </c>
      <c r="Q119" s="370">
        <f t="shared" si="47"/>
        <v>7.0896551724137931</v>
      </c>
      <c r="R119" s="370">
        <f t="shared" si="48"/>
        <v>5.2999999999999989</v>
      </c>
      <c r="S119" s="370">
        <f t="shared" si="49"/>
        <v>4.0551724137931044</v>
      </c>
      <c r="T119" s="459">
        <v>60</v>
      </c>
      <c r="U119" s="476">
        <f t="shared" si="50"/>
        <v>2.032258064516129</v>
      </c>
      <c r="V119" s="474">
        <v>29</v>
      </c>
      <c r="W119" s="370">
        <f t="shared" si="51"/>
        <v>7.9170000000000007</v>
      </c>
      <c r="X119" s="370">
        <f t="shared" si="52"/>
        <v>16.380000000000003</v>
      </c>
      <c r="Y119" s="475">
        <f t="shared" si="53"/>
        <v>2</v>
      </c>
      <c r="Z119" s="370">
        <f>IF(ISBLANK(Z32),NA(),SUM($Z$4:Z32))</f>
        <v>72.999999999999986</v>
      </c>
      <c r="AA119" s="370">
        <f t="shared" si="54"/>
        <v>58.935483870967744</v>
      </c>
      <c r="AB119" s="477">
        <f>IF(ISBLANK(Z32),"",SUM($Z$4:Z32))</f>
        <v>72.999999999999986</v>
      </c>
      <c r="AC119" s="478">
        <f t="shared" si="78"/>
        <v>1.2386425834701693</v>
      </c>
      <c r="AD119" s="475">
        <f t="shared" si="55"/>
        <v>1018.3965520689657</v>
      </c>
      <c r="AE119" s="483">
        <f t="shared" si="56"/>
        <v>0.76625093105027864</v>
      </c>
      <c r="AF119" s="484">
        <f t="shared" si="57"/>
        <v>7.2916666666666671E-2</v>
      </c>
      <c r="AG119" s="45">
        <f>IF(ISBLANK(AP32),NA(),SUM($AP$4:AP32))</f>
        <v>32.799999999999997</v>
      </c>
      <c r="AH119" s="370">
        <f>SUM($AS$91:AS119)</f>
        <v>42.805820744702991</v>
      </c>
      <c r="AI119" s="478">
        <f t="shared" si="58"/>
        <v>0.76625093105027864</v>
      </c>
      <c r="AJ119" s="459">
        <f t="shared" si="59"/>
        <v>0</v>
      </c>
      <c r="AK119" s="475">
        <f t="shared" si="60"/>
        <v>1023</v>
      </c>
      <c r="AL119" s="459">
        <f t="shared" si="61"/>
        <v>0</v>
      </c>
      <c r="AM119" s="484">
        <f t="shared" si="62"/>
        <v>0.61805555555555558</v>
      </c>
      <c r="AO119" s="484">
        <f t="shared" si="63"/>
        <v>0.57986111111111105</v>
      </c>
      <c r="AR119" s="484" t="e">
        <f t="shared" si="64"/>
        <v>#N/A</v>
      </c>
      <c r="AS119" s="370">
        <f t="shared" si="65"/>
        <v>1.5828461670912841</v>
      </c>
      <c r="AT119" s="370">
        <v>8.0187899099447666</v>
      </c>
      <c r="AU119" s="474">
        <v>29</v>
      </c>
      <c r="AV119" s="475">
        <f t="shared" si="66"/>
        <v>0</v>
      </c>
      <c r="AW119" s="459">
        <f t="shared" si="79"/>
        <v>1</v>
      </c>
      <c r="AX119" s="459">
        <f t="shared" si="80"/>
        <v>0</v>
      </c>
      <c r="AY119" s="459">
        <f t="shared" si="67"/>
        <v>1</v>
      </c>
      <c r="AZ119" s="370">
        <f t="shared" si="68"/>
        <v>5.2</v>
      </c>
      <c r="BA119" s="370">
        <f t="shared" si="69"/>
        <v>3.166666666666667</v>
      </c>
      <c r="BB119" s="370">
        <f t="shared" si="70"/>
        <v>6.2333333333333334</v>
      </c>
      <c r="BC119" s="370">
        <v>3.1616666666666662</v>
      </c>
      <c r="BD119" s="370">
        <v>6.208333333333333</v>
      </c>
      <c r="BF119" s="475">
        <f t="shared" si="71"/>
        <v>74</v>
      </c>
      <c r="BG119" s="472">
        <f t="shared" si="72"/>
        <v>0.7</v>
      </c>
      <c r="BH119" s="459">
        <f t="shared" si="73"/>
        <v>0</v>
      </c>
      <c r="BI119" s="459">
        <f t="shared" si="81"/>
        <v>0</v>
      </c>
      <c r="BJ119" s="476">
        <f t="shared" si="74"/>
        <v>0</v>
      </c>
    </row>
    <row r="120" spans="1:64" s="459" customFormat="1" ht="12" x14ac:dyDescent="0.2">
      <c r="A120" s="475">
        <f t="shared" si="37"/>
        <v>17</v>
      </c>
      <c r="B120" s="370">
        <f t="shared" si="38"/>
        <v>2.4</v>
      </c>
      <c r="C120" s="370">
        <f t="shared" si="39"/>
        <v>7</v>
      </c>
      <c r="D120" s="370">
        <f t="shared" si="75"/>
        <v>4.7</v>
      </c>
      <c r="E120" s="370">
        <f t="shared" si="40"/>
        <v>4.5999999999999996</v>
      </c>
      <c r="F120" s="370">
        <v>2.4</v>
      </c>
      <c r="G120" s="370">
        <v>6.97</v>
      </c>
      <c r="H120" s="370">
        <f t="shared" si="76"/>
        <v>4.6849999999999996</v>
      </c>
      <c r="I120" s="370">
        <f t="shared" si="77"/>
        <v>4.57</v>
      </c>
      <c r="K120" s="370">
        <f t="shared" si="41"/>
        <v>4.5</v>
      </c>
      <c r="L120" s="370">
        <f t="shared" si="42"/>
        <v>1.8499999999999999</v>
      </c>
      <c r="M120" s="370">
        <f t="shared" si="43"/>
        <v>5.4933333333333341</v>
      </c>
      <c r="N120" s="459">
        <f t="shared" si="44"/>
        <v>0</v>
      </c>
      <c r="O120" s="370">
        <f t="shared" si="45"/>
        <v>85.566666666666663</v>
      </c>
      <c r="P120" s="370">
        <f t="shared" si="46"/>
        <v>2.9199999999999995</v>
      </c>
      <c r="Q120" s="370">
        <f t="shared" si="47"/>
        <v>6.9899999999999993</v>
      </c>
      <c r="R120" s="370">
        <f t="shared" si="48"/>
        <v>5.1833333333333327</v>
      </c>
      <c r="S120" s="370">
        <f t="shared" si="49"/>
        <v>4.0700000000000012</v>
      </c>
      <c r="T120" s="459">
        <v>61</v>
      </c>
      <c r="U120" s="476">
        <f t="shared" si="50"/>
        <v>2.032258064516129</v>
      </c>
      <c r="V120" s="474">
        <v>30</v>
      </c>
      <c r="W120" s="370">
        <f t="shared" si="51"/>
        <v>8.1900000000000013</v>
      </c>
      <c r="X120" s="370">
        <f t="shared" si="52"/>
        <v>16.653000000000002</v>
      </c>
      <c r="Y120" s="475">
        <f t="shared" si="53"/>
        <v>3</v>
      </c>
      <c r="Z120" s="370">
        <f>IF(ISBLANK(Z33),NA(),SUM($Z$4:Z33))</f>
        <v>72.999999999999986</v>
      </c>
      <c r="AA120" s="370">
        <f t="shared" si="54"/>
        <v>60.967741935483872</v>
      </c>
      <c r="AB120" s="477">
        <f>IF(ISBLANK(Z33),"",SUM($Z$4:Z33))</f>
        <v>72.999999999999986</v>
      </c>
      <c r="AC120" s="478">
        <f t="shared" si="78"/>
        <v>1.1973544973544972</v>
      </c>
      <c r="AD120" s="475">
        <f t="shared" si="55"/>
        <v>1018.5666670000002</v>
      </c>
      <c r="AE120" s="483">
        <f t="shared" si="56"/>
        <v>0.7838170560105614</v>
      </c>
      <c r="AF120" s="484">
        <f t="shared" si="57"/>
        <v>0.24652777777777779</v>
      </c>
      <c r="AG120" s="45">
        <f>IF(ISBLANK(AP33),NA(),SUM($AP$4:AP33))</f>
        <v>34.799999999999997</v>
      </c>
      <c r="AH120" s="370">
        <f>SUM($AS$91:AS120)</f>
        <v>44.398115265727377</v>
      </c>
      <c r="AI120" s="478">
        <f t="shared" si="58"/>
        <v>0.7838170560105614</v>
      </c>
      <c r="AJ120" s="459">
        <f t="shared" si="59"/>
        <v>0</v>
      </c>
      <c r="AK120" s="475">
        <f t="shared" si="60"/>
        <v>1023.5</v>
      </c>
      <c r="AL120" s="459">
        <f t="shared" si="61"/>
        <v>0</v>
      </c>
      <c r="AM120" s="484">
        <f t="shared" si="62"/>
        <v>0.57986111111111105</v>
      </c>
      <c r="AO120" s="484">
        <f t="shared" si="63"/>
        <v>0.56944444444444442</v>
      </c>
      <c r="AR120" s="484">
        <f t="shared" si="64"/>
        <v>0.15277777777777776</v>
      </c>
      <c r="AS120" s="370">
        <f t="shared" si="65"/>
        <v>1.5922945210243835</v>
      </c>
      <c r="AT120" s="370">
        <v>8.0666558155264525</v>
      </c>
      <c r="AU120" s="474">
        <v>30</v>
      </c>
      <c r="AV120" s="475">
        <f t="shared" si="66"/>
        <v>0</v>
      </c>
      <c r="AW120" s="459">
        <f t="shared" si="79"/>
        <v>1</v>
      </c>
      <c r="AX120" s="459">
        <f t="shared" si="80"/>
        <v>0</v>
      </c>
      <c r="AY120" s="459">
        <f t="shared" si="67"/>
        <v>1</v>
      </c>
      <c r="AZ120" s="370">
        <f t="shared" si="68"/>
        <v>5.2</v>
      </c>
      <c r="BA120" s="370">
        <f t="shared" si="69"/>
        <v>3.166666666666667</v>
      </c>
      <c r="BB120" s="370">
        <f t="shared" si="70"/>
        <v>6.2333333333333334</v>
      </c>
      <c r="BC120" s="370">
        <v>3.1616666666666662</v>
      </c>
      <c r="BD120" s="370">
        <v>6.208333333333333</v>
      </c>
      <c r="BF120" s="475">
        <f t="shared" si="71"/>
        <v>75</v>
      </c>
      <c r="BG120" s="472">
        <f t="shared" si="72"/>
        <v>1.8</v>
      </c>
      <c r="BH120" s="459">
        <f t="shared" si="73"/>
        <v>0</v>
      </c>
      <c r="BI120" s="459">
        <f t="shared" si="81"/>
        <v>0</v>
      </c>
      <c r="BJ120" s="476">
        <f t="shared" si="74"/>
        <v>0</v>
      </c>
    </row>
    <row r="121" spans="1:64" s="459" customFormat="1" ht="12.75" customHeight="1" x14ac:dyDescent="0.2">
      <c r="A121" s="475">
        <f t="shared" si="37"/>
        <v>13</v>
      </c>
      <c r="B121" s="370">
        <f t="shared" si="38"/>
        <v>2.4</v>
      </c>
      <c r="C121" s="370">
        <f t="shared" si="39"/>
        <v>7</v>
      </c>
      <c r="D121" s="370">
        <f t="shared" si="75"/>
        <v>4.7</v>
      </c>
      <c r="E121" s="370">
        <f t="shared" si="40"/>
        <v>4.5999999999999996</v>
      </c>
      <c r="F121" s="370">
        <v>2.4</v>
      </c>
      <c r="G121" s="370">
        <v>7.03</v>
      </c>
      <c r="H121" s="370">
        <f t="shared" si="76"/>
        <v>4.7149999999999999</v>
      </c>
      <c r="I121" s="370">
        <f t="shared" si="77"/>
        <v>4.6300000000000008</v>
      </c>
      <c r="K121" s="370">
        <f t="shared" si="41"/>
        <v>4.4000000000000004</v>
      </c>
      <c r="L121" s="370">
        <f t="shared" si="42"/>
        <v>1.5</v>
      </c>
      <c r="M121" s="370">
        <f t="shared" si="43"/>
        <v>5.403225806451613</v>
      </c>
      <c r="N121" s="459">
        <f t="shared" si="44"/>
        <v>0</v>
      </c>
      <c r="O121" s="370">
        <f t="shared" si="45"/>
        <v>85.193548387096769</v>
      </c>
      <c r="P121" s="370">
        <f t="shared" si="46"/>
        <v>2.803225806451612</v>
      </c>
      <c r="Q121" s="370">
        <f t="shared" si="47"/>
        <v>6.8838709677419345</v>
      </c>
      <c r="R121" s="370">
        <f t="shared" si="48"/>
        <v>5.0806451612903221</v>
      </c>
      <c r="S121" s="370">
        <f t="shared" si="49"/>
        <v>4.0806451612903238</v>
      </c>
      <c r="T121" s="459">
        <v>62</v>
      </c>
      <c r="U121" s="476">
        <f t="shared" si="50"/>
        <v>2.032258064516129</v>
      </c>
      <c r="V121" s="474">
        <v>31</v>
      </c>
      <c r="W121" s="370">
        <f t="shared" si="51"/>
        <v>8.463000000000001</v>
      </c>
      <c r="X121" s="370">
        <f t="shared" si="52"/>
        <v>16.926000000000002</v>
      </c>
      <c r="Y121" s="475">
        <f t="shared" si="53"/>
        <v>1</v>
      </c>
      <c r="Z121" s="370">
        <f>IF(ISBLANK(Z34),NA(),SUM($Z$4:Z34))</f>
        <v>72.999999999999986</v>
      </c>
      <c r="AA121" s="370">
        <f t="shared" si="54"/>
        <v>63</v>
      </c>
      <c r="AB121" s="477">
        <f>IF(ISBLANK(Z6),"",SUM($Z$4:Z34))</f>
        <v>72.999999999999986</v>
      </c>
      <c r="AC121" s="478">
        <f t="shared" si="78"/>
        <v>1.1587301587301586</v>
      </c>
      <c r="AD121" s="475">
        <f t="shared" si="55"/>
        <v>1018.790322903226</v>
      </c>
      <c r="AE121" s="483">
        <f t="shared" si="56"/>
        <v>0.85434782608695647</v>
      </c>
      <c r="AF121" s="484">
        <f t="shared" si="57"/>
        <v>0</v>
      </c>
      <c r="AG121" s="45">
        <f>IF(ISBLANK(AP34),NA(),SUM($AP$4:AP34))</f>
        <v>39.299999999999997</v>
      </c>
      <c r="AH121" s="370">
        <f>SUM($AS$91:AS121)</f>
        <v>46</v>
      </c>
      <c r="AI121" s="478">
        <f t="shared" si="58"/>
        <v>0.85434782608695647</v>
      </c>
      <c r="AJ121" s="459">
        <f t="shared" si="59"/>
        <v>0</v>
      </c>
      <c r="AK121" s="475">
        <f t="shared" si="60"/>
        <v>1025.5</v>
      </c>
      <c r="AL121" s="459">
        <f t="shared" si="61"/>
        <v>0</v>
      </c>
      <c r="AM121" s="484">
        <f t="shared" si="62"/>
        <v>0.65625</v>
      </c>
      <c r="AO121" s="484">
        <f t="shared" si="63"/>
        <v>0.59375</v>
      </c>
      <c r="AR121" s="484">
        <f t="shared" si="64"/>
        <v>0.30208333333333331</v>
      </c>
      <c r="AS121" s="370">
        <f t="shared" si="65"/>
        <v>1.6018847342726248</v>
      </c>
      <c r="AT121" s="370">
        <v>8.1152403885747191</v>
      </c>
      <c r="AU121" s="474">
        <v>31</v>
      </c>
      <c r="AV121" s="475">
        <f t="shared" si="66"/>
        <v>1</v>
      </c>
      <c r="AW121" s="459">
        <f t="shared" si="79"/>
        <v>1</v>
      </c>
      <c r="AX121" s="459">
        <f t="shared" si="80"/>
        <v>0</v>
      </c>
      <c r="AY121" s="459">
        <f t="shared" si="67"/>
        <v>1</v>
      </c>
      <c r="AZ121" s="370">
        <f t="shared" si="68"/>
        <v>5.2</v>
      </c>
      <c r="BA121" s="370">
        <f t="shared" si="69"/>
        <v>3.166666666666667</v>
      </c>
      <c r="BB121" s="370">
        <f t="shared" si="70"/>
        <v>6.2333333333333334</v>
      </c>
      <c r="BC121" s="370">
        <v>3.171666666666666</v>
      </c>
      <c r="BD121" s="370">
        <v>6.2583333333333337</v>
      </c>
      <c r="BF121" s="475">
        <f t="shared" si="71"/>
        <v>74</v>
      </c>
      <c r="BG121" s="472">
        <f t="shared" si="72"/>
        <v>2</v>
      </c>
      <c r="BH121" s="459">
        <f t="shared" si="73"/>
        <v>0</v>
      </c>
      <c r="BI121" s="459">
        <f t="shared" si="81"/>
        <v>0</v>
      </c>
      <c r="BJ121" s="476">
        <f t="shared" si="74"/>
        <v>0</v>
      </c>
      <c r="BL121" s="480"/>
    </row>
    <row r="122" spans="1:64" s="459" customFormat="1" ht="6" customHeight="1" x14ac:dyDescent="0.2">
      <c r="D122" s="370"/>
      <c r="E122" s="370"/>
      <c r="F122" s="370"/>
      <c r="G122" s="370"/>
      <c r="H122" s="472"/>
      <c r="I122" s="370"/>
      <c r="K122" s="370"/>
      <c r="M122" s="475"/>
      <c r="N122" s="475"/>
      <c r="P122" s="370"/>
      <c r="R122" s="475"/>
      <c r="S122" s="475"/>
      <c r="U122" s="476"/>
      <c r="V122" s="474"/>
      <c r="W122" s="370"/>
      <c r="Z122" s="370"/>
      <c r="AA122" s="370"/>
      <c r="AB122" s="475"/>
      <c r="AC122" s="370"/>
      <c r="AD122" s="478"/>
      <c r="AE122" s="478"/>
      <c r="AG122" s="45"/>
      <c r="AH122" s="475"/>
      <c r="AI122" s="478"/>
      <c r="AK122" s="479"/>
      <c r="AQ122" s="370"/>
      <c r="AS122" s="370"/>
      <c r="AT122" s="370"/>
      <c r="AU122" s="475"/>
      <c r="AV122" s="475"/>
      <c r="AZ122" s="475"/>
      <c r="BA122" s="370"/>
      <c r="BG122" s="475"/>
      <c r="BJ122" s="476"/>
      <c r="BL122" s="480"/>
    </row>
    <row r="123" spans="1:64" s="459" customFormat="1" ht="12" x14ac:dyDescent="0.2">
      <c r="C123" s="370"/>
      <c r="R123" s="475"/>
      <c r="S123" s="475"/>
      <c r="V123" s="473" t="s">
        <v>4</v>
      </c>
      <c r="W123" s="370">
        <f>IF(Z38&lt;1,"",AVERAGE(AB4:AB33))</f>
        <v>1.0499999999999998</v>
      </c>
      <c r="X123" s="370">
        <f>MAX(AB4:AB34)</f>
        <v>3.8</v>
      </c>
      <c r="AA123" s="155"/>
      <c r="AH123" s="478">
        <f>MIN(AE95:AE121)</f>
        <v>0.48683853152275025</v>
      </c>
      <c r="AI123" s="478">
        <f>MAX(AE95:AE121)</f>
        <v>1.0693825498295344</v>
      </c>
      <c r="AJ123" s="481"/>
      <c r="AK123" s="482"/>
      <c r="AL123" s="481"/>
      <c r="AS123" s="370">
        <f>SUM(AS91:AS121)</f>
        <v>46</v>
      </c>
      <c r="AT123" s="370">
        <f>SUM(AT91:AT121)</f>
        <v>233.03865121353044</v>
      </c>
      <c r="BG123" s="370"/>
      <c r="BL123" s="474"/>
    </row>
    <row r="124" spans="1:64" s="95" customFormat="1" ht="27.75" customHeight="1" x14ac:dyDescent="0.2">
      <c r="C124" s="116"/>
      <c r="R124" s="325"/>
      <c r="S124" s="325"/>
      <c r="AY124" s="326"/>
      <c r="AZ124" s="326"/>
      <c r="BA124" s="326"/>
      <c r="BB124" s="326"/>
      <c r="BC124" s="326"/>
      <c r="BD124" s="326"/>
      <c r="BE124" s="326"/>
      <c r="BF124" s="326"/>
      <c r="BH124" s="326"/>
      <c r="BL124" s="81"/>
    </row>
    <row r="125" spans="1:64" ht="12.75" hidden="1" x14ac:dyDescent="0.2">
      <c r="AY125" s="124"/>
      <c r="AZ125" s="124"/>
      <c r="BA125" s="124"/>
      <c r="BB125" s="124"/>
      <c r="BC125" s="124"/>
      <c r="BD125" s="124"/>
      <c r="BE125" s="124"/>
      <c r="BF125" s="124"/>
      <c r="BG125" s="124"/>
      <c r="BH125" s="124"/>
    </row>
    <row r="126" spans="1:64" ht="12.75" hidden="1" x14ac:dyDescent="0.2">
      <c r="AY126" s="124"/>
      <c r="AZ126" s="124"/>
      <c r="BA126" s="124"/>
      <c r="BB126" s="124"/>
      <c r="BC126" s="124"/>
      <c r="BD126" s="124"/>
      <c r="BE126" s="124"/>
      <c r="BF126" s="124"/>
      <c r="BG126" s="124"/>
      <c r="BH126" s="124"/>
    </row>
    <row r="127" spans="1:64" ht="12.75" hidden="1" x14ac:dyDescent="0.2">
      <c r="AY127" s="124"/>
      <c r="AZ127" s="124"/>
      <c r="BA127" s="124"/>
      <c r="BB127" s="124"/>
      <c r="BC127" s="124"/>
      <c r="BD127" s="124"/>
      <c r="BE127" s="124"/>
      <c r="BF127" s="124"/>
      <c r="BG127" s="124"/>
      <c r="BH127" s="124"/>
    </row>
    <row r="128" spans="1:64" ht="12.75" hidden="1" x14ac:dyDescent="0.2">
      <c r="AY128" s="124"/>
      <c r="AZ128" s="124"/>
      <c r="BA128" s="124"/>
      <c r="BB128" s="124"/>
      <c r="BC128" s="124"/>
      <c r="BD128" s="124"/>
      <c r="BE128" s="124"/>
      <c r="BF128" s="124"/>
      <c r="BG128" s="124"/>
      <c r="BH128" s="124"/>
    </row>
    <row r="129" spans="13:60" ht="12.75" hidden="1" x14ac:dyDescent="0.2">
      <c r="AY129" s="124"/>
      <c r="AZ129" s="124"/>
      <c r="BA129" s="124"/>
      <c r="BB129" s="124"/>
      <c r="BC129" s="124"/>
      <c r="BD129" s="124"/>
      <c r="BE129" s="124"/>
      <c r="BF129" s="124"/>
      <c r="BG129" s="124"/>
      <c r="BH129" s="124"/>
    </row>
    <row r="130" spans="13:60" ht="12.75" hidden="1" x14ac:dyDescent="0.2"/>
    <row r="131" spans="13:60" ht="12.75" hidden="1" x14ac:dyDescent="0.2"/>
    <row r="132" spans="13:60" ht="12.75" hidden="1" x14ac:dyDescent="0.2"/>
    <row r="133" spans="13:60" ht="12.75" hidden="1" x14ac:dyDescent="0.2"/>
    <row r="134" spans="13:60" ht="12.75" hidden="1" x14ac:dyDescent="0.2">
      <c r="M134" s="10"/>
    </row>
  </sheetData>
  <sheetCalcPr fullCalcOnLoad="1"/>
  <mergeCells count="171">
    <mergeCell ref="AP82:AQ84"/>
    <mergeCell ref="AG59:AJ59"/>
    <mergeCell ref="AS57:AT57"/>
    <mergeCell ref="AP59:AQ59"/>
    <mergeCell ref="AS60:AT60"/>
    <mergeCell ref="AH57:AI57"/>
    <mergeCell ref="AS63:AT63"/>
    <mergeCell ref="AP79:AQ81"/>
    <mergeCell ref="AG78:AJ78"/>
    <mergeCell ref="AG67:AJ67"/>
    <mergeCell ref="AS62:AT62"/>
    <mergeCell ref="AS56:AT56"/>
    <mergeCell ref="AS59:AT59"/>
    <mergeCell ref="AS58:AT58"/>
    <mergeCell ref="W90:X90"/>
    <mergeCell ref="Q77:AB77"/>
    <mergeCell ref="Q81:AB81"/>
    <mergeCell ref="Q80:AB80"/>
    <mergeCell ref="Q78:AB79"/>
    <mergeCell ref="AH60:AI60"/>
    <mergeCell ref="AP76:AQ78"/>
    <mergeCell ref="AP69:AQ72"/>
    <mergeCell ref="AG71:AJ71"/>
    <mergeCell ref="AP73:AQ75"/>
    <mergeCell ref="AP63:AQ68"/>
    <mergeCell ref="AH72:AI72"/>
    <mergeCell ref="AG73:AJ73"/>
    <mergeCell ref="AH68:AI68"/>
    <mergeCell ref="AP60:AQ62"/>
    <mergeCell ref="Q76:AB76"/>
    <mergeCell ref="AH82:AI82"/>
    <mergeCell ref="BF84:BJ84"/>
    <mergeCell ref="BB81:BC81"/>
    <mergeCell ref="AD73:AE83"/>
    <mergeCell ref="AH79:AI79"/>
    <mergeCell ref="AG81:AJ81"/>
    <mergeCell ref="AG74:AJ74"/>
    <mergeCell ref="AH75:AI75"/>
    <mergeCell ref="Q73:AB73"/>
    <mergeCell ref="B83:D83"/>
    <mergeCell ref="Q83:AB83"/>
    <mergeCell ref="Q82:AB82"/>
    <mergeCell ref="B82:D82"/>
    <mergeCell ref="H82:H83"/>
    <mergeCell ref="B80:D80"/>
    <mergeCell ref="B76:D76"/>
    <mergeCell ref="B74:D74"/>
    <mergeCell ref="H70:I70"/>
    <mergeCell ref="B71:D71"/>
    <mergeCell ref="H71:I71"/>
    <mergeCell ref="H80:H81"/>
    <mergeCell ref="B73:D73"/>
    <mergeCell ref="B77:D77"/>
    <mergeCell ref="B81:D81"/>
    <mergeCell ref="B72:D72"/>
    <mergeCell ref="B67:D67"/>
    <mergeCell ref="H67:I67"/>
    <mergeCell ref="B78:D78"/>
    <mergeCell ref="H78:H79"/>
    <mergeCell ref="B79:D79"/>
    <mergeCell ref="H69:I69"/>
    <mergeCell ref="B75:D75"/>
    <mergeCell ref="H74:H75"/>
    <mergeCell ref="H76:H77"/>
    <mergeCell ref="B69:D69"/>
    <mergeCell ref="B68:D68"/>
    <mergeCell ref="H68:I68"/>
    <mergeCell ref="Q74:AB75"/>
    <mergeCell ref="H66:I66"/>
    <mergeCell ref="AG64:AJ64"/>
    <mergeCell ref="B64:D64"/>
    <mergeCell ref="H64:I64"/>
    <mergeCell ref="AH65:AI65"/>
    <mergeCell ref="AG66:AJ66"/>
    <mergeCell ref="B66:D66"/>
    <mergeCell ref="B65:D65"/>
    <mergeCell ref="B59:D59"/>
    <mergeCell ref="H59:I59"/>
    <mergeCell ref="H63:I63"/>
    <mergeCell ref="B63:D63"/>
    <mergeCell ref="H62:I62"/>
    <mergeCell ref="H60:I60"/>
    <mergeCell ref="B61:D61"/>
    <mergeCell ref="B62:D62"/>
    <mergeCell ref="B60:D60"/>
    <mergeCell ref="B56:D56"/>
    <mergeCell ref="AG56:AJ56"/>
    <mergeCell ref="B57:D57"/>
    <mergeCell ref="H57:I58"/>
    <mergeCell ref="K57:N57"/>
    <mergeCell ref="P57:S57"/>
    <mergeCell ref="B58:D58"/>
    <mergeCell ref="AG58:AJ58"/>
    <mergeCell ref="Z57:AB57"/>
    <mergeCell ref="AC57:AE57"/>
    <mergeCell ref="B55:D55"/>
    <mergeCell ref="AS55:AT55"/>
    <mergeCell ref="AS52:AT52"/>
    <mergeCell ref="AS53:AT53"/>
    <mergeCell ref="AS54:AT54"/>
    <mergeCell ref="Q52:R52"/>
    <mergeCell ref="AD51:AD52"/>
    <mergeCell ref="AP53:AQ53"/>
    <mergeCell ref="AG49:AJ49"/>
    <mergeCell ref="Z54:Z55"/>
    <mergeCell ref="AA52:AA53"/>
    <mergeCell ref="AG52:AJ52"/>
    <mergeCell ref="Z52:Z53"/>
    <mergeCell ref="AH50:AI50"/>
    <mergeCell ref="AH53:AI53"/>
    <mergeCell ref="AC51:AC52"/>
    <mergeCell ref="B49:D49"/>
    <mergeCell ref="B48:D48"/>
    <mergeCell ref="B54:D54"/>
    <mergeCell ref="B52:D52"/>
    <mergeCell ref="B53:D53"/>
    <mergeCell ref="B50:D50"/>
    <mergeCell ref="B51:D51"/>
    <mergeCell ref="BF46:BJ46"/>
    <mergeCell ref="BF47:BJ47"/>
    <mergeCell ref="AY47:BD47"/>
    <mergeCell ref="AS46:AX46"/>
    <mergeCell ref="B36:C36"/>
    <mergeCell ref="BA36:BB36"/>
    <mergeCell ref="B38:C38"/>
    <mergeCell ref="B46:E46"/>
    <mergeCell ref="B42:C42"/>
    <mergeCell ref="BA38:BB38"/>
    <mergeCell ref="Z46:Z47"/>
    <mergeCell ref="B47:D47"/>
    <mergeCell ref="BF1:BJ1"/>
    <mergeCell ref="D4:D43"/>
    <mergeCell ref="BA37:BB37"/>
    <mergeCell ref="BA39:BB39"/>
    <mergeCell ref="BA40:BB40"/>
    <mergeCell ref="AL1:AL2"/>
    <mergeCell ref="AN1:AN2"/>
    <mergeCell ref="AP1:AP2"/>
    <mergeCell ref="AD1:AE1"/>
    <mergeCell ref="Z1:AC1"/>
    <mergeCell ref="B1:B2"/>
    <mergeCell ref="C1:C2"/>
    <mergeCell ref="F1:I1"/>
    <mergeCell ref="K1:N1"/>
    <mergeCell ref="Q50:R50"/>
    <mergeCell ref="Q53:R53"/>
    <mergeCell ref="P1:S1"/>
    <mergeCell ref="U1:X1"/>
    <mergeCell ref="BA1:BD1"/>
    <mergeCell ref="AA46:AA47"/>
    <mergeCell ref="AL38:AL43"/>
    <mergeCell ref="AS1:AY1"/>
    <mergeCell ref="AQ1:AQ2"/>
    <mergeCell ref="AG1:AJ1"/>
    <mergeCell ref="U57:U58"/>
    <mergeCell ref="V57:V58"/>
    <mergeCell ref="W57:W58"/>
    <mergeCell ref="X57:X58"/>
    <mergeCell ref="AA54:AA55"/>
    <mergeCell ref="AA50:AA51"/>
    <mergeCell ref="Z50:Z51"/>
    <mergeCell ref="K48:N48"/>
    <mergeCell ref="AS51:AT51"/>
    <mergeCell ref="AP52:AQ52"/>
    <mergeCell ref="AS48:AU48"/>
    <mergeCell ref="AS49:AT49"/>
    <mergeCell ref="AS50:AT50"/>
    <mergeCell ref="AC50:AD50"/>
    <mergeCell ref="Z49:AA49"/>
    <mergeCell ref="Q51:R51"/>
    <mergeCell ref="AG51:AJ51"/>
  </mergeCells>
  <phoneticPr fontId="4" type="noConversion"/>
  <conditionalFormatting sqref="C4:C34">
    <cfRule type="cellIs" dxfId="1656" priority="1" stopIfTrue="1" operator="notEqual">
      <formula>G4</formula>
    </cfRule>
  </conditionalFormatting>
  <conditionalFormatting sqref="AC4:AC34">
    <cfRule type="cellIs" dxfId="1655" priority="2" stopIfTrue="1" operator="equal">
      <formula>$AC$86</formula>
    </cfRule>
    <cfRule type="cellIs" dxfId="1654" priority="3" stopIfTrue="1" operator="equal">
      <formula>0</formula>
    </cfRule>
    <cfRule type="expression" dxfId="1653" priority="4" stopIfTrue="1">
      <formula>Z4=0.1</formula>
    </cfRule>
  </conditionalFormatting>
  <conditionalFormatting sqref="W46:W53">
    <cfRule type="expression" dxfId="1652" priority="5" stopIfTrue="1">
      <formula>X46=$X$55</formula>
    </cfRule>
  </conditionalFormatting>
  <conditionalFormatting sqref="B4:B34">
    <cfRule type="cellIs" dxfId="1651" priority="6" stopIfTrue="1" operator="notEqual">
      <formula>F4</formula>
    </cfRule>
  </conditionalFormatting>
  <conditionalFormatting sqref="G4:G7">
    <cfRule type="cellIs" dxfId="1650" priority="7" stopIfTrue="1" operator="equal">
      <formula>$G$86</formula>
    </cfRule>
    <cfRule type="cellIs" dxfId="1649" priority="8" stopIfTrue="1" operator="equal">
      <formula>$G$85</formula>
    </cfRule>
    <cfRule type="expression" dxfId="1648" priority="9" stopIfTrue="1">
      <formula>C4&lt;0</formula>
    </cfRule>
  </conditionalFormatting>
  <conditionalFormatting sqref="AP92:AP107">
    <cfRule type="expression" dxfId="1647" priority="10" stopIfTrue="1">
      <formula>AQ92=$AQ$109</formula>
    </cfRule>
  </conditionalFormatting>
  <conditionalFormatting sqref="BG49:BG79">
    <cfRule type="cellIs" dxfId="1646" priority="11" stopIfTrue="1" operator="greaterThan">
      <formula>0.9</formula>
    </cfRule>
    <cfRule type="expression" dxfId="1645" priority="12" stopIfTrue="1">
      <formula>IF(J4=1,1,0)</formula>
    </cfRule>
  </conditionalFormatting>
  <conditionalFormatting sqref="B72:D80 B48:C66 D48 D51:D52 D54:D66">
    <cfRule type="expression" dxfId="1644" priority="13" stopIfTrue="1">
      <formula>IF(F48&gt;0.5,1,0)</formula>
    </cfRule>
    <cfRule type="expression" dxfId="1643" priority="14" stopIfTrue="1">
      <formula>IF(F48&lt;0.2,1,0)</formula>
    </cfRule>
  </conditionalFormatting>
  <conditionalFormatting sqref="AS50:AT60">
    <cfRule type="expression" dxfId="1642" priority="15" stopIfTrue="1">
      <formula>IF(AV50&gt;0.5,1,0)</formula>
    </cfRule>
    <cfRule type="expression" dxfId="1641" priority="16" stopIfTrue="1">
      <formula>IF(AV50&lt;0.2,1,0)</formula>
    </cfRule>
  </conditionalFormatting>
  <conditionalFormatting sqref="BD35">
    <cfRule type="cellIs" dxfId="1640" priority="17" stopIfTrue="1" operator="equal">
      <formula>#REF!</formula>
    </cfRule>
    <cfRule type="expression" dxfId="1639" priority="18" stopIfTrue="1">
      <formula>AY123=1</formula>
    </cfRule>
    <cfRule type="expression" dxfId="1638" priority="19" stopIfTrue="1">
      <formula>BH123=1</formula>
    </cfRule>
  </conditionalFormatting>
  <conditionalFormatting sqref="F4:F34">
    <cfRule type="cellIs" dxfId="1637" priority="20" stopIfTrue="1" operator="equal">
      <formula>$F$85</formula>
    </cfRule>
    <cfRule type="cellIs" dxfId="1636" priority="21" stopIfTrue="1" operator="equal">
      <formula>$F$86</formula>
    </cfRule>
    <cfRule type="expression" dxfId="1635" priority="22" stopIfTrue="1">
      <formula>IF(B4&lt;0,1,0)</formula>
    </cfRule>
  </conditionalFormatting>
  <conditionalFormatting sqref="BF49:BF79">
    <cfRule type="cellIs" dxfId="1634" priority="23" stopIfTrue="1" operator="greaterThan">
      <formula>0.9</formula>
    </cfRule>
    <cfRule type="expression" dxfId="1633" priority="24" stopIfTrue="1">
      <formula>IF(O4=1,1,0)</formula>
    </cfRule>
  </conditionalFormatting>
  <conditionalFormatting sqref="D53">
    <cfRule type="expression" dxfId="1632" priority="25" stopIfTrue="1">
      <formula>IF(H50&gt;0.5,1,0)</formula>
    </cfRule>
    <cfRule type="expression" dxfId="1631" priority="26" stopIfTrue="1">
      <formula>IF(H50&lt;0.2,1,0)</formula>
    </cfRule>
  </conditionalFormatting>
  <conditionalFormatting sqref="D49:D50">
    <cfRule type="expression" dxfId="1630" priority="27" stopIfTrue="1">
      <formula>IF(L53&gt;0.5,1,0)</formula>
    </cfRule>
    <cfRule type="expression" dxfId="1629" priority="28" stopIfTrue="1">
      <formula>IF(L53&lt;0.2,1,0)</formula>
    </cfRule>
  </conditionalFormatting>
  <conditionalFormatting sqref="BA49:BA79">
    <cfRule type="cellIs" dxfId="1628" priority="29" stopIfTrue="1" operator="equal">
      <formula>$BB$86</formula>
    </cfRule>
    <cfRule type="expression" dxfId="1627" priority="30" stopIfTrue="1">
      <formula>IF(AX91=1,1,0)</formula>
    </cfRule>
    <cfRule type="expression" dxfId="1626" priority="31" stopIfTrue="1">
      <formula>IF(AW91=1,1,0)</formula>
    </cfRule>
  </conditionalFormatting>
  <conditionalFormatting sqref="AL48:AL49 AL53:AL54 AL58 AL62:AL63 AL69:AL72 AL75:AL78">
    <cfRule type="cellIs" dxfId="1625" priority="32" stopIfTrue="1" operator="equal">
      <formula>0</formula>
    </cfRule>
    <cfRule type="cellIs" dxfId="1624" priority="33" stopIfTrue="1" operator="equal">
      <formula>$Z$86</formula>
    </cfRule>
    <cfRule type="cellIs" dxfId="1623" priority="34" stopIfTrue="1" operator="lessThan">
      <formula>0.2</formula>
    </cfRule>
  </conditionalFormatting>
  <conditionalFormatting sqref="AQ92:AQ107">
    <cfRule type="cellIs" dxfId="1622" priority="35" stopIfTrue="1" operator="equal">
      <formula>$AQ$109</formula>
    </cfRule>
  </conditionalFormatting>
  <conditionalFormatting sqref="AB91:AB121">
    <cfRule type="cellIs" dxfId="1621" priority="36" stopIfTrue="1" operator="equal">
      <formula>0</formula>
    </cfRule>
  </conditionalFormatting>
  <conditionalFormatting sqref="AM4:AM34">
    <cfRule type="cellIs" dxfId="1620" priority="37" stopIfTrue="1" operator="equal">
      <formula>$AH$86</formula>
    </cfRule>
    <cfRule type="cellIs" dxfId="1619" priority="38" stopIfTrue="1" operator="equal">
      <formula>$AH$85</formula>
    </cfRule>
  </conditionalFormatting>
  <conditionalFormatting sqref="AE4:AE34">
    <cfRule type="cellIs" dxfId="1618" priority="39" stopIfTrue="1" operator="equal">
      <formula>$AD$86</formula>
    </cfRule>
    <cfRule type="cellIs" dxfId="1617" priority="40" stopIfTrue="1" operator="equal">
      <formula>0</formula>
    </cfRule>
  </conditionalFormatting>
  <conditionalFormatting sqref="AY49:AZ79">
    <cfRule type="cellIs" dxfId="1616" priority="41" stopIfTrue="1" operator="equal">
      <formula>$BA$84</formula>
    </cfRule>
    <cfRule type="cellIs" dxfId="1615" priority="42" stopIfTrue="1" operator="equal">
      <formula>$BB$84</formula>
    </cfRule>
  </conditionalFormatting>
  <conditionalFormatting sqref="AW4:AW34 BI35">
    <cfRule type="cellIs" dxfId="1614" priority="43" stopIfTrue="1" operator="equal">
      <formula>$AW$85</formula>
    </cfRule>
    <cfRule type="cellIs" dxfId="1613" priority="44" stopIfTrue="1" operator="equal">
      <formula>$AW$86</formula>
    </cfRule>
  </conditionalFormatting>
  <conditionalFormatting sqref="BC35 BD4:BD34">
    <cfRule type="cellIs" dxfId="1612" priority="45" stopIfTrue="1" operator="equal">
      <formula>$BD$85</formula>
    </cfRule>
    <cfRule type="cellIs" dxfId="1611" priority="46" stopIfTrue="1" operator="equal">
      <formula>$BD$86</formula>
    </cfRule>
  </conditionalFormatting>
  <conditionalFormatting sqref="BC49:BC80">
    <cfRule type="cellIs" dxfId="1610" priority="47" stopIfTrue="1" operator="equal">
      <formula>$AU$85</formula>
    </cfRule>
    <cfRule type="cellIs" dxfId="1609" priority="48" stopIfTrue="1" operator="equal">
      <formula>$AU$86</formula>
    </cfRule>
  </conditionalFormatting>
  <conditionalFormatting sqref="BD49:BD80">
    <cfRule type="cellIs" dxfId="1608" priority="49" stopIfTrue="1" operator="equal">
      <formula>#REF!</formula>
    </cfRule>
    <cfRule type="cellIs" dxfId="1607" priority="50" stopIfTrue="1" operator="equal">
      <formula>#REF!</formula>
    </cfRule>
  </conditionalFormatting>
  <conditionalFormatting sqref="BF35 BF4:BG34">
    <cfRule type="cellIs" dxfId="1606" priority="51" stopIfTrue="1" operator="equal">
      <formula>$BF$85</formula>
    </cfRule>
    <cfRule type="cellIs" dxfId="1605" priority="52" stopIfTrue="1" operator="equal">
      <formula>$BF$86</formula>
    </cfRule>
  </conditionalFormatting>
  <conditionalFormatting sqref="BG35">
    <cfRule type="cellIs" dxfId="1604" priority="53" stopIfTrue="1" operator="equal">
      <formula>$BG$85</formula>
    </cfRule>
    <cfRule type="cellIs" dxfId="1603" priority="54" stopIfTrue="1" operator="equal">
      <formula>$BG$86</formula>
    </cfRule>
  </conditionalFormatting>
  <conditionalFormatting sqref="BH4:BH35">
    <cfRule type="cellIs" dxfId="1602" priority="55" stopIfTrue="1" operator="equal">
      <formula>$BH$85</formula>
    </cfRule>
    <cfRule type="cellIs" dxfId="1601" priority="56" stopIfTrue="1" operator="equal">
      <formula>$BH$86</formula>
    </cfRule>
  </conditionalFormatting>
  <conditionalFormatting sqref="BA4:BA35">
    <cfRule type="cellIs" dxfId="1600" priority="57" stopIfTrue="1" operator="equal">
      <formula>$BA$85</formula>
    </cfRule>
    <cfRule type="cellIs" dxfId="1599" priority="58" stopIfTrue="1" operator="equal">
      <formula>$BA$86</formula>
    </cfRule>
  </conditionalFormatting>
  <conditionalFormatting sqref="BF80">
    <cfRule type="cellIs" dxfId="1598" priority="59" stopIfTrue="1" operator="greaterThan">
      <formula>0.9</formula>
    </cfRule>
  </conditionalFormatting>
  <conditionalFormatting sqref="BG80">
    <cfRule type="cellIs" dxfId="1597" priority="60" stopIfTrue="1" operator="lessThan">
      <formula>0.3</formula>
    </cfRule>
  </conditionalFormatting>
  <conditionalFormatting sqref="BJ8:BJ35">
    <cfRule type="cellIs" dxfId="1596" priority="61" stopIfTrue="1" operator="equal">
      <formula>$BJ$85</formula>
    </cfRule>
    <cfRule type="cellIs" dxfId="1595" priority="62" stopIfTrue="1" operator="equal">
      <formula>$BJ$86</formula>
    </cfRule>
  </conditionalFormatting>
  <conditionalFormatting sqref="BI4:BI34">
    <cfRule type="cellIs" dxfId="1594" priority="63" stopIfTrue="1" operator="equal">
      <formula>$BI$86</formula>
    </cfRule>
    <cfRule type="cellIs" dxfId="1593" priority="64" stopIfTrue="1" operator="equal">
      <formula>$BI$85</formula>
    </cfRule>
  </conditionalFormatting>
  <conditionalFormatting sqref="AY35:AZ35">
    <cfRule type="cellIs" dxfId="1592" priority="65" stopIfTrue="1" operator="equal">
      <formula>$AY$85</formula>
    </cfRule>
    <cfRule type="cellIs" dxfId="1591" priority="66" stopIfTrue="1" operator="equal">
      <formula>$AY$86</formula>
    </cfRule>
  </conditionalFormatting>
  <conditionalFormatting sqref="AY4:AY34">
    <cfRule type="cellIs" dxfId="1590" priority="67" stopIfTrue="1" operator="equal">
      <formula>$AY$85</formula>
    </cfRule>
    <cfRule type="cellIs" dxfId="1589" priority="68" stopIfTrue="1" operator="equal">
      <formula>$AY$86</formula>
    </cfRule>
  </conditionalFormatting>
  <conditionalFormatting sqref="AR4:AR34">
    <cfRule type="cellIs" dxfId="1588" priority="69" stopIfTrue="1" operator="equal">
      <formula>$M$92</formula>
    </cfRule>
  </conditionalFormatting>
  <conditionalFormatting sqref="AV50:AV60 F72:F80 F48:F66">
    <cfRule type="cellIs" dxfId="1587" priority="70" stopIfTrue="1" operator="between">
      <formula>0.45</formula>
      <formula>0.55</formula>
    </cfRule>
  </conditionalFormatting>
  <conditionalFormatting sqref="AS8:AS34">
    <cfRule type="cellIs" dxfId="1586" priority="71" stopIfTrue="1" operator="equal">
      <formula>$AS$85</formula>
    </cfRule>
    <cfRule type="cellIs" dxfId="1585" priority="72" stopIfTrue="1" operator="equal">
      <formula>$AS$86</formula>
    </cfRule>
  </conditionalFormatting>
  <conditionalFormatting sqref="AI4:AI35">
    <cfRule type="cellIs" dxfId="1584" priority="73" stopIfTrue="1" operator="equal">
      <formula>$AI$85</formula>
    </cfRule>
    <cfRule type="cellIs" dxfId="1583" priority="74" stopIfTrue="1" operator="equal">
      <formula>$AI$86</formula>
    </cfRule>
  </conditionalFormatting>
  <conditionalFormatting sqref="AJ4:AJ35">
    <cfRule type="cellIs" dxfId="1582" priority="75" stopIfTrue="1" operator="equal">
      <formula>$AJ$85</formula>
    </cfRule>
    <cfRule type="cellIs" dxfId="1581" priority="76" stopIfTrue="1" operator="equal">
      <formula>$AJ$86</formula>
    </cfRule>
  </conditionalFormatting>
  <conditionalFormatting sqref="AT4:AT35">
    <cfRule type="cellIs" dxfId="1580" priority="77" stopIfTrue="1" operator="equal">
      <formula>$AT$85</formula>
    </cfRule>
    <cfRule type="cellIs" dxfId="1579" priority="78" stopIfTrue="1" operator="equal">
      <formula>$AT$86</formula>
    </cfRule>
  </conditionalFormatting>
  <conditionalFormatting sqref="AU4:AU35">
    <cfRule type="cellIs" dxfId="1578" priority="79" stopIfTrue="1" operator="equal">
      <formula>$AU$85</formula>
    </cfRule>
    <cfRule type="cellIs" dxfId="1577" priority="80" stopIfTrue="1" operator="equal">
      <formula>$AU$86</formula>
    </cfRule>
  </conditionalFormatting>
  <conditionalFormatting sqref="AV35:AW35 AV4:AV34">
    <cfRule type="cellIs" dxfId="1576" priority="81" stopIfTrue="1" operator="equal">
      <formula>$AV$85</formula>
    </cfRule>
    <cfRule type="cellIs" dxfId="1575" priority="82" stopIfTrue="1" operator="equal">
      <formula>$AV$86</formula>
    </cfRule>
  </conditionalFormatting>
  <conditionalFormatting sqref="AX4:AX35">
    <cfRule type="cellIs" dxfId="1574" priority="83" stopIfTrue="1" operator="equal">
      <formula>$AX$85</formula>
    </cfRule>
    <cfRule type="cellIs" dxfId="1573" priority="84" stopIfTrue="1" operator="equal">
      <formula>$AX$86</formula>
    </cfRule>
  </conditionalFormatting>
  <conditionalFormatting sqref="AG4:AG34">
    <cfRule type="cellIs" dxfId="1572" priority="85" stopIfTrue="1" operator="equal">
      <formula>$AG$85</formula>
    </cfRule>
    <cfRule type="cellIs" dxfId="1571" priority="86" stopIfTrue="1" operator="equal">
      <formula>$AG$86</formula>
    </cfRule>
  </conditionalFormatting>
  <conditionalFormatting sqref="AH4:AH35">
    <cfRule type="cellIs" dxfId="1570" priority="87" stopIfTrue="1" operator="equal">
      <formula>$AH$85</formula>
    </cfRule>
    <cfRule type="cellIs" dxfId="1569" priority="88" stopIfTrue="1" operator="equal">
      <formula>$AH$86</formula>
    </cfRule>
  </conditionalFormatting>
  <conditionalFormatting sqref="AP4:AP34">
    <cfRule type="cellIs" dxfId="1568" priority="89" stopIfTrue="1" operator="equal">
      <formula>$AP$86</formula>
    </cfRule>
    <cfRule type="cellIs" dxfId="1567" priority="90" stopIfTrue="1" operator="equal">
      <formula>0.001</formula>
    </cfRule>
  </conditionalFormatting>
  <conditionalFormatting sqref="BH49:BH79">
    <cfRule type="cellIs" dxfId="1566" priority="91" stopIfTrue="1" operator="greaterThan">
      <formula>0.9</formula>
    </cfRule>
  </conditionalFormatting>
  <conditionalFormatting sqref="BI49:BI79">
    <cfRule type="cellIs" dxfId="1565" priority="92" stopIfTrue="1" operator="greaterThan">
      <formula>0.5</formula>
    </cfRule>
  </conditionalFormatting>
  <conditionalFormatting sqref="X46:X53">
    <cfRule type="cellIs" dxfId="1564" priority="93" stopIfTrue="1" operator="equal">
      <formula>$X$55</formula>
    </cfRule>
  </conditionalFormatting>
  <conditionalFormatting sqref="L4:L34">
    <cfRule type="cellIs" dxfId="1563" priority="94" stopIfTrue="1" operator="equal">
      <formula>98</formula>
    </cfRule>
    <cfRule type="cellIs" dxfId="1562" priority="95" stopIfTrue="1" operator="equal">
      <formula>$L$85</formula>
    </cfRule>
    <cfRule type="cellIs" dxfId="1561" priority="96" stopIfTrue="1" operator="equal">
      <formula>$L$86</formula>
    </cfRule>
  </conditionalFormatting>
  <conditionalFormatting sqref="K4:K34">
    <cfRule type="cellIs" dxfId="1560" priority="97" stopIfTrue="1" operator="equal">
      <formula>$K$85</formula>
    </cfRule>
    <cfRule type="cellIs" dxfId="1559" priority="98" stopIfTrue="1" operator="equal">
      <formula>$K$86</formula>
    </cfRule>
  </conditionalFormatting>
  <conditionalFormatting sqref="X6:X22 X4 X31:X34">
    <cfRule type="cellIs" dxfId="1558" priority="99" stopIfTrue="1" operator="equal">
      <formula>10</formula>
    </cfRule>
    <cfRule type="cellIs" priority="100" stopIfTrue="1" operator="equal">
      <formula>0</formula>
    </cfRule>
  </conditionalFormatting>
  <conditionalFormatting sqref="X30">
    <cfRule type="cellIs" dxfId="1557" priority="101" stopIfTrue="1" operator="equal">
      <formula>$AW$85</formula>
    </cfRule>
    <cfRule type="cellIs" dxfId="1556" priority="102" stopIfTrue="1" operator="equal">
      <formula>$AW$86</formula>
    </cfRule>
  </conditionalFormatting>
  <conditionalFormatting sqref="I4:I34">
    <cfRule type="cellIs" dxfId="1555" priority="103" stopIfTrue="1" operator="equal">
      <formula>$I$85</formula>
    </cfRule>
    <cfRule type="cellIs" dxfId="1554" priority="104" stopIfTrue="1" operator="equal">
      <formula>$I$86</formula>
    </cfRule>
  </conditionalFormatting>
  <conditionalFormatting sqref="N4:N34">
    <cfRule type="cellIs" dxfId="1553" priority="105" stopIfTrue="1" operator="equal">
      <formula>$N$85</formula>
    </cfRule>
    <cfRule type="cellIs" dxfId="1552" priority="106" stopIfTrue="1" operator="equal">
      <formula>$N$86</formula>
    </cfRule>
  </conditionalFormatting>
  <conditionalFormatting sqref="AA34:AB34 AA4:AA33">
    <cfRule type="cellIs" dxfId="1551" priority="107" stopIfTrue="1" operator="equal">
      <formula>$AA$86</formula>
    </cfRule>
  </conditionalFormatting>
  <conditionalFormatting sqref="P4:P34">
    <cfRule type="cellIs" dxfId="1550" priority="108" stopIfTrue="1" operator="equal">
      <formula>$P$85</formula>
    </cfRule>
    <cfRule type="cellIs" dxfId="1549" priority="109" stopIfTrue="1" operator="equal">
      <formula>$P$86</formula>
    </cfRule>
  </conditionalFormatting>
  <conditionalFormatting sqref="S4:S34">
    <cfRule type="cellIs" dxfId="1548" priority="110" stopIfTrue="1" operator="equal">
      <formula>$S$85</formula>
    </cfRule>
    <cfRule type="cellIs" dxfId="1547" priority="111" stopIfTrue="1" operator="equal">
      <formula>$S$86</formula>
    </cfRule>
  </conditionalFormatting>
  <conditionalFormatting sqref="R4:R34">
    <cfRule type="cellIs" dxfId="1546" priority="112" stopIfTrue="1" operator="equal">
      <formula>$R$85</formula>
    </cfRule>
    <cfRule type="cellIs" dxfId="1545" priority="113" stopIfTrue="1" operator="equal">
      <formula>$R$86</formula>
    </cfRule>
  </conditionalFormatting>
  <conditionalFormatting sqref="Q4:Q34">
    <cfRule type="cellIs" dxfId="1544" priority="114" stopIfTrue="1" operator="equal">
      <formula>$Q$85</formula>
    </cfRule>
    <cfRule type="cellIs" dxfId="1543" priority="115" stopIfTrue="1" operator="equal">
      <formula>$Q$86</formula>
    </cfRule>
  </conditionalFormatting>
  <conditionalFormatting sqref="U47 U49:U50 U53:U56">
    <cfRule type="cellIs" dxfId="1542" priority="116" stopIfTrue="1" operator="equal">
      <formula>$W$86</formula>
    </cfRule>
    <cfRule type="cellIs" dxfId="1541" priority="117" stopIfTrue="1" operator="equal">
      <formula>$W$85</formula>
    </cfRule>
  </conditionalFormatting>
  <conditionalFormatting sqref="H4:H35">
    <cfRule type="cellIs" dxfId="1540" priority="118" stopIfTrue="1" operator="equal">
      <formula>$H$85</formula>
    </cfRule>
    <cfRule type="cellIs" dxfId="1539" priority="119" stopIfTrue="1" operator="equal">
      <formula>$H$86</formula>
    </cfRule>
  </conditionalFormatting>
  <conditionalFormatting sqref="M4:M34">
    <cfRule type="cellIs" dxfId="1538" priority="120" stopIfTrue="1" operator="equal">
      <formula>$M$85</formula>
    </cfRule>
    <cfRule type="cellIs" dxfId="1537" priority="121" stopIfTrue="1" operator="equal">
      <formula>$M$86</formula>
    </cfRule>
  </conditionalFormatting>
  <conditionalFormatting sqref="AB4:AB33">
    <cfRule type="cellIs" dxfId="1536" priority="122" stopIfTrue="1" operator="equal">
      <formula>$X$123</formula>
    </cfRule>
  </conditionalFormatting>
  <conditionalFormatting sqref="G8:G34">
    <cfRule type="cellIs" dxfId="1535" priority="123" stopIfTrue="1" operator="equal">
      <formula>$G$86</formula>
    </cfRule>
    <cfRule type="cellIs" dxfId="1534" priority="124" stopIfTrue="1" operator="equal">
      <formula>$G$85</formula>
    </cfRule>
    <cfRule type="cellIs" dxfId="1533" priority="125" stopIfTrue="1" operator="greaterThan">
      <formula>25</formula>
    </cfRule>
  </conditionalFormatting>
  <conditionalFormatting sqref="AD4:AD34">
    <cfRule type="cellIs" dxfId="1532" priority="126" stopIfTrue="1" operator="equal">
      <formula>$AE$86</formula>
    </cfRule>
    <cfRule type="cellIs" dxfId="1531" priority="127" stopIfTrue="1" operator="equal">
      <formula>$AE$85</formula>
    </cfRule>
  </conditionalFormatting>
  <conditionalFormatting sqref="AQ4:AQ34">
    <cfRule type="cellIs" dxfId="1530" priority="128" stopIfTrue="1" operator="equal">
      <formula>0</formula>
    </cfRule>
    <cfRule type="cellIs" dxfId="1529" priority="129" stopIfTrue="1" operator="equal">
      <formula>$AQ$86</formula>
    </cfRule>
    <cfRule type="cellIs" dxfId="1528" priority="130" stopIfTrue="1" operator="between">
      <formula>0.1</formula>
      <formula>0.4</formula>
    </cfRule>
  </conditionalFormatting>
  <conditionalFormatting sqref="U4:U34">
    <cfRule type="cellIs" dxfId="1527" priority="131" stopIfTrue="1" operator="equal">
      <formula>$U$86</formula>
    </cfRule>
    <cfRule type="cellIs" dxfId="1526" priority="132" stopIfTrue="1" operator="equal">
      <formula>$U$85</formula>
    </cfRule>
  </conditionalFormatting>
  <conditionalFormatting sqref="V4:V34">
    <cfRule type="cellIs" dxfId="1525" priority="133" stopIfTrue="1" operator="equal">
      <formula>$V$86</formula>
    </cfRule>
    <cfRule type="cellIs" dxfId="1524" priority="134" stopIfTrue="1" operator="equal">
      <formula>$V$85</formula>
    </cfRule>
  </conditionalFormatting>
  <conditionalFormatting sqref="W4:W34">
    <cfRule type="cellIs" dxfId="1523" priority="135" stopIfTrue="1" operator="equal">
      <formula>$W$86</formula>
    </cfRule>
    <cfRule type="cellIs" dxfId="1522" priority="136" stopIfTrue="1" operator="equal">
      <formula>$W$85</formula>
    </cfRule>
  </conditionalFormatting>
  <conditionalFormatting sqref="Z4:Z34">
    <cfRule type="cellIs" dxfId="1521" priority="137" stopIfTrue="1" operator="equal">
      <formula>0</formula>
    </cfRule>
    <cfRule type="cellIs" dxfId="1520" priority="138" stopIfTrue="1" operator="equal">
      <formula>$Z$86</formula>
    </cfRule>
    <cfRule type="cellIs" dxfId="1519" priority="139" stopIfTrue="1" operator="lessThan">
      <formula>0.2</formula>
    </cfRule>
  </conditionalFormatting>
  <conditionalFormatting sqref="E48:E66 AU50:AU60">
    <cfRule type="cellIs" dxfId="1518" priority="140" stopIfTrue="1" operator="notBetween">
      <formula>-0.5</formula>
      <formula>0.5</formula>
    </cfRule>
    <cfRule type="cellIs" dxfId="1517" priority="141" stopIfTrue="1" operator="between">
      <formula>-0.2</formula>
      <formula>0.2</formula>
    </cfRule>
  </conditionalFormatting>
  <conditionalFormatting sqref="E72:E80">
    <cfRule type="cellIs" dxfId="1516" priority="142" stopIfTrue="1" operator="notBetween">
      <formula>-0.5</formula>
      <formula>0.5</formula>
    </cfRule>
    <cfRule type="cellIs" dxfId="1515" priority="143" stopIfTrue="1" operator="between">
      <formula>-0.2</formula>
      <formula>0.2</formula>
    </cfRule>
  </conditionalFormatting>
  <conditionalFormatting sqref="BB4:BB34">
    <cfRule type="cellIs" dxfId="1514" priority="144" stopIfTrue="1" operator="equal">
      <formula>$BB$85</formula>
    </cfRule>
    <cfRule type="cellIs" dxfId="1513" priority="145" stopIfTrue="1" operator="equal">
      <formula>$BB$86</formula>
    </cfRule>
  </conditionalFormatting>
  <conditionalFormatting sqref="BC4:BC34">
    <cfRule type="cellIs" dxfId="1512" priority="146" stopIfTrue="1" operator="equal">
      <formula>$BC$85</formula>
    </cfRule>
    <cfRule type="cellIs" dxfId="1511" priority="147" stopIfTrue="1" operator="equal">
      <formula>$BC$86</formula>
    </cfRule>
  </conditionalFormatting>
  <pageMargins left="0.75" right="0.75" top="1" bottom="1" header="0.5" footer="0.5"/>
  <pageSetup paperSize="9" orientation="portrait" horizontalDpi="4294967293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tabColor indexed="44"/>
  </sheetPr>
  <dimension ref="A1"/>
  <sheetViews>
    <sheetView zoomScale="74" workbookViewId="0">
      <selection activeCell="W13" sqref="W13"/>
    </sheetView>
  </sheetViews>
  <sheetFormatPr defaultRowHeight="12.75" x14ac:dyDescent="0.2"/>
  <sheetData/>
  <phoneticPr fontId="4" type="noConversion"/>
  <pageMargins left="0.75" right="0.75" top="1" bottom="1" header="0.5" footer="0.5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tabColor indexed="40"/>
  </sheetPr>
  <dimension ref="A1:CK134"/>
  <sheetViews>
    <sheetView zoomScale="90" workbookViewId="0">
      <pane xSplit="1" topLeftCell="B1" activePane="topRight" state="frozen"/>
      <selection activeCell="AN72" sqref="AN72"/>
      <selection pane="topRight"/>
    </sheetView>
  </sheetViews>
  <sheetFormatPr defaultRowHeight="0" customHeight="1" zeroHeight="1" x14ac:dyDescent="0.2"/>
  <cols>
    <col min="1" max="1" width="2.85546875" style="1" customWidth="1"/>
    <col min="2" max="2" width="5.140625" style="1" customWidth="1"/>
    <col min="3" max="3" width="5.140625" style="7" customWidth="1"/>
    <col min="4" max="4" width="11" style="1" customWidth="1"/>
    <col min="5" max="5" width="8.85546875" style="1" customWidth="1"/>
    <col min="6" max="9" width="9.28515625" style="1" customWidth="1"/>
    <col min="10" max="10" width="0.7109375" style="1" customWidth="1"/>
    <col min="11" max="13" width="8.5703125" style="1" customWidth="1"/>
    <col min="14" max="14" width="7.85546875" style="1" customWidth="1"/>
    <col min="15" max="15" width="1" style="1" customWidth="1"/>
    <col min="16" max="17" width="7.28515625" style="1" customWidth="1"/>
    <col min="18" max="18" width="8.5703125" style="1" customWidth="1"/>
    <col min="19" max="19" width="7.140625" style="1" customWidth="1"/>
    <col min="20" max="20" width="0.7109375" style="1" customWidth="1"/>
    <col min="21" max="22" width="9.28515625" style="1" customWidth="1"/>
    <col min="23" max="23" width="9.7109375" style="1" customWidth="1"/>
    <col min="24" max="24" width="9.28515625" style="1" customWidth="1"/>
    <col min="25" max="25" width="0.85546875" style="1" customWidth="1"/>
    <col min="26" max="26" width="10.42578125" style="1" customWidth="1"/>
    <col min="27" max="27" width="9.42578125" style="1" customWidth="1"/>
    <col min="28" max="28" width="10.5703125" style="1" customWidth="1"/>
    <col min="29" max="29" width="9.28515625" style="1" customWidth="1"/>
    <col min="30" max="30" width="9.85546875" style="1" customWidth="1"/>
    <col min="31" max="31" width="10.140625" style="1" customWidth="1"/>
    <col min="32" max="32" width="0.85546875" style="1" customWidth="1"/>
    <col min="33" max="34" width="8.42578125" style="1" customWidth="1"/>
    <col min="35" max="35" width="8.85546875" style="1" customWidth="1"/>
    <col min="36" max="36" width="8.42578125" style="1" customWidth="1"/>
    <col min="37" max="37" width="0.5703125" style="1" customWidth="1"/>
    <col min="38" max="38" width="8.140625" style="1" customWidth="1"/>
    <col min="39" max="39" width="0.42578125" style="1" customWidth="1"/>
    <col min="40" max="40" width="43.42578125" style="1" customWidth="1"/>
    <col min="41" max="41" width="0.7109375" style="1" customWidth="1"/>
    <col min="42" max="43" width="7.85546875" style="1" customWidth="1"/>
    <col min="44" max="44" width="0.7109375" style="1" customWidth="1"/>
    <col min="45" max="48" width="8.85546875" style="1" customWidth="1"/>
    <col min="49" max="49" width="8.5703125" style="1" customWidth="1"/>
    <col min="50" max="51" width="9.140625" style="1" customWidth="1"/>
    <col min="52" max="52" width="0.5703125" style="1" customWidth="1"/>
    <col min="53" max="53" width="8.28515625" style="1" customWidth="1"/>
    <col min="54" max="54" width="7.7109375" style="1" customWidth="1"/>
    <col min="55" max="55" width="8.5703125" style="1" customWidth="1"/>
    <col min="56" max="56" width="8.85546875" style="1" customWidth="1"/>
    <col min="57" max="57" width="0.5703125" style="1" customWidth="1"/>
    <col min="58" max="62" width="8.85546875" style="1" customWidth="1"/>
    <col min="63" max="63" width="1" style="1" customWidth="1"/>
    <col min="64" max="64" width="2.140625" style="1" customWidth="1"/>
    <col min="65" max="89" width="1.140625" style="1" hidden="1" customWidth="1"/>
    <col min="90" max="91" width="0" style="1" hidden="1" customWidth="1"/>
    <col min="92" max="16384" width="9.140625" style="1"/>
  </cols>
  <sheetData>
    <row r="1" spans="1:64" ht="13.5" customHeight="1" x14ac:dyDescent="0.2">
      <c r="A1" s="88">
        <v>1</v>
      </c>
      <c r="B1" s="676" t="s">
        <v>100</v>
      </c>
      <c r="C1" s="677" t="s">
        <v>99</v>
      </c>
      <c r="D1" s="109">
        <f ca="1">D2/E1</f>
        <v>76.920011131020189</v>
      </c>
      <c r="E1" s="98">
        <f ca="1">COUNT(A3:BL88)</f>
        <v>2371</v>
      </c>
      <c r="F1" s="678" t="s">
        <v>186</v>
      </c>
      <c r="G1" s="678"/>
      <c r="H1" s="678"/>
      <c r="I1" s="678"/>
      <c r="J1" s="6"/>
      <c r="K1" s="679" t="s">
        <v>147</v>
      </c>
      <c r="L1" s="679"/>
      <c r="M1" s="679"/>
      <c r="N1" s="680"/>
      <c r="O1" s="2"/>
      <c r="P1" s="664" t="s">
        <v>0</v>
      </c>
      <c r="Q1" s="664"/>
      <c r="R1" s="664"/>
      <c r="S1" s="665"/>
      <c r="T1" s="3"/>
      <c r="U1" s="666" t="s">
        <v>139</v>
      </c>
      <c r="V1" s="666"/>
      <c r="W1" s="666"/>
      <c r="X1" s="666"/>
      <c r="Y1" s="86"/>
      <c r="Z1" s="674" t="s">
        <v>107</v>
      </c>
      <c r="AA1" s="674"/>
      <c r="AB1" s="674"/>
      <c r="AC1" s="675"/>
      <c r="AD1" s="673" t="s">
        <v>198</v>
      </c>
      <c r="AE1" s="673"/>
      <c r="AF1" s="137"/>
      <c r="AG1" s="672" t="s">
        <v>157</v>
      </c>
      <c r="AH1" s="672"/>
      <c r="AI1" s="672"/>
      <c r="AJ1" s="672"/>
      <c r="AK1" s="6"/>
      <c r="AL1" s="690" t="s">
        <v>252</v>
      </c>
      <c r="AM1" s="86"/>
      <c r="AN1" s="667" t="s">
        <v>1</v>
      </c>
      <c r="AO1" s="399"/>
      <c r="AP1" s="691" t="s">
        <v>122</v>
      </c>
      <c r="AQ1" s="671" t="s">
        <v>192</v>
      </c>
      <c r="AR1" s="86"/>
      <c r="AS1" s="670" t="s">
        <v>12</v>
      </c>
      <c r="AT1" s="670"/>
      <c r="AU1" s="670"/>
      <c r="AV1" s="670"/>
      <c r="AW1" s="670"/>
      <c r="AX1" s="670"/>
      <c r="AY1" s="670"/>
      <c r="AZ1" s="6"/>
      <c r="BA1" s="667" t="s">
        <v>366</v>
      </c>
      <c r="BB1" s="667"/>
      <c r="BC1" s="667"/>
      <c r="BD1" s="667"/>
      <c r="BE1" s="67"/>
      <c r="BF1" s="667" t="s">
        <v>20</v>
      </c>
      <c r="BG1" s="667"/>
      <c r="BH1" s="667"/>
      <c r="BI1" s="667"/>
      <c r="BJ1" s="667"/>
      <c r="BK1" s="88"/>
      <c r="BL1" s="78"/>
    </row>
    <row r="2" spans="1:64" ht="12.75" customHeight="1" x14ac:dyDescent="0.2">
      <c r="A2" s="67"/>
      <c r="B2" s="676"/>
      <c r="C2" s="677"/>
      <c r="D2" s="104">
        <f ca="1">SUM(A3:BL88)</f>
        <v>182377.34639164887</v>
      </c>
      <c r="E2" s="292" t="s">
        <v>150</v>
      </c>
      <c r="F2" s="468" t="s">
        <v>101</v>
      </c>
      <c r="G2" s="469" t="s">
        <v>102</v>
      </c>
      <c r="H2" s="470" t="s">
        <v>156</v>
      </c>
      <c r="I2" s="471" t="s">
        <v>5</v>
      </c>
      <c r="J2" s="6"/>
      <c r="K2" s="212" t="s">
        <v>2</v>
      </c>
      <c r="L2" s="213" t="s">
        <v>3</v>
      </c>
      <c r="M2" s="395" t="s">
        <v>156</v>
      </c>
      <c r="N2" s="398" t="s">
        <v>5</v>
      </c>
      <c r="O2" s="20"/>
      <c r="P2" s="264" t="s">
        <v>2</v>
      </c>
      <c r="Q2" s="258" t="s">
        <v>3</v>
      </c>
      <c r="R2" s="265" t="s">
        <v>4</v>
      </c>
      <c r="S2" s="4" t="s">
        <v>5</v>
      </c>
      <c r="T2" s="67"/>
      <c r="U2" s="217" t="s">
        <v>156</v>
      </c>
      <c r="V2" s="97" t="s">
        <v>3</v>
      </c>
      <c r="W2" s="97" t="s">
        <v>154</v>
      </c>
      <c r="X2" s="217" t="s">
        <v>104</v>
      </c>
      <c r="Y2" s="133"/>
      <c r="Z2" s="424" t="s">
        <v>152</v>
      </c>
      <c r="AA2" s="458" t="s">
        <v>108</v>
      </c>
      <c r="AB2" s="458" t="s">
        <v>197</v>
      </c>
      <c r="AC2" s="508" t="s">
        <v>141</v>
      </c>
      <c r="AD2" s="179" t="s">
        <v>4</v>
      </c>
      <c r="AE2" s="179" t="s">
        <v>3</v>
      </c>
      <c r="AF2" s="68"/>
      <c r="AG2" s="299" t="s">
        <v>2</v>
      </c>
      <c r="AH2" s="309" t="s">
        <v>3</v>
      </c>
      <c r="AI2" s="308" t="s">
        <v>156</v>
      </c>
      <c r="AJ2" s="99" t="s">
        <v>5</v>
      </c>
      <c r="AK2" s="310"/>
      <c r="AL2" s="690"/>
      <c r="AM2" s="86"/>
      <c r="AN2" s="667"/>
      <c r="AO2" s="399"/>
      <c r="AP2" s="692"/>
      <c r="AQ2" s="671"/>
      <c r="AR2" s="86"/>
      <c r="AS2" s="181" t="s">
        <v>21</v>
      </c>
      <c r="AT2" s="294" t="s">
        <v>22</v>
      </c>
      <c r="AU2" s="295" t="s">
        <v>23</v>
      </c>
      <c r="AV2" s="365" t="s">
        <v>24</v>
      </c>
      <c r="AW2" s="263" t="s">
        <v>187</v>
      </c>
      <c r="AX2" s="374" t="s">
        <v>188</v>
      </c>
      <c r="AY2" s="371" t="s">
        <v>124</v>
      </c>
      <c r="AZ2" s="6"/>
      <c r="BA2" s="181" t="s">
        <v>21</v>
      </c>
      <c r="BB2" s="294" t="s">
        <v>22</v>
      </c>
      <c r="BC2" s="295" t="s">
        <v>23</v>
      </c>
      <c r="BD2" s="365" t="s">
        <v>24</v>
      </c>
      <c r="BE2" s="67"/>
      <c r="BF2" s="181" t="s">
        <v>21</v>
      </c>
      <c r="BG2" s="294" t="s">
        <v>25</v>
      </c>
      <c r="BH2" s="365" t="s">
        <v>24</v>
      </c>
      <c r="BI2" s="179" t="s">
        <v>7</v>
      </c>
      <c r="BJ2" s="419" t="s">
        <v>196</v>
      </c>
      <c r="BK2" s="88"/>
      <c r="BL2" s="78"/>
    </row>
    <row r="3" spans="1:64" ht="1.5" customHeight="1" x14ac:dyDescent="0.2">
      <c r="A3" s="67"/>
      <c r="B3" s="128"/>
      <c r="C3" s="283"/>
      <c r="D3" s="67"/>
      <c r="E3" s="68"/>
      <c r="F3" s="68"/>
      <c r="G3" s="68"/>
      <c r="H3" s="68"/>
      <c r="I3" s="68"/>
      <c r="J3" s="6"/>
      <c r="K3" s="68"/>
      <c r="L3" s="68"/>
      <c r="M3" s="68"/>
      <c r="N3" s="84"/>
      <c r="O3" s="20"/>
      <c r="P3" s="257"/>
      <c r="Q3" s="68"/>
      <c r="R3" s="68"/>
      <c r="S3" s="68"/>
      <c r="T3" s="67"/>
      <c r="U3" s="63"/>
      <c r="V3" s="63"/>
      <c r="W3" s="63"/>
      <c r="X3" s="63"/>
      <c r="Y3" s="67"/>
      <c r="Z3" s="425"/>
      <c r="AA3" s="500"/>
      <c r="AB3" s="500"/>
      <c r="AC3" s="509"/>
      <c r="AD3" s="63"/>
      <c r="AE3" s="63"/>
      <c r="AF3" s="67"/>
      <c r="AG3" s="63"/>
      <c r="AH3" s="63"/>
      <c r="AI3" s="63"/>
      <c r="AJ3" s="63"/>
      <c r="AK3" s="67"/>
      <c r="AL3" s="132"/>
      <c r="AM3" s="6"/>
      <c r="AN3" s="67"/>
      <c r="AO3" s="88"/>
      <c r="AP3" s="63"/>
      <c r="AQ3" s="63"/>
      <c r="AR3" s="67"/>
      <c r="AS3" s="67"/>
      <c r="AT3" s="67"/>
      <c r="AU3" s="67"/>
      <c r="AV3" s="366"/>
      <c r="AW3" s="67"/>
      <c r="AX3" s="375"/>
      <c r="AY3" s="372"/>
      <c r="AZ3" s="6"/>
      <c r="BA3" s="67"/>
      <c r="BB3" s="67"/>
      <c r="BC3" s="6"/>
      <c r="BD3" s="366"/>
      <c r="BE3" s="67"/>
      <c r="BF3" s="67"/>
      <c r="BG3" s="67"/>
      <c r="BH3" s="366"/>
      <c r="BI3" s="6"/>
      <c r="BJ3" s="87"/>
      <c r="BK3" s="88"/>
      <c r="BL3" s="78"/>
    </row>
    <row r="4" spans="1:64" ht="12.75" customHeight="1" x14ac:dyDescent="0.2">
      <c r="A4" s="433">
        <v>1</v>
      </c>
      <c r="B4" s="131">
        <f>IF(ISBLANK(F4),"",F4)</f>
        <v>-1.7</v>
      </c>
      <c r="C4" s="282">
        <f>IF(ISBLANK(G4),"",G4)</f>
        <v>6.9</v>
      </c>
      <c r="D4" s="685" t="s">
        <v>216</v>
      </c>
      <c r="E4" s="121">
        <v>1</v>
      </c>
      <c r="F4" s="23">
        <v>-1.7</v>
      </c>
      <c r="G4" s="23">
        <v>6.9</v>
      </c>
      <c r="H4" s="553">
        <v>3.5</v>
      </c>
      <c r="I4" s="23">
        <f t="shared" ref="I4:I34" si="0">IF(ISBLANK(G4),"",G4-F4)</f>
        <v>8.6</v>
      </c>
      <c r="J4" s="6">
        <f t="shared" ref="J4:J34" si="1">IF(C4=G4,0,1)</f>
        <v>0</v>
      </c>
      <c r="K4" s="24">
        <v>80</v>
      </c>
      <c r="L4" s="24">
        <v>95</v>
      </c>
      <c r="M4" s="554">
        <v>86</v>
      </c>
      <c r="N4" s="24">
        <f t="shared" ref="N4:N34" si="2">IF(ISBLANK(K4),"",L4-K4)</f>
        <v>15</v>
      </c>
      <c r="O4" s="50">
        <f t="shared" ref="O4:O34" si="3">IF(B4=F4,0,1)</f>
        <v>0</v>
      </c>
      <c r="P4" s="24">
        <v>1024</v>
      </c>
      <c r="Q4" s="24">
        <v>1028</v>
      </c>
      <c r="R4" s="24">
        <f>IF(ISBLANK(P4),"",AVERAGE(P4:Q4))</f>
        <v>1026</v>
      </c>
      <c r="S4" s="24">
        <f t="shared" ref="S4:S34" si="4">IF(ISBLANK(P4),"",Q4-P4)</f>
        <v>4</v>
      </c>
      <c r="T4" s="50">
        <v>0</v>
      </c>
      <c r="U4" s="553">
        <v>5.4</v>
      </c>
      <c r="V4" s="553">
        <v>12.3</v>
      </c>
      <c r="W4" s="553">
        <v>17.3</v>
      </c>
      <c r="X4" s="485" t="s">
        <v>110</v>
      </c>
      <c r="Y4" s="72">
        <f>IF(ISBLANK(Z4),"",IF(AQ4&lt;0.5,0,IF(Z4=0,0,IF(Z4&lt;1,1,2))))</f>
        <v>1</v>
      </c>
      <c r="Z4" s="539">
        <v>0.1</v>
      </c>
      <c r="AA4" s="23"/>
      <c r="AB4" s="23"/>
      <c r="AC4" s="518">
        <f t="shared" ref="AC4:AC34" si="5">IF(Z4=0,"",Z4/$Z$38)</f>
        <v>2.2624434389140269E-3</v>
      </c>
      <c r="AD4" s="7" t="str">
        <f t="shared" ref="AD4:AD34" si="6">IF(Z4&lt;0.3,"",Z4/AQ4)</f>
        <v/>
      </c>
      <c r="AE4" s="485"/>
      <c r="AF4" s="54"/>
      <c r="AG4" s="553">
        <v>-4.7</v>
      </c>
      <c r="AH4" s="553">
        <v>5.5</v>
      </c>
      <c r="AI4" s="553">
        <v>1.5</v>
      </c>
      <c r="AJ4" s="7">
        <f t="shared" ref="AJ4:AJ22" si="7">IF(ISBLANK(AH4),"",AH4-AG4)</f>
        <v>10.199999999999999</v>
      </c>
      <c r="AK4" s="6"/>
      <c r="AL4" s="554" t="s">
        <v>364</v>
      </c>
      <c r="AM4" s="54"/>
      <c r="AN4" s="47" t="s">
        <v>370</v>
      </c>
      <c r="AO4" s="400"/>
      <c r="AP4" s="485">
        <v>0.2</v>
      </c>
      <c r="AQ4" s="485">
        <v>0.5</v>
      </c>
      <c r="AR4" s="134"/>
      <c r="AS4" s="26">
        <f>IF(ISBLANK(F4),"",(AVERAGE($F$4:F4)))</f>
        <v>-1.7</v>
      </c>
      <c r="AT4" s="25">
        <f>IF(ISBLANK(G4),"",(AVERAGE($G$4:G4)))</f>
        <v>6.9</v>
      </c>
      <c r="AU4" s="25">
        <f>IF(ISBLANK(H4),"",(AVERAGE($H$4:H4)))</f>
        <v>3.5</v>
      </c>
      <c r="AV4" s="367">
        <f>IF(ISBLANK(G4),"",(AVERAGE($I$4:I4)))</f>
        <v>8.6</v>
      </c>
      <c r="AW4" s="22">
        <f>IF(ISBLANK(M4),"",AVERAGE($M$4:M4))</f>
        <v>86</v>
      </c>
      <c r="AX4" s="376">
        <f>IF(ISBLANK(P4),"",(AVERAGE($R$4:R4)))</f>
        <v>1026</v>
      </c>
      <c r="AY4" s="368">
        <f>IF(ISBLANK(U4),"",(AVERAGE($U$4:U4)))</f>
        <v>5.4</v>
      </c>
      <c r="AZ4" s="6"/>
      <c r="BA4" s="25">
        <f>IF(ISBLANK(F4),"",F4-F91)</f>
        <v>-4.05</v>
      </c>
      <c r="BB4" s="25">
        <f>IF(ISBLANK(G4),"",G4-G91)</f>
        <v>-0.16999999999999993</v>
      </c>
      <c r="BC4" s="25">
        <f>IF(ISBLANK(G4),"",AVERAGE(BA4:BB4))</f>
        <v>-2.11</v>
      </c>
      <c r="BD4" s="367">
        <f>IF(ISBLANK(G4),"",BB4-BA4)</f>
        <v>3.88</v>
      </c>
      <c r="BE4" s="67"/>
      <c r="BF4" s="25">
        <f>IF(ISBLANK(F4),"",AS4-AVERAGE($F$91:F91))</f>
        <v>-4.05</v>
      </c>
      <c r="BG4" s="25">
        <f>IF(ISBLANK(G4),"",AT4-AVERAGE($G$91:G91))</f>
        <v>-0.16999999999999993</v>
      </c>
      <c r="BH4" s="367">
        <f>IF(ISBLANK(G4),"",BG4-BF4)</f>
        <v>3.88</v>
      </c>
      <c r="BI4" s="115">
        <f t="shared" ref="BI4:BI33" si="8">IF(ISBLANK(Z4),"",AB91/AA91)</f>
        <v>7.0000000000000007E-2</v>
      </c>
      <c r="BJ4" s="115">
        <f t="shared" ref="BJ4:BJ34" si="9">IF(ISBLANK(AP4),"",AG91/AH91)</f>
        <v>8.1382934519575081E-2</v>
      </c>
      <c r="BK4" s="402"/>
      <c r="BL4" s="572">
        <v>1</v>
      </c>
    </row>
    <row r="5" spans="1:64" ht="12.75" customHeight="1" x14ac:dyDescent="0.2">
      <c r="A5" s="394">
        <f t="shared" ref="A5:A31" si="10">SUM(A4+1)</f>
        <v>2</v>
      </c>
      <c r="B5" s="131">
        <f t="shared" ref="B5:B34" si="11">IF(ISBLANK(F5),"",F5)</f>
        <v>3</v>
      </c>
      <c r="C5" s="282">
        <f t="shared" ref="C5:C34" si="12">IF(ISBLANK(G5),"",G5)</f>
        <v>10</v>
      </c>
      <c r="D5" s="685"/>
      <c r="E5" s="97">
        <f t="shared" ref="E5:E31" si="13">SUM(E4+1)</f>
        <v>2</v>
      </c>
      <c r="F5" s="23">
        <v>3</v>
      </c>
      <c r="G5" s="23">
        <v>10</v>
      </c>
      <c r="H5" s="553">
        <v>6.6</v>
      </c>
      <c r="I5" s="23">
        <f t="shared" si="0"/>
        <v>7</v>
      </c>
      <c r="J5" s="6">
        <f t="shared" si="1"/>
        <v>0</v>
      </c>
      <c r="K5" s="24">
        <v>82</v>
      </c>
      <c r="L5" s="24">
        <v>98</v>
      </c>
      <c r="M5" s="554">
        <v>93</v>
      </c>
      <c r="N5" s="24">
        <f t="shared" si="2"/>
        <v>16</v>
      </c>
      <c r="O5" s="50">
        <f t="shared" si="3"/>
        <v>0</v>
      </c>
      <c r="P5" s="24">
        <v>1020</v>
      </c>
      <c r="Q5" s="24">
        <v>1028</v>
      </c>
      <c r="R5" s="24">
        <f t="shared" ref="R5:R34" si="14">IF(ISBLANK(P5),"",AVERAGE(P5:Q5))</f>
        <v>1024</v>
      </c>
      <c r="S5" s="24">
        <f t="shared" si="4"/>
        <v>8</v>
      </c>
      <c r="T5" s="50">
        <v>0</v>
      </c>
      <c r="U5" s="553">
        <v>6.9</v>
      </c>
      <c r="V5" s="553">
        <v>16.100000000000001</v>
      </c>
      <c r="W5" s="553">
        <v>20.8</v>
      </c>
      <c r="X5" s="555" t="s">
        <v>110</v>
      </c>
      <c r="Y5" s="72">
        <f t="shared" ref="Y5:Y34" si="15">IF(ISBLANK(Z5),"",IF(AQ5&lt;0.5,0,IF(Z5=0,0,IF(Z5&lt;1,1,2))))</f>
        <v>0</v>
      </c>
      <c r="Z5" s="539">
        <v>0.1</v>
      </c>
      <c r="AA5" s="23"/>
      <c r="AB5" s="23"/>
      <c r="AC5" s="510">
        <f t="shared" si="5"/>
        <v>2.2624434389140269E-3</v>
      </c>
      <c r="AD5" s="7" t="str">
        <f t="shared" si="6"/>
        <v/>
      </c>
      <c r="AE5" s="485"/>
      <c r="AF5" s="72"/>
      <c r="AG5" s="553">
        <v>2.6</v>
      </c>
      <c r="AH5" s="553">
        <v>8.8000000000000007</v>
      </c>
      <c r="AI5" s="553">
        <v>5.5</v>
      </c>
      <c r="AJ5" s="7">
        <f t="shared" si="7"/>
        <v>6.2000000000000011</v>
      </c>
      <c r="AK5" s="6"/>
      <c r="AL5" s="485" t="s">
        <v>266</v>
      </c>
      <c r="AM5" s="54"/>
      <c r="AN5" s="302" t="s">
        <v>369</v>
      </c>
      <c r="AO5" s="400"/>
      <c r="AP5" s="485">
        <v>0.1</v>
      </c>
      <c r="AQ5" s="485">
        <v>0.3</v>
      </c>
      <c r="AR5" s="134"/>
      <c r="AS5" s="26">
        <f>IF(ISBLANK(F5),"",(AVERAGE($F$4:F5)))</f>
        <v>0.65</v>
      </c>
      <c r="AT5" s="26">
        <f>IF(ISBLANK(G5),"",(AVERAGE($G$4:G5)))</f>
        <v>8.4499999999999993</v>
      </c>
      <c r="AU5" s="25">
        <f>IF(ISBLANK(H5),"",(AVERAGE($H$4:H5)))</f>
        <v>5.05</v>
      </c>
      <c r="AV5" s="368">
        <f>IF(ISBLANK(G5),"",(AVERAGE($I$4:I5)))</f>
        <v>7.8</v>
      </c>
      <c r="AW5" s="22">
        <f>IF(ISBLANK(M5),"",AVERAGE($M$4:M5))</f>
        <v>89.5</v>
      </c>
      <c r="AX5" s="376">
        <f>IF(ISBLANK(P5),"",(AVERAGE($R$4:R5)))</f>
        <v>1025</v>
      </c>
      <c r="AY5" s="368">
        <f>IF(ISBLANK(U5),"",(AVERAGE($U$4:U5)))</f>
        <v>6.15</v>
      </c>
      <c r="AZ5" s="6"/>
      <c r="BA5" s="25">
        <f t="shared" ref="BA5:BA34" si="16">IF(ISBLANK(F5),"",F5-F92)</f>
        <v>0.64999999999999991</v>
      </c>
      <c r="BB5" s="25">
        <f t="shared" ref="BB5:BB34" si="17">IF(ISBLANK(G5),"",G5-G92)</f>
        <v>2.91</v>
      </c>
      <c r="BC5" s="25">
        <f>IF(ISBLANK(G5),"",AVERAGE(BA5:BB5))</f>
        <v>1.78</v>
      </c>
      <c r="BD5" s="367">
        <f>IF(ISBLANK(G5),"",BB5-BA5)</f>
        <v>2.2600000000000002</v>
      </c>
      <c r="BE5" s="72"/>
      <c r="BF5" s="25">
        <f>IF(ISBLANK(F5),"",AS5-AVERAGE($F$91:F92))</f>
        <v>-1.7000000000000002</v>
      </c>
      <c r="BG5" s="25">
        <f>IF(ISBLANK(G5),"",AT5-AVERAGE($G$91:G92))</f>
        <v>1.3699999999999992</v>
      </c>
      <c r="BH5" s="367">
        <f t="shared" ref="BH5:BH10" si="18">IF(ISBLANK(G5),"",BG5-BF5)</f>
        <v>3.0699999999999994</v>
      </c>
      <c r="BI5" s="115">
        <f t="shared" si="8"/>
        <v>7.0000000000000007E-2</v>
      </c>
      <c r="BJ5" s="115">
        <f t="shared" si="9"/>
        <v>6.0851067100421867E-2</v>
      </c>
      <c r="BK5" s="420"/>
      <c r="BL5" s="572">
        <v>2</v>
      </c>
    </row>
    <row r="6" spans="1:64" ht="12.75" customHeight="1" x14ac:dyDescent="0.2">
      <c r="A6" s="394">
        <f t="shared" si="10"/>
        <v>3</v>
      </c>
      <c r="B6" s="131">
        <f t="shared" si="11"/>
        <v>4.2</v>
      </c>
      <c r="C6" s="282">
        <f t="shared" si="12"/>
        <v>9.6</v>
      </c>
      <c r="D6" s="685"/>
      <c r="E6" s="97">
        <f t="shared" si="13"/>
        <v>3</v>
      </c>
      <c r="F6" s="23">
        <v>4.2</v>
      </c>
      <c r="G6" s="23">
        <v>9.6</v>
      </c>
      <c r="H6" s="553">
        <v>7.5</v>
      </c>
      <c r="I6" s="23">
        <f t="shared" si="0"/>
        <v>5.3999999999999995</v>
      </c>
      <c r="J6" s="6">
        <f t="shared" si="1"/>
        <v>0</v>
      </c>
      <c r="K6" s="24">
        <v>62</v>
      </c>
      <c r="L6" s="24">
        <v>91</v>
      </c>
      <c r="M6" s="554">
        <v>79</v>
      </c>
      <c r="N6" s="24">
        <f t="shared" si="2"/>
        <v>29</v>
      </c>
      <c r="O6" s="50">
        <f t="shared" si="3"/>
        <v>0</v>
      </c>
      <c r="P6" s="24">
        <v>1017</v>
      </c>
      <c r="Q6" s="24">
        <v>1026</v>
      </c>
      <c r="R6" s="24">
        <f t="shared" si="14"/>
        <v>1021.5</v>
      </c>
      <c r="S6" s="24">
        <f t="shared" si="4"/>
        <v>9</v>
      </c>
      <c r="T6" s="50">
        <v>0</v>
      </c>
      <c r="U6" s="553">
        <v>7.5</v>
      </c>
      <c r="V6" s="553">
        <v>21.9</v>
      </c>
      <c r="W6" s="553">
        <v>32.9</v>
      </c>
      <c r="X6" s="485" t="s">
        <v>110</v>
      </c>
      <c r="Y6" s="72">
        <f t="shared" si="15"/>
        <v>0</v>
      </c>
      <c r="Z6" s="539">
        <v>0</v>
      </c>
      <c r="AA6" s="23"/>
      <c r="AB6" s="23"/>
      <c r="AC6" s="510" t="str">
        <f t="shared" si="5"/>
        <v/>
      </c>
      <c r="AD6" s="7" t="str">
        <f t="shared" si="6"/>
        <v/>
      </c>
      <c r="AE6" s="485"/>
      <c r="AF6" s="72"/>
      <c r="AG6" s="553">
        <v>2.5</v>
      </c>
      <c r="AH6" s="553">
        <v>6</v>
      </c>
      <c r="AI6" s="553">
        <v>4</v>
      </c>
      <c r="AJ6" s="7">
        <f t="shared" si="7"/>
        <v>3.5</v>
      </c>
      <c r="AK6" s="6"/>
      <c r="AL6" s="485" t="s">
        <v>367</v>
      </c>
      <c r="AM6" s="54"/>
      <c r="AN6" s="23" t="s">
        <v>8</v>
      </c>
      <c r="AO6" s="400"/>
      <c r="AP6" s="485">
        <v>6</v>
      </c>
      <c r="AQ6" s="485">
        <v>0</v>
      </c>
      <c r="AR6" s="134"/>
      <c r="AS6" s="26">
        <f>IF(ISBLANK(F6),"",(AVERAGE($F$4:F6)))</f>
        <v>1.8333333333333333</v>
      </c>
      <c r="AT6" s="26">
        <f>IF(ISBLANK(G6),"",(AVERAGE($G$4:G6)))</f>
        <v>8.8333333333333339</v>
      </c>
      <c r="AU6" s="25">
        <f>IF(ISBLANK(H6),"",(AVERAGE($H$4:H6)))</f>
        <v>5.8666666666666671</v>
      </c>
      <c r="AV6" s="368">
        <f>IF(ISBLANK(G6),"",(AVERAGE($I$4:I6)))</f>
        <v>7</v>
      </c>
      <c r="AW6" s="22">
        <f>IF(ISBLANK(M6),"",AVERAGE($M$4:M6))</f>
        <v>86</v>
      </c>
      <c r="AX6" s="376">
        <f>IF(ISBLANK(P6),"",(AVERAGE($R$4:R6)))</f>
        <v>1023.8333333333334</v>
      </c>
      <c r="AY6" s="368">
        <f>IF(ISBLANK(U6),"",(AVERAGE($U$4:U6)))</f>
        <v>6.6000000000000005</v>
      </c>
      <c r="AZ6" s="6"/>
      <c r="BA6" s="25">
        <f t="shared" si="16"/>
        <v>1.85</v>
      </c>
      <c r="BB6" s="25">
        <f t="shared" si="17"/>
        <v>2.46</v>
      </c>
      <c r="BC6" s="25">
        <f>IF(ISBLANK(G6),"",AVERAGE(BA6:BB6))</f>
        <v>2.1550000000000002</v>
      </c>
      <c r="BD6" s="367">
        <f t="shared" ref="BD6:BD34" si="19">IF(ISBLANK(G6),"",BB6-BA6)</f>
        <v>0.60999999999999988</v>
      </c>
      <c r="BE6" s="72"/>
      <c r="BF6" s="25">
        <f>IF(ISBLANK(F6),"",AS6-AVERAGE($F$91:F93))</f>
        <v>-0.51666666666666683</v>
      </c>
      <c r="BG6" s="25">
        <f>IF(ISBLANK(G6),"",AT6-AVERAGE($G$91:G93))</f>
        <v>1.7333333333333334</v>
      </c>
      <c r="BH6" s="367">
        <f t="shared" si="18"/>
        <v>2.25</v>
      </c>
      <c r="BI6" s="115">
        <f t="shared" si="8"/>
        <v>4.6666666666666669E-2</v>
      </c>
      <c r="BJ6" s="115">
        <f t="shared" si="9"/>
        <v>0.84930266297218449</v>
      </c>
      <c r="BK6" s="402"/>
      <c r="BL6" s="572">
        <v>3</v>
      </c>
    </row>
    <row r="7" spans="1:64" ht="12.75" customHeight="1" x14ac:dyDescent="0.2">
      <c r="A7" s="394">
        <f t="shared" si="10"/>
        <v>4</v>
      </c>
      <c r="B7" s="131">
        <v>8.3000000000000007</v>
      </c>
      <c r="C7" s="282">
        <f t="shared" si="12"/>
        <v>12.3</v>
      </c>
      <c r="D7" s="685"/>
      <c r="E7" s="97">
        <f t="shared" si="13"/>
        <v>4</v>
      </c>
      <c r="F7" s="23">
        <v>9.5</v>
      </c>
      <c r="G7" s="23">
        <v>12.3</v>
      </c>
      <c r="H7" s="553">
        <v>11</v>
      </c>
      <c r="I7" s="23">
        <f t="shared" si="0"/>
        <v>2.8000000000000007</v>
      </c>
      <c r="J7" s="6">
        <f t="shared" si="1"/>
        <v>0</v>
      </c>
      <c r="K7" s="24">
        <v>71</v>
      </c>
      <c r="L7" s="24">
        <v>85</v>
      </c>
      <c r="M7" s="554">
        <v>77</v>
      </c>
      <c r="N7" s="24">
        <f t="shared" si="2"/>
        <v>14</v>
      </c>
      <c r="O7" s="50">
        <f t="shared" si="3"/>
        <v>1</v>
      </c>
      <c r="P7" s="24">
        <v>1015</v>
      </c>
      <c r="Q7" s="24">
        <v>1017</v>
      </c>
      <c r="R7" s="24">
        <f t="shared" si="14"/>
        <v>1016</v>
      </c>
      <c r="S7" s="24">
        <f t="shared" si="4"/>
        <v>2</v>
      </c>
      <c r="T7" s="50">
        <v>0</v>
      </c>
      <c r="U7" s="553">
        <v>11.8</v>
      </c>
      <c r="V7" s="553">
        <v>25.5</v>
      </c>
      <c r="W7" s="553">
        <v>35.6</v>
      </c>
      <c r="X7" s="485" t="s">
        <v>110</v>
      </c>
      <c r="Y7" s="72">
        <f t="shared" si="15"/>
        <v>0</v>
      </c>
      <c r="Z7" s="539">
        <v>0</v>
      </c>
      <c r="AA7" s="23"/>
      <c r="AB7" s="23"/>
      <c r="AC7" s="510" t="str">
        <f t="shared" si="5"/>
        <v/>
      </c>
      <c r="AD7" s="7" t="str">
        <f t="shared" si="6"/>
        <v/>
      </c>
      <c r="AE7" s="485"/>
      <c r="AF7" s="72"/>
      <c r="AG7" s="553">
        <v>5.5</v>
      </c>
      <c r="AH7" s="553">
        <v>8.1</v>
      </c>
      <c r="AI7" s="553">
        <v>7</v>
      </c>
      <c r="AJ7" s="7">
        <f t="shared" si="7"/>
        <v>2.5999999999999996</v>
      </c>
      <c r="AK7" s="6"/>
      <c r="AL7" s="485" t="s">
        <v>239</v>
      </c>
      <c r="AM7" s="54"/>
      <c r="AN7" s="23" t="s">
        <v>8</v>
      </c>
      <c r="AO7" s="400"/>
      <c r="AP7" s="485">
        <v>0.1</v>
      </c>
      <c r="AQ7" s="485">
        <v>0</v>
      </c>
      <c r="AR7" s="134"/>
      <c r="AS7" s="26">
        <f>IF(ISBLANK(F7),"",(AVERAGE($F$4:F7)))</f>
        <v>3.75</v>
      </c>
      <c r="AT7" s="26">
        <f>IF(ISBLANK(G7),"",(AVERAGE($G$4:G7)))</f>
        <v>9.6999999999999993</v>
      </c>
      <c r="AU7" s="25">
        <f>IF(ISBLANK(H7),"",(AVERAGE($H$4:H7)))</f>
        <v>7.15</v>
      </c>
      <c r="AV7" s="368">
        <f>IF(ISBLANK(G7),"",(AVERAGE($I$4:I7)))</f>
        <v>5.95</v>
      </c>
      <c r="AW7" s="22">
        <f>IF(ISBLANK(M7),"",AVERAGE($M$4:M7))</f>
        <v>83.75</v>
      </c>
      <c r="AX7" s="376">
        <f>IF(ISBLANK(P7),"",(AVERAGE($R$4:R7)))</f>
        <v>1021.875</v>
      </c>
      <c r="AY7" s="368">
        <f>IF(ISBLANK(U7),"",(AVERAGE($U$4:U7)))</f>
        <v>7.9</v>
      </c>
      <c r="AZ7" s="6"/>
      <c r="BA7" s="25">
        <f t="shared" si="16"/>
        <v>7.15</v>
      </c>
      <c r="BB7" s="25">
        <f t="shared" si="17"/>
        <v>5.120000000000001</v>
      </c>
      <c r="BC7" s="25">
        <f t="shared" ref="BC7:BC34" si="20">IF(ISBLANK(G7),"",AVERAGE(BA7:BB7))</f>
        <v>6.1350000000000007</v>
      </c>
      <c r="BD7" s="367">
        <f t="shared" si="19"/>
        <v>-2.0299999999999994</v>
      </c>
      <c r="BE7" s="72"/>
      <c r="BF7" s="25">
        <f>IF(ISBLANK(F7),"",AS7-AVERAGE($F$91:F94))</f>
        <v>1.4</v>
      </c>
      <c r="BG7" s="25">
        <f>IF(ISBLANK(G7),"",AT7-AVERAGE($G$91:G94))</f>
        <v>2.5799999999999992</v>
      </c>
      <c r="BH7" s="367">
        <f t="shared" si="18"/>
        <v>1.1799999999999993</v>
      </c>
      <c r="BI7" s="115">
        <f t="shared" si="8"/>
        <v>3.5000000000000003E-2</v>
      </c>
      <c r="BJ7" s="115">
        <f t="shared" si="9"/>
        <v>0.64509321885722481</v>
      </c>
      <c r="BK7" s="402"/>
      <c r="BL7" s="572">
        <v>4</v>
      </c>
    </row>
    <row r="8" spans="1:64" ht="12.75" customHeight="1" x14ac:dyDescent="0.2">
      <c r="A8" s="394">
        <f t="shared" si="10"/>
        <v>5</v>
      </c>
      <c r="B8" s="131">
        <f t="shared" si="11"/>
        <v>11.3</v>
      </c>
      <c r="C8" s="282">
        <f t="shared" si="12"/>
        <v>13</v>
      </c>
      <c r="D8" s="685"/>
      <c r="E8" s="97">
        <f t="shared" si="13"/>
        <v>5</v>
      </c>
      <c r="F8" s="23">
        <v>11.3</v>
      </c>
      <c r="G8" s="23">
        <v>13</v>
      </c>
      <c r="H8" s="553">
        <v>12</v>
      </c>
      <c r="I8" s="23">
        <f t="shared" si="0"/>
        <v>1.6999999999999993</v>
      </c>
      <c r="J8" s="6">
        <f t="shared" si="1"/>
        <v>0</v>
      </c>
      <c r="K8" s="24">
        <v>72</v>
      </c>
      <c r="L8" s="24">
        <v>83</v>
      </c>
      <c r="M8" s="554">
        <v>76</v>
      </c>
      <c r="N8" s="24">
        <f t="shared" si="2"/>
        <v>11</v>
      </c>
      <c r="O8" s="50">
        <f t="shared" si="3"/>
        <v>0</v>
      </c>
      <c r="P8" s="24">
        <v>1015</v>
      </c>
      <c r="Q8" s="24">
        <v>1020</v>
      </c>
      <c r="R8" s="24">
        <f t="shared" si="14"/>
        <v>1017.5</v>
      </c>
      <c r="S8" s="24">
        <f t="shared" si="4"/>
        <v>5</v>
      </c>
      <c r="T8" s="50">
        <v>0</v>
      </c>
      <c r="U8" s="553">
        <v>11.4</v>
      </c>
      <c r="V8" s="553">
        <v>20.8</v>
      </c>
      <c r="W8" s="553">
        <v>30.1</v>
      </c>
      <c r="X8" s="485" t="s">
        <v>110</v>
      </c>
      <c r="Y8" s="72">
        <f t="shared" si="15"/>
        <v>0</v>
      </c>
      <c r="Z8" s="539">
        <v>0.1</v>
      </c>
      <c r="AA8" s="23"/>
      <c r="AB8" s="23"/>
      <c r="AC8" s="510">
        <f t="shared" si="5"/>
        <v>2.2624434389140269E-3</v>
      </c>
      <c r="AD8" s="7" t="str">
        <f t="shared" si="6"/>
        <v/>
      </c>
      <c r="AE8" s="485"/>
      <c r="AF8" s="72"/>
      <c r="AG8" s="553">
        <v>7.4</v>
      </c>
      <c r="AH8" s="553">
        <v>8.6</v>
      </c>
      <c r="AI8" s="553">
        <v>7.9</v>
      </c>
      <c r="AJ8" s="7">
        <f t="shared" si="7"/>
        <v>1.1999999999999993</v>
      </c>
      <c r="AK8" s="6"/>
      <c r="AL8" s="485" t="s">
        <v>239</v>
      </c>
      <c r="AM8" s="54"/>
      <c r="AN8" s="302" t="s">
        <v>368</v>
      </c>
      <c r="AO8" s="400"/>
      <c r="AP8" s="485">
        <v>0</v>
      </c>
      <c r="AQ8" s="485">
        <v>0.3</v>
      </c>
      <c r="AR8" s="134"/>
      <c r="AS8" s="26">
        <f>IF(ISBLANK(F8),"",(AVERAGE($F$4:F8)))</f>
        <v>5.26</v>
      </c>
      <c r="AT8" s="26">
        <f>IF(ISBLANK(G8),"",(AVERAGE($G$4:G8)))</f>
        <v>10.36</v>
      </c>
      <c r="AU8" s="25">
        <f>IF(ISBLANK(H8),"",(AVERAGE($H$4:H8)))</f>
        <v>8.120000000000001</v>
      </c>
      <c r="AV8" s="368">
        <f>IF(ISBLANK(G8),"",(AVERAGE($I$4:I8)))</f>
        <v>5.0999999999999996</v>
      </c>
      <c r="AW8" s="22">
        <f>IF(ISBLANK(M8),"",AVERAGE($M$4:M8))</f>
        <v>82.2</v>
      </c>
      <c r="AX8" s="376">
        <f>IF(ISBLANK(P8),"",(AVERAGE($R$4:R8)))</f>
        <v>1021</v>
      </c>
      <c r="AY8" s="368">
        <f>IF(ISBLANK(U8),"",(AVERAGE($U$4:U8)))</f>
        <v>8.6</v>
      </c>
      <c r="AZ8" s="6"/>
      <c r="BA8" s="25">
        <f t="shared" si="16"/>
        <v>8.9500000000000011</v>
      </c>
      <c r="BB8" s="25">
        <f t="shared" si="17"/>
        <v>5.7</v>
      </c>
      <c r="BC8" s="25">
        <f t="shared" si="20"/>
        <v>7.3250000000000011</v>
      </c>
      <c r="BD8" s="367">
        <f t="shared" si="19"/>
        <v>-3.2500000000000009</v>
      </c>
      <c r="BE8" s="72"/>
      <c r="BF8" s="25">
        <f>IF(ISBLANK(F8),"",AS8-AVERAGE($F$91:F95))</f>
        <v>2.9099999999999997</v>
      </c>
      <c r="BG8" s="25">
        <f>IF(ISBLANK(G8),"",AT8-AVERAGE($G$91:G95))</f>
        <v>3.2039999999999988</v>
      </c>
      <c r="BH8" s="367">
        <f t="shared" si="18"/>
        <v>0.29399999999999915</v>
      </c>
      <c r="BI8" s="115">
        <f t="shared" si="8"/>
        <v>4.2000000000000003E-2</v>
      </c>
      <c r="BJ8" s="115">
        <f t="shared" si="9"/>
        <v>0.514476092666727</v>
      </c>
      <c r="BK8" s="420"/>
      <c r="BL8" s="572">
        <v>5</v>
      </c>
    </row>
    <row r="9" spans="1:64" ht="12.75" customHeight="1" x14ac:dyDescent="0.2">
      <c r="A9" s="394">
        <f t="shared" si="10"/>
        <v>6</v>
      </c>
      <c r="B9" s="131">
        <v>10.3</v>
      </c>
      <c r="C9" s="282">
        <f t="shared" si="12"/>
        <v>11.6</v>
      </c>
      <c r="D9" s="685"/>
      <c r="E9" s="97">
        <f t="shared" si="13"/>
        <v>6</v>
      </c>
      <c r="F9" s="23">
        <v>9.6999999999999993</v>
      </c>
      <c r="G9" s="23">
        <v>11.6</v>
      </c>
      <c r="H9" s="553">
        <v>10.8</v>
      </c>
      <c r="I9" s="23">
        <f t="shared" si="0"/>
        <v>1.9000000000000004</v>
      </c>
      <c r="J9" s="6">
        <f t="shared" si="1"/>
        <v>0</v>
      </c>
      <c r="K9" s="24">
        <v>70</v>
      </c>
      <c r="L9" s="24">
        <v>84</v>
      </c>
      <c r="M9" s="554">
        <v>77</v>
      </c>
      <c r="N9" s="24">
        <f t="shared" si="2"/>
        <v>14</v>
      </c>
      <c r="O9" s="50">
        <f t="shared" si="3"/>
        <v>1</v>
      </c>
      <c r="P9" s="24">
        <v>1019</v>
      </c>
      <c r="Q9" s="24">
        <v>1020</v>
      </c>
      <c r="R9" s="24">
        <f t="shared" si="14"/>
        <v>1019.5</v>
      </c>
      <c r="S9" s="24">
        <f t="shared" si="4"/>
        <v>1</v>
      </c>
      <c r="T9" s="50">
        <v>0</v>
      </c>
      <c r="U9" s="553">
        <v>11.3</v>
      </c>
      <c r="V9" s="553">
        <v>21.3</v>
      </c>
      <c r="W9" s="553">
        <v>34.200000000000003</v>
      </c>
      <c r="X9" s="485" t="s">
        <v>110</v>
      </c>
      <c r="Y9" s="72">
        <f t="shared" si="15"/>
        <v>0</v>
      </c>
      <c r="Z9" s="539">
        <v>0</v>
      </c>
      <c r="AA9" s="23"/>
      <c r="AB9" s="23"/>
      <c r="AC9" s="510" t="str">
        <f t="shared" si="5"/>
        <v/>
      </c>
      <c r="AD9" s="7" t="str">
        <f t="shared" si="6"/>
        <v/>
      </c>
      <c r="AE9" s="485"/>
      <c r="AF9" s="72"/>
      <c r="AG9" s="553">
        <v>5.5</v>
      </c>
      <c r="AH9" s="553">
        <v>8.3000000000000007</v>
      </c>
      <c r="AI9" s="553">
        <v>6.9</v>
      </c>
      <c r="AJ9" s="7">
        <f t="shared" si="7"/>
        <v>2.8000000000000007</v>
      </c>
      <c r="AK9" s="6"/>
      <c r="AL9" s="485" t="s">
        <v>364</v>
      </c>
      <c r="AM9" s="54"/>
      <c r="AN9" s="23" t="s">
        <v>8</v>
      </c>
      <c r="AO9" s="400"/>
      <c r="AP9" s="565">
        <v>0</v>
      </c>
      <c r="AQ9" s="485">
        <v>0</v>
      </c>
      <c r="AR9" s="134"/>
      <c r="AS9" s="26">
        <f>IF(ISBLANK(F9),"",(AVERAGE($F$4:F9)))</f>
        <v>6</v>
      </c>
      <c r="AT9" s="26">
        <f>IF(ISBLANK(G9),"",(AVERAGE($G$4:G9)))</f>
        <v>10.566666666666666</v>
      </c>
      <c r="AU9" s="25">
        <f>IF(ISBLANK(H9),"",(AVERAGE($H$4:H9)))</f>
        <v>8.5666666666666682</v>
      </c>
      <c r="AV9" s="368">
        <f>IF(ISBLANK(G9),"",(AVERAGE($I$4:I9)))</f>
        <v>4.5666666666666664</v>
      </c>
      <c r="AW9" s="22">
        <f>IF(ISBLANK(M9),"",AVERAGE($M$4:M9))</f>
        <v>81.333333333333329</v>
      </c>
      <c r="AX9" s="376">
        <f>IF(ISBLANK(P9),"",(AVERAGE($R$4:R9)))</f>
        <v>1020.75</v>
      </c>
      <c r="AY9" s="368">
        <f>IF(ISBLANK(U9),"",(AVERAGE($U$4:U9)))</f>
        <v>9.0499999999999989</v>
      </c>
      <c r="AZ9" s="6"/>
      <c r="BA9" s="25">
        <f t="shared" si="16"/>
        <v>7.35</v>
      </c>
      <c r="BB9" s="25">
        <f t="shared" si="17"/>
        <v>4.22</v>
      </c>
      <c r="BC9" s="25">
        <f t="shared" si="20"/>
        <v>5.7850000000000001</v>
      </c>
      <c r="BD9" s="367">
        <f t="shared" si="19"/>
        <v>-3.13</v>
      </c>
      <c r="BE9" s="72"/>
      <c r="BF9" s="25">
        <f>IF(ISBLANK(F9),"",AS9-AVERAGE($F$91:F96))</f>
        <v>3.65</v>
      </c>
      <c r="BG9" s="25">
        <f>IF(ISBLANK(G9),"",AT9-AVERAGE($G$91:G96))</f>
        <v>3.3733333333333322</v>
      </c>
      <c r="BH9" s="367">
        <f t="shared" si="18"/>
        <v>-0.27666666666666773</v>
      </c>
      <c r="BI9" s="115">
        <f t="shared" si="8"/>
        <v>3.5000000000000003E-2</v>
      </c>
      <c r="BJ9" s="115">
        <f t="shared" si="9"/>
        <v>0.42739603575985297</v>
      </c>
      <c r="BK9" s="402"/>
      <c r="BL9" s="572">
        <v>6</v>
      </c>
    </row>
    <row r="10" spans="1:64" ht="12.75" customHeight="1" x14ac:dyDescent="0.2">
      <c r="A10" s="394">
        <f t="shared" si="10"/>
        <v>7</v>
      </c>
      <c r="B10" s="131">
        <v>8.6999999999999993</v>
      </c>
      <c r="C10" s="282">
        <f t="shared" si="12"/>
        <v>11.4</v>
      </c>
      <c r="D10" s="685"/>
      <c r="E10" s="97">
        <f t="shared" si="13"/>
        <v>7</v>
      </c>
      <c r="F10" s="23">
        <v>5.7</v>
      </c>
      <c r="G10" s="23">
        <v>11.4</v>
      </c>
      <c r="H10" s="553">
        <v>9</v>
      </c>
      <c r="I10" s="23">
        <f t="shared" si="0"/>
        <v>5.7</v>
      </c>
      <c r="J10" s="6">
        <f t="shared" si="1"/>
        <v>0</v>
      </c>
      <c r="K10" s="24">
        <v>62</v>
      </c>
      <c r="L10" s="24">
        <v>84</v>
      </c>
      <c r="M10" s="554">
        <v>74</v>
      </c>
      <c r="N10" s="24">
        <f t="shared" si="2"/>
        <v>22</v>
      </c>
      <c r="O10" s="50">
        <f t="shared" si="3"/>
        <v>1</v>
      </c>
      <c r="P10" s="24">
        <v>1010</v>
      </c>
      <c r="Q10" s="24">
        <v>1019</v>
      </c>
      <c r="R10" s="24">
        <f t="shared" si="14"/>
        <v>1014.5</v>
      </c>
      <c r="S10" s="24">
        <f t="shared" si="4"/>
        <v>9</v>
      </c>
      <c r="T10" s="50">
        <v>0</v>
      </c>
      <c r="U10" s="553">
        <v>10.1</v>
      </c>
      <c r="V10" s="553">
        <v>22.5</v>
      </c>
      <c r="W10" s="553">
        <v>33.1</v>
      </c>
      <c r="X10" s="485" t="s">
        <v>110</v>
      </c>
      <c r="Y10" s="72">
        <f t="shared" si="15"/>
        <v>0</v>
      </c>
      <c r="Z10" s="539">
        <v>0.1</v>
      </c>
      <c r="AA10" s="23"/>
      <c r="AB10" s="23"/>
      <c r="AC10" s="510">
        <f t="shared" si="5"/>
        <v>2.2624434389140269E-3</v>
      </c>
      <c r="AD10" s="7" t="str">
        <f t="shared" si="6"/>
        <v/>
      </c>
      <c r="AE10" s="485"/>
      <c r="AF10" s="72"/>
      <c r="AG10" s="553">
        <v>2.2000000000000002</v>
      </c>
      <c r="AH10" s="553">
        <v>8.4</v>
      </c>
      <c r="AI10" s="553">
        <v>4.5999999999999996</v>
      </c>
      <c r="AJ10" s="7">
        <f t="shared" si="7"/>
        <v>6.2</v>
      </c>
      <c r="AK10" s="6"/>
      <c r="AL10" s="485" t="s">
        <v>374</v>
      </c>
      <c r="AM10" s="54"/>
      <c r="AN10" s="302" t="s">
        <v>373</v>
      </c>
      <c r="AO10" s="400"/>
      <c r="AP10" s="485">
        <v>0.7</v>
      </c>
      <c r="AQ10" s="485">
        <v>0.2</v>
      </c>
      <c r="AR10" s="134"/>
      <c r="AS10" s="26">
        <f>IF(ISBLANK(F10),"",(AVERAGE($F$4:F10)))</f>
        <v>5.9571428571428573</v>
      </c>
      <c r="AT10" s="26">
        <f>IF(ISBLANK(G10),"",(AVERAGE($G$4:G10)))</f>
        <v>10.685714285714285</v>
      </c>
      <c r="AU10" s="25">
        <f>IF(ISBLANK(H10),"",(AVERAGE($H$4:H10)))</f>
        <v>8.6285714285714299</v>
      </c>
      <c r="AV10" s="368">
        <f>IF(ISBLANK(G10),"",(AVERAGE($I$4:I10)))</f>
        <v>4.7285714285714286</v>
      </c>
      <c r="AW10" s="22">
        <f>IF(ISBLANK(M10),"",AVERAGE($M$4:M10))</f>
        <v>80.285714285714292</v>
      </c>
      <c r="AX10" s="376">
        <f>IF(ISBLANK(P10),"",(AVERAGE($R$4:R10)))</f>
        <v>1019.8571428571429</v>
      </c>
      <c r="AY10" s="368">
        <f>IF(ISBLANK(U10),"",(AVERAGE($U$4:U10)))</f>
        <v>9.1999999999999993</v>
      </c>
      <c r="AZ10" s="6"/>
      <c r="BA10" s="25">
        <f t="shared" si="16"/>
        <v>3.35</v>
      </c>
      <c r="BB10" s="25">
        <f t="shared" si="17"/>
        <v>4.0860000000000003</v>
      </c>
      <c r="BC10" s="25">
        <f t="shared" si="20"/>
        <v>3.718</v>
      </c>
      <c r="BD10" s="367">
        <f t="shared" si="19"/>
        <v>0.73600000000000021</v>
      </c>
      <c r="BE10" s="72"/>
      <c r="BF10" s="25">
        <f>IF(ISBLANK(F10),"",AS10-AVERAGE($F$91:F97))</f>
        <v>3.6071428571428572</v>
      </c>
      <c r="BG10" s="25">
        <f>IF(ISBLANK(G10),"",AT10-AVERAGE($G$91:G97))</f>
        <v>3.4751428571428562</v>
      </c>
      <c r="BH10" s="367">
        <f t="shared" si="18"/>
        <v>-0.13200000000000101</v>
      </c>
      <c r="BI10" s="115">
        <f t="shared" si="8"/>
        <v>0.04</v>
      </c>
      <c r="BJ10" s="115">
        <f t="shared" si="9"/>
        <v>0.40513781106633517</v>
      </c>
      <c r="BK10" s="402"/>
      <c r="BL10" s="572">
        <v>7</v>
      </c>
    </row>
    <row r="11" spans="1:64" ht="12.75" customHeight="1" x14ac:dyDescent="0.2">
      <c r="A11" s="394">
        <f t="shared" si="10"/>
        <v>8</v>
      </c>
      <c r="B11" s="131">
        <f t="shared" si="11"/>
        <v>1.5</v>
      </c>
      <c r="C11" s="282">
        <f t="shared" si="12"/>
        <v>9.1</v>
      </c>
      <c r="D11" s="685"/>
      <c r="E11" s="97">
        <f t="shared" si="13"/>
        <v>8</v>
      </c>
      <c r="F11" s="23">
        <v>1.5</v>
      </c>
      <c r="G11" s="23">
        <v>9.1</v>
      </c>
      <c r="H11" s="553">
        <v>5.5</v>
      </c>
      <c r="I11" s="23">
        <f t="shared" si="0"/>
        <v>7.6</v>
      </c>
      <c r="J11" s="6">
        <f t="shared" si="1"/>
        <v>0</v>
      </c>
      <c r="K11" s="24">
        <v>52</v>
      </c>
      <c r="L11" s="24">
        <v>95</v>
      </c>
      <c r="M11" s="554">
        <v>77</v>
      </c>
      <c r="N11" s="24">
        <f t="shared" si="2"/>
        <v>43</v>
      </c>
      <c r="O11" s="50">
        <f t="shared" si="3"/>
        <v>0</v>
      </c>
      <c r="P11" s="24">
        <v>1020</v>
      </c>
      <c r="Q11" s="24">
        <v>1024</v>
      </c>
      <c r="R11" s="24">
        <f t="shared" si="14"/>
        <v>1022</v>
      </c>
      <c r="S11" s="24">
        <f t="shared" si="4"/>
        <v>4</v>
      </c>
      <c r="T11" s="50">
        <v>0</v>
      </c>
      <c r="U11" s="553">
        <v>2.8</v>
      </c>
      <c r="V11" s="553">
        <v>8.1</v>
      </c>
      <c r="W11" s="553">
        <v>10.5</v>
      </c>
      <c r="X11" s="485" t="s">
        <v>111</v>
      </c>
      <c r="Y11" s="72">
        <f t="shared" si="15"/>
        <v>0</v>
      </c>
      <c r="Z11" s="539">
        <v>0</v>
      </c>
      <c r="AA11" s="23"/>
      <c r="AB11" s="23"/>
      <c r="AC11" s="510" t="str">
        <f t="shared" si="5"/>
        <v/>
      </c>
      <c r="AD11" s="7" t="str">
        <f t="shared" si="6"/>
        <v/>
      </c>
      <c r="AE11" s="485"/>
      <c r="AF11" s="72"/>
      <c r="AG11" s="553">
        <v>-0.8</v>
      </c>
      <c r="AH11" s="553">
        <v>4.5999999999999996</v>
      </c>
      <c r="AI11" s="553">
        <v>1.6</v>
      </c>
      <c r="AJ11" s="7">
        <f t="shared" si="7"/>
        <v>5.3999999999999995</v>
      </c>
      <c r="AK11" s="6"/>
      <c r="AL11" s="485" t="s">
        <v>378</v>
      </c>
      <c r="AM11" s="54"/>
      <c r="AN11" s="391" t="s">
        <v>376</v>
      </c>
      <c r="AO11" s="400"/>
      <c r="AP11" s="485">
        <v>7</v>
      </c>
      <c r="AQ11" s="485">
        <v>0</v>
      </c>
      <c r="AR11" s="134"/>
      <c r="AS11" s="26">
        <f>IF(ISBLANK(F11),"",(AVERAGE($F$4:F11)))</f>
        <v>5.4</v>
      </c>
      <c r="AT11" s="26">
        <f>IF(ISBLANK(G11),"",(AVERAGE($G$4:G11)))</f>
        <v>10.487499999999999</v>
      </c>
      <c r="AU11" s="25">
        <f>IF(ISBLANK(H11),"",(AVERAGE($H$4:H11)))</f>
        <v>8.2375000000000007</v>
      </c>
      <c r="AV11" s="368">
        <f>IF(ISBLANK(G11),"",(AVERAGE($I$4:I11)))</f>
        <v>5.0875000000000004</v>
      </c>
      <c r="AW11" s="22">
        <f>IF(ISBLANK(M11),"",AVERAGE($M$4:M11))</f>
        <v>79.875</v>
      </c>
      <c r="AX11" s="376">
        <f>IF(ISBLANK(P11),"",(AVERAGE($R$4:R11)))</f>
        <v>1020.125</v>
      </c>
      <c r="AY11" s="368">
        <f>IF(ISBLANK(U11),"",(AVERAGE($U$4:U11)))</f>
        <v>8.3999999999999986</v>
      </c>
      <c r="AZ11" s="6"/>
      <c r="BA11" s="25">
        <f t="shared" si="16"/>
        <v>-0.85000000000000009</v>
      </c>
      <c r="BB11" s="25">
        <f t="shared" si="17"/>
        <v>1.8519999999999994</v>
      </c>
      <c r="BC11" s="25">
        <f t="shared" si="20"/>
        <v>0.50099999999999967</v>
      </c>
      <c r="BD11" s="367">
        <f t="shared" si="19"/>
        <v>2.7019999999999995</v>
      </c>
      <c r="BE11" s="72"/>
      <c r="BF11" s="25">
        <f>IF(ISBLANK(F11),"",AS11-AVERAGE($F$91:F98))</f>
        <v>3.0500000000000003</v>
      </c>
      <c r="BG11" s="25">
        <f>IF(ISBLANK(G11),"",AT11-AVERAGE($G$91:G98))</f>
        <v>3.2722499999999988</v>
      </c>
      <c r="BH11" s="367">
        <f t="shared" ref="BH11:BH20" si="21">IF(ISBLANK(G11),"",BG11-BF11)</f>
        <v>0.2222499999999985</v>
      </c>
      <c r="BI11" s="115">
        <f t="shared" si="8"/>
        <v>3.5000000000000003E-2</v>
      </c>
      <c r="BJ11" s="115">
        <f t="shared" si="9"/>
        <v>0.70178941758546654</v>
      </c>
      <c r="BK11" s="420"/>
      <c r="BL11" s="572">
        <v>8</v>
      </c>
    </row>
    <row r="12" spans="1:64" ht="12.75" customHeight="1" x14ac:dyDescent="0.2">
      <c r="A12" s="394">
        <f t="shared" si="10"/>
        <v>9</v>
      </c>
      <c r="B12" s="131">
        <f t="shared" si="11"/>
        <v>5.4</v>
      </c>
      <c r="C12" s="282">
        <f t="shared" si="12"/>
        <v>10.5</v>
      </c>
      <c r="D12" s="685"/>
      <c r="E12" s="97">
        <f t="shared" si="13"/>
        <v>9</v>
      </c>
      <c r="F12" s="23">
        <v>5.4</v>
      </c>
      <c r="G12" s="23">
        <v>10.5</v>
      </c>
      <c r="H12" s="553">
        <v>8.1</v>
      </c>
      <c r="I12" s="23">
        <f t="shared" si="0"/>
        <v>5.0999999999999996</v>
      </c>
      <c r="J12" s="6">
        <f t="shared" si="1"/>
        <v>0</v>
      </c>
      <c r="K12" s="24">
        <v>72</v>
      </c>
      <c r="L12" s="24">
        <v>89</v>
      </c>
      <c r="M12" s="554">
        <v>81</v>
      </c>
      <c r="N12" s="24">
        <f t="shared" si="2"/>
        <v>17</v>
      </c>
      <c r="O12" s="50">
        <f t="shared" si="3"/>
        <v>0</v>
      </c>
      <c r="P12" s="24">
        <v>1016</v>
      </c>
      <c r="Q12" s="24">
        <v>1020</v>
      </c>
      <c r="R12" s="24">
        <f t="shared" si="14"/>
        <v>1018</v>
      </c>
      <c r="S12" s="24">
        <f t="shared" si="4"/>
        <v>4</v>
      </c>
      <c r="T12" s="50">
        <v>0</v>
      </c>
      <c r="U12" s="553">
        <v>5.0999999999999996</v>
      </c>
      <c r="V12" s="553">
        <v>12.5</v>
      </c>
      <c r="W12" s="553">
        <v>15.4</v>
      </c>
      <c r="X12" s="485" t="s">
        <v>111</v>
      </c>
      <c r="Y12" s="72">
        <f t="shared" si="15"/>
        <v>0</v>
      </c>
      <c r="Z12" s="539">
        <v>0</v>
      </c>
      <c r="AA12" s="23"/>
      <c r="AB12" s="23"/>
      <c r="AC12" s="510" t="str">
        <f t="shared" si="5"/>
        <v/>
      </c>
      <c r="AD12" s="7" t="str">
        <f t="shared" si="6"/>
        <v/>
      </c>
      <c r="AE12" s="485"/>
      <c r="AF12" s="72"/>
      <c r="AG12" s="553">
        <v>1.6</v>
      </c>
      <c r="AH12" s="553">
        <v>6.9</v>
      </c>
      <c r="AI12" s="553">
        <v>5</v>
      </c>
      <c r="AJ12" s="7">
        <f t="shared" si="7"/>
        <v>5.3000000000000007</v>
      </c>
      <c r="AK12" s="6"/>
      <c r="AL12" s="485" t="s">
        <v>380</v>
      </c>
      <c r="AM12" s="54"/>
      <c r="AN12" s="555" t="s">
        <v>8</v>
      </c>
      <c r="AO12" s="400"/>
      <c r="AP12" s="485">
        <v>3</v>
      </c>
      <c r="AQ12" s="485">
        <v>0</v>
      </c>
      <c r="AR12" s="134"/>
      <c r="AS12" s="26">
        <f>IF(ISBLANK(F12),"",(AVERAGE($F$4:F12)))</f>
        <v>5.4</v>
      </c>
      <c r="AT12" s="26">
        <f>IF(ISBLANK(G12),"",(AVERAGE($G$4:G12)))</f>
        <v>10.488888888888887</v>
      </c>
      <c r="AU12" s="25">
        <f>IF(ISBLANK(H12),"",(AVERAGE($H$4:H12)))</f>
        <v>8.2222222222222214</v>
      </c>
      <c r="AV12" s="368">
        <f>IF(ISBLANK(G12),"",(AVERAGE($I$4:I12)))</f>
        <v>5.0888888888888895</v>
      </c>
      <c r="AW12" s="22">
        <f>IF(ISBLANK(M12),"",AVERAGE($M$4:M12))</f>
        <v>80</v>
      </c>
      <c r="AX12" s="376">
        <f>IF(ISBLANK(P12),"",(AVERAGE($R$4:R12)))</f>
        <v>1019.8888888888889</v>
      </c>
      <c r="AY12" s="368">
        <f>IF(ISBLANK(U12),"",(AVERAGE($U$4:U12)))</f>
        <v>8.0333333333333314</v>
      </c>
      <c r="AZ12" s="6"/>
      <c r="BA12" s="25">
        <f t="shared" si="16"/>
        <v>3.1416666666666671</v>
      </c>
      <c r="BB12" s="25">
        <f t="shared" si="17"/>
        <v>3.3179999999999996</v>
      </c>
      <c r="BC12" s="25">
        <f t="shared" si="20"/>
        <v>3.2298333333333336</v>
      </c>
      <c r="BD12" s="367">
        <f t="shared" si="19"/>
        <v>0.17633333333333256</v>
      </c>
      <c r="BE12" s="72"/>
      <c r="BF12" s="25">
        <f>IF(ISBLANK(F12),"",AS12-AVERAGE($F$91:F99))</f>
        <v>3.0601851851851856</v>
      </c>
      <c r="BG12" s="25">
        <f>IF(ISBLANK(G12),"",AT12-AVERAGE($G$91:G99))</f>
        <v>3.2773333333333321</v>
      </c>
      <c r="BH12" s="367">
        <f t="shared" si="21"/>
        <v>0.21714814814814654</v>
      </c>
      <c r="BI12" s="115">
        <f t="shared" si="8"/>
        <v>3.111111111111111E-2</v>
      </c>
      <c r="BJ12" s="115">
        <f t="shared" si="9"/>
        <v>0.75415631786560888</v>
      </c>
      <c r="BK12" s="402"/>
      <c r="BL12" s="572">
        <v>9</v>
      </c>
    </row>
    <row r="13" spans="1:64" ht="12.75" customHeight="1" x14ac:dyDescent="0.2">
      <c r="A13" s="394">
        <f t="shared" si="10"/>
        <v>10</v>
      </c>
      <c r="B13" s="131">
        <v>8</v>
      </c>
      <c r="C13" s="282">
        <f t="shared" si="12"/>
        <v>10.6</v>
      </c>
      <c r="D13" s="685"/>
      <c r="E13" s="97">
        <f t="shared" si="13"/>
        <v>10</v>
      </c>
      <c r="F13" s="23">
        <v>8.3000000000000007</v>
      </c>
      <c r="G13" s="23">
        <v>10.6</v>
      </c>
      <c r="H13" s="553">
        <v>9.6</v>
      </c>
      <c r="I13" s="23">
        <f t="shared" si="0"/>
        <v>2.2999999999999989</v>
      </c>
      <c r="J13" s="6">
        <f t="shared" si="1"/>
        <v>0</v>
      </c>
      <c r="K13" s="24">
        <v>86</v>
      </c>
      <c r="L13" s="24">
        <v>97</v>
      </c>
      <c r="M13" s="554">
        <v>93</v>
      </c>
      <c r="N13" s="24">
        <f t="shared" si="2"/>
        <v>11</v>
      </c>
      <c r="O13" s="50">
        <f t="shared" si="3"/>
        <v>1</v>
      </c>
      <c r="P13" s="24">
        <v>1010</v>
      </c>
      <c r="Q13" s="24">
        <v>1015</v>
      </c>
      <c r="R13" s="24">
        <f t="shared" si="14"/>
        <v>1012.5</v>
      </c>
      <c r="S13" s="24">
        <f t="shared" si="4"/>
        <v>5</v>
      </c>
      <c r="T13" s="50">
        <v>0</v>
      </c>
      <c r="U13" s="553">
        <v>4.9000000000000004</v>
      </c>
      <c r="V13" s="553">
        <v>10.7</v>
      </c>
      <c r="W13" s="553">
        <v>15.2</v>
      </c>
      <c r="X13" s="485" t="s">
        <v>110</v>
      </c>
      <c r="Y13" s="72">
        <f t="shared" si="15"/>
        <v>2</v>
      </c>
      <c r="Z13" s="539">
        <v>12.3</v>
      </c>
      <c r="AA13" s="23">
        <v>3</v>
      </c>
      <c r="AB13" s="23">
        <v>0.8</v>
      </c>
      <c r="AC13" s="510">
        <f t="shared" si="5"/>
        <v>0.27828054298642535</v>
      </c>
      <c r="AD13" s="7">
        <f t="shared" si="6"/>
        <v>1.23</v>
      </c>
      <c r="AE13" s="485">
        <v>15</v>
      </c>
      <c r="AF13" s="72"/>
      <c r="AG13" s="553">
        <v>6.1</v>
      </c>
      <c r="AH13" s="553">
        <v>10.1</v>
      </c>
      <c r="AI13" s="553">
        <v>8.5</v>
      </c>
      <c r="AJ13" s="7">
        <f t="shared" si="7"/>
        <v>4</v>
      </c>
      <c r="AK13" s="6"/>
      <c r="AL13" s="485" t="s">
        <v>239</v>
      </c>
      <c r="AM13" s="54"/>
      <c r="AN13" s="555" t="s">
        <v>381</v>
      </c>
      <c r="AO13" s="400"/>
      <c r="AP13" s="485">
        <v>0</v>
      </c>
      <c r="AQ13" s="485">
        <v>10</v>
      </c>
      <c r="AR13" s="134"/>
      <c r="AS13" s="26">
        <f>IF(ISBLANK(F13),"",(AVERAGE($F$4:F13)))</f>
        <v>5.69</v>
      </c>
      <c r="AT13" s="26">
        <f>IF(ISBLANK(G13),"",(AVERAGE($G$4:G13)))</f>
        <v>10.499999999999998</v>
      </c>
      <c r="AU13" s="25">
        <f>IF(ISBLANK(H13),"",(AVERAGE($H$4:H13)))</f>
        <v>8.36</v>
      </c>
      <c r="AV13" s="368">
        <f>IF(ISBLANK(G13),"",(AVERAGE($I$4:I13)))</f>
        <v>4.8100000000000005</v>
      </c>
      <c r="AW13" s="22">
        <f>IF(ISBLANK(M13),"",AVERAGE($M$4:M13))</f>
        <v>81.3</v>
      </c>
      <c r="AX13" s="376">
        <f>IF(ISBLANK(P13),"",(AVERAGE($R$4:R13)))</f>
        <v>1019.15</v>
      </c>
      <c r="AY13" s="368">
        <f>IF(ISBLANK(U13),"",(AVERAGE($U$4:U13)))</f>
        <v>7.7199999999999989</v>
      </c>
      <c r="AZ13" s="6"/>
      <c r="BA13" s="25">
        <f t="shared" si="16"/>
        <v>6.1333333333333346</v>
      </c>
      <c r="BB13" s="25">
        <f t="shared" si="17"/>
        <v>3.4839999999999991</v>
      </c>
      <c r="BC13" s="25">
        <f t="shared" si="20"/>
        <v>4.8086666666666673</v>
      </c>
      <c r="BD13" s="367">
        <f t="shared" si="19"/>
        <v>-2.6493333333333355</v>
      </c>
      <c r="BE13" s="72"/>
      <c r="BF13" s="25">
        <f>IF(ISBLANK(F13),"",AS13-AVERAGE($F$91:F100))</f>
        <v>3.3675000000000002</v>
      </c>
      <c r="BG13" s="25">
        <f>IF(ISBLANK(G13),"",AT13-AVERAGE($G$91:G100))</f>
        <v>3.2979999999999983</v>
      </c>
      <c r="BH13" s="367">
        <f t="shared" si="21"/>
        <v>-6.9500000000001894E-2</v>
      </c>
      <c r="BI13" s="115">
        <f t="shared" si="8"/>
        <v>0.88900000000000001</v>
      </c>
      <c r="BJ13" s="115">
        <f t="shared" si="9"/>
        <v>0.67659559159042137</v>
      </c>
      <c r="BK13" s="402"/>
      <c r="BL13" s="572">
        <v>10</v>
      </c>
    </row>
    <row r="14" spans="1:64" ht="12.75" customHeight="1" x14ac:dyDescent="0.2">
      <c r="A14" s="394">
        <f t="shared" si="10"/>
        <v>11</v>
      </c>
      <c r="B14" s="131">
        <f t="shared" si="11"/>
        <v>8.4</v>
      </c>
      <c r="C14" s="282">
        <f t="shared" si="12"/>
        <v>12</v>
      </c>
      <c r="D14" s="685"/>
      <c r="E14" s="97">
        <f t="shared" si="13"/>
        <v>11</v>
      </c>
      <c r="F14" s="23">
        <v>8.4</v>
      </c>
      <c r="G14" s="23">
        <v>12</v>
      </c>
      <c r="H14" s="553">
        <v>10.1</v>
      </c>
      <c r="I14" s="23">
        <f t="shared" si="0"/>
        <v>3.5999999999999996</v>
      </c>
      <c r="J14" s="6">
        <f t="shared" si="1"/>
        <v>0</v>
      </c>
      <c r="K14" s="24">
        <v>89</v>
      </c>
      <c r="L14" s="24">
        <v>97</v>
      </c>
      <c r="M14" s="554">
        <v>93</v>
      </c>
      <c r="N14" s="24">
        <f t="shared" si="2"/>
        <v>8</v>
      </c>
      <c r="O14" s="50">
        <f t="shared" si="3"/>
        <v>0</v>
      </c>
      <c r="P14" s="24">
        <v>1010</v>
      </c>
      <c r="Q14" s="24">
        <v>1012</v>
      </c>
      <c r="R14" s="24">
        <f t="shared" si="14"/>
        <v>1011</v>
      </c>
      <c r="S14" s="24">
        <f t="shared" si="4"/>
        <v>2</v>
      </c>
      <c r="T14" s="50">
        <v>0</v>
      </c>
      <c r="U14" s="553">
        <v>4.2</v>
      </c>
      <c r="V14" s="553">
        <v>12.1</v>
      </c>
      <c r="W14" s="553">
        <v>17.5</v>
      </c>
      <c r="X14" s="485" t="s">
        <v>110</v>
      </c>
      <c r="Y14" s="72">
        <f t="shared" si="15"/>
        <v>2</v>
      </c>
      <c r="Z14" s="539">
        <v>1.1000000000000001</v>
      </c>
      <c r="AA14" s="23">
        <v>0.5</v>
      </c>
      <c r="AB14" s="23" t="s">
        <v>8</v>
      </c>
      <c r="AC14" s="510">
        <f t="shared" si="5"/>
        <v>2.48868778280543E-2</v>
      </c>
      <c r="AD14" s="7">
        <f t="shared" si="6"/>
        <v>0.73333333333333339</v>
      </c>
      <c r="AE14" s="485" t="s">
        <v>8</v>
      </c>
      <c r="AF14" s="72"/>
      <c r="AG14" s="553">
        <v>7.3</v>
      </c>
      <c r="AH14" s="553">
        <v>11</v>
      </c>
      <c r="AI14" s="553">
        <v>9.1</v>
      </c>
      <c r="AJ14" s="7">
        <f t="shared" si="7"/>
        <v>3.7</v>
      </c>
      <c r="AK14" s="6"/>
      <c r="AL14" s="485" t="s">
        <v>262</v>
      </c>
      <c r="AM14" s="54"/>
      <c r="AN14" s="555" t="s">
        <v>384</v>
      </c>
      <c r="AO14" s="400"/>
      <c r="AP14" s="485">
        <v>0.2</v>
      </c>
      <c r="AQ14" s="485">
        <v>1.5</v>
      </c>
      <c r="AR14" s="134"/>
      <c r="AS14" s="26">
        <f>IF(ISBLANK(F14),"",(AVERAGE($F$4:F14)))</f>
        <v>5.9363636363636374</v>
      </c>
      <c r="AT14" s="26">
        <f>IF(ISBLANK(G14),"",(AVERAGE($G$4:G14)))</f>
        <v>10.636363636363635</v>
      </c>
      <c r="AU14" s="25">
        <f>IF(ISBLANK(H14),"",(AVERAGE($H$4:H14)))</f>
        <v>8.5181818181818176</v>
      </c>
      <c r="AV14" s="368">
        <f>IF(ISBLANK(G14),"",(AVERAGE($I$4:I14)))</f>
        <v>4.7</v>
      </c>
      <c r="AW14" s="22">
        <f>IF(ISBLANK(M14),"",AVERAGE($M$4:M14))</f>
        <v>82.36363636363636</v>
      </c>
      <c r="AX14" s="376">
        <f>IF(ISBLANK(P14),"",(AVERAGE($R$4:R14)))</f>
        <v>1018.4090909090909</v>
      </c>
      <c r="AY14" s="368">
        <f>IF(ISBLANK(U14),"",(AVERAGE($U$4:U14)))</f>
        <v>7.3999999999999995</v>
      </c>
      <c r="AZ14" s="6"/>
      <c r="BA14" s="25">
        <f t="shared" si="16"/>
        <v>6.3250000000000002</v>
      </c>
      <c r="BB14" s="25">
        <f t="shared" si="17"/>
        <v>4.95</v>
      </c>
      <c r="BC14" s="25">
        <f t="shared" si="20"/>
        <v>5.6375000000000002</v>
      </c>
      <c r="BD14" s="367">
        <f t="shared" si="19"/>
        <v>-1.375</v>
      </c>
      <c r="BE14" s="72"/>
      <c r="BF14" s="25">
        <f>IF(ISBLANK(F14),"",AS14-AVERAGE($F$91:F101))</f>
        <v>3.6363636363636371</v>
      </c>
      <c r="BG14" s="25">
        <f>IF(ISBLANK(G14),"",AT14-AVERAGE($G$91:G101))</f>
        <v>3.4481818181818173</v>
      </c>
      <c r="BH14" s="367">
        <f t="shared" si="21"/>
        <v>-0.18818181818181978</v>
      </c>
      <c r="BI14" s="115">
        <f t="shared" si="8"/>
        <v>0.87818181818181817</v>
      </c>
      <c r="BJ14" s="115">
        <f t="shared" si="9"/>
        <v>0.62030784764136138</v>
      </c>
      <c r="BK14" s="402"/>
      <c r="BL14" s="572">
        <v>11</v>
      </c>
    </row>
    <row r="15" spans="1:64" ht="12.75" customHeight="1" x14ac:dyDescent="0.2">
      <c r="A15" s="394">
        <f t="shared" si="10"/>
        <v>12</v>
      </c>
      <c r="B15" s="131">
        <v>8.6999999999999993</v>
      </c>
      <c r="C15" s="282">
        <f t="shared" si="12"/>
        <v>10.5</v>
      </c>
      <c r="D15" s="685"/>
      <c r="E15" s="97">
        <f t="shared" si="13"/>
        <v>12</v>
      </c>
      <c r="F15" s="23">
        <v>5.6</v>
      </c>
      <c r="G15" s="23">
        <v>10.5</v>
      </c>
      <c r="H15" s="553">
        <v>8.9</v>
      </c>
      <c r="I15" s="23">
        <f t="shared" si="0"/>
        <v>4.9000000000000004</v>
      </c>
      <c r="J15" s="6">
        <f t="shared" si="1"/>
        <v>0</v>
      </c>
      <c r="K15" s="24">
        <v>68</v>
      </c>
      <c r="L15" s="24">
        <v>96</v>
      </c>
      <c r="M15" s="554">
        <v>85</v>
      </c>
      <c r="N15" s="24">
        <f t="shared" si="2"/>
        <v>28</v>
      </c>
      <c r="O15" s="50">
        <f t="shared" si="3"/>
        <v>1</v>
      </c>
      <c r="P15" s="24">
        <v>1010</v>
      </c>
      <c r="Q15" s="24">
        <v>1012</v>
      </c>
      <c r="R15" s="24">
        <f t="shared" si="14"/>
        <v>1011</v>
      </c>
      <c r="S15" s="24">
        <f t="shared" si="4"/>
        <v>2</v>
      </c>
      <c r="T15" s="50">
        <v>0</v>
      </c>
      <c r="U15" s="553">
        <v>4.9000000000000004</v>
      </c>
      <c r="V15" s="553">
        <v>10.7</v>
      </c>
      <c r="W15" s="553">
        <v>16.3</v>
      </c>
      <c r="X15" s="485" t="s">
        <v>110</v>
      </c>
      <c r="Y15" s="72">
        <f t="shared" si="15"/>
        <v>2</v>
      </c>
      <c r="Z15" s="539">
        <v>1.9</v>
      </c>
      <c r="AA15" s="23">
        <v>1.4</v>
      </c>
      <c r="AB15" s="23">
        <v>0.3</v>
      </c>
      <c r="AC15" s="510">
        <f t="shared" si="5"/>
        <v>4.2986425339366509E-2</v>
      </c>
      <c r="AD15" s="7">
        <f t="shared" si="6"/>
        <v>0.76</v>
      </c>
      <c r="AE15" s="485">
        <v>1.6</v>
      </c>
      <c r="AF15" s="72"/>
      <c r="AG15" s="553">
        <v>2.6</v>
      </c>
      <c r="AH15" s="553">
        <v>9.6999999999999993</v>
      </c>
      <c r="AI15" s="553">
        <v>6.5</v>
      </c>
      <c r="AJ15" s="7">
        <f t="shared" si="7"/>
        <v>7.1</v>
      </c>
      <c r="AK15" s="6"/>
      <c r="AL15" s="485" t="s">
        <v>385</v>
      </c>
      <c r="AM15" s="54"/>
      <c r="AN15" s="555" t="s">
        <v>386</v>
      </c>
      <c r="AO15" s="400"/>
      <c r="AP15" s="485">
        <v>2.5</v>
      </c>
      <c r="AQ15" s="485">
        <v>2.5</v>
      </c>
      <c r="AR15" s="134"/>
      <c r="AS15" s="26">
        <f>IF(ISBLANK(F15),"",(AVERAGE($F$4:F15)))</f>
        <v>5.9083333333333341</v>
      </c>
      <c r="AT15" s="26">
        <f>IF(ISBLANK(G15),"",(AVERAGE($G$4:G15)))</f>
        <v>10.624999999999998</v>
      </c>
      <c r="AU15" s="25">
        <f>IF(ISBLANK(H15),"",(AVERAGE($H$4:H15)))</f>
        <v>8.5499999999999989</v>
      </c>
      <c r="AV15" s="368">
        <f>IF(ISBLANK(G15),"",(AVERAGE($I$4:I15)))</f>
        <v>4.7166666666666668</v>
      </c>
      <c r="AW15" s="22">
        <f>IF(ISBLANK(M15),"",AVERAGE($M$4:M15))</f>
        <v>82.583333333333329</v>
      </c>
      <c r="AX15" s="376">
        <f>IF(ISBLANK(P15),"",(AVERAGE($R$4:R15)))</f>
        <v>1017.7916666666666</v>
      </c>
      <c r="AY15" s="368">
        <f>IF(ISBLANK(U15),"",(AVERAGE($U$4:U15)))</f>
        <v>7.1916666666666664</v>
      </c>
      <c r="AZ15" s="6"/>
      <c r="BA15" s="25">
        <f t="shared" si="16"/>
        <v>3.6166666666666663</v>
      </c>
      <c r="BB15" s="25">
        <f t="shared" si="17"/>
        <v>3.3888888888888893</v>
      </c>
      <c r="BC15" s="25">
        <f t="shared" si="20"/>
        <v>3.5027777777777778</v>
      </c>
      <c r="BD15" s="367">
        <f t="shared" si="19"/>
        <v>-0.22777777777777697</v>
      </c>
      <c r="BE15" s="72"/>
      <c r="BF15" s="25">
        <f>IF(ISBLANK(F15),"",AS15-AVERAGE($F$91:F102))</f>
        <v>3.6347222222222229</v>
      </c>
      <c r="BG15" s="25">
        <f>IF(ISBLANK(G15),"",AT15-AVERAGE($G$91:G102))</f>
        <v>3.4432407407407393</v>
      </c>
      <c r="BH15" s="367">
        <f t="shared" si="21"/>
        <v>-0.19148148148148358</v>
      </c>
      <c r="BI15" s="115">
        <f t="shared" si="8"/>
        <v>0.91583333333333339</v>
      </c>
      <c r="BJ15" s="115">
        <f t="shared" si="9"/>
        <v>0.64871575657853786</v>
      </c>
      <c r="BK15" s="402"/>
      <c r="BL15" s="572">
        <v>12</v>
      </c>
    </row>
    <row r="16" spans="1:64" ht="12.75" customHeight="1" x14ac:dyDescent="0.2">
      <c r="A16" s="394">
        <f t="shared" si="10"/>
        <v>13</v>
      </c>
      <c r="B16" s="131">
        <f t="shared" si="11"/>
        <v>5.6</v>
      </c>
      <c r="C16" s="282">
        <f t="shared" si="12"/>
        <v>8.6</v>
      </c>
      <c r="D16" s="685"/>
      <c r="E16" s="97">
        <f t="shared" si="13"/>
        <v>13</v>
      </c>
      <c r="F16" s="23">
        <v>5.6</v>
      </c>
      <c r="G16" s="23">
        <v>8.6</v>
      </c>
      <c r="H16" s="553">
        <v>7.4</v>
      </c>
      <c r="I16" s="23">
        <f t="shared" si="0"/>
        <v>3</v>
      </c>
      <c r="J16" s="6">
        <f t="shared" si="1"/>
        <v>0</v>
      </c>
      <c r="K16" s="24">
        <v>82</v>
      </c>
      <c r="L16" s="24">
        <v>95</v>
      </c>
      <c r="M16" s="554">
        <v>87</v>
      </c>
      <c r="N16" s="24">
        <f t="shared" si="2"/>
        <v>13</v>
      </c>
      <c r="O16" s="50">
        <f t="shared" si="3"/>
        <v>0</v>
      </c>
      <c r="P16" s="24">
        <v>997</v>
      </c>
      <c r="Q16" s="24">
        <v>1009</v>
      </c>
      <c r="R16" s="24">
        <f t="shared" si="14"/>
        <v>1003</v>
      </c>
      <c r="S16" s="24">
        <f t="shared" si="4"/>
        <v>12</v>
      </c>
      <c r="T16" s="50">
        <v>0</v>
      </c>
      <c r="U16" s="553">
        <v>7.6</v>
      </c>
      <c r="V16" s="553">
        <v>17.5</v>
      </c>
      <c r="W16" s="553">
        <v>24.4</v>
      </c>
      <c r="X16" s="485" t="s">
        <v>111</v>
      </c>
      <c r="Y16" s="72">
        <f t="shared" si="15"/>
        <v>2</v>
      </c>
      <c r="Z16" s="539">
        <v>3</v>
      </c>
      <c r="AA16" s="23">
        <v>1.1000000000000001</v>
      </c>
      <c r="AB16" s="23">
        <v>0.3</v>
      </c>
      <c r="AC16" s="510">
        <f t="shared" si="5"/>
        <v>6.7873303167420809E-2</v>
      </c>
      <c r="AD16" s="7">
        <f t="shared" si="6"/>
        <v>0.42857142857142855</v>
      </c>
      <c r="AE16" s="485">
        <v>2.1</v>
      </c>
      <c r="AF16" s="72"/>
      <c r="AG16" s="553">
        <v>3.3</v>
      </c>
      <c r="AH16" s="553">
        <v>7.1</v>
      </c>
      <c r="AI16" s="553">
        <v>5.4</v>
      </c>
      <c r="AJ16" s="7">
        <f t="shared" si="7"/>
        <v>3.8</v>
      </c>
      <c r="AK16" s="6"/>
      <c r="AL16" s="485" t="s">
        <v>239</v>
      </c>
      <c r="AM16" s="54"/>
      <c r="AN16" s="555" t="s">
        <v>388</v>
      </c>
      <c r="AO16" s="400"/>
      <c r="AP16" s="485">
        <v>0</v>
      </c>
      <c r="AQ16" s="485">
        <v>7</v>
      </c>
      <c r="AR16" s="134"/>
      <c r="AS16" s="26">
        <f>IF(ISBLANK(F16),"",(AVERAGE($F$4:F16)))</f>
        <v>5.884615384615385</v>
      </c>
      <c r="AT16" s="26">
        <f>IF(ISBLANK(G16),"",(AVERAGE($G$4:G16)))</f>
        <v>10.469230769230769</v>
      </c>
      <c r="AU16" s="25">
        <f>IF(ISBLANK(H16),"",(AVERAGE($H$4:H16)))</f>
        <v>8.4615384615384617</v>
      </c>
      <c r="AV16" s="368">
        <f>IF(ISBLANK(G16),"",(AVERAGE($I$4:I16)))</f>
        <v>4.5846153846153843</v>
      </c>
      <c r="AW16" s="22">
        <f>IF(ISBLANK(M16),"",AVERAGE($M$4:M16))</f>
        <v>82.92307692307692</v>
      </c>
      <c r="AX16" s="376">
        <f>IF(ISBLANK(P16),"",(AVERAGE($R$4:R16)))</f>
        <v>1016.6538461538462</v>
      </c>
      <c r="AY16" s="368">
        <f>IF(ISBLANK(U16),"",(AVERAGE($U$4:U16)))</f>
        <v>7.2230769230769223</v>
      </c>
      <c r="AZ16" s="6"/>
      <c r="BA16" s="25">
        <f t="shared" si="16"/>
        <v>3.708333333333333</v>
      </c>
      <c r="BB16" s="25">
        <f t="shared" si="17"/>
        <v>1.427777777777778</v>
      </c>
      <c r="BC16" s="25">
        <f t="shared" si="20"/>
        <v>2.5680555555555555</v>
      </c>
      <c r="BD16" s="367">
        <f t="shared" si="19"/>
        <v>-2.280555555555555</v>
      </c>
      <c r="BE16" s="72"/>
      <c r="BF16" s="25">
        <f>IF(ISBLANK(F16),"",AS16-AVERAGE($F$91:F103))</f>
        <v>3.6403846153846158</v>
      </c>
      <c r="BG16" s="25">
        <f>IF(ISBLANK(G16),"",AT16-AVERAGE($G$91:G103))</f>
        <v>3.2882051282051288</v>
      </c>
      <c r="BH16" s="367">
        <f t="shared" si="21"/>
        <v>-0.35217948717948699</v>
      </c>
      <c r="BI16" s="115">
        <f t="shared" si="8"/>
        <v>1.006923076923077</v>
      </c>
      <c r="BJ16" s="115">
        <f t="shared" si="9"/>
        <v>0.59690488614504644</v>
      </c>
      <c r="BK16" s="402"/>
      <c r="BL16" s="572">
        <v>13</v>
      </c>
    </row>
    <row r="17" spans="1:64" ht="12.75" customHeight="1" x14ac:dyDescent="0.2">
      <c r="A17" s="394">
        <f t="shared" si="10"/>
        <v>14</v>
      </c>
      <c r="B17" s="131">
        <f t="shared" si="11"/>
        <v>4.7</v>
      </c>
      <c r="C17" s="282">
        <f t="shared" si="12"/>
        <v>9.3000000000000007</v>
      </c>
      <c r="D17" s="685"/>
      <c r="E17" s="97">
        <f t="shared" si="13"/>
        <v>14</v>
      </c>
      <c r="F17" s="23">
        <v>4.7</v>
      </c>
      <c r="G17" s="23">
        <v>9.3000000000000007</v>
      </c>
      <c r="H17" s="553">
        <v>6.8</v>
      </c>
      <c r="I17" s="23">
        <f t="shared" si="0"/>
        <v>4.6000000000000005</v>
      </c>
      <c r="J17" s="6">
        <f t="shared" si="1"/>
        <v>0</v>
      </c>
      <c r="K17" s="24">
        <v>58</v>
      </c>
      <c r="L17" s="24">
        <v>94</v>
      </c>
      <c r="M17" s="554">
        <v>80</v>
      </c>
      <c r="N17" s="24">
        <f t="shared" si="2"/>
        <v>36</v>
      </c>
      <c r="O17" s="50">
        <f t="shared" si="3"/>
        <v>0</v>
      </c>
      <c r="P17" s="24">
        <v>998</v>
      </c>
      <c r="Q17" s="24">
        <v>1002</v>
      </c>
      <c r="R17" s="24">
        <f t="shared" si="14"/>
        <v>1000</v>
      </c>
      <c r="S17" s="24">
        <f t="shared" si="4"/>
        <v>4</v>
      </c>
      <c r="T17" s="50">
        <v>0</v>
      </c>
      <c r="U17" s="553">
        <v>5.4</v>
      </c>
      <c r="V17" s="553">
        <v>13</v>
      </c>
      <c r="W17" s="553">
        <v>20.8</v>
      </c>
      <c r="X17" s="485" t="s">
        <v>110</v>
      </c>
      <c r="Y17" s="72">
        <f t="shared" si="15"/>
        <v>0</v>
      </c>
      <c r="Z17" s="539">
        <v>0</v>
      </c>
      <c r="AA17" s="23"/>
      <c r="AB17" s="23"/>
      <c r="AC17" s="510" t="str">
        <f t="shared" si="5"/>
        <v/>
      </c>
      <c r="AD17" s="7" t="str">
        <f t="shared" si="6"/>
        <v/>
      </c>
      <c r="AE17" s="485"/>
      <c r="AF17" s="72"/>
      <c r="AG17" s="553">
        <v>0.9</v>
      </c>
      <c r="AH17" s="553">
        <v>5.9</v>
      </c>
      <c r="AI17" s="553">
        <v>3.5</v>
      </c>
      <c r="AJ17" s="26">
        <f t="shared" si="7"/>
        <v>5</v>
      </c>
      <c r="AK17" s="6"/>
      <c r="AL17" s="485" t="s">
        <v>389</v>
      </c>
      <c r="AM17" s="54">
        <v>1013.25</v>
      </c>
      <c r="AN17" s="555" t="s">
        <v>8</v>
      </c>
      <c r="AO17" s="400"/>
      <c r="AP17" s="485">
        <v>5.5</v>
      </c>
      <c r="AQ17" s="485">
        <v>0</v>
      </c>
      <c r="AR17" s="134"/>
      <c r="AS17" s="26">
        <f>IF(ISBLANK(F17),"",(AVERAGE($F$4:F17)))</f>
        <v>5.8</v>
      </c>
      <c r="AT17" s="26">
        <f>IF(ISBLANK(G17),"",(AVERAGE($G$4:G17)))</f>
        <v>10.385714285714286</v>
      </c>
      <c r="AU17" s="25">
        <f>IF(ISBLANK(H17),"",(AVERAGE($H$4:H17)))</f>
        <v>8.3428571428571434</v>
      </c>
      <c r="AV17" s="368">
        <f>IF(ISBLANK(G17),"",(AVERAGE($I$4:I17)))</f>
        <v>4.5857142857142863</v>
      </c>
      <c r="AW17" s="22">
        <f>IF(ISBLANK(M17),"",AVERAGE($M$4:M17))</f>
        <v>82.714285714285708</v>
      </c>
      <c r="AX17" s="376">
        <f>IF(ISBLANK(P17),"",(AVERAGE($R$4:R17)))</f>
        <v>1015.4642857142857</v>
      </c>
      <c r="AY17" s="368">
        <f>IF(ISBLANK(U17),"",(AVERAGE($U$4:U17)))</f>
        <v>7.0928571428571425</v>
      </c>
      <c r="AZ17" s="6"/>
      <c r="BA17" s="25">
        <f t="shared" si="16"/>
        <v>2.9000000000000004</v>
      </c>
      <c r="BB17" s="25">
        <f t="shared" si="17"/>
        <v>2.0666666666666682</v>
      </c>
      <c r="BC17" s="25">
        <f t="shared" si="20"/>
        <v>2.4833333333333343</v>
      </c>
      <c r="BD17" s="367">
        <f t="shared" si="19"/>
        <v>-0.83333333333333215</v>
      </c>
      <c r="BE17" s="72"/>
      <c r="BF17" s="25">
        <f>IF(ISBLANK(F17),"",AS17-AVERAGE($F$91:F104))</f>
        <v>3.5874999999999999</v>
      </c>
      <c r="BG17" s="25">
        <f>IF(ISBLANK(G17),"",AT17-AVERAGE($G$91:G104))</f>
        <v>3.2009523809523817</v>
      </c>
      <c r="BH17" s="367">
        <f t="shared" si="21"/>
        <v>-0.38654761904761825</v>
      </c>
      <c r="BI17" s="115">
        <f t="shared" si="8"/>
        <v>0.93500000000000016</v>
      </c>
      <c r="BJ17" s="115">
        <f t="shared" si="9"/>
        <v>0.70596801224006289</v>
      </c>
      <c r="BK17" s="402"/>
      <c r="BL17" s="572">
        <v>14</v>
      </c>
    </row>
    <row r="18" spans="1:64" ht="12.75" customHeight="1" x14ac:dyDescent="0.2">
      <c r="A18" s="394">
        <f t="shared" si="10"/>
        <v>15</v>
      </c>
      <c r="B18" s="131">
        <f t="shared" si="11"/>
        <v>4.9000000000000004</v>
      </c>
      <c r="C18" s="282">
        <f t="shared" si="12"/>
        <v>6.8</v>
      </c>
      <c r="D18" s="685"/>
      <c r="E18" s="97">
        <f t="shared" si="13"/>
        <v>15</v>
      </c>
      <c r="F18" s="23">
        <v>4.9000000000000004</v>
      </c>
      <c r="G18" s="23">
        <v>6.8</v>
      </c>
      <c r="H18" s="553">
        <v>6.1</v>
      </c>
      <c r="I18" s="23">
        <f t="shared" si="0"/>
        <v>1.8999999999999995</v>
      </c>
      <c r="J18" s="6">
        <f t="shared" si="1"/>
        <v>0</v>
      </c>
      <c r="K18" s="24">
        <v>77</v>
      </c>
      <c r="L18" s="24">
        <v>92</v>
      </c>
      <c r="M18" s="554">
        <v>86</v>
      </c>
      <c r="N18" s="24">
        <f t="shared" si="2"/>
        <v>15</v>
      </c>
      <c r="O18" s="50">
        <f t="shared" si="3"/>
        <v>0</v>
      </c>
      <c r="P18" s="24">
        <v>989</v>
      </c>
      <c r="Q18" s="24">
        <v>998</v>
      </c>
      <c r="R18" s="24">
        <f t="shared" si="14"/>
        <v>993.5</v>
      </c>
      <c r="S18" s="24">
        <f t="shared" si="4"/>
        <v>9</v>
      </c>
      <c r="T18" s="50">
        <v>0</v>
      </c>
      <c r="U18" s="553">
        <v>5.9</v>
      </c>
      <c r="V18" s="553">
        <v>14</v>
      </c>
      <c r="W18" s="553">
        <v>22.1</v>
      </c>
      <c r="X18" s="485" t="s">
        <v>111</v>
      </c>
      <c r="Y18" s="72">
        <f t="shared" si="15"/>
        <v>2</v>
      </c>
      <c r="Z18" s="539">
        <v>2.2000000000000002</v>
      </c>
      <c r="AA18" s="23">
        <v>0.8</v>
      </c>
      <c r="AB18" s="23">
        <v>0.5</v>
      </c>
      <c r="AC18" s="510">
        <f t="shared" si="5"/>
        <v>4.9773755656108601E-2</v>
      </c>
      <c r="AD18" s="7">
        <f t="shared" si="6"/>
        <v>0.73333333333333339</v>
      </c>
      <c r="AE18" s="485">
        <v>3</v>
      </c>
      <c r="AF18" s="72"/>
      <c r="AG18" s="553">
        <v>2</v>
      </c>
      <c r="AH18" s="553">
        <v>5.9</v>
      </c>
      <c r="AI18" s="553">
        <v>3.9</v>
      </c>
      <c r="AJ18" s="26">
        <f t="shared" si="7"/>
        <v>3.9000000000000004</v>
      </c>
      <c r="AK18" s="6"/>
      <c r="AL18" s="485" t="s">
        <v>239</v>
      </c>
      <c r="AM18" s="54">
        <v>1013.25</v>
      </c>
      <c r="AN18" s="555" t="s">
        <v>391</v>
      </c>
      <c r="AO18" s="400"/>
      <c r="AP18" s="565">
        <v>0</v>
      </c>
      <c r="AQ18" s="485">
        <v>3</v>
      </c>
      <c r="AR18" s="134"/>
      <c r="AS18" s="26">
        <f>IF(ISBLANK(F18),"",(AVERAGE($F$4:F18)))</f>
        <v>5.74</v>
      </c>
      <c r="AT18" s="26">
        <f>IF(ISBLANK(G18),"",(AVERAGE($G$4:G18)))</f>
        <v>10.146666666666668</v>
      </c>
      <c r="AU18" s="25">
        <f>IF(ISBLANK(H18),"",(AVERAGE($H$4:H18)))</f>
        <v>8.1933333333333334</v>
      </c>
      <c r="AV18" s="368">
        <f>IF(ISBLANK(G18),"",(AVERAGE($I$4:I18)))</f>
        <v>4.4066666666666672</v>
      </c>
      <c r="AW18" s="22">
        <f>IF(ISBLANK(M18),"",AVERAGE($M$4:M18))</f>
        <v>82.933333333333337</v>
      </c>
      <c r="AX18" s="376">
        <f>IF(ISBLANK(P18),"",(AVERAGE($R$4:R18)))</f>
        <v>1014</v>
      </c>
      <c r="AY18" s="368">
        <f>IF(ISBLANK(U18),"",(AVERAGE($U$4:U18)))</f>
        <v>7.0133333333333336</v>
      </c>
      <c r="AZ18" s="6"/>
      <c r="BA18" s="25">
        <f t="shared" si="16"/>
        <v>3.1000000000000005</v>
      </c>
      <c r="BB18" s="25">
        <f t="shared" si="17"/>
        <v>-0.49444444444444358</v>
      </c>
      <c r="BC18" s="25">
        <f t="shared" si="20"/>
        <v>1.3027777777777785</v>
      </c>
      <c r="BD18" s="367">
        <f t="shared" si="19"/>
        <v>-3.5944444444444441</v>
      </c>
      <c r="BE18" s="72"/>
      <c r="BF18" s="25">
        <f>IF(ISBLANK(F18),"",AS18-AVERAGE($F$91:F105))</f>
        <v>3.5550000000000002</v>
      </c>
      <c r="BG18" s="25">
        <f>IF(ISBLANK(G18),"",AT18-AVERAGE($G$91:G105))</f>
        <v>2.9545925925925953</v>
      </c>
      <c r="BH18" s="367">
        <f t="shared" si="21"/>
        <v>-0.60040740740740484</v>
      </c>
      <c r="BI18" s="115">
        <f t="shared" si="8"/>
        <v>0.97533333333333339</v>
      </c>
      <c r="BJ18" s="115">
        <f t="shared" si="9"/>
        <v>0.65679188911770103</v>
      </c>
      <c r="BK18" s="402"/>
      <c r="BL18" s="572">
        <v>15</v>
      </c>
    </row>
    <row r="19" spans="1:64" ht="12.75" customHeight="1" x14ac:dyDescent="0.2">
      <c r="A19" s="394">
        <f t="shared" si="10"/>
        <v>16</v>
      </c>
      <c r="B19" s="131">
        <f t="shared" si="11"/>
        <v>4</v>
      </c>
      <c r="C19" s="282">
        <f t="shared" si="12"/>
        <v>10.4</v>
      </c>
      <c r="D19" s="685"/>
      <c r="E19" s="97">
        <f t="shared" si="13"/>
        <v>16</v>
      </c>
      <c r="F19" s="23">
        <v>4</v>
      </c>
      <c r="G19" s="23">
        <v>10.4</v>
      </c>
      <c r="H19" s="553">
        <v>6.9</v>
      </c>
      <c r="I19" s="23">
        <f t="shared" si="0"/>
        <v>6.4</v>
      </c>
      <c r="J19" s="6">
        <f t="shared" si="1"/>
        <v>0</v>
      </c>
      <c r="K19" s="24">
        <v>61</v>
      </c>
      <c r="L19" s="24">
        <v>96</v>
      </c>
      <c r="M19" s="554">
        <v>82</v>
      </c>
      <c r="N19" s="24">
        <f t="shared" si="2"/>
        <v>35</v>
      </c>
      <c r="O19" s="50">
        <f t="shared" si="3"/>
        <v>0</v>
      </c>
      <c r="P19" s="24">
        <v>991</v>
      </c>
      <c r="Q19" s="24">
        <v>1000</v>
      </c>
      <c r="R19" s="24">
        <f t="shared" si="14"/>
        <v>995.5</v>
      </c>
      <c r="S19" s="24">
        <f t="shared" si="4"/>
        <v>9</v>
      </c>
      <c r="T19" s="50">
        <v>0</v>
      </c>
      <c r="U19" s="553">
        <v>4.5</v>
      </c>
      <c r="V19" s="553">
        <v>11.4</v>
      </c>
      <c r="W19" s="553">
        <v>15.2</v>
      </c>
      <c r="X19" s="485" t="s">
        <v>111</v>
      </c>
      <c r="Y19" s="72">
        <f t="shared" si="15"/>
        <v>0</v>
      </c>
      <c r="Z19" s="539">
        <v>0</v>
      </c>
      <c r="AA19" s="23"/>
      <c r="AB19" s="23"/>
      <c r="AC19" s="510" t="str">
        <f t="shared" si="5"/>
        <v/>
      </c>
      <c r="AD19" s="7" t="str">
        <f t="shared" si="6"/>
        <v/>
      </c>
      <c r="AE19" s="485"/>
      <c r="AF19" s="72"/>
      <c r="AG19" s="553">
        <v>2.4</v>
      </c>
      <c r="AH19" s="553">
        <v>5.8</v>
      </c>
      <c r="AI19" s="553">
        <v>4</v>
      </c>
      <c r="AJ19" s="26">
        <f t="shared" si="7"/>
        <v>3.4</v>
      </c>
      <c r="AK19" s="6"/>
      <c r="AL19" s="485" t="s">
        <v>393</v>
      </c>
      <c r="AM19" s="54">
        <v>1013.25</v>
      </c>
      <c r="AN19" s="555" t="s">
        <v>8</v>
      </c>
      <c r="AO19" s="400"/>
      <c r="AP19" s="485">
        <v>2</v>
      </c>
      <c r="AQ19" s="485">
        <v>0</v>
      </c>
      <c r="AR19" s="134"/>
      <c r="AS19" s="26">
        <f>IF(ISBLANK(F19),"",(AVERAGE($F$4:F19)))</f>
        <v>5.6312500000000005</v>
      </c>
      <c r="AT19" s="26">
        <f>IF(ISBLANK(G19),"",(AVERAGE($G$4:G19)))</f>
        <v>10.162500000000001</v>
      </c>
      <c r="AU19" s="25">
        <f>IF(ISBLANK(H19),"",(AVERAGE($H$4:H19)))</f>
        <v>8.1124999999999989</v>
      </c>
      <c r="AV19" s="368">
        <f>IF(ISBLANK(G19),"",(AVERAGE($I$4:I19)))</f>
        <v>4.5312500000000009</v>
      </c>
      <c r="AW19" s="22">
        <f>IF(ISBLANK(M19),"",AVERAGE($M$4:M19))</f>
        <v>82.875</v>
      </c>
      <c r="AX19" s="376">
        <f>IF(ISBLANK(P19),"",(AVERAGE($R$4:R19)))</f>
        <v>1012.84375</v>
      </c>
      <c r="AY19" s="368">
        <f>IF(ISBLANK(U19),"",(AVERAGE($U$4:U19)))</f>
        <v>6.8562500000000002</v>
      </c>
      <c r="AZ19" s="6"/>
      <c r="BA19" s="25">
        <f t="shared" si="16"/>
        <v>2.2000000000000002</v>
      </c>
      <c r="BB19" s="25">
        <f t="shared" si="17"/>
        <v>3.0444444444444461</v>
      </c>
      <c r="BC19" s="25">
        <f t="shared" si="20"/>
        <v>2.6222222222222231</v>
      </c>
      <c r="BD19" s="367">
        <f t="shared" si="19"/>
        <v>0.84444444444444589</v>
      </c>
      <c r="BE19" s="72"/>
      <c r="BF19" s="25">
        <f>IF(ISBLANK(F19),"",AS19-AVERAGE($F$91:F106))</f>
        <v>3.4703125000000008</v>
      </c>
      <c r="BG19" s="25">
        <f>IF(ISBLANK(G19),"",AT19-AVERAGE($G$91:G106))</f>
        <v>2.9602083333333358</v>
      </c>
      <c r="BH19" s="367">
        <f t="shared" si="21"/>
        <v>-0.51010416666666503</v>
      </c>
      <c r="BI19" s="115">
        <f t="shared" si="8"/>
        <v>0.91437500000000005</v>
      </c>
      <c r="BJ19" s="115">
        <f t="shared" si="9"/>
        <v>0.66228388127864113</v>
      </c>
      <c r="BK19" s="402"/>
      <c r="BL19" s="572">
        <v>16</v>
      </c>
    </row>
    <row r="20" spans="1:64" ht="12.75" customHeight="1" x14ac:dyDescent="0.2">
      <c r="A20" s="394">
        <f t="shared" si="10"/>
        <v>17</v>
      </c>
      <c r="B20" s="131">
        <f t="shared" si="11"/>
        <v>4</v>
      </c>
      <c r="C20" s="282">
        <f t="shared" si="12"/>
        <v>8.5</v>
      </c>
      <c r="D20" s="685"/>
      <c r="E20" s="97">
        <f t="shared" si="13"/>
        <v>17</v>
      </c>
      <c r="F20" s="23">
        <v>4</v>
      </c>
      <c r="G20" s="23">
        <v>8.5</v>
      </c>
      <c r="H20" s="553">
        <v>6</v>
      </c>
      <c r="I20" s="23">
        <f t="shared" si="0"/>
        <v>4.5</v>
      </c>
      <c r="J20" s="6">
        <f t="shared" si="1"/>
        <v>0</v>
      </c>
      <c r="K20" s="24">
        <v>80</v>
      </c>
      <c r="L20" s="24">
        <v>97</v>
      </c>
      <c r="M20" s="554">
        <v>89</v>
      </c>
      <c r="N20" s="24">
        <f t="shared" si="2"/>
        <v>17</v>
      </c>
      <c r="O20" s="50">
        <f t="shared" si="3"/>
        <v>0</v>
      </c>
      <c r="P20" s="24">
        <v>1000</v>
      </c>
      <c r="Q20" s="24">
        <v>1011</v>
      </c>
      <c r="R20" s="24">
        <f t="shared" si="14"/>
        <v>1005.5</v>
      </c>
      <c r="S20" s="24">
        <f t="shared" si="4"/>
        <v>11</v>
      </c>
      <c r="T20" s="50">
        <v>0</v>
      </c>
      <c r="U20" s="553">
        <v>4.8</v>
      </c>
      <c r="V20" s="553">
        <v>9.6999999999999993</v>
      </c>
      <c r="W20" s="553">
        <v>12.8</v>
      </c>
      <c r="X20" s="485" t="s">
        <v>105</v>
      </c>
      <c r="Y20" s="72">
        <f t="shared" si="15"/>
        <v>0</v>
      </c>
      <c r="Z20" s="539">
        <v>0</v>
      </c>
      <c r="AA20" s="23"/>
      <c r="AB20" s="23"/>
      <c r="AC20" s="510" t="str">
        <f t="shared" si="5"/>
        <v/>
      </c>
      <c r="AD20" s="7" t="str">
        <f t="shared" si="6"/>
        <v/>
      </c>
      <c r="AE20" s="485"/>
      <c r="AF20" s="72"/>
      <c r="AG20" s="553">
        <v>2.5</v>
      </c>
      <c r="AH20" s="553">
        <v>6.2</v>
      </c>
      <c r="AI20" s="553">
        <v>4.3</v>
      </c>
      <c r="AJ20" s="26">
        <f t="shared" si="7"/>
        <v>3.7</v>
      </c>
      <c r="AK20" s="6"/>
      <c r="AL20" s="485" t="s">
        <v>394</v>
      </c>
      <c r="AM20" s="54">
        <v>1013.25</v>
      </c>
      <c r="AN20" s="555" t="s">
        <v>8</v>
      </c>
      <c r="AO20" s="400"/>
      <c r="AP20" s="485">
        <v>1</v>
      </c>
      <c r="AQ20" s="485">
        <v>0</v>
      </c>
      <c r="AR20" s="134"/>
      <c r="AS20" s="26">
        <f>IF(ISBLANK(F20),"",(AVERAGE($F$4:F20)))</f>
        <v>5.5352941176470596</v>
      </c>
      <c r="AT20" s="26">
        <f>IF(ISBLANK(G20),"",(AVERAGE($G$4:G20)))</f>
        <v>10.064705882352943</v>
      </c>
      <c r="AU20" s="25">
        <f>IF(ISBLANK(H20),"",(AVERAGE($H$4:H20)))</f>
        <v>7.9882352941176462</v>
      </c>
      <c r="AV20" s="368">
        <f>IF(ISBLANK(G20),"",(AVERAGE($I$4:I20)))</f>
        <v>4.5294117647058831</v>
      </c>
      <c r="AW20" s="22">
        <f>IF(ISBLANK(M20),"",AVERAGE($M$4:M20))</f>
        <v>83.235294117647058</v>
      </c>
      <c r="AX20" s="376">
        <f>IF(ISBLANK(P20),"",(AVERAGE($R$4:R20)))</f>
        <v>1012.4117647058823</v>
      </c>
      <c r="AY20" s="368">
        <f>IF(ISBLANK(U20),"",(AVERAGE($U$4:U20)))</f>
        <v>6.7352941176470589</v>
      </c>
      <c r="AZ20" s="6"/>
      <c r="BA20" s="25">
        <f t="shared" si="16"/>
        <v>2.121428571428571</v>
      </c>
      <c r="BB20" s="25">
        <f t="shared" si="17"/>
        <v>1.0833333333333348</v>
      </c>
      <c r="BC20" s="25">
        <f t="shared" si="20"/>
        <v>1.6023809523809529</v>
      </c>
      <c r="BD20" s="367">
        <f t="shared" si="19"/>
        <v>-1.0380952380952362</v>
      </c>
      <c r="BE20" s="72"/>
      <c r="BF20" s="25">
        <f>IF(ISBLANK(F20),"",AS20-AVERAGE($F$91:F107))</f>
        <v>3.3909663865546231</v>
      </c>
      <c r="BG20" s="25">
        <f>IF(ISBLANK(G20),"",AT20-AVERAGE($G$91:G107))</f>
        <v>2.8498039215686299</v>
      </c>
      <c r="BH20" s="367">
        <f t="shared" si="21"/>
        <v>-0.54116246498599319</v>
      </c>
      <c r="BI20" s="115">
        <f t="shared" si="8"/>
        <v>0.86058823529411776</v>
      </c>
      <c r="BJ20" s="115">
        <f t="shared" si="9"/>
        <v>0.64407928566277683</v>
      </c>
      <c r="BK20" s="402"/>
      <c r="BL20" s="572">
        <v>17</v>
      </c>
    </row>
    <row r="21" spans="1:64" ht="12.75" customHeight="1" x14ac:dyDescent="0.2">
      <c r="A21" s="394">
        <f t="shared" si="10"/>
        <v>18</v>
      </c>
      <c r="B21" s="131">
        <v>4</v>
      </c>
      <c r="C21" s="282">
        <f t="shared" si="12"/>
        <v>6.8</v>
      </c>
      <c r="D21" s="685"/>
      <c r="E21" s="97">
        <f t="shared" si="13"/>
        <v>18</v>
      </c>
      <c r="F21" s="23">
        <v>2.2999999999999998</v>
      </c>
      <c r="G21" s="23">
        <v>6.8</v>
      </c>
      <c r="H21" s="553">
        <v>4.5</v>
      </c>
      <c r="I21" s="23">
        <f t="shared" si="0"/>
        <v>4.5</v>
      </c>
      <c r="J21" s="6">
        <f t="shared" si="1"/>
        <v>0</v>
      </c>
      <c r="K21" s="24">
        <v>77</v>
      </c>
      <c r="L21" s="24">
        <v>92</v>
      </c>
      <c r="M21" s="554">
        <v>85</v>
      </c>
      <c r="N21" s="24">
        <f t="shared" si="2"/>
        <v>15</v>
      </c>
      <c r="O21" s="50">
        <f t="shared" si="3"/>
        <v>1</v>
      </c>
      <c r="P21" s="24">
        <v>1011</v>
      </c>
      <c r="Q21" s="24">
        <v>1014</v>
      </c>
      <c r="R21" s="24">
        <f t="shared" si="14"/>
        <v>1012.5</v>
      </c>
      <c r="S21" s="24">
        <f t="shared" si="4"/>
        <v>3</v>
      </c>
      <c r="T21" s="50">
        <v>0</v>
      </c>
      <c r="U21" s="553">
        <v>5.4</v>
      </c>
      <c r="V21" s="553">
        <v>12</v>
      </c>
      <c r="W21" s="553">
        <v>17</v>
      </c>
      <c r="X21" s="485" t="s">
        <v>106</v>
      </c>
      <c r="Y21" s="72">
        <f t="shared" si="15"/>
        <v>0</v>
      </c>
      <c r="Z21" s="539">
        <v>0</v>
      </c>
      <c r="AA21" s="23"/>
      <c r="AB21" s="23"/>
      <c r="AC21" s="510" t="str">
        <f t="shared" si="5"/>
        <v/>
      </c>
      <c r="AD21" s="7" t="str">
        <f t="shared" si="6"/>
        <v/>
      </c>
      <c r="AE21" s="485"/>
      <c r="AF21" s="72"/>
      <c r="AG21" s="553">
        <v>0</v>
      </c>
      <c r="AH21" s="553">
        <v>4.2</v>
      </c>
      <c r="AI21" s="553">
        <v>2.2999999999999998</v>
      </c>
      <c r="AJ21" s="26">
        <f t="shared" si="7"/>
        <v>4.2</v>
      </c>
      <c r="AK21" s="6"/>
      <c r="AL21" s="485" t="s">
        <v>395</v>
      </c>
      <c r="AM21" s="54">
        <v>1013.25</v>
      </c>
      <c r="AN21" s="555" t="s">
        <v>8</v>
      </c>
      <c r="AO21" s="400"/>
      <c r="AP21" s="485">
        <v>0.5</v>
      </c>
      <c r="AQ21" s="485">
        <v>0</v>
      </c>
      <c r="AR21" s="134"/>
      <c r="AS21" s="26">
        <f>IF(ISBLANK(F21),"",(AVERAGE($F$4:F21)))</f>
        <v>5.3555555555555561</v>
      </c>
      <c r="AT21" s="26">
        <f>IF(ISBLANK(G21),"",(AVERAGE($G$4:G21)))</f>
        <v>9.8833333333333346</v>
      </c>
      <c r="AU21" s="25">
        <f>IF(ISBLANK(H21),"",(AVERAGE($H$4:H21)))</f>
        <v>7.7944444444444434</v>
      </c>
      <c r="AV21" s="368">
        <f>IF(ISBLANK(G21),"",(AVERAGE($I$4:I21)))</f>
        <v>4.5277777777777786</v>
      </c>
      <c r="AW21" s="22">
        <f>IF(ISBLANK(M21),"",AVERAGE($M$4:M21))</f>
        <v>83.333333333333329</v>
      </c>
      <c r="AX21" s="376">
        <f>IF(ISBLANK(P21),"",(AVERAGE($R$4:R21)))</f>
        <v>1012.4166666666666</v>
      </c>
      <c r="AY21" s="368">
        <f>IF(ISBLANK(U21),"",(AVERAGE($U$4:U21)))</f>
        <v>6.6611111111111114</v>
      </c>
      <c r="AZ21" s="6"/>
      <c r="BA21" s="25">
        <f t="shared" si="16"/>
        <v>0.34285714285714253</v>
      </c>
      <c r="BB21" s="25">
        <f t="shared" si="17"/>
        <v>-0.67777777777777626</v>
      </c>
      <c r="BC21" s="25">
        <f t="shared" si="20"/>
        <v>-0.16746031746031687</v>
      </c>
      <c r="BD21" s="367">
        <f t="shared" si="19"/>
        <v>-1.0206349206349188</v>
      </c>
      <c r="BE21" s="72"/>
      <c r="BF21" s="25">
        <f>IF(ISBLANK(F21),"",AS21-AVERAGE($F$91:F108))</f>
        <v>3.2216269841269849</v>
      </c>
      <c r="BG21" s="25">
        <f>IF(ISBLANK(G21),"",AT21-AVERAGE($G$91:G108))</f>
        <v>2.6538271604938295</v>
      </c>
      <c r="BH21" s="367">
        <f t="shared" ref="BH21:BH29" si="22">IF(ISBLANK(G21),"",BG21-BF21)</f>
        <v>-0.5677998236331554</v>
      </c>
      <c r="BI21" s="115">
        <f t="shared" si="8"/>
        <v>0.81277777777777782</v>
      </c>
      <c r="BJ21" s="115">
        <f t="shared" si="9"/>
        <v>0.61704900677349905</v>
      </c>
      <c r="BK21" s="402"/>
      <c r="BL21" s="572">
        <v>18</v>
      </c>
    </row>
    <row r="22" spans="1:64" ht="12.75" customHeight="1" x14ac:dyDescent="0.2">
      <c r="A22" s="394">
        <f t="shared" si="10"/>
        <v>19</v>
      </c>
      <c r="B22" s="131">
        <v>2.2999999999999998</v>
      </c>
      <c r="C22" s="282">
        <f t="shared" si="12"/>
        <v>6</v>
      </c>
      <c r="D22" s="685"/>
      <c r="E22" s="97">
        <f t="shared" si="13"/>
        <v>19</v>
      </c>
      <c r="F22" s="23">
        <v>2.7</v>
      </c>
      <c r="G22" s="23">
        <v>6</v>
      </c>
      <c r="H22" s="553">
        <v>4.5999999999999996</v>
      </c>
      <c r="I22" s="23">
        <f t="shared" si="0"/>
        <v>3.3</v>
      </c>
      <c r="J22" s="6">
        <f t="shared" si="1"/>
        <v>0</v>
      </c>
      <c r="K22" s="24">
        <v>86</v>
      </c>
      <c r="L22" s="24">
        <v>98</v>
      </c>
      <c r="M22" s="554">
        <v>96</v>
      </c>
      <c r="N22" s="24">
        <f t="shared" si="2"/>
        <v>12</v>
      </c>
      <c r="O22" s="50">
        <f t="shared" si="3"/>
        <v>1</v>
      </c>
      <c r="P22" s="24">
        <v>1009</v>
      </c>
      <c r="Q22" s="24">
        <v>1013</v>
      </c>
      <c r="R22" s="24">
        <f t="shared" si="14"/>
        <v>1011</v>
      </c>
      <c r="S22" s="24">
        <f t="shared" si="4"/>
        <v>4</v>
      </c>
      <c r="T22" s="50">
        <v>0</v>
      </c>
      <c r="U22" s="553">
        <v>4.0999999999999996</v>
      </c>
      <c r="V22" s="553">
        <v>9.6999999999999993</v>
      </c>
      <c r="W22" s="553">
        <v>15.4</v>
      </c>
      <c r="X22" s="562" t="s">
        <v>106</v>
      </c>
      <c r="Y22" s="72">
        <f t="shared" si="15"/>
        <v>2</v>
      </c>
      <c r="Z22" s="539">
        <v>11.2</v>
      </c>
      <c r="AA22" s="23">
        <v>2.5</v>
      </c>
      <c r="AB22" s="23">
        <v>0.5</v>
      </c>
      <c r="AC22" s="510">
        <f t="shared" si="5"/>
        <v>0.25339366515837103</v>
      </c>
      <c r="AD22" s="7">
        <f t="shared" si="6"/>
        <v>1.2444444444444445</v>
      </c>
      <c r="AE22" s="485">
        <v>4</v>
      </c>
      <c r="AF22" s="72"/>
      <c r="AG22" s="553">
        <v>0.7</v>
      </c>
      <c r="AH22" s="553">
        <v>5.7</v>
      </c>
      <c r="AI22" s="553">
        <v>4</v>
      </c>
      <c r="AJ22" s="26">
        <f t="shared" si="7"/>
        <v>5</v>
      </c>
      <c r="AK22" s="6"/>
      <c r="AL22" s="485" t="s">
        <v>239</v>
      </c>
      <c r="AM22" s="54">
        <v>1013.25</v>
      </c>
      <c r="AN22" s="23" t="s">
        <v>396</v>
      </c>
      <c r="AO22" s="400"/>
      <c r="AP22" s="485">
        <v>0</v>
      </c>
      <c r="AQ22" s="485">
        <v>9</v>
      </c>
      <c r="AR22" s="134"/>
      <c r="AS22" s="26">
        <f>IF(ISBLANK(F22),"",(AVERAGE($F$4:F22)))</f>
        <v>5.215789473684211</v>
      </c>
      <c r="AT22" s="26">
        <f>IF(ISBLANK(G22),"",(AVERAGE($G$4:G22)))</f>
        <v>9.6789473684210545</v>
      </c>
      <c r="AU22" s="25">
        <f>IF(ISBLANK(H22),"",(AVERAGE($H$4:H22)))</f>
        <v>7.6263157894736828</v>
      </c>
      <c r="AV22" s="368">
        <f>IF(ISBLANK(G22),"",(AVERAGE($I$4:I22)))</f>
        <v>4.4631578947368427</v>
      </c>
      <c r="AW22" s="22">
        <f>IF(ISBLANK(M22),"",AVERAGE($M$4:M22))</f>
        <v>84</v>
      </c>
      <c r="AX22" s="376">
        <f>IF(ISBLANK(P22),"",(AVERAGE($R$4:R22)))</f>
        <v>1012.3421052631579</v>
      </c>
      <c r="AY22" s="368">
        <f>IF(ISBLANK(U22),"",(AVERAGE($U$4:U22)))</f>
        <v>6.5263157894736841</v>
      </c>
      <c r="AZ22" s="6"/>
      <c r="BA22" s="25">
        <f t="shared" si="16"/>
        <v>0.66428571428571415</v>
      </c>
      <c r="BB22" s="25">
        <f t="shared" si="17"/>
        <v>-1.538888888888887</v>
      </c>
      <c r="BC22" s="25">
        <f t="shared" si="20"/>
        <v>-0.43730158730158641</v>
      </c>
      <c r="BD22" s="367">
        <f t="shared" si="19"/>
        <v>-2.2031746031746011</v>
      </c>
      <c r="BE22" s="72"/>
      <c r="BF22" s="25">
        <f>IF(ISBLANK(F22),"",AS22-AVERAGE($F$91:F109))</f>
        <v>3.0870300751879709</v>
      </c>
      <c r="BG22" s="25">
        <f>IF(ISBLANK(G22),"",AT22-AVERAGE($G$91:G109))</f>
        <v>2.4331578947368451</v>
      </c>
      <c r="BH22" s="367">
        <f t="shared" si="22"/>
        <v>-0.65387218045112583</v>
      </c>
      <c r="BI22" s="115">
        <f t="shared" si="8"/>
        <v>1.1826315789473685</v>
      </c>
      <c r="BJ22" s="115">
        <f t="shared" si="9"/>
        <v>0.5826855339340693</v>
      </c>
      <c r="BK22" s="402"/>
      <c r="BL22" s="572">
        <v>19</v>
      </c>
    </row>
    <row r="23" spans="1:64" ht="12.75" customHeight="1" x14ac:dyDescent="0.2">
      <c r="A23" s="394">
        <f t="shared" si="10"/>
        <v>20</v>
      </c>
      <c r="B23" s="131">
        <v>4.0999999999999996</v>
      </c>
      <c r="C23" s="282">
        <v>4.7</v>
      </c>
      <c r="D23" s="685"/>
      <c r="E23" s="97">
        <f t="shared" si="13"/>
        <v>20</v>
      </c>
      <c r="F23" s="23">
        <v>3.6</v>
      </c>
      <c r="G23" s="23">
        <v>5.0999999999999996</v>
      </c>
      <c r="H23" s="553">
        <v>4.3</v>
      </c>
      <c r="I23" s="23">
        <f t="shared" si="0"/>
        <v>1.4999999999999996</v>
      </c>
      <c r="J23" s="6">
        <f t="shared" si="1"/>
        <v>1</v>
      </c>
      <c r="K23" s="24">
        <v>93</v>
      </c>
      <c r="L23" s="24">
        <v>98</v>
      </c>
      <c r="M23" s="554">
        <v>95</v>
      </c>
      <c r="N23" s="24">
        <f t="shared" si="2"/>
        <v>5</v>
      </c>
      <c r="O23" s="50">
        <f t="shared" si="3"/>
        <v>1</v>
      </c>
      <c r="P23" s="24">
        <v>1013</v>
      </c>
      <c r="Q23" s="24">
        <v>1016</v>
      </c>
      <c r="R23" s="24">
        <f t="shared" si="14"/>
        <v>1014.5</v>
      </c>
      <c r="S23" s="24">
        <f t="shared" si="4"/>
        <v>3</v>
      </c>
      <c r="T23" s="50">
        <v>0</v>
      </c>
      <c r="U23" s="553">
        <v>4.5999999999999996</v>
      </c>
      <c r="V23" s="553">
        <v>10.5</v>
      </c>
      <c r="W23" s="553">
        <v>15.4</v>
      </c>
      <c r="X23" s="555" t="s">
        <v>105</v>
      </c>
      <c r="Y23" s="72">
        <f t="shared" si="15"/>
        <v>0</v>
      </c>
      <c r="Z23" s="539">
        <v>0</v>
      </c>
      <c r="AA23" s="23"/>
      <c r="AB23" s="23"/>
      <c r="AC23" s="510" t="str">
        <f t="shared" si="5"/>
        <v/>
      </c>
      <c r="AD23" s="7" t="str">
        <f t="shared" si="6"/>
        <v/>
      </c>
      <c r="AE23" s="485"/>
      <c r="AF23" s="72"/>
      <c r="AG23" s="553">
        <v>2.6</v>
      </c>
      <c r="AH23" s="553">
        <v>4.8</v>
      </c>
      <c r="AI23" s="553">
        <v>3.6</v>
      </c>
      <c r="AJ23" s="26">
        <f t="shared" ref="AJ23:AJ28" si="23">IF(ISBLANK(AG23),"",AH23-AG23)</f>
        <v>2.1999999999999997</v>
      </c>
      <c r="AK23" s="6"/>
      <c r="AL23" s="485" t="s">
        <v>239</v>
      </c>
      <c r="AM23" s="54">
        <v>1013.25</v>
      </c>
      <c r="AN23" s="23" t="s">
        <v>8</v>
      </c>
      <c r="AO23" s="400"/>
      <c r="AP23" s="485">
        <v>0</v>
      </c>
      <c r="AQ23" s="485">
        <v>0</v>
      </c>
      <c r="AR23" s="134"/>
      <c r="AS23" s="26">
        <f>IF(ISBLANK(F23),"",(AVERAGE($F$4:F23)))</f>
        <v>5.1349999999999998</v>
      </c>
      <c r="AT23" s="26">
        <f>IF(ISBLANK(G23),"",(AVERAGE($G$4:G23)))</f>
        <v>9.4500000000000011</v>
      </c>
      <c r="AU23" s="25">
        <f>IF(ISBLANK(H23),"",(AVERAGE($H$4:H23)))</f>
        <v>7.4599999999999991</v>
      </c>
      <c r="AV23" s="368">
        <f>IF(ISBLANK(G23),"",(AVERAGE($I$4:I23)))</f>
        <v>4.3150000000000004</v>
      </c>
      <c r="AW23" s="22">
        <f>IF(ISBLANK(M23),"",AVERAGE($M$4:M23))</f>
        <v>84.55</v>
      </c>
      <c r="AX23" s="376">
        <f>IF(ISBLANK(P23),"",(AVERAGE($R$4:R23)))</f>
        <v>1012.45</v>
      </c>
      <c r="AY23" s="368">
        <f>IF(ISBLANK(U23),"",(AVERAGE($U$4:U23)))</f>
        <v>6.43</v>
      </c>
      <c r="AZ23" s="6"/>
      <c r="BA23" s="25">
        <f t="shared" si="16"/>
        <v>1.4857142857142853</v>
      </c>
      <c r="BB23" s="25">
        <f t="shared" si="17"/>
        <v>-2.5</v>
      </c>
      <c r="BC23" s="25">
        <f t="shared" si="20"/>
        <v>-0.50714285714285734</v>
      </c>
      <c r="BD23" s="367">
        <f t="shared" si="19"/>
        <v>-3.9857142857142853</v>
      </c>
      <c r="BE23" s="72"/>
      <c r="BF23" s="25">
        <f>IF(ISBLANK(F23),"",AS23-AVERAGE($F$91:F110))</f>
        <v>3.006964285714286</v>
      </c>
      <c r="BG23" s="25">
        <f>IF(ISBLANK(G23),"",AT23-AVERAGE($G$91:G110))</f>
        <v>2.1865000000000023</v>
      </c>
      <c r="BH23" s="367">
        <f t="shared" si="22"/>
        <v>-0.82046428571428365</v>
      </c>
      <c r="BI23" s="115">
        <f t="shared" si="8"/>
        <v>1.1234999999999999</v>
      </c>
      <c r="BJ23" s="115">
        <f t="shared" si="9"/>
        <v>0.55176173976185616</v>
      </c>
      <c r="BK23" s="88"/>
      <c r="BL23" s="572">
        <v>20</v>
      </c>
    </row>
    <row r="24" spans="1:64" ht="12.75" customHeight="1" x14ac:dyDescent="0.2">
      <c r="A24" s="394">
        <f t="shared" si="10"/>
        <v>21</v>
      </c>
      <c r="B24" s="131">
        <f t="shared" si="11"/>
        <v>3.6</v>
      </c>
      <c r="C24" s="282">
        <f t="shared" si="12"/>
        <v>6.4</v>
      </c>
      <c r="D24" s="685"/>
      <c r="E24" s="97">
        <f t="shared" si="13"/>
        <v>21</v>
      </c>
      <c r="F24" s="23">
        <v>3.6</v>
      </c>
      <c r="G24" s="23">
        <v>6.4</v>
      </c>
      <c r="H24" s="553">
        <v>5</v>
      </c>
      <c r="I24" s="23">
        <f t="shared" si="0"/>
        <v>2.8000000000000003</v>
      </c>
      <c r="J24" s="6">
        <f t="shared" si="1"/>
        <v>0</v>
      </c>
      <c r="K24" s="24">
        <v>84</v>
      </c>
      <c r="L24" s="24">
        <v>93</v>
      </c>
      <c r="M24" s="554">
        <v>89</v>
      </c>
      <c r="N24" s="24">
        <f t="shared" si="2"/>
        <v>9</v>
      </c>
      <c r="O24" s="50">
        <f t="shared" si="3"/>
        <v>0</v>
      </c>
      <c r="P24" s="24">
        <v>1012</v>
      </c>
      <c r="Q24" s="24">
        <v>1016</v>
      </c>
      <c r="R24" s="24">
        <f t="shared" si="14"/>
        <v>1014</v>
      </c>
      <c r="S24" s="24">
        <f t="shared" si="4"/>
        <v>4</v>
      </c>
      <c r="T24" s="50">
        <v>0</v>
      </c>
      <c r="U24" s="553">
        <v>4.5999999999999996</v>
      </c>
      <c r="V24" s="553">
        <v>9.4</v>
      </c>
      <c r="W24" s="553">
        <v>13.5</v>
      </c>
      <c r="X24" s="555" t="s">
        <v>106</v>
      </c>
      <c r="Y24" s="72">
        <f t="shared" si="15"/>
        <v>1</v>
      </c>
      <c r="Z24" s="539">
        <v>0.1</v>
      </c>
      <c r="AA24" s="23"/>
      <c r="AB24" s="23"/>
      <c r="AC24" s="510">
        <f t="shared" si="5"/>
        <v>2.2624434389140269E-3</v>
      </c>
      <c r="AD24" s="7" t="str">
        <f t="shared" si="6"/>
        <v/>
      </c>
      <c r="AE24" s="485"/>
      <c r="AF24" s="72"/>
      <c r="AG24" s="553">
        <v>2.4</v>
      </c>
      <c r="AH24" s="553">
        <v>4.0999999999999996</v>
      </c>
      <c r="AI24" s="553">
        <v>3.3</v>
      </c>
      <c r="AJ24" s="26">
        <f t="shared" si="23"/>
        <v>1.6999999999999997</v>
      </c>
      <c r="AK24" s="6"/>
      <c r="AL24" s="485" t="s">
        <v>239</v>
      </c>
      <c r="AM24" s="54">
        <v>1013.25</v>
      </c>
      <c r="AN24" s="302" t="s">
        <v>403</v>
      </c>
      <c r="AO24" s="400"/>
      <c r="AP24" s="565">
        <v>0</v>
      </c>
      <c r="AQ24" s="485">
        <v>1</v>
      </c>
      <c r="AR24" s="134"/>
      <c r="AS24" s="26">
        <f>IF(ISBLANK(F24),"",(AVERAGE($F$4:F24)))</f>
        <v>5.0619047619047617</v>
      </c>
      <c r="AT24" s="26">
        <f>IF(ISBLANK(G24),"",(AVERAGE($G$4:G24)))</f>
        <v>9.3047619047619072</v>
      </c>
      <c r="AU24" s="25">
        <f>IF(ISBLANK(H24),"",(AVERAGE($H$4:H24)))</f>
        <v>7.3428571428571425</v>
      </c>
      <c r="AV24" s="368">
        <f>IF(ISBLANK(G24),"",(AVERAGE($I$4:I24)))</f>
        <v>4.2428571428571429</v>
      </c>
      <c r="AW24" s="22">
        <f>IF(ISBLANK(M24),"",AVERAGE($M$4:M24))</f>
        <v>84.761904761904759</v>
      </c>
      <c r="AX24" s="376">
        <f>IF(ISBLANK(P24),"",(AVERAGE($R$4:R24)))</f>
        <v>1012.5238095238095</v>
      </c>
      <c r="AY24" s="368">
        <f>IF(ISBLANK(U24),"",(AVERAGE($U$4:U24)))</f>
        <v>6.3428571428571425</v>
      </c>
      <c r="AZ24" s="6"/>
      <c r="BA24" s="25">
        <f t="shared" si="16"/>
        <v>1.4071428571428566</v>
      </c>
      <c r="BB24" s="25">
        <f t="shared" si="17"/>
        <v>-1.3499999999999996</v>
      </c>
      <c r="BC24" s="25">
        <f t="shared" si="20"/>
        <v>2.857142857142847E-2</v>
      </c>
      <c r="BD24" s="367">
        <f t="shared" si="19"/>
        <v>-2.7571428571428562</v>
      </c>
      <c r="BE24" s="72"/>
      <c r="BF24" s="25">
        <f>IF(ISBLANK(F24),"",AS24-AVERAGE($F$91:F111))</f>
        <v>2.9307823129251704</v>
      </c>
      <c r="BG24" s="25">
        <f>IF(ISBLANK(G24),"",AT24-AVERAGE($G$91:G111))</f>
        <v>2.0180952380952411</v>
      </c>
      <c r="BH24" s="367">
        <f t="shared" si="22"/>
        <v>-0.91268707482992939</v>
      </c>
      <c r="BI24" s="115">
        <f t="shared" si="8"/>
        <v>1.0733333333333335</v>
      </c>
      <c r="BJ24" s="115">
        <f t="shared" si="9"/>
        <v>0.5237865373720888</v>
      </c>
      <c r="BK24" s="88"/>
      <c r="BL24" s="572">
        <v>21</v>
      </c>
    </row>
    <row r="25" spans="1:64" ht="12.75" customHeight="1" x14ac:dyDescent="0.2">
      <c r="A25" s="394">
        <f t="shared" si="10"/>
        <v>22</v>
      </c>
      <c r="B25" s="131">
        <f t="shared" si="11"/>
        <v>4.3</v>
      </c>
      <c r="C25" s="282">
        <f t="shared" si="12"/>
        <v>7.3</v>
      </c>
      <c r="D25" s="685"/>
      <c r="E25" s="97">
        <f t="shared" si="13"/>
        <v>22</v>
      </c>
      <c r="F25" s="23">
        <v>4.3</v>
      </c>
      <c r="G25" s="23">
        <v>7.3</v>
      </c>
      <c r="H25" s="553">
        <v>5.9</v>
      </c>
      <c r="I25" s="23">
        <f t="shared" si="0"/>
        <v>3</v>
      </c>
      <c r="J25" s="6">
        <f t="shared" si="1"/>
        <v>0</v>
      </c>
      <c r="K25" s="24">
        <v>86</v>
      </c>
      <c r="L25" s="24">
        <v>94</v>
      </c>
      <c r="M25" s="554">
        <v>90</v>
      </c>
      <c r="N25" s="24">
        <f t="shared" si="2"/>
        <v>8</v>
      </c>
      <c r="O25" s="50">
        <f t="shared" si="3"/>
        <v>0</v>
      </c>
      <c r="P25" s="24">
        <v>1014</v>
      </c>
      <c r="Q25" s="24">
        <v>1019</v>
      </c>
      <c r="R25" s="24">
        <f t="shared" si="14"/>
        <v>1016.5</v>
      </c>
      <c r="S25" s="24">
        <f t="shared" si="4"/>
        <v>5</v>
      </c>
      <c r="T25" s="50">
        <v>0</v>
      </c>
      <c r="U25" s="553">
        <v>2.8</v>
      </c>
      <c r="V25" s="553">
        <v>8.6999999999999993</v>
      </c>
      <c r="W25" s="553">
        <v>10.5</v>
      </c>
      <c r="X25" s="555" t="s">
        <v>111</v>
      </c>
      <c r="Y25" s="72">
        <f t="shared" si="15"/>
        <v>1</v>
      </c>
      <c r="Z25" s="539">
        <v>0.5</v>
      </c>
      <c r="AA25" s="23">
        <v>0.5</v>
      </c>
      <c r="AB25" s="23" t="s">
        <v>8</v>
      </c>
      <c r="AC25" s="510">
        <f t="shared" si="5"/>
        <v>1.1312217194570135E-2</v>
      </c>
      <c r="AD25" s="7">
        <f t="shared" si="6"/>
        <v>0.5</v>
      </c>
      <c r="AE25" s="485" t="s">
        <v>8</v>
      </c>
      <c r="AF25" s="72"/>
      <c r="AG25" s="553">
        <v>3.3</v>
      </c>
      <c r="AH25" s="553">
        <v>5.5</v>
      </c>
      <c r="AI25" s="553">
        <v>4.3</v>
      </c>
      <c r="AJ25" s="26">
        <f t="shared" si="23"/>
        <v>2.2000000000000002</v>
      </c>
      <c r="AK25" s="6"/>
      <c r="AL25" s="485" t="s">
        <v>239</v>
      </c>
      <c r="AM25" s="54">
        <v>1013.25</v>
      </c>
      <c r="AN25" s="391" t="s">
        <v>404</v>
      </c>
      <c r="AO25" s="400"/>
      <c r="AP25" s="485">
        <v>0</v>
      </c>
      <c r="AQ25" s="485">
        <v>1</v>
      </c>
      <c r="AR25" s="134"/>
      <c r="AS25" s="26">
        <f>IF(ISBLANK(F25),"",(AVERAGE($F$4:F25)))</f>
        <v>5.0272727272727273</v>
      </c>
      <c r="AT25" s="26">
        <f>IF(ISBLANK(G25),"",(AVERAGE($G$4:G25)))</f>
        <v>9.2136363636363665</v>
      </c>
      <c r="AU25" s="25">
        <f>IF(ISBLANK(H25),"",(AVERAGE($H$4:H25)))</f>
        <v>7.2772727272727273</v>
      </c>
      <c r="AV25" s="368">
        <f>IF(ISBLANK(G25),"",(AVERAGE($I$4:I25)))</f>
        <v>4.1863636363636365</v>
      </c>
      <c r="AW25" s="22">
        <f>IF(ISBLANK(M25),"",AVERAGE($M$4:M25))</f>
        <v>85</v>
      </c>
      <c r="AX25" s="376">
        <f>IF(ISBLANK(P25),"",(AVERAGE($R$4:R25)))</f>
        <v>1012.7045454545455</v>
      </c>
      <c r="AY25" s="368">
        <f>IF(ISBLANK(U25),"",(AVERAGE($U$4:U25)))</f>
        <v>6.1818181818181817</v>
      </c>
      <c r="AZ25" s="6"/>
      <c r="BA25" s="25">
        <f t="shared" si="16"/>
        <v>2.0285714285714276</v>
      </c>
      <c r="BB25" s="25">
        <f t="shared" si="17"/>
        <v>-0.60000000000000053</v>
      </c>
      <c r="BC25" s="25">
        <f t="shared" si="20"/>
        <v>0.71428571428571352</v>
      </c>
      <c r="BD25" s="367">
        <f t="shared" si="19"/>
        <v>-2.6285714285714281</v>
      </c>
      <c r="BE25" s="72"/>
      <c r="BF25" s="25">
        <f>IF(ISBLANK(F25),"",AS25-AVERAGE($F$91:F112))</f>
        <v>2.8897727272727276</v>
      </c>
      <c r="BG25" s="25">
        <f>IF(ISBLANK(G25),"",AT25-AVERAGE($G$91:G112))</f>
        <v>1.8990909090909129</v>
      </c>
      <c r="BH25" s="367">
        <f t="shared" si="22"/>
        <v>-0.99068181818181467</v>
      </c>
      <c r="BI25" s="115">
        <f t="shared" si="8"/>
        <v>1.0404545454545455</v>
      </c>
      <c r="BJ25" s="115">
        <f t="shared" si="9"/>
        <v>0.49835811586604706</v>
      </c>
      <c r="BK25" s="88"/>
      <c r="BL25" s="572">
        <v>22</v>
      </c>
    </row>
    <row r="26" spans="1:64" ht="12.75" customHeight="1" x14ac:dyDescent="0.2">
      <c r="A26" s="394">
        <f t="shared" si="10"/>
        <v>23</v>
      </c>
      <c r="B26" s="131">
        <f t="shared" si="11"/>
        <v>6.4</v>
      </c>
      <c r="C26" s="282">
        <f t="shared" si="12"/>
        <v>10.4</v>
      </c>
      <c r="D26" s="685"/>
      <c r="E26" s="97">
        <f t="shared" si="13"/>
        <v>23</v>
      </c>
      <c r="F26" s="23">
        <v>6.4</v>
      </c>
      <c r="G26" s="23">
        <v>10.4</v>
      </c>
      <c r="H26" s="553">
        <v>8.1999999999999993</v>
      </c>
      <c r="I26" s="23">
        <f t="shared" si="0"/>
        <v>4</v>
      </c>
      <c r="J26" s="6">
        <f t="shared" si="1"/>
        <v>0</v>
      </c>
      <c r="K26" s="24">
        <v>81</v>
      </c>
      <c r="L26" s="24">
        <v>97</v>
      </c>
      <c r="M26" s="554">
        <v>93</v>
      </c>
      <c r="N26" s="24">
        <f t="shared" si="2"/>
        <v>16</v>
      </c>
      <c r="O26" s="50">
        <f t="shared" si="3"/>
        <v>0</v>
      </c>
      <c r="P26" s="24">
        <v>1014</v>
      </c>
      <c r="Q26" s="24">
        <v>1019</v>
      </c>
      <c r="R26" s="24">
        <f t="shared" si="14"/>
        <v>1016.5</v>
      </c>
      <c r="S26" s="24">
        <f t="shared" si="4"/>
        <v>5</v>
      </c>
      <c r="T26" s="50">
        <v>0</v>
      </c>
      <c r="U26" s="553">
        <v>5.6</v>
      </c>
      <c r="V26" s="553">
        <v>12.1</v>
      </c>
      <c r="W26" s="553">
        <v>16.100000000000001</v>
      </c>
      <c r="X26" s="555" t="s">
        <v>110</v>
      </c>
      <c r="Y26" s="72">
        <f t="shared" si="15"/>
        <v>2</v>
      </c>
      <c r="Z26" s="539">
        <v>3.5</v>
      </c>
      <c r="AA26" s="23">
        <v>1.4</v>
      </c>
      <c r="AB26" s="23">
        <v>0.3</v>
      </c>
      <c r="AC26" s="510">
        <f t="shared" si="5"/>
        <v>7.9185520361990946E-2</v>
      </c>
      <c r="AD26" s="7">
        <f t="shared" si="6"/>
        <v>0.7</v>
      </c>
      <c r="AE26" s="485">
        <v>2.1</v>
      </c>
      <c r="AF26" s="72"/>
      <c r="AG26" s="553">
        <v>3.4</v>
      </c>
      <c r="AH26" s="553">
        <v>9.9</v>
      </c>
      <c r="AI26" s="553">
        <v>7.1</v>
      </c>
      <c r="AJ26" s="26">
        <f t="shared" si="23"/>
        <v>6.5</v>
      </c>
      <c r="AK26" s="6"/>
      <c r="AL26" s="485" t="s">
        <v>239</v>
      </c>
      <c r="AM26" s="54">
        <v>1013.25</v>
      </c>
      <c r="AN26" s="23" t="s">
        <v>405</v>
      </c>
      <c r="AO26" s="400"/>
      <c r="AP26" s="485">
        <v>0</v>
      </c>
      <c r="AQ26" s="485">
        <v>5</v>
      </c>
      <c r="AR26" s="134"/>
      <c r="AS26" s="26">
        <f>IF(ISBLANK(F26),"",(AVERAGE($F$4:F26)))</f>
        <v>5.0869565217391308</v>
      </c>
      <c r="AT26" s="26">
        <f>IF(ISBLANK(G26),"",(AVERAGE($G$4:G26)))</f>
        <v>9.2652173913043505</v>
      </c>
      <c r="AU26" s="25">
        <f>IF(ISBLANK(H26),"",(AVERAGE($H$4:H26)))</f>
        <v>7.3173913043478249</v>
      </c>
      <c r="AV26" s="368">
        <f>IF(ISBLANK(G26),"",(AVERAGE($I$4:I26)))</f>
        <v>4.1782608695652179</v>
      </c>
      <c r="AW26" s="22">
        <f>IF(ISBLANK(M26),"",AVERAGE($M$4:M26))</f>
        <v>85.347826086956516</v>
      </c>
      <c r="AX26" s="376">
        <f>IF(ISBLANK(P26),"",(AVERAGE($R$4:R26)))</f>
        <v>1012.8695652173913</v>
      </c>
      <c r="AY26" s="368">
        <f>IF(ISBLANK(U26),"",(AVERAGE($U$4:U26)))</f>
        <v>6.1565217391304348</v>
      </c>
      <c r="AZ26" s="6"/>
      <c r="BA26" s="25">
        <f t="shared" si="16"/>
        <v>4</v>
      </c>
      <c r="BB26" s="25">
        <f t="shared" si="17"/>
        <v>2.3499999999999996</v>
      </c>
      <c r="BC26" s="25">
        <f t="shared" si="20"/>
        <v>3.1749999999999998</v>
      </c>
      <c r="BD26" s="367">
        <f t="shared" si="19"/>
        <v>-1.6500000000000004</v>
      </c>
      <c r="BE26" s="72"/>
      <c r="BF26" s="25">
        <f>IF(ISBLANK(F26),"",AS26-AVERAGE($F$91:F113))</f>
        <v>2.9380434782608704</v>
      </c>
      <c r="BG26" s="25">
        <f>IF(ISBLANK(G26),"",AT26-AVERAGE($G$91:G113))</f>
        <v>1.9186956521739154</v>
      </c>
      <c r="BH26" s="367">
        <f t="shared" si="22"/>
        <v>-1.0193478260869551</v>
      </c>
      <c r="BI26" s="115">
        <f t="shared" si="8"/>
        <v>1.1017391304347826</v>
      </c>
      <c r="BJ26" s="115">
        <f t="shared" si="9"/>
        <v>0.47514453284510255</v>
      </c>
      <c r="BK26" s="88"/>
      <c r="BL26" s="572">
        <v>23</v>
      </c>
    </row>
    <row r="27" spans="1:64" ht="12.75" customHeight="1" x14ac:dyDescent="0.2">
      <c r="A27" s="394">
        <f t="shared" si="10"/>
        <v>24</v>
      </c>
      <c r="B27" s="131">
        <f t="shared" si="11"/>
        <v>8.3000000000000007</v>
      </c>
      <c r="C27" s="282">
        <f t="shared" si="12"/>
        <v>13.7</v>
      </c>
      <c r="D27" s="685"/>
      <c r="E27" s="97">
        <f t="shared" si="13"/>
        <v>24</v>
      </c>
      <c r="F27" s="23">
        <v>8.3000000000000007</v>
      </c>
      <c r="G27" s="23">
        <v>13.7</v>
      </c>
      <c r="H27" s="553">
        <v>10.6</v>
      </c>
      <c r="I27" s="23">
        <f t="shared" si="0"/>
        <v>5.3999999999999986</v>
      </c>
      <c r="J27" s="6">
        <f t="shared" si="1"/>
        <v>0</v>
      </c>
      <c r="K27" s="24">
        <v>69</v>
      </c>
      <c r="L27" s="24">
        <v>96</v>
      </c>
      <c r="M27" s="555">
        <v>85</v>
      </c>
      <c r="N27" s="24">
        <f t="shared" si="2"/>
        <v>27</v>
      </c>
      <c r="O27" s="50">
        <f t="shared" si="3"/>
        <v>0</v>
      </c>
      <c r="P27" s="24">
        <v>1016</v>
      </c>
      <c r="Q27" s="24">
        <v>1025</v>
      </c>
      <c r="R27" s="24">
        <f t="shared" si="14"/>
        <v>1020.5</v>
      </c>
      <c r="S27" s="24">
        <f t="shared" si="4"/>
        <v>9</v>
      </c>
      <c r="T27" s="50">
        <v>0</v>
      </c>
      <c r="U27" s="553">
        <v>4.7</v>
      </c>
      <c r="V27" s="553">
        <v>9.6999999999999993</v>
      </c>
      <c r="W27" s="553">
        <v>15.6</v>
      </c>
      <c r="X27" s="555" t="s">
        <v>114</v>
      </c>
      <c r="Y27" s="72">
        <f t="shared" si="15"/>
        <v>0</v>
      </c>
      <c r="Z27" s="539">
        <v>0</v>
      </c>
      <c r="AA27" s="23"/>
      <c r="AB27" s="23"/>
      <c r="AC27" s="510" t="str">
        <f t="shared" si="5"/>
        <v/>
      </c>
      <c r="AD27" s="7" t="str">
        <f t="shared" si="6"/>
        <v/>
      </c>
      <c r="AE27" s="485"/>
      <c r="AF27" s="72"/>
      <c r="AG27" s="553">
        <v>6</v>
      </c>
      <c r="AH27" s="553">
        <v>10.199999999999999</v>
      </c>
      <c r="AI27" s="553">
        <v>8.1999999999999993</v>
      </c>
      <c r="AJ27" s="26">
        <f t="shared" si="23"/>
        <v>4.1999999999999993</v>
      </c>
      <c r="AK27" s="6"/>
      <c r="AL27" s="485" t="s">
        <v>408</v>
      </c>
      <c r="AM27" s="54">
        <v>1013.25</v>
      </c>
      <c r="AN27" s="23" t="s">
        <v>8</v>
      </c>
      <c r="AO27" s="400"/>
      <c r="AP27" s="485">
        <v>5</v>
      </c>
      <c r="AQ27" s="485">
        <v>0</v>
      </c>
      <c r="AR27" s="134"/>
      <c r="AS27" s="26">
        <f>IF(ISBLANK(F27),"",(AVERAGE($F$4:F27)))</f>
        <v>5.2208333333333332</v>
      </c>
      <c r="AT27" s="26">
        <f>IF(ISBLANK(G27),"",(AVERAGE($G$4:G27)))</f>
        <v>9.4500000000000011</v>
      </c>
      <c r="AU27" s="25">
        <f>IF(ISBLANK(H27),"",(AVERAGE($H$4:H27)))</f>
        <v>7.4541666666666657</v>
      </c>
      <c r="AV27" s="368">
        <f>IF(ISBLANK(G27),"",(AVERAGE($I$4:I27)))</f>
        <v>4.229166666666667</v>
      </c>
      <c r="AW27" s="22">
        <f>IF(ISBLANK(M27),"",AVERAGE($M$4:M27))</f>
        <v>85.333333333333329</v>
      </c>
      <c r="AX27" s="376">
        <f>IF(ISBLANK(P27),"",(AVERAGE($R$4:R27)))</f>
        <v>1013.1875</v>
      </c>
      <c r="AY27" s="368">
        <f>IF(ISBLANK(U27),"",(AVERAGE($U$4:U27)))</f>
        <v>6.0958333333333323</v>
      </c>
      <c r="AZ27" s="6"/>
      <c r="BA27" s="25">
        <f t="shared" si="16"/>
        <v>5.8600000000000012</v>
      </c>
      <c r="BB27" s="25">
        <f t="shared" si="17"/>
        <v>5.5</v>
      </c>
      <c r="BC27" s="25">
        <f t="shared" si="20"/>
        <v>5.6800000000000006</v>
      </c>
      <c r="BD27" s="367">
        <f t="shared" si="19"/>
        <v>-0.36000000000000121</v>
      </c>
      <c r="BE27" s="72"/>
      <c r="BF27" s="25">
        <f>IF(ISBLANK(F27),"",AS27-AVERAGE($F$91:F114))</f>
        <v>3.0597916666666669</v>
      </c>
      <c r="BG27" s="25">
        <f>IF(ISBLANK(G27),"",AT27-AVERAGE($G$91:G114))</f>
        <v>2.067916666666668</v>
      </c>
      <c r="BH27" s="367">
        <f t="shared" si="22"/>
        <v>-0.99187499999999895</v>
      </c>
      <c r="BI27" s="115">
        <f t="shared" si="8"/>
        <v>1.0558333333333334</v>
      </c>
      <c r="BJ27" s="115">
        <f t="shared" si="9"/>
        <v>0.53266588775644907</v>
      </c>
      <c r="BK27" s="88"/>
      <c r="BL27" s="572">
        <v>24</v>
      </c>
    </row>
    <row r="28" spans="1:64" ht="12.75" customHeight="1" x14ac:dyDescent="0.2">
      <c r="A28" s="394">
        <f t="shared" si="10"/>
        <v>25</v>
      </c>
      <c r="B28" s="131">
        <f t="shared" si="11"/>
        <v>8.1</v>
      </c>
      <c r="C28" s="282">
        <f t="shared" si="12"/>
        <v>14.2</v>
      </c>
      <c r="D28" s="685"/>
      <c r="E28" s="97">
        <f t="shared" si="13"/>
        <v>25</v>
      </c>
      <c r="F28" s="23">
        <v>8.1</v>
      </c>
      <c r="G28" s="23">
        <v>14.2</v>
      </c>
      <c r="H28" s="553">
        <v>11.1</v>
      </c>
      <c r="I28" s="23">
        <f t="shared" si="0"/>
        <v>6.1</v>
      </c>
      <c r="J28" s="6">
        <f t="shared" si="1"/>
        <v>0</v>
      </c>
      <c r="K28" s="24">
        <v>72</v>
      </c>
      <c r="L28" s="24">
        <v>95</v>
      </c>
      <c r="M28" s="555">
        <v>84</v>
      </c>
      <c r="N28" s="24">
        <f t="shared" si="2"/>
        <v>23</v>
      </c>
      <c r="O28" s="50">
        <f t="shared" si="3"/>
        <v>0</v>
      </c>
      <c r="P28" s="24">
        <v>1018</v>
      </c>
      <c r="Q28" s="24">
        <v>1025</v>
      </c>
      <c r="R28" s="24">
        <f t="shared" si="14"/>
        <v>1021.5</v>
      </c>
      <c r="S28" s="24">
        <f t="shared" si="4"/>
        <v>7</v>
      </c>
      <c r="T28" s="50">
        <v>0</v>
      </c>
      <c r="U28" s="553">
        <v>5.9</v>
      </c>
      <c r="V28" s="553">
        <v>14.5</v>
      </c>
      <c r="W28" s="553">
        <v>20.6</v>
      </c>
      <c r="X28" s="555" t="s">
        <v>110</v>
      </c>
      <c r="Y28" s="72">
        <f t="shared" si="15"/>
        <v>0</v>
      </c>
      <c r="Z28" s="539">
        <v>0</v>
      </c>
      <c r="AA28" s="23"/>
      <c r="AB28" s="23"/>
      <c r="AC28" s="510" t="str">
        <f t="shared" si="5"/>
        <v/>
      </c>
      <c r="AD28" s="7" t="str">
        <f t="shared" si="6"/>
        <v/>
      </c>
      <c r="AE28" s="485"/>
      <c r="AF28" s="72"/>
      <c r="AG28" s="553">
        <v>6</v>
      </c>
      <c r="AH28" s="553">
        <v>10.6</v>
      </c>
      <c r="AI28" s="553">
        <v>8.3000000000000007</v>
      </c>
      <c r="AJ28" s="26">
        <f t="shared" si="23"/>
        <v>4.5999999999999996</v>
      </c>
      <c r="AK28" s="6"/>
      <c r="AL28" s="485" t="s">
        <v>409</v>
      </c>
      <c r="AM28" s="54">
        <v>1013.25</v>
      </c>
      <c r="AN28" s="23" t="s">
        <v>8</v>
      </c>
      <c r="AO28" s="400"/>
      <c r="AP28" s="485">
        <v>2</v>
      </c>
      <c r="AQ28" s="485">
        <v>0</v>
      </c>
      <c r="AR28" s="134"/>
      <c r="AS28" s="26">
        <f>IF(ISBLANK(F28),"",(AVERAGE($F$4:F28)))</f>
        <v>5.3360000000000003</v>
      </c>
      <c r="AT28" s="26">
        <f>IF(ISBLANK(G28),"",(AVERAGE($G$4:G28)))</f>
        <v>9.64</v>
      </c>
      <c r="AU28" s="25">
        <f>IF(ISBLANK(H28),"",(AVERAGE($H$4:H28)))</f>
        <v>7.5999999999999988</v>
      </c>
      <c r="AV28" s="368">
        <f>IF(ISBLANK(G28),"",(AVERAGE($I$4:I28)))</f>
        <v>4.3039999999999994</v>
      </c>
      <c r="AW28" s="22">
        <f>IF(ISBLANK(M28),"",AVERAGE($M$4:M28))</f>
        <v>85.28</v>
      </c>
      <c r="AX28" s="376">
        <f>IF(ISBLANK(P28),"",(AVERAGE($R$4:R28)))</f>
        <v>1013.52</v>
      </c>
      <c r="AY28" s="368">
        <f>IF(ISBLANK(U28),"",(AVERAGE($U$4:U28)))</f>
        <v>6.0879999999999992</v>
      </c>
      <c r="AZ28" s="6"/>
      <c r="BA28" s="25">
        <f t="shared" si="16"/>
        <v>5.6199999999999992</v>
      </c>
      <c r="BB28" s="25">
        <f t="shared" si="17"/>
        <v>5.85</v>
      </c>
      <c r="BC28" s="25">
        <f t="shared" si="20"/>
        <v>5.7349999999999994</v>
      </c>
      <c r="BD28" s="367">
        <f t="shared" si="19"/>
        <v>0.23000000000000043</v>
      </c>
      <c r="BE28" s="72"/>
      <c r="BF28" s="25">
        <f>IF(ISBLANK(F28),"",AS28-AVERAGE($F$91:F115))</f>
        <v>3.1622000000000008</v>
      </c>
      <c r="BG28" s="25">
        <f>IF(ISBLANK(G28),"",AT28-AVERAGE($G$91:G115))</f>
        <v>2.2192000000000016</v>
      </c>
      <c r="BH28" s="367">
        <f t="shared" si="22"/>
        <v>-0.94299999999999917</v>
      </c>
      <c r="BI28" s="115">
        <f t="shared" si="8"/>
        <v>1.0136000000000001</v>
      </c>
      <c r="BJ28" s="115">
        <f t="shared" si="9"/>
        <v>0.53985854900077357</v>
      </c>
      <c r="BK28" s="88"/>
      <c r="BL28" s="572">
        <v>25</v>
      </c>
    </row>
    <row r="29" spans="1:64" ht="12.75" customHeight="1" x14ac:dyDescent="0.2">
      <c r="A29" s="394">
        <f t="shared" si="10"/>
        <v>26</v>
      </c>
      <c r="B29" s="131">
        <v>9.3000000000000007</v>
      </c>
      <c r="C29" s="282">
        <v>8.8000000000000007</v>
      </c>
      <c r="D29" s="685"/>
      <c r="E29" s="97">
        <f t="shared" si="13"/>
        <v>26</v>
      </c>
      <c r="F29" s="23">
        <v>5</v>
      </c>
      <c r="G29" s="23">
        <v>10.9</v>
      </c>
      <c r="H29" s="553">
        <v>8.5</v>
      </c>
      <c r="I29" s="23">
        <f t="shared" si="0"/>
        <v>5.9</v>
      </c>
      <c r="J29" s="6">
        <f t="shared" si="1"/>
        <v>1</v>
      </c>
      <c r="K29" s="24">
        <v>67</v>
      </c>
      <c r="L29" s="24">
        <v>95</v>
      </c>
      <c r="M29" s="555">
        <v>84</v>
      </c>
      <c r="N29" s="24">
        <f t="shared" si="2"/>
        <v>28</v>
      </c>
      <c r="O29" s="50">
        <f t="shared" si="3"/>
        <v>1</v>
      </c>
      <c r="P29" s="24">
        <v>1010</v>
      </c>
      <c r="Q29" s="24">
        <v>1017</v>
      </c>
      <c r="R29" s="24">
        <f t="shared" si="14"/>
        <v>1013.5</v>
      </c>
      <c r="S29" s="24">
        <f t="shared" si="4"/>
        <v>7</v>
      </c>
      <c r="T29" s="50">
        <v>0</v>
      </c>
      <c r="U29" s="553">
        <v>7</v>
      </c>
      <c r="V29" s="553">
        <v>18.5</v>
      </c>
      <c r="W29" s="553">
        <v>25.9</v>
      </c>
      <c r="X29" s="591" t="s">
        <v>114</v>
      </c>
      <c r="Y29" s="72">
        <f t="shared" si="15"/>
        <v>2</v>
      </c>
      <c r="Z29" s="539">
        <v>5.2</v>
      </c>
      <c r="AA29" s="23">
        <v>1.6</v>
      </c>
      <c r="AB29" s="23">
        <v>0.5</v>
      </c>
      <c r="AC29" s="510">
        <f t="shared" si="5"/>
        <v>0.11764705882352941</v>
      </c>
      <c r="AD29" s="7">
        <f t="shared" si="6"/>
        <v>0.8666666666666667</v>
      </c>
      <c r="AE29" s="485">
        <v>6</v>
      </c>
      <c r="AF29" s="72"/>
      <c r="AG29" s="553">
        <v>1.2</v>
      </c>
      <c r="AH29" s="553">
        <v>9.1</v>
      </c>
      <c r="AI29" s="553">
        <v>5.9</v>
      </c>
      <c r="AJ29" s="7">
        <f t="shared" ref="AJ29:AJ34" si="24">IF(ISBLANK(AH29),"",AH29-AG29)</f>
        <v>7.8999999999999995</v>
      </c>
      <c r="AK29" s="6"/>
      <c r="AL29" s="485" t="s">
        <v>411</v>
      </c>
      <c r="AM29" s="54">
        <v>1013.25</v>
      </c>
      <c r="AN29" s="23" t="s">
        <v>410</v>
      </c>
      <c r="AO29" s="400"/>
      <c r="AP29" s="485">
        <v>0.3</v>
      </c>
      <c r="AQ29" s="485">
        <v>6</v>
      </c>
      <c r="AR29" s="134"/>
      <c r="AS29" s="26">
        <f>IF(ISBLANK(F29),"",(AVERAGE($F$4:F29)))</f>
        <v>5.3230769230769237</v>
      </c>
      <c r="AT29" s="26">
        <f>IF(ISBLANK(G29),"",(AVERAGE($G$4:G29)))</f>
        <v>9.6884615384615405</v>
      </c>
      <c r="AU29" s="25">
        <f>IF(ISBLANK(H29),"",(AVERAGE($H$4:H29)))</f>
        <v>7.6346153846153832</v>
      </c>
      <c r="AV29" s="368">
        <f>IF(ISBLANK(G29),"",(AVERAGE($I$4:I29)))</f>
        <v>4.365384615384615</v>
      </c>
      <c r="AW29" s="22">
        <f>IF(ISBLANK(M29),"",AVERAGE($M$4:M29))</f>
        <v>85.230769230769226</v>
      </c>
      <c r="AX29" s="376">
        <f>IF(ISBLANK(P29),"",(AVERAGE($R$4:R29)))</f>
        <v>1013.5192307692307</v>
      </c>
      <c r="AY29" s="368">
        <f>IF(ISBLANK(U29),"",(AVERAGE($U$4:U29)))</f>
        <v>6.1230769230769226</v>
      </c>
      <c r="AZ29" s="6"/>
      <c r="BA29" s="25">
        <f t="shared" si="16"/>
        <v>2.48</v>
      </c>
      <c r="BB29" s="25">
        <f t="shared" si="17"/>
        <v>2.4000000000000004</v>
      </c>
      <c r="BC29" s="25">
        <f t="shared" si="20"/>
        <v>2.4400000000000004</v>
      </c>
      <c r="BD29" s="367">
        <f t="shared" si="19"/>
        <v>-7.9999999999999627E-2</v>
      </c>
      <c r="BE29" s="72"/>
      <c r="BF29" s="25">
        <f>IF(ISBLANK(F29),"",AS29-AVERAGE($F$91:F116))</f>
        <v>3.1359615384615394</v>
      </c>
      <c r="BG29" s="25">
        <f>IF(ISBLANK(G29),"",AT29-AVERAGE($G$91:G116))</f>
        <v>2.2261538461538493</v>
      </c>
      <c r="BH29" s="367">
        <f t="shared" si="22"/>
        <v>-0.9098076923076901</v>
      </c>
      <c r="BI29" s="115">
        <f t="shared" si="8"/>
        <v>1.1146153846153848</v>
      </c>
      <c r="BJ29" s="115">
        <f t="shared" si="9"/>
        <v>0.52174435430502386</v>
      </c>
      <c r="BK29" s="88"/>
      <c r="BL29" s="572">
        <v>26</v>
      </c>
    </row>
    <row r="30" spans="1:64" ht="12.75" customHeight="1" x14ac:dyDescent="0.2">
      <c r="A30" s="394">
        <f t="shared" si="10"/>
        <v>27</v>
      </c>
      <c r="B30" s="131">
        <f t="shared" si="11"/>
        <v>3.8</v>
      </c>
      <c r="C30" s="282">
        <f t="shared" si="12"/>
        <v>9.1</v>
      </c>
      <c r="D30" s="685"/>
      <c r="E30" s="97">
        <f t="shared" si="13"/>
        <v>27</v>
      </c>
      <c r="F30" s="23">
        <v>3.8</v>
      </c>
      <c r="G30" s="23">
        <v>9.1</v>
      </c>
      <c r="H30" s="553">
        <v>5.2</v>
      </c>
      <c r="I30" s="23">
        <f t="shared" si="0"/>
        <v>5.3</v>
      </c>
      <c r="J30" s="6">
        <f t="shared" si="1"/>
        <v>0</v>
      </c>
      <c r="K30" s="24">
        <v>59</v>
      </c>
      <c r="L30" s="24">
        <v>92</v>
      </c>
      <c r="M30" s="554">
        <v>81</v>
      </c>
      <c r="N30" s="24">
        <f t="shared" si="2"/>
        <v>33</v>
      </c>
      <c r="O30" s="50">
        <f t="shared" si="3"/>
        <v>0</v>
      </c>
      <c r="P30" s="24">
        <v>1018</v>
      </c>
      <c r="Q30" s="24">
        <v>1025</v>
      </c>
      <c r="R30" s="24">
        <f t="shared" si="14"/>
        <v>1021.5</v>
      </c>
      <c r="S30" s="24">
        <f t="shared" si="4"/>
        <v>7</v>
      </c>
      <c r="T30" s="50">
        <v>0</v>
      </c>
      <c r="U30" s="553">
        <v>4.5999999999999996</v>
      </c>
      <c r="V30" s="553">
        <v>12.5</v>
      </c>
      <c r="W30" s="553">
        <v>17.600000000000001</v>
      </c>
      <c r="X30" s="553" t="s">
        <v>128</v>
      </c>
      <c r="Y30" s="72">
        <f t="shared" si="15"/>
        <v>2</v>
      </c>
      <c r="Z30" s="539">
        <v>2.5</v>
      </c>
      <c r="AA30" s="23">
        <v>1.9</v>
      </c>
      <c r="AB30" s="23">
        <v>0.5</v>
      </c>
      <c r="AC30" s="510">
        <f t="shared" si="5"/>
        <v>5.6561085972850672E-2</v>
      </c>
      <c r="AD30" s="7">
        <f t="shared" si="6"/>
        <v>1</v>
      </c>
      <c r="AE30" s="485">
        <v>3.5</v>
      </c>
      <c r="AF30" s="72"/>
      <c r="AG30" s="553">
        <v>1.1000000000000001</v>
      </c>
      <c r="AH30" s="553">
        <v>3.5</v>
      </c>
      <c r="AI30" s="553">
        <v>2.1</v>
      </c>
      <c r="AJ30" s="26">
        <f t="shared" si="24"/>
        <v>2.4</v>
      </c>
      <c r="AK30" s="6"/>
      <c r="AL30" s="485" t="s">
        <v>413</v>
      </c>
      <c r="AM30" s="54">
        <v>1013.25</v>
      </c>
      <c r="AN30" s="23" t="s">
        <v>412</v>
      </c>
      <c r="AO30" s="400"/>
      <c r="AP30" s="485">
        <v>4</v>
      </c>
      <c r="AQ30" s="485">
        <v>2.5</v>
      </c>
      <c r="AR30" s="134"/>
      <c r="AS30" s="26">
        <f>IF(ISBLANK(F30),"",(AVERAGE($F$4:F30)))</f>
        <v>5.2666666666666675</v>
      </c>
      <c r="AT30" s="26">
        <f>IF(ISBLANK(G30),"",(AVERAGE($G$4:G30)))</f>
        <v>9.6666666666666696</v>
      </c>
      <c r="AU30" s="25">
        <f>IF(ISBLANK(H30),"",(AVERAGE($H$4:H30)))</f>
        <v>7.5444444444444434</v>
      </c>
      <c r="AV30" s="368">
        <f>IF(ISBLANK(G30),"",(AVERAGE($I$4:I30)))</f>
        <v>4.3999999999999995</v>
      </c>
      <c r="AW30" s="22">
        <f>IF(ISBLANK(M30),"",AVERAGE($M$4:M30))</f>
        <v>85.074074074074076</v>
      </c>
      <c r="AX30" s="376">
        <f>IF(ISBLANK(P30),"",(AVERAGE($R$4:R30)))</f>
        <v>1013.8148148148148</v>
      </c>
      <c r="AY30" s="368">
        <f>IF(ISBLANK(U30),"",(AVERAGE($U$4:U30)))</f>
        <v>6.0666666666666664</v>
      </c>
      <c r="AZ30" s="6"/>
      <c r="BA30" s="25">
        <f t="shared" si="16"/>
        <v>1.2399999999999998</v>
      </c>
      <c r="BB30" s="25">
        <f t="shared" si="17"/>
        <v>0.44999999999999929</v>
      </c>
      <c r="BC30" s="25">
        <f t="shared" si="20"/>
        <v>0.84499999999999953</v>
      </c>
      <c r="BD30" s="367">
        <f t="shared" si="19"/>
        <v>-0.79000000000000048</v>
      </c>
      <c r="BE30" s="72"/>
      <c r="BF30" s="25">
        <f>IF(ISBLANK(F30),"",AS30-AVERAGE($F$91:F117))</f>
        <v>3.065740740740742</v>
      </c>
      <c r="BG30" s="25">
        <f>IF(ISBLANK(G30),"",AT30-AVERAGE($G$91:G117))</f>
        <v>2.1603703703703738</v>
      </c>
      <c r="BH30" s="367">
        <f>IF(ISBLANK(G30),"",BG30-BF30)</f>
        <v>-0.90537037037036816</v>
      </c>
      <c r="BI30" s="115">
        <f t="shared" si="8"/>
        <v>1.1381481481481484</v>
      </c>
      <c r="BJ30" s="115">
        <f t="shared" si="9"/>
        <v>0.55627693139402512</v>
      </c>
      <c r="BK30" s="421"/>
      <c r="BL30" s="572">
        <v>27</v>
      </c>
    </row>
    <row r="31" spans="1:64" ht="12.75" customHeight="1" x14ac:dyDescent="0.2">
      <c r="A31" s="394">
        <f t="shared" si="10"/>
        <v>28</v>
      </c>
      <c r="B31" s="131">
        <v>3.3</v>
      </c>
      <c r="C31" s="282">
        <v>3.7</v>
      </c>
      <c r="D31" s="685"/>
      <c r="E31" s="97">
        <f t="shared" si="13"/>
        <v>28</v>
      </c>
      <c r="F31" s="23">
        <v>3</v>
      </c>
      <c r="G31" s="23">
        <v>4.7</v>
      </c>
      <c r="H31" s="553">
        <v>3.5</v>
      </c>
      <c r="I31" s="23">
        <f t="shared" si="0"/>
        <v>1.7000000000000002</v>
      </c>
      <c r="J31" s="6">
        <f t="shared" si="1"/>
        <v>1</v>
      </c>
      <c r="K31" s="24">
        <v>84</v>
      </c>
      <c r="L31" s="24">
        <v>90</v>
      </c>
      <c r="M31" s="554">
        <v>87</v>
      </c>
      <c r="N31" s="24">
        <f t="shared" si="2"/>
        <v>6</v>
      </c>
      <c r="O31" s="50">
        <f t="shared" si="3"/>
        <v>1</v>
      </c>
      <c r="P31" s="24">
        <v>1025</v>
      </c>
      <c r="Q31" s="24">
        <v>1035</v>
      </c>
      <c r="R31" s="24">
        <f t="shared" si="14"/>
        <v>1030</v>
      </c>
      <c r="S31" s="24">
        <f t="shared" si="4"/>
        <v>10</v>
      </c>
      <c r="T31" s="50">
        <v>0</v>
      </c>
      <c r="U31" s="553">
        <v>5.7</v>
      </c>
      <c r="V31" s="553">
        <v>14.5</v>
      </c>
      <c r="W31" s="553">
        <v>20.6</v>
      </c>
      <c r="X31" s="485" t="s">
        <v>113</v>
      </c>
      <c r="Y31" s="72">
        <f t="shared" si="15"/>
        <v>1</v>
      </c>
      <c r="Z31" s="539">
        <v>0.3</v>
      </c>
      <c r="AA31" s="23" t="s">
        <v>8</v>
      </c>
      <c r="AB31" s="23" t="s">
        <v>8</v>
      </c>
      <c r="AC31" s="510">
        <f t="shared" si="5"/>
        <v>6.7873303167420808E-3</v>
      </c>
      <c r="AD31" s="7">
        <f t="shared" si="6"/>
        <v>0.15</v>
      </c>
      <c r="AE31" s="485" t="s">
        <v>8</v>
      </c>
      <c r="AF31" s="72"/>
      <c r="AG31" s="553">
        <v>1</v>
      </c>
      <c r="AH31" s="553">
        <v>2.6</v>
      </c>
      <c r="AI31" s="553">
        <v>1.5</v>
      </c>
      <c r="AJ31" s="26">
        <f t="shared" si="24"/>
        <v>1.6</v>
      </c>
      <c r="AK31" s="6"/>
      <c r="AL31" s="485" t="s">
        <v>239</v>
      </c>
      <c r="AM31" s="54">
        <v>1013.25</v>
      </c>
      <c r="AN31" s="391" t="s">
        <v>415</v>
      </c>
      <c r="AO31" s="400"/>
      <c r="AP31" s="485">
        <v>0</v>
      </c>
      <c r="AQ31" s="485">
        <v>2</v>
      </c>
      <c r="AR31" s="134"/>
      <c r="AS31" s="26">
        <f>IF(ISBLANK(F31),"",(AVERAGE($F$4:F31)))</f>
        <v>5.1857142857142859</v>
      </c>
      <c r="AT31" s="26">
        <f>IF(ISBLANK(G31),"",(AVERAGE($G$4:G31)))</f>
        <v>9.4892857142857157</v>
      </c>
      <c r="AU31" s="25">
        <f>IF(ISBLANK(H31),"",(AVERAGE($H$4:H31)))</f>
        <v>7.3999999999999986</v>
      </c>
      <c r="AV31" s="368">
        <f>IF(ISBLANK(G31),"",(AVERAGE($I$4:I31)))</f>
        <v>4.3035714285714288</v>
      </c>
      <c r="AW31" s="22">
        <f>IF(ISBLANK(M31),"",AVERAGE($M$4:M31))</f>
        <v>85.142857142857139</v>
      </c>
      <c r="AX31" s="376">
        <f>IF(ISBLANK(P31),"",(AVERAGE($R$4:R31)))</f>
        <v>1014.3928571428571</v>
      </c>
      <c r="AY31" s="368">
        <f>IF(ISBLANK(U31),"",(AVERAGE($U$4:U31)))</f>
        <v>6.0535714285714279</v>
      </c>
      <c r="AZ31" s="6"/>
      <c r="BA31" s="25">
        <f t="shared" si="16"/>
        <v>0.39999999999999991</v>
      </c>
      <c r="BB31" s="25">
        <f t="shared" si="17"/>
        <v>-4.1000000000000005</v>
      </c>
      <c r="BC31" s="25">
        <f t="shared" si="20"/>
        <v>-1.8500000000000003</v>
      </c>
      <c r="BD31" s="367">
        <f t="shared" si="19"/>
        <v>-4.5</v>
      </c>
      <c r="BE31" s="72"/>
      <c r="BF31" s="25">
        <f>IF(ISBLANK(F31),"",AS31-AVERAGE($F$91:F118))</f>
        <v>2.9705357142857149</v>
      </c>
      <c r="BG31" s="25">
        <f>IF(ISBLANK(G31),"",AT31-AVERAGE($G$91:G118))</f>
        <v>1.9367857142857154</v>
      </c>
      <c r="BH31" s="367">
        <f>IF(ISBLANK(G30),"",BG31-BF31)</f>
        <v>-1.0337499999999995</v>
      </c>
      <c r="BI31" s="115">
        <f t="shared" si="8"/>
        <v>1.105</v>
      </c>
      <c r="BJ31" s="115">
        <f t="shared" si="9"/>
        <v>0.53466666666666662</v>
      </c>
      <c r="BK31" s="421"/>
      <c r="BL31" s="572">
        <v>28</v>
      </c>
    </row>
    <row r="32" spans="1:64" ht="1.5" hidden="1" customHeight="1" x14ac:dyDescent="0.2">
      <c r="A32" s="278">
        <v>28</v>
      </c>
      <c r="B32" s="131" t="str">
        <f t="shared" si="11"/>
        <v/>
      </c>
      <c r="C32" s="282" t="str">
        <f t="shared" si="12"/>
        <v/>
      </c>
      <c r="D32" s="685"/>
      <c r="E32" s="99">
        <v>28</v>
      </c>
      <c r="F32" s="23"/>
      <c r="G32" s="23"/>
      <c r="H32" s="553"/>
      <c r="I32" s="23" t="str">
        <f t="shared" si="0"/>
        <v/>
      </c>
      <c r="J32" s="6">
        <f t="shared" si="1"/>
        <v>0</v>
      </c>
      <c r="K32" s="24"/>
      <c r="L32" s="24"/>
      <c r="M32" s="554"/>
      <c r="N32" s="24" t="str">
        <f t="shared" si="2"/>
        <v/>
      </c>
      <c r="O32" s="50">
        <f t="shared" si="3"/>
        <v>0</v>
      </c>
      <c r="P32" s="24"/>
      <c r="Q32" s="24"/>
      <c r="R32" s="24" t="str">
        <f t="shared" si="14"/>
        <v/>
      </c>
      <c r="S32" s="24" t="str">
        <f t="shared" si="4"/>
        <v/>
      </c>
      <c r="T32" s="50">
        <v>0</v>
      </c>
      <c r="U32" s="553"/>
      <c r="V32" s="553"/>
      <c r="W32" s="553"/>
      <c r="X32" s="485"/>
      <c r="Y32" s="72" t="str">
        <f t="shared" si="15"/>
        <v/>
      </c>
      <c r="Z32" s="557"/>
      <c r="AA32" s="558"/>
      <c r="AB32" s="23"/>
      <c r="AC32" s="563" t="str">
        <f t="shared" si="5"/>
        <v/>
      </c>
      <c r="AD32" s="7" t="str">
        <f t="shared" si="6"/>
        <v/>
      </c>
      <c r="AE32" s="559"/>
      <c r="AF32" s="555"/>
      <c r="AG32" s="553"/>
      <c r="AH32" s="553"/>
      <c r="AI32" s="553"/>
      <c r="AJ32" s="26" t="str">
        <f t="shared" si="24"/>
        <v/>
      </c>
      <c r="AK32" s="6"/>
      <c r="AL32" s="485"/>
      <c r="AM32" s="54">
        <v>1013.25</v>
      </c>
      <c r="AN32" s="23"/>
      <c r="AO32" s="400"/>
      <c r="AP32" s="485"/>
      <c r="AQ32" s="485"/>
      <c r="AR32" s="134"/>
      <c r="AS32" s="26" t="str">
        <f>IF(ISBLANK(F32),"",(AVERAGE($F$4:F32)))</f>
        <v/>
      </c>
      <c r="AT32" s="26" t="str">
        <f>IF(ISBLANK(G32),"",(AVERAGE($G$4:G32)))</f>
        <v/>
      </c>
      <c r="AU32" s="25" t="str">
        <f>IF(ISBLANK(H32),"",(AVERAGE($H$4:H32)))</f>
        <v/>
      </c>
      <c r="AV32" s="368" t="str">
        <f>IF(ISBLANK(G32),"",(AVERAGE($I$4:I32)))</f>
        <v/>
      </c>
      <c r="AW32" s="22" t="str">
        <f>IF(ISBLANK(M32),"",AVERAGE($M$4:M32))</f>
        <v/>
      </c>
      <c r="AX32" s="376" t="str">
        <f>IF(ISBLANK(P32),"",(AVERAGE($R$4:R32)))</f>
        <v/>
      </c>
      <c r="AY32" s="368" t="str">
        <f>IF(ISBLANK(U32),"",(AVERAGE($U$4:U32)))</f>
        <v/>
      </c>
      <c r="AZ32" s="6"/>
      <c r="BA32" s="25" t="str">
        <f t="shared" si="16"/>
        <v/>
      </c>
      <c r="BB32" s="25" t="str">
        <f t="shared" si="17"/>
        <v/>
      </c>
      <c r="BC32" s="25" t="str">
        <f t="shared" si="20"/>
        <v/>
      </c>
      <c r="BD32" s="367" t="str">
        <f t="shared" si="19"/>
        <v/>
      </c>
      <c r="BE32" s="72"/>
      <c r="BF32" s="25" t="str">
        <f>IF(ISBLANK(F32),"",AS32-AVERAGE($F$91:F119))</f>
        <v/>
      </c>
      <c r="BG32" s="25" t="str">
        <f>IF(ISBLANK(G32),"",AT32-AVERAGE($G$91:G119))</f>
        <v/>
      </c>
      <c r="BH32" s="367" t="str">
        <f>IF(ISBLANK(G32),"",BG32-BF32)</f>
        <v/>
      </c>
      <c r="BI32" s="115" t="str">
        <f t="shared" si="8"/>
        <v/>
      </c>
      <c r="BJ32" s="115" t="str">
        <f t="shared" si="9"/>
        <v/>
      </c>
      <c r="BK32" s="88"/>
      <c r="BL32" s="572">
        <v>29</v>
      </c>
    </row>
    <row r="33" spans="1:64" ht="1.5" hidden="1" customHeight="1" x14ac:dyDescent="0.2">
      <c r="A33" s="278">
        <v>28</v>
      </c>
      <c r="B33" s="131" t="str">
        <f t="shared" si="11"/>
        <v/>
      </c>
      <c r="C33" s="282" t="str">
        <f t="shared" si="12"/>
        <v/>
      </c>
      <c r="D33" s="685"/>
      <c r="E33" s="99">
        <v>28</v>
      </c>
      <c r="F33" s="23"/>
      <c r="G33" s="23"/>
      <c r="H33" s="553"/>
      <c r="I33" s="23" t="str">
        <f t="shared" si="0"/>
        <v/>
      </c>
      <c r="J33" s="6">
        <f t="shared" si="1"/>
        <v>0</v>
      </c>
      <c r="K33" s="24"/>
      <c r="L33" s="24"/>
      <c r="M33" s="554"/>
      <c r="N33" s="24" t="str">
        <f t="shared" si="2"/>
        <v/>
      </c>
      <c r="O33" s="50">
        <f t="shared" si="3"/>
        <v>0</v>
      </c>
      <c r="P33" s="24"/>
      <c r="Q33" s="24"/>
      <c r="R33" s="24" t="str">
        <f t="shared" si="14"/>
        <v/>
      </c>
      <c r="S33" s="24" t="str">
        <f t="shared" si="4"/>
        <v/>
      </c>
      <c r="T33" s="50">
        <v>0</v>
      </c>
      <c r="U33" s="553"/>
      <c r="V33" s="553"/>
      <c r="W33" s="553"/>
      <c r="X33" s="485"/>
      <c r="Y33" s="72" t="str">
        <f t="shared" si="15"/>
        <v/>
      </c>
      <c r="Z33" s="557"/>
      <c r="AA33" s="558"/>
      <c r="AB33" s="23"/>
      <c r="AC33" s="563" t="str">
        <f t="shared" si="5"/>
        <v/>
      </c>
      <c r="AD33" s="7" t="str">
        <f t="shared" si="6"/>
        <v/>
      </c>
      <c r="AE33" s="559"/>
      <c r="AF33" s="555"/>
      <c r="AG33" s="553"/>
      <c r="AH33" s="553"/>
      <c r="AI33" s="553"/>
      <c r="AJ33" s="26" t="str">
        <f t="shared" si="24"/>
        <v/>
      </c>
      <c r="AK33" s="6"/>
      <c r="AL33" s="485"/>
      <c r="AM33" s="54">
        <v>1013.25</v>
      </c>
      <c r="AN33" s="23"/>
      <c r="AO33" s="400"/>
      <c r="AP33" s="485"/>
      <c r="AQ33" s="485"/>
      <c r="AR33" s="134"/>
      <c r="AS33" s="26" t="str">
        <f>IF(ISBLANK(F33),"",(AVERAGE($F$4:F33)))</f>
        <v/>
      </c>
      <c r="AT33" s="26" t="str">
        <f>IF(ISBLANK(G33),"",(AVERAGE($G$4:G33)))</f>
        <v/>
      </c>
      <c r="AU33" s="25" t="str">
        <f>IF(ISBLANK(H33),"",(AVERAGE($H$4:H33)))</f>
        <v/>
      </c>
      <c r="AV33" s="368" t="str">
        <f>IF(ISBLANK(G33),"",(AVERAGE($I$4:I33)))</f>
        <v/>
      </c>
      <c r="AW33" s="22" t="str">
        <f>IF(ISBLANK(M33),"",AVERAGE($M$4:M33))</f>
        <v/>
      </c>
      <c r="AX33" s="376" t="str">
        <f>IF(ISBLANK(P33),"",(AVERAGE($R$4:R33)))</f>
        <v/>
      </c>
      <c r="AY33" s="368" t="str">
        <f>IF(ISBLANK(U33),"",(AVERAGE($U$4:U33)))</f>
        <v/>
      </c>
      <c r="AZ33" s="6"/>
      <c r="BA33" s="25" t="str">
        <f t="shared" si="16"/>
        <v/>
      </c>
      <c r="BB33" s="25" t="str">
        <f t="shared" si="17"/>
        <v/>
      </c>
      <c r="BC33" s="25" t="str">
        <f t="shared" si="20"/>
        <v/>
      </c>
      <c r="BD33" s="367" t="str">
        <f t="shared" si="19"/>
        <v/>
      </c>
      <c r="BE33" s="72"/>
      <c r="BF33" s="25" t="str">
        <f>IF(ISBLANK(F33),"",AS33-AVERAGE($F$91:F120))</f>
        <v/>
      </c>
      <c r="BG33" s="25" t="str">
        <f>IF(ISBLANK(G33),"",AT33-AVERAGE($G$91:G120))</f>
        <v/>
      </c>
      <c r="BH33" s="367" t="str">
        <f>IF(ISBLANK(G33),"",BG33-BF33)</f>
        <v/>
      </c>
      <c r="BI33" s="115" t="str">
        <f t="shared" si="8"/>
        <v/>
      </c>
      <c r="BJ33" s="115" t="str">
        <f t="shared" si="9"/>
        <v/>
      </c>
      <c r="BK33" s="88"/>
      <c r="BL33" s="572">
        <v>30</v>
      </c>
    </row>
    <row r="34" spans="1:64" ht="1.5" customHeight="1" x14ac:dyDescent="0.2">
      <c r="A34" s="278">
        <v>28</v>
      </c>
      <c r="B34" s="131" t="str">
        <f t="shared" si="11"/>
        <v/>
      </c>
      <c r="C34" s="282" t="str">
        <f t="shared" si="12"/>
        <v/>
      </c>
      <c r="D34" s="685"/>
      <c r="E34" s="592">
        <v>28</v>
      </c>
      <c r="F34" s="23"/>
      <c r="G34" s="23"/>
      <c r="H34" s="553"/>
      <c r="I34" s="23" t="str">
        <f t="shared" si="0"/>
        <v/>
      </c>
      <c r="J34" s="6">
        <f t="shared" si="1"/>
        <v>0</v>
      </c>
      <c r="K34" s="24"/>
      <c r="L34" s="24"/>
      <c r="M34" s="554"/>
      <c r="N34" s="24" t="str">
        <f t="shared" si="2"/>
        <v/>
      </c>
      <c r="O34" s="50">
        <f t="shared" si="3"/>
        <v>0</v>
      </c>
      <c r="P34" s="24"/>
      <c r="Q34" s="24"/>
      <c r="R34" s="24" t="str">
        <f t="shared" si="14"/>
        <v/>
      </c>
      <c r="S34" s="24" t="str">
        <f t="shared" si="4"/>
        <v/>
      </c>
      <c r="T34" s="50">
        <v>0</v>
      </c>
      <c r="U34" s="553"/>
      <c r="V34" s="553"/>
      <c r="W34" s="553"/>
      <c r="X34" s="485"/>
      <c r="Y34" s="72" t="str">
        <f t="shared" si="15"/>
        <v/>
      </c>
      <c r="Z34" s="557"/>
      <c r="AA34" s="558"/>
      <c r="AB34" s="558"/>
      <c r="AC34" s="563" t="str">
        <f t="shared" si="5"/>
        <v/>
      </c>
      <c r="AD34" s="7" t="str">
        <f t="shared" si="6"/>
        <v/>
      </c>
      <c r="AE34" s="559"/>
      <c r="AF34" s="72"/>
      <c r="AG34" s="553"/>
      <c r="AH34" s="553"/>
      <c r="AI34" s="553"/>
      <c r="AJ34" s="26" t="str">
        <f t="shared" si="24"/>
        <v/>
      </c>
      <c r="AK34" s="6"/>
      <c r="AL34" s="485"/>
      <c r="AM34" s="54">
        <v>1013.25</v>
      </c>
      <c r="AN34" s="23"/>
      <c r="AO34" s="400"/>
      <c r="AP34" s="485"/>
      <c r="AQ34" s="485"/>
      <c r="AR34" s="134"/>
      <c r="AS34" s="593">
        <f>IF(ISBLANK(F6),"",(AVERAGE($F$4:F34)))</f>
        <v>5.1857142857142859</v>
      </c>
      <c r="AT34" s="593">
        <f>IF(ISBLANK(G6),"",(AVERAGE($G$4:G34)))</f>
        <v>9.4892857142857157</v>
      </c>
      <c r="AU34" s="593">
        <f>IF(ISBLANK(H5),"",(AVERAGE($H$4:H34)))</f>
        <v>7.3999999999999986</v>
      </c>
      <c r="AV34" s="594">
        <f>IF(ISBLANK(G6),"",(AVERAGE($I$4:I34)))</f>
        <v>4.3035714285714288</v>
      </c>
      <c r="AW34" s="595">
        <f>IF(ISBLANK(M5),"",AVERAGE($M$4:M34))</f>
        <v>85.142857142857139</v>
      </c>
      <c r="AX34" s="596">
        <f>IF(ISBLANK(P6),"",(AVERAGE($R$4:R34)))</f>
        <v>1014.3928571428571</v>
      </c>
      <c r="AY34" s="594">
        <f>IF(ISBLANK(U6),"",(AVERAGE($U$4:U34)))</f>
        <v>6.0535714285714279</v>
      </c>
      <c r="AZ34" s="597"/>
      <c r="BA34" s="593" t="str">
        <f t="shared" si="16"/>
        <v/>
      </c>
      <c r="BB34" s="593" t="str">
        <f t="shared" si="17"/>
        <v/>
      </c>
      <c r="BC34" s="25" t="str">
        <f t="shared" si="20"/>
        <v/>
      </c>
      <c r="BD34" s="367" t="str">
        <f t="shared" si="19"/>
        <v/>
      </c>
      <c r="BE34" s="72"/>
      <c r="BF34" s="25" t="str">
        <f>IF(ISBLANK(F34),"",AS34-AVERAGE($F$91:F121))</f>
        <v/>
      </c>
      <c r="BG34" s="25" t="str">
        <f>IF(ISBLANK(G34),"",AT34-AVERAGE($G$91:G121))</f>
        <v/>
      </c>
      <c r="BH34" s="367" t="str">
        <f>IF(ISBLANK(G34),"",BG34-BF34)</f>
        <v/>
      </c>
      <c r="BI34" s="138"/>
      <c r="BJ34" s="115" t="str">
        <f t="shared" si="9"/>
        <v/>
      </c>
      <c r="BK34" s="88"/>
      <c r="BL34" s="572">
        <v>31</v>
      </c>
    </row>
    <row r="35" spans="1:64" s="10" customFormat="1" ht="3" customHeight="1" x14ac:dyDescent="0.2">
      <c r="A35" s="67"/>
      <c r="B35" s="284"/>
      <c r="C35" s="285"/>
      <c r="D35" s="685"/>
      <c r="E35" s="15"/>
      <c r="F35" s="29"/>
      <c r="G35" s="29"/>
      <c r="H35" s="28"/>
      <c r="I35" s="29"/>
      <c r="J35" s="6"/>
      <c r="K35" s="30"/>
      <c r="L35" s="30"/>
      <c r="M35" s="30"/>
      <c r="N35" s="30"/>
      <c r="O35" s="17"/>
      <c r="P35" s="30"/>
      <c r="Q35" s="30"/>
      <c r="R35" s="30"/>
      <c r="S35" s="30"/>
      <c r="T35" s="50"/>
      <c r="U35" s="28"/>
      <c r="V35" s="28"/>
      <c r="W35" s="32"/>
      <c r="X35" s="28"/>
      <c r="Y35" s="67"/>
      <c r="Z35" s="501"/>
      <c r="AA35" s="501"/>
      <c r="AB35" s="501"/>
      <c r="AC35" s="511"/>
      <c r="AD35" s="28"/>
      <c r="AE35" s="28"/>
      <c r="AF35" s="6"/>
      <c r="AG35" s="28"/>
      <c r="AH35" s="28"/>
      <c r="AI35" s="28"/>
      <c r="AJ35" s="28"/>
      <c r="AK35" s="67"/>
      <c r="AL35" s="95"/>
      <c r="AM35" s="6"/>
      <c r="AN35" s="29"/>
      <c r="AO35" s="400"/>
      <c r="AP35" s="28"/>
      <c r="AQ35" s="28"/>
      <c r="AR35" s="67"/>
      <c r="AS35" s="31"/>
      <c r="AT35" s="32"/>
      <c r="AU35" s="83"/>
      <c r="AV35" s="33"/>
      <c r="AW35" s="33"/>
      <c r="AX35" s="32"/>
      <c r="AY35" s="112"/>
      <c r="AZ35" s="54"/>
      <c r="BA35" s="112"/>
      <c r="BB35" s="112"/>
      <c r="BC35" s="112"/>
      <c r="BD35" s="82"/>
      <c r="BE35" s="402"/>
      <c r="BF35" s="32"/>
      <c r="BG35" s="32"/>
      <c r="BH35" s="32"/>
      <c r="BI35" s="28"/>
      <c r="BJ35" s="584"/>
      <c r="BK35" s="88"/>
      <c r="BL35" s="78"/>
    </row>
    <row r="36" spans="1:64" ht="12.75" customHeight="1" x14ac:dyDescent="0.2">
      <c r="A36" s="67"/>
      <c r="B36" s="697"/>
      <c r="C36" s="698"/>
      <c r="D36" s="685"/>
      <c r="E36" s="4"/>
      <c r="F36" s="25"/>
      <c r="G36" s="25"/>
      <c r="H36" s="21"/>
      <c r="I36" s="25"/>
      <c r="J36" s="18"/>
      <c r="K36" s="22"/>
      <c r="L36" s="22"/>
      <c r="M36" s="22"/>
      <c r="N36" s="22"/>
      <c r="O36" s="18"/>
      <c r="P36" s="48"/>
      <c r="Q36" s="48"/>
      <c r="R36" s="48"/>
      <c r="S36" s="48"/>
      <c r="T36" s="67"/>
      <c r="U36" s="21"/>
      <c r="V36" s="21"/>
      <c r="W36" s="21"/>
      <c r="X36" s="21"/>
      <c r="Y36" s="67"/>
      <c r="Z36" s="458" t="s">
        <v>34</v>
      </c>
      <c r="AA36" s="502"/>
      <c r="AB36" s="502"/>
      <c r="AC36" s="512"/>
      <c r="AD36" s="430" t="s">
        <v>202</v>
      </c>
      <c r="AE36" s="111"/>
      <c r="AF36" s="6"/>
      <c r="AG36" s="21"/>
      <c r="AJ36" s="21"/>
      <c r="AK36" s="67"/>
      <c r="AM36" s="6"/>
      <c r="AN36" s="182" t="s">
        <v>121</v>
      </c>
      <c r="AO36" s="402"/>
      <c r="AP36" s="185" t="s">
        <v>34</v>
      </c>
      <c r="AQ36" s="520" t="s">
        <v>34</v>
      </c>
      <c r="AR36" s="67"/>
      <c r="AS36" s="271" t="s">
        <v>16</v>
      </c>
      <c r="AT36" s="152" t="s">
        <v>26</v>
      </c>
      <c r="AU36" s="11" t="s">
        <v>41</v>
      </c>
      <c r="AV36" s="416" t="s">
        <v>81</v>
      </c>
      <c r="AW36" s="11" t="s">
        <v>6</v>
      </c>
      <c r="AX36" s="296" t="s">
        <v>79</v>
      </c>
      <c r="AY36" s="182" t="s">
        <v>201</v>
      </c>
      <c r="AZ36" s="71"/>
      <c r="BA36" s="699" t="s">
        <v>78</v>
      </c>
      <c r="BB36" s="699"/>
      <c r="BC36" s="569" t="s">
        <v>200</v>
      </c>
      <c r="BD36" s="417" t="s">
        <v>253</v>
      </c>
      <c r="BE36" s="402"/>
      <c r="BH36" s="21"/>
      <c r="BK36" s="88"/>
      <c r="BL36" s="78"/>
    </row>
    <row r="37" spans="1:64" ht="3" customHeight="1" x14ac:dyDescent="0.2">
      <c r="A37" s="73"/>
      <c r="B37" s="284"/>
      <c r="C37" s="286"/>
      <c r="D37" s="685"/>
      <c r="E37" s="35"/>
      <c r="F37" s="36"/>
      <c r="G37" s="36"/>
      <c r="H37" s="34"/>
      <c r="I37" s="36"/>
      <c r="J37" s="60"/>
      <c r="K37" s="37"/>
      <c r="L37" s="37"/>
      <c r="M37" s="37"/>
      <c r="N37" s="37"/>
      <c r="O37" s="18"/>
      <c r="P37" s="37"/>
      <c r="Q37" s="37"/>
      <c r="R37" s="37"/>
      <c r="S37" s="37"/>
      <c r="T37" s="73"/>
      <c r="U37" s="34"/>
      <c r="V37" s="34"/>
      <c r="W37" s="34"/>
      <c r="X37" s="34"/>
      <c r="Y37" s="73"/>
      <c r="Z37" s="503"/>
      <c r="AA37" s="503"/>
      <c r="AB37" s="503"/>
      <c r="AC37" s="513"/>
      <c r="AD37" s="261"/>
      <c r="AE37" s="261"/>
      <c r="AF37" s="6"/>
      <c r="AG37" s="34"/>
      <c r="AH37" s="34"/>
      <c r="AI37" s="34"/>
      <c r="AJ37" s="34"/>
      <c r="AK37" s="73"/>
      <c r="AL37" s="95"/>
      <c r="AM37" s="6"/>
      <c r="AN37" s="261"/>
      <c r="AO37" s="403"/>
      <c r="AP37" s="34"/>
      <c r="AQ37" s="34"/>
      <c r="AR37" s="73"/>
      <c r="AS37" s="272"/>
      <c r="AT37" s="270"/>
      <c r="AU37" s="36"/>
      <c r="AV37" s="269"/>
      <c r="AW37" s="36"/>
      <c r="AX37" s="297"/>
      <c r="AY37" s="269"/>
      <c r="AZ37" s="76"/>
      <c r="BA37" s="687"/>
      <c r="BB37" s="687"/>
      <c r="BC37" s="36"/>
      <c r="BD37" s="34"/>
      <c r="BE37" s="522"/>
      <c r="BF37" s="95"/>
      <c r="BG37" s="34"/>
      <c r="BH37" s="34"/>
      <c r="BI37" s="364"/>
      <c r="BJ37" s="364"/>
      <c r="BK37" s="403"/>
      <c r="BL37" s="79"/>
    </row>
    <row r="38" spans="1:64" ht="12.75" customHeight="1" x14ac:dyDescent="0.2">
      <c r="A38" s="67"/>
      <c r="B38" s="700" t="s">
        <v>4</v>
      </c>
      <c r="C38" s="701"/>
      <c r="D38" s="685"/>
      <c r="E38" s="4" t="s">
        <v>4</v>
      </c>
      <c r="F38" s="152">
        <f>IF(ISBLANK(F4),"",AVERAGE(F4:F34))</f>
        <v>5.1857142857142859</v>
      </c>
      <c r="G38" s="151">
        <f>IF(ISBLANK(G4),"",AVERAGE(G4:G34))</f>
        <v>9.4892857142857157</v>
      </c>
      <c r="H38" s="14">
        <f>IF(ISBLANK(H4),"",AVERAGE(H4:H34))</f>
        <v>7.3999999999999986</v>
      </c>
      <c r="I38" s="129">
        <f>IF(ISBLANK(G4),"",AVERAGE(I4:I34))</f>
        <v>4.3035714285714288</v>
      </c>
      <c r="J38" s="19"/>
      <c r="K38" s="156">
        <f>IF(ISBLANK(K4),"",AVERAGE(K4:K34))</f>
        <v>74.357142857142861</v>
      </c>
      <c r="L38" s="153">
        <f>IF(ISBLANK(K4),"",AVERAGE(L4:L34))</f>
        <v>93.142857142857139</v>
      </c>
      <c r="M38" s="9">
        <f>IF(ISBLANK(M4),"",AVERAGE(M4:M34))</f>
        <v>85.142857142857139</v>
      </c>
      <c r="N38" s="398">
        <f>IF(ISBLANK(K4),"",AVERAGE(N4:N34))</f>
        <v>18.785714285714285</v>
      </c>
      <c r="O38" s="18"/>
      <c r="P38" s="154">
        <f>IF(ISBLANK(P4),"",AVERAGE(P4:P34))</f>
        <v>1011.4642857142857</v>
      </c>
      <c r="Q38" s="155">
        <f>IF(ISBLANK(P4),"",AVERAGE(Q4:Q34))</f>
        <v>1017.3214285714286</v>
      </c>
      <c r="R38" s="378">
        <f>IF(ISBLANK(P4),"",AVERAGE(P4:Q34))</f>
        <v>1014.3928571428571</v>
      </c>
      <c r="S38" s="130">
        <f>IF(ISBLANK(P4),"",AVERAGE(S4:S34))</f>
        <v>5.8571428571428568</v>
      </c>
      <c r="T38" s="70"/>
      <c r="U38" s="266">
        <f>IF(ISBLANK(U4),"",AVERAGE(U4:U34))</f>
        <v>6.0535714285714279</v>
      </c>
      <c r="V38" s="266">
        <f>IF(ISBLANK(V4),"",AVERAGE(V4:V34))</f>
        <v>14.007142857142854</v>
      </c>
      <c r="W38" s="266">
        <f>IF(ISBLANK(U4),"",AVERAGE(W4:W34))</f>
        <v>20.085714285714289</v>
      </c>
      <c r="X38" s="266" t="s">
        <v>110</v>
      </c>
      <c r="Y38" s="56"/>
      <c r="Z38" s="466">
        <f>SUM(Z4:Z34)</f>
        <v>44.2</v>
      </c>
      <c r="AA38" s="466">
        <f>IF($AN$38=0,"",AVERAGE(AA4:AA34))</f>
        <v>1.4700000000000002</v>
      </c>
      <c r="AB38" s="466">
        <f>IF($AN$38=0,"",AVERAGE(AB4:AB34))</f>
        <v>0.46250000000000002</v>
      </c>
      <c r="AC38" s="514">
        <f>IF($AN$38=0,"",AVERAGE(AC4:AC34))</f>
        <v>6.25E-2</v>
      </c>
      <c r="AD38" s="182">
        <f>IF(Z38=0,"",Z38/AQ38)</f>
        <v>0.85328185328185335</v>
      </c>
      <c r="AE38" s="182">
        <f>IF($AN$38=0,"",AVERAGE(AE4:AE34))</f>
        <v>4.6625000000000005</v>
      </c>
      <c r="AF38" s="6"/>
      <c r="AG38" s="263">
        <f>IF(ISBLANK(AG4),"",AVERAGE(AG4:AG34))</f>
        <v>2.7357142857142849</v>
      </c>
      <c r="AH38" s="321">
        <f>IF(ISBLANK(AH4),"",AVERAGE(AH4:AH34))</f>
        <v>7.0392857142857128</v>
      </c>
      <c r="AI38" s="301">
        <f>IF(ISBLANK(AI4),"",AVERAGE(AI4:AI34))</f>
        <v>4.992857142857142</v>
      </c>
      <c r="AJ38" s="46">
        <f>IF(ISBLANK(AG4),"",AVERAGE(AJ4:AJ34))</f>
        <v>4.3035714285714297</v>
      </c>
      <c r="AK38" s="311"/>
      <c r="AL38" s="669" t="s">
        <v>417</v>
      </c>
      <c r="AM38" s="6"/>
      <c r="AN38" s="254">
        <f>COUNTIF(AL91:AL121,1)</f>
        <v>9</v>
      </c>
      <c r="AO38" s="224"/>
      <c r="AP38" s="528">
        <f>SUM(AP4:AP34)</f>
        <v>40.099999999999994</v>
      </c>
      <c r="AQ38" s="432">
        <f>SUM(AQ4:AQ34)</f>
        <v>51.8</v>
      </c>
      <c r="AR38" s="56"/>
      <c r="AS38" s="358">
        <f>COUNTIF(G4:G34, "&gt;25")</f>
        <v>0</v>
      </c>
      <c r="AT38" s="357">
        <f>COUNTIF(B4:B34,"&lt;0")</f>
        <v>1</v>
      </c>
      <c r="AU38" s="145">
        <f>SUM(COUNTIF(AN4:AN34,"Thunder"),COUNTIF(AN4:AN34,"*Thunder*"),COUNTIF(AN4:AN34,"*Storm*"))</f>
        <v>0</v>
      </c>
      <c r="AV38" s="396">
        <f xml:space="preserve"> SUM(COUNTIF(AN4:AN34,"*Slt*"),COUNTIF(AN4:AN34,"*Snw*"))</f>
        <v>0</v>
      </c>
      <c r="AW38" s="145">
        <f>COUNTIF(W4:W34, "&gt;38")</f>
        <v>0</v>
      </c>
      <c r="AX38" s="359">
        <f xml:space="preserve"> SUM(COUNTIF(AN4:AN34,"Hail"),COUNTIF(AN4:AN34,"*Hail*"))</f>
        <v>1</v>
      </c>
      <c r="AY38" s="396">
        <f>COUNTIF(Z4:Z34,"&gt;19.9")</f>
        <v>0</v>
      </c>
      <c r="AZ38" s="360"/>
      <c r="BA38" s="689">
        <f xml:space="preserve"> SUM(COUNTIF(AN4:AN34,"cm"),COUNTIF(AN4:AN34,"*cm*"))</f>
        <v>0</v>
      </c>
      <c r="BB38" s="689"/>
      <c r="BC38" s="568">
        <f xml:space="preserve"> SUM(COUNTIF(AN4:AN34,"Dense"),COUNTIF(AN4:AN34,"*Dense*"))</f>
        <v>0</v>
      </c>
      <c r="BD38" s="417">
        <f t="array" ref="BD38">SUM(IF(AP4:AP34&gt;0.95*AT91:AT121,1,0))</f>
        <v>0</v>
      </c>
      <c r="BE38" s="523"/>
      <c r="BH38" s="25"/>
      <c r="BK38" s="88"/>
      <c r="BL38" s="78"/>
    </row>
    <row r="39" spans="1:64" ht="12.75" customHeight="1" x14ac:dyDescent="0.2">
      <c r="A39" s="67"/>
      <c r="B39" s="214">
        <f>IF(ISBLANK(F4),"",AVERAGE(B4:B34))</f>
        <v>5.6000000000000014</v>
      </c>
      <c r="C39" s="287">
        <f>IF(ISBLANK(P4),"",AVERAGE(C4:C34))</f>
        <v>9.3642857142857157</v>
      </c>
      <c r="D39" s="686"/>
      <c r="E39" s="4" t="s">
        <v>9</v>
      </c>
      <c r="F39" s="163">
        <v>2.2000000000000002</v>
      </c>
      <c r="G39" s="94">
        <v>7.6</v>
      </c>
      <c r="H39" s="390" t="s">
        <v>4</v>
      </c>
      <c r="I39" s="162">
        <f>G39-F39</f>
        <v>5.3999999999999995</v>
      </c>
      <c r="J39" s="19"/>
      <c r="K39" s="22"/>
      <c r="L39" s="22"/>
      <c r="M39" s="538" t="s">
        <v>4</v>
      </c>
      <c r="N39" s="22"/>
      <c r="O39" s="18"/>
      <c r="P39" s="22"/>
      <c r="Q39" s="22"/>
      <c r="R39" s="380">
        <v>1013.25</v>
      </c>
      <c r="S39" s="22"/>
      <c r="T39" s="70"/>
      <c r="U39" s="259">
        <v>5.0999999999999996</v>
      </c>
      <c r="V39" s="259"/>
      <c r="X39" s="260"/>
      <c r="Y39" s="70"/>
      <c r="Z39" s="504">
        <v>40</v>
      </c>
      <c r="AA39" s="105"/>
      <c r="AB39" s="505"/>
      <c r="AC39" s="515"/>
      <c r="AD39" s="490">
        <f>Z39/AQ39</f>
        <v>0.85106382978723405</v>
      </c>
      <c r="AF39" s="6"/>
      <c r="AG39" s="25"/>
      <c r="AI39" s="25"/>
      <c r="AJ39" s="25"/>
      <c r="AK39" s="56"/>
      <c r="AL39" s="669"/>
      <c r="AM39" s="6"/>
      <c r="AN39" s="253">
        <v>9</v>
      </c>
      <c r="AO39" s="224"/>
      <c r="AP39" s="529">
        <v>75</v>
      </c>
      <c r="AQ39" s="460">
        <v>47</v>
      </c>
      <c r="AR39" s="67"/>
      <c r="AT39" s="357">
        <v>7</v>
      </c>
      <c r="AU39" s="22">
        <v>0.3</v>
      </c>
      <c r="AV39" s="396">
        <v>5</v>
      </c>
      <c r="AW39" s="145"/>
      <c r="AX39" s="359"/>
      <c r="AZ39" s="360"/>
      <c r="BA39" s="688">
        <v>2.5</v>
      </c>
      <c r="BB39" s="688"/>
      <c r="BC39" s="145"/>
      <c r="BD39" s="145"/>
      <c r="BE39" s="360"/>
      <c r="BF39" s="147"/>
      <c r="BG39" s="147"/>
      <c r="BH39" s="147"/>
      <c r="BI39" s="147"/>
      <c r="BK39" s="88"/>
      <c r="BL39" s="78"/>
    </row>
    <row r="40" spans="1:64" ht="12.75" customHeight="1" x14ac:dyDescent="0.2">
      <c r="A40" s="67"/>
      <c r="B40" s="215">
        <f>IF(ISBLANK(F4),"",B39-F38)</f>
        <v>0.41428571428571548</v>
      </c>
      <c r="C40" s="288">
        <f>IF(ISBLANK(P4),"",C39-G38)</f>
        <v>-0.125</v>
      </c>
      <c r="D40" s="686"/>
      <c r="E40" s="4" t="s">
        <v>10</v>
      </c>
      <c r="F40" s="152">
        <f>IF(ISBLANK(F4),"",F38-F39)</f>
        <v>2.9857142857142858</v>
      </c>
      <c r="G40" s="151">
        <f>IF(ISBLANK(G4),"",G38-G39)</f>
        <v>1.889285714285716</v>
      </c>
      <c r="H40" s="383">
        <f>IF(M53&lt;1,"",AVERAGE(F4:G34))</f>
        <v>7.3375000000000012</v>
      </c>
      <c r="I40" s="129">
        <f>IF(ISBLANK(G4),"",SUM(I38-I39))</f>
        <v>-1.0964285714285706</v>
      </c>
      <c r="J40" s="19"/>
      <c r="K40" s="22"/>
      <c r="L40" s="22"/>
      <c r="M40" s="537">
        <f>IF(M53&lt;1,"",AVERAGE(K4:L34))</f>
        <v>83.75</v>
      </c>
      <c r="N40" s="25"/>
      <c r="O40" s="18"/>
      <c r="P40" s="102"/>
      <c r="Q40" s="22"/>
      <c r="R40" s="378">
        <f>IF(ISBLANK(P4),"",R38-R39)</f>
        <v>1.1428571428571104</v>
      </c>
      <c r="S40" s="22"/>
      <c r="T40" s="70"/>
      <c r="U40" s="266">
        <f>IF(ISBLANK(U4),"",U38-U39)</f>
        <v>0.95357142857142829</v>
      </c>
      <c r="V40" s="435"/>
      <c r="W40" s="435"/>
      <c r="X40" s="435"/>
      <c r="Y40" s="70"/>
      <c r="Z40" s="465">
        <f>IF(ISBLANK(Z4),"",AB47/AB48)</f>
        <v>1.105</v>
      </c>
      <c r="AA40" s="506">
        <f>Z38/Z39</f>
        <v>1.105</v>
      </c>
      <c r="AB40" s="506"/>
      <c r="AC40" s="516"/>
      <c r="AD40" s="262">
        <f>IF(Z38&lt;0.3,"",AD38/(Z39/AQ39))</f>
        <v>1.0026061776061777</v>
      </c>
      <c r="AE40" s="527">
        <f>IF($AN$38=0,"",AVERAGE(AD4:AD34))</f>
        <v>0.75875901875901874</v>
      </c>
      <c r="AF40" s="6"/>
      <c r="AI40" s="25"/>
      <c r="AJ40" s="25"/>
      <c r="AK40" s="56"/>
      <c r="AL40" s="669"/>
      <c r="AM40" s="6"/>
      <c r="AN40" s="254">
        <f>SUM(AN38-AN39)</f>
        <v>0</v>
      </c>
      <c r="AO40" s="224"/>
      <c r="AP40" s="530">
        <f>IF(ISBLANK(AP4),"",AP47/AP54)</f>
        <v>0.53466666666666662</v>
      </c>
      <c r="AQ40" s="427">
        <f>IF(ISBLANK(AQ4),"",AQ47/(AQ39/E34))</f>
        <v>1.102127659574468</v>
      </c>
      <c r="AR40" s="418"/>
      <c r="AT40" s="357">
        <f>SUM(AT38-AT39)</f>
        <v>-6</v>
      </c>
      <c r="AU40" s="145">
        <f>SUM(AU38-AU39)</f>
        <v>-0.3</v>
      </c>
      <c r="AV40" s="396">
        <f>AV38-AV39</f>
        <v>-5</v>
      </c>
      <c r="AW40" s="145"/>
      <c r="AX40" s="359"/>
      <c r="AZ40" s="360"/>
      <c r="BA40" s="689">
        <f>BA38-BA39</f>
        <v>-2.5</v>
      </c>
      <c r="BB40" s="689"/>
      <c r="BC40" s="145"/>
      <c r="BD40" s="145"/>
      <c r="BE40" s="360"/>
      <c r="BI40" s="25"/>
      <c r="BK40" s="88"/>
      <c r="BL40" s="78"/>
    </row>
    <row r="41" spans="1:64" ht="4.5" customHeight="1" x14ac:dyDescent="0.2">
      <c r="A41" s="74"/>
      <c r="B41" s="289"/>
      <c r="C41" s="290"/>
      <c r="D41" s="686"/>
      <c r="E41" s="40"/>
      <c r="F41" s="41"/>
      <c r="G41" s="41"/>
      <c r="H41" s="42"/>
      <c r="I41" s="41"/>
      <c r="J41" s="61"/>
      <c r="K41" s="43"/>
      <c r="L41" s="43"/>
      <c r="M41" s="44"/>
      <c r="N41" s="43"/>
      <c r="O41" s="18"/>
      <c r="P41" s="43"/>
      <c r="Q41" s="43"/>
      <c r="R41" s="44"/>
      <c r="S41" s="43"/>
      <c r="T41" s="74"/>
      <c r="U41" s="41"/>
      <c r="V41" s="41"/>
      <c r="W41" s="41"/>
      <c r="X41" s="41"/>
      <c r="Y41" s="77"/>
      <c r="Z41" s="507"/>
      <c r="AA41" s="507"/>
      <c r="AB41" s="507"/>
      <c r="AC41" s="517"/>
      <c r="AD41" s="41"/>
      <c r="AE41" s="41"/>
      <c r="AF41" s="6"/>
      <c r="AG41" s="41"/>
      <c r="AH41" s="41"/>
      <c r="AI41" s="41"/>
      <c r="AJ41" s="41"/>
      <c r="AK41" s="77"/>
      <c r="AL41" s="669"/>
      <c r="AM41" s="6"/>
      <c r="AN41" s="39"/>
      <c r="AO41" s="39"/>
      <c r="AP41" s="39"/>
      <c r="AQ41" s="39"/>
      <c r="AR41" s="39"/>
      <c r="AS41" s="41"/>
      <c r="AT41" s="43"/>
      <c r="AU41" s="41"/>
      <c r="AV41" s="41"/>
      <c r="AW41" s="41"/>
      <c r="AX41" s="41"/>
      <c r="AY41" s="41"/>
      <c r="AZ41" s="77"/>
      <c r="BA41" s="41"/>
      <c r="BB41" s="41"/>
      <c r="BC41" s="41"/>
      <c r="BD41" s="41"/>
      <c r="BE41" s="77"/>
      <c r="BF41" s="41"/>
      <c r="BG41" s="41"/>
      <c r="BH41" s="39"/>
      <c r="BI41" s="41"/>
      <c r="BJ41" s="41"/>
      <c r="BK41" s="39"/>
      <c r="BL41" s="80"/>
    </row>
    <row r="42" spans="1:64" ht="12.75" customHeight="1" x14ac:dyDescent="0.2">
      <c r="A42" s="67"/>
      <c r="B42" s="705" t="s">
        <v>98</v>
      </c>
      <c r="C42" s="706"/>
      <c r="D42" s="686"/>
      <c r="E42" s="4" t="s">
        <v>5</v>
      </c>
      <c r="F42" s="25">
        <f>F86-F85</f>
        <v>13</v>
      </c>
      <c r="G42" s="25">
        <f>G86-G85</f>
        <v>9.5</v>
      </c>
      <c r="H42" s="25">
        <f>H86-H85</f>
        <v>8.5</v>
      </c>
      <c r="I42" s="25">
        <f>I86-I85</f>
        <v>7.1</v>
      </c>
      <c r="J42" s="20"/>
      <c r="K42" s="22">
        <f>K86-K85</f>
        <v>41</v>
      </c>
      <c r="L42" s="22">
        <f>L86-L85</f>
        <v>15</v>
      </c>
      <c r="M42" s="22">
        <f>M86-M85</f>
        <v>22</v>
      </c>
      <c r="N42" s="22">
        <f>N86-N85</f>
        <v>38</v>
      </c>
      <c r="O42" s="20"/>
      <c r="P42" s="22">
        <f>P86-P85</f>
        <v>36</v>
      </c>
      <c r="Q42" s="22">
        <f>Q86-Q85</f>
        <v>37</v>
      </c>
      <c r="R42" s="22">
        <f>R86-R85</f>
        <v>36.5</v>
      </c>
      <c r="S42" s="22">
        <f>S86-S85</f>
        <v>11</v>
      </c>
      <c r="T42" s="75"/>
      <c r="U42" s="25">
        <f>U86-U85</f>
        <v>9</v>
      </c>
      <c r="V42" s="25">
        <f>V86-V85</f>
        <v>17.399999999999999</v>
      </c>
      <c r="W42" s="25">
        <f>W86-W85</f>
        <v>25.1</v>
      </c>
      <c r="X42" s="25"/>
      <c r="Y42" s="135"/>
      <c r="Z42" s="38">
        <f>Z86-Z85</f>
        <v>12.3</v>
      </c>
      <c r="AA42" s="38">
        <f>AA86-AA85</f>
        <v>2.5</v>
      </c>
      <c r="AB42" s="38">
        <f>AB86-AB85</f>
        <v>0.5</v>
      </c>
      <c r="AC42" s="510">
        <f>AC86-AC85</f>
        <v>0.27601809954751133</v>
      </c>
      <c r="AD42" s="25">
        <f>AE86-AE85</f>
        <v>1.0944444444444446</v>
      </c>
      <c r="AE42" s="22">
        <f>AD86-AD85</f>
        <v>13.4</v>
      </c>
      <c r="AF42" s="6"/>
      <c r="AG42" s="25">
        <f>AG86-AG85</f>
        <v>12.100000000000001</v>
      </c>
      <c r="AH42" s="25">
        <f>AH86-AH85</f>
        <v>8.4</v>
      </c>
      <c r="AI42" s="25">
        <f>AI86-AI85</f>
        <v>7.6</v>
      </c>
      <c r="AJ42" s="25">
        <f>AJ86-AJ85</f>
        <v>9</v>
      </c>
      <c r="AK42" s="56"/>
      <c r="AL42" s="669"/>
      <c r="AM42" s="6"/>
      <c r="AN42" s="4" t="s">
        <v>80</v>
      </c>
      <c r="AO42" s="223"/>
      <c r="AP42" s="25">
        <f>AP86-AP85</f>
        <v>7</v>
      </c>
      <c r="AQ42" s="22">
        <f>AQ86-AQ85</f>
        <v>10</v>
      </c>
      <c r="AR42" s="70"/>
      <c r="AS42" s="25">
        <f t="shared" ref="AS42:AY42" si="25">AS86-AS85</f>
        <v>0.97272727272727266</v>
      </c>
      <c r="AT42" s="25">
        <f t="shared" si="25"/>
        <v>1.4720779220779185</v>
      </c>
      <c r="AU42" s="25">
        <f t="shared" si="25"/>
        <v>1.3512987012987026</v>
      </c>
      <c r="AV42" s="25">
        <f t="shared" si="25"/>
        <v>0.92173913043478173</v>
      </c>
      <c r="AW42" s="25">
        <f t="shared" si="25"/>
        <v>5.4728260869565162</v>
      </c>
      <c r="AX42" s="25">
        <f t="shared" si="25"/>
        <v>8.6578947368420813</v>
      </c>
      <c r="AY42" s="25">
        <f t="shared" si="25"/>
        <v>3.1464285714285714</v>
      </c>
      <c r="AZ42" s="56"/>
      <c r="BA42" s="25">
        <f>G42</f>
        <v>9.5</v>
      </c>
      <c r="BB42" s="25">
        <f>H42</f>
        <v>8.5</v>
      </c>
      <c r="BC42" s="25">
        <f>I42</f>
        <v>7.1</v>
      </c>
      <c r="BD42" s="22"/>
      <c r="BE42" s="67"/>
      <c r="BF42" s="13">
        <f>AS42</f>
        <v>0.97272727272727266</v>
      </c>
      <c r="BG42" s="13">
        <f>AT42</f>
        <v>1.4720779220779185</v>
      </c>
      <c r="BH42" s="13">
        <f>BH86-BH85</f>
        <v>1.3277499999999987</v>
      </c>
      <c r="BI42" s="93">
        <f>BI86-BI85</f>
        <v>1.1515204678362574</v>
      </c>
      <c r="BJ42" s="93">
        <f>BJ86-BJ85</f>
        <v>0.34901850679927371</v>
      </c>
      <c r="BK42" s="88"/>
      <c r="BL42" s="78"/>
    </row>
    <row r="43" spans="1:64" ht="12.75" customHeight="1" x14ac:dyDescent="0.2">
      <c r="A43" s="67"/>
      <c r="B43" s="216">
        <f>COUNTIF(O4:O34,1)</f>
        <v>10</v>
      </c>
      <c r="C43" s="291">
        <f>COUNTIF(J4:J34,1)</f>
        <v>3</v>
      </c>
      <c r="D43" s="686"/>
      <c r="E43" s="12" t="s">
        <v>174</v>
      </c>
      <c r="F43" s="25">
        <f>IF(ISBLANK($G$6),"",STDEV(F4:F34))</f>
        <v>2.8130271404879297</v>
      </c>
      <c r="G43" s="25">
        <f>IF(ISBLANK($G$6),"",STDEV(G4:G34))</f>
        <v>2.5367432147472311</v>
      </c>
      <c r="H43" s="25">
        <f>IF(ISBLANK($H$6),"",STDEV(H4:H34))</f>
        <v>2.4835756779587315</v>
      </c>
      <c r="I43" s="25">
        <f>IF(ISBLANK($G$6),"",STDEV(I4:I34))</f>
        <v>1.9222830066543177</v>
      </c>
      <c r="J43" s="56"/>
      <c r="K43" s="25">
        <f>IF(ISBLANK($G$6),"",STDEV(K4:K34))</f>
        <v>10.629150294300871</v>
      </c>
      <c r="L43" s="25">
        <f>IF(ISBLANK($G$6),"",STDEV(L4:L34))</f>
        <v>4.4945587326297343</v>
      </c>
      <c r="M43" s="25">
        <f>IF(ISBLANK($H$6),"",STDEV(M4:M34))</f>
        <v>6.2105900340811893</v>
      </c>
      <c r="N43" s="25">
        <f>IF(ISBLANK($G$6),"",STDEV(N4:N34))</f>
        <v>10.019821625000388</v>
      </c>
      <c r="O43" s="56"/>
      <c r="P43" s="25">
        <f>IF(ISBLANK($G$6),"",STDEV(P4:P34))</f>
        <v>9.0327885971758359</v>
      </c>
      <c r="Q43" s="25">
        <f>IF(ISBLANK($G$6),"",STDEV(Q4:Q34))</f>
        <v>8.563720078756754</v>
      </c>
      <c r="R43" s="25">
        <f>IF(ISBLANK($G$6),"",STDEV(R4:R34))</f>
        <v>8.6702526158861346</v>
      </c>
      <c r="S43" s="25">
        <f>IF(ISBLANK($G$6),"",STDEV(S4:S34))</f>
        <v>3.0272134321882831</v>
      </c>
      <c r="T43" s="75"/>
      <c r="U43" s="25">
        <f>IF(ISBLANK($G$6),"",STDEV(U4:U34))</f>
        <v>2.4145365543902604</v>
      </c>
      <c r="V43" s="25">
        <f>IF(ISBLANK($G$6),"",STDEV(V4:V34))</f>
        <v>4.7288655417731427</v>
      </c>
      <c r="W43" s="25">
        <f>IF(ISBLANK($G$6),"",STDEV(W4:W34))</f>
        <v>7.2165301134483473</v>
      </c>
      <c r="X43" s="25"/>
      <c r="Y43" s="135"/>
      <c r="Z43" s="38">
        <f>IF(ISBLANK($G$6),"",STDEV(Z4:Z34))</f>
        <v>3.1713248946302532</v>
      </c>
      <c r="AA43" s="38">
        <f>IF(AA86-AA85=0,"",STDEV(AA4:AA34))</f>
        <v>0.8219894565422764</v>
      </c>
      <c r="AB43" s="38">
        <f>IF(AB86-AB85=0,"",STDEV(AB4:AB34))</f>
        <v>0.16850180160122069</v>
      </c>
      <c r="AC43" s="510">
        <f>IF(AC86-AC85=0,"",STDEV(AC4:AC34))</f>
        <v>8.6490759632529529E-2</v>
      </c>
      <c r="AD43" s="25">
        <f>IF(AE86-AE85=0,"",STDEV(AD4:AD34))</f>
        <v>0.32849876367094971</v>
      </c>
      <c r="AE43" s="25">
        <f>IF(AD86-AD85=0,"",STDEV(AE4:AE34))</f>
        <v>4.4032252789452935</v>
      </c>
      <c r="AF43" s="6"/>
      <c r="AG43" s="25">
        <f>IF(ISBLANK($AG$6),"",STDEV(AG4:AG34))</f>
        <v>2.6170685163074392</v>
      </c>
      <c r="AH43" s="25">
        <f>IF(ISBLANK($AH$6),"",STDEV(AH4:AH34))</f>
        <v>2.354717768055393</v>
      </c>
      <c r="AI43" s="25">
        <f>IF(ISBLANK($AI$6),"",STDEV(AI4:AI34))</f>
        <v>2.2632210038282432</v>
      </c>
      <c r="AJ43" s="25">
        <f>IF(ISBLANK($AH$6),"",STDEV(AJ4:AJ34))</f>
        <v>2.0626272607844585</v>
      </c>
      <c r="AK43" s="56"/>
      <c r="AL43" s="669"/>
      <c r="AM43" s="6"/>
      <c r="AN43" s="22">
        <f>M53-AN91</f>
        <v>10</v>
      </c>
      <c r="AO43" s="224"/>
      <c r="AP43" s="25">
        <f>IF(ISBLANK($AP$6),"",STDEV(AP4:AP34))</f>
        <v>2.1430427609201539</v>
      </c>
      <c r="AQ43" s="25">
        <f>IF(ISBLANK($AQ$6),"",STDEV(AQ4:AQ34))</f>
        <v>2.8892521139176792</v>
      </c>
      <c r="AR43" s="56"/>
      <c r="AS43" s="25">
        <f>IF(ISBLANK($G$6),"",STDEV(AS4:AS34))</f>
        <v>1.7177471817221017</v>
      </c>
      <c r="AT43" s="25">
        <f>IF(ISBLANK($G$6),"",STDEV(AT4:AT34))</f>
        <v>0.80565128499880634</v>
      </c>
      <c r="AU43" s="25">
        <f>IF(ISBLANK($G$6),"",STDEV(AU4:AU34))</f>
        <v>1.1077055814266024</v>
      </c>
      <c r="AV43" s="25">
        <f>IF(ISBLANK($G$6),"",STDEV(AV4:AV34))</f>
        <v>1.082949171824616</v>
      </c>
      <c r="AW43" s="25">
        <f>IF(ISBLANK($M$6),"",STDEV(AW4:AW34))</f>
        <v>2.1037611231742002</v>
      </c>
      <c r="AX43" s="25">
        <f>IF(ISBLANK($G$6),"",STDEV(AX4:AX34))</f>
        <v>4.2551257970043919</v>
      </c>
      <c r="AY43" s="25">
        <f>IF(ISBLANK($G$6),"",STDEV(BA4:BA34))</f>
        <v>2.7934113207734512</v>
      </c>
      <c r="AZ43" s="56"/>
      <c r="BA43" s="25">
        <f>IF(ISBLANK($G$6),"",STDEV(BB4:BB34))</f>
        <v>2.6268782291618691</v>
      </c>
      <c r="BB43" s="25">
        <f>IF(ISBLANK($G$6),"",STDEV(BD4:BD34))</f>
        <v>2.0422575421238496</v>
      </c>
      <c r="BC43" s="25">
        <f>IF(ISBLANK($G$6),"",STDEV(BD4:BD34))</f>
        <v>2.0422575421238496</v>
      </c>
      <c r="BD43" s="25"/>
      <c r="BE43" s="56"/>
      <c r="BF43" s="25">
        <f>IF(ISBLANK($G$6),"",STDEV(BF4:BF33))</f>
        <v>1.7830569956362636</v>
      </c>
      <c r="BG43" s="25">
        <f>IF(ISBLANK($G$6),"",STDEV(BG4:BG33))</f>
        <v>0.82239877461626565</v>
      </c>
      <c r="BH43" s="25">
        <f>IF(ISBLANK($G$6),"",STDEV(BH4:BH33))</f>
        <v>1.2354956954666083</v>
      </c>
      <c r="BI43" s="93">
        <f>IF(ISBLANK($Z$6),"",STDEV(BI4:BI33))</f>
        <v>0.46622046785352789</v>
      </c>
      <c r="BJ43" s="93">
        <f>IF(ISBLANK($Z$6),"",STDEV(BJ4:BJ33))</f>
        <v>0.16825585099452905</v>
      </c>
      <c r="BK43" s="402"/>
      <c r="BL43" s="78"/>
    </row>
    <row r="44" spans="1:64" ht="4.5" customHeight="1" x14ac:dyDescent="0.2">
      <c r="A44" s="67"/>
      <c r="B44" s="63"/>
      <c r="C44" s="66"/>
      <c r="D44" s="63"/>
      <c r="E44" s="64"/>
      <c r="F44" s="66"/>
      <c r="G44" s="66"/>
      <c r="H44" s="66"/>
      <c r="I44" s="66"/>
      <c r="J44" s="62"/>
      <c r="K44" s="66"/>
      <c r="L44" s="66"/>
      <c r="M44" s="66"/>
      <c r="N44" s="65"/>
      <c r="O44" s="62"/>
      <c r="P44" s="66"/>
      <c r="Q44" s="66"/>
      <c r="R44" s="66"/>
      <c r="S44" s="66"/>
      <c r="T44" s="66"/>
      <c r="U44" s="66"/>
      <c r="V44" s="66"/>
      <c r="W44" s="66"/>
      <c r="X44" s="66"/>
      <c r="Y44" s="135"/>
      <c r="Z44" s="66"/>
      <c r="AA44" s="66"/>
      <c r="AB44" s="66"/>
      <c r="AC44" s="66"/>
      <c r="AD44" s="66"/>
      <c r="AE44" s="66"/>
      <c r="AF44" s="6"/>
      <c r="AG44" s="66"/>
      <c r="AH44" s="66"/>
      <c r="AI44" s="132"/>
      <c r="AJ44" s="132"/>
      <c r="AK44" s="6"/>
      <c r="AL44" s="132"/>
      <c r="AM44" s="6"/>
      <c r="AN44" s="66"/>
      <c r="AO44" s="402"/>
      <c r="AP44" s="63"/>
      <c r="AQ44" s="63"/>
      <c r="AR44" s="67"/>
      <c r="AS44" s="66"/>
      <c r="AT44" s="65"/>
      <c r="AU44" s="66"/>
      <c r="AV44" s="66"/>
      <c r="AW44" s="66"/>
      <c r="AX44" s="66"/>
      <c r="AY44" s="66"/>
      <c r="AZ44" s="56"/>
      <c r="BA44" s="66"/>
      <c r="BB44" s="66"/>
      <c r="BC44" s="66"/>
      <c r="BD44" s="66"/>
      <c r="BE44" s="56"/>
      <c r="BF44" s="66"/>
      <c r="BG44" s="66"/>
      <c r="BH44" s="63"/>
      <c r="BI44" s="63"/>
      <c r="BJ44" s="66"/>
      <c r="BK44" s="88"/>
      <c r="BL44" s="78"/>
    </row>
    <row r="45" spans="1:64" ht="5.25" customHeight="1" thickBot="1" x14ac:dyDescent="0.25">
      <c r="A45" s="67"/>
      <c r="B45" s="21"/>
      <c r="C45" s="25"/>
      <c r="D45" s="21"/>
      <c r="E45" s="4"/>
      <c r="F45" s="25"/>
      <c r="G45" s="25"/>
      <c r="H45" s="25"/>
      <c r="I45" s="25"/>
      <c r="J45" s="18"/>
      <c r="K45" s="25"/>
      <c r="L45" s="25"/>
      <c r="M45" s="25"/>
      <c r="N45" s="22"/>
      <c r="O45" s="18"/>
      <c r="P45" s="25"/>
      <c r="Q45" s="25"/>
      <c r="R45" s="25"/>
      <c r="S45" s="25"/>
      <c r="T45" s="56"/>
      <c r="U45" s="25"/>
      <c r="V45" s="25"/>
      <c r="W45" s="25"/>
      <c r="X45" s="25"/>
      <c r="Y45" s="135"/>
      <c r="AF45" s="56"/>
      <c r="AG45" s="25"/>
      <c r="AH45" s="25"/>
      <c r="AK45" s="6"/>
      <c r="AM45" s="6"/>
      <c r="AN45" s="25"/>
      <c r="AO45" s="402"/>
      <c r="AP45" s="21"/>
      <c r="AQ45" s="21"/>
      <c r="AR45" s="67"/>
      <c r="AS45" s="25"/>
      <c r="AT45" s="22"/>
      <c r="AU45" s="25"/>
      <c r="AV45" s="25"/>
      <c r="AW45" s="25"/>
      <c r="AX45" s="25"/>
      <c r="AY45" s="25"/>
      <c r="AZ45" s="56"/>
      <c r="BA45" s="25"/>
      <c r="BB45" s="25"/>
      <c r="BC45" s="25"/>
      <c r="BD45" s="25"/>
      <c r="BE45" s="56"/>
      <c r="BF45" s="25"/>
      <c r="BG45" s="25"/>
      <c r="BH45" s="21"/>
      <c r="BI45" s="21"/>
      <c r="BJ45" s="25"/>
      <c r="BK45" s="67"/>
      <c r="BL45" s="78"/>
    </row>
    <row r="46" spans="1:64" ht="15" customHeight="1" x14ac:dyDescent="0.2">
      <c r="A46" s="67"/>
      <c r="B46" s="702" t="s">
        <v>132</v>
      </c>
      <c r="C46" s="703"/>
      <c r="D46" s="703"/>
      <c r="E46" s="704"/>
      <c r="F46" s="349">
        <f>F40</f>
        <v>2.9857142857142858</v>
      </c>
      <c r="G46" s="350">
        <f>G40</f>
        <v>1.889285714285716</v>
      </c>
      <c r="H46" s="382">
        <f>AY82</f>
        <v>2.4375000000000009</v>
      </c>
      <c r="I46" s="352">
        <f>I40</f>
        <v>-1.0964285714285706</v>
      </c>
      <c r="J46" s="18"/>
      <c r="K46" s="353">
        <f>K38</f>
        <v>74.357142857142861</v>
      </c>
      <c r="L46" s="298">
        <f>L38</f>
        <v>93.142857142857139</v>
      </c>
      <c r="M46" s="354">
        <f>M38</f>
        <v>85.142857142857139</v>
      </c>
      <c r="N46" s="25">
        <f>N38</f>
        <v>18.785714285714285</v>
      </c>
      <c r="O46" s="18"/>
      <c r="P46" s="25"/>
      <c r="Q46" s="25"/>
      <c r="R46" s="381">
        <f>R40</f>
        <v>1.1428571428571104</v>
      </c>
      <c r="S46" s="162">
        <f>S38</f>
        <v>5.8571428571428568</v>
      </c>
      <c r="T46" s="56"/>
      <c r="U46" s="355">
        <f>U38</f>
        <v>6.0535714285714279</v>
      </c>
      <c r="W46" s="304" t="s">
        <v>113</v>
      </c>
      <c r="X46" s="22">
        <f>COUNTIF(X4:X34,"N")</f>
        <v>1</v>
      </c>
      <c r="Y46" s="135"/>
      <c r="Z46" s="681" t="s">
        <v>151</v>
      </c>
      <c r="AA46" s="668">
        <f>IF(AN48=0,"n/a",Z38/AN48)</f>
        <v>4.0181818181818185</v>
      </c>
      <c r="AB46" s="385" t="s">
        <v>189</v>
      </c>
      <c r="AC46" s="268" t="s">
        <v>282</v>
      </c>
      <c r="AF46" s="135"/>
      <c r="AG46" s="392">
        <f>AG38</f>
        <v>2.7357142857142849</v>
      </c>
      <c r="AH46" s="393">
        <f>AH38</f>
        <v>7.0392857142857128</v>
      </c>
      <c r="AI46" s="348">
        <f>AI38</f>
        <v>4.992857142857142</v>
      </c>
      <c r="AJ46" s="49">
        <f>AJ38</f>
        <v>4.3035714285714297</v>
      </c>
      <c r="AK46" s="126"/>
      <c r="AL46" s="590"/>
      <c r="AM46" s="6"/>
      <c r="AO46" s="404"/>
      <c r="AP46" s="445">
        <f>AP38/AP39</f>
        <v>0.53466666666666662</v>
      </c>
      <c r="AQ46" s="446">
        <f>AQ38/AQ39</f>
        <v>1.102127659574468</v>
      </c>
      <c r="AR46" s="6"/>
      <c r="AS46" s="696" t="s">
        <v>131</v>
      </c>
      <c r="AT46" s="650"/>
      <c r="AU46" s="650"/>
      <c r="AV46" s="650"/>
      <c r="AW46" s="650"/>
      <c r="AX46" s="650"/>
      <c r="AY46" s="25"/>
      <c r="AZ46" s="56"/>
      <c r="BC46" s="25"/>
      <c r="BD46" s="25"/>
      <c r="BE46" s="56"/>
      <c r="BF46" s="693" t="s">
        <v>397</v>
      </c>
      <c r="BG46" s="693"/>
      <c r="BH46" s="693"/>
      <c r="BI46" s="693"/>
      <c r="BJ46" s="693"/>
      <c r="BK46" s="67"/>
      <c r="BL46" s="78"/>
    </row>
    <row r="47" spans="1:64" ht="12.75" customHeight="1" x14ac:dyDescent="0.2">
      <c r="A47" s="67"/>
      <c r="B47" s="682" t="s">
        <v>17</v>
      </c>
      <c r="C47" s="683"/>
      <c r="D47" s="684"/>
      <c r="E47" s="581" t="s">
        <v>15</v>
      </c>
      <c r="F47" s="349">
        <f>F38</f>
        <v>5.1857142857142859</v>
      </c>
      <c r="G47" s="350">
        <f>G38</f>
        <v>9.4892857142857157</v>
      </c>
      <c r="H47" s="351">
        <f>H38</f>
        <v>7.3999999999999986</v>
      </c>
      <c r="I47" s="352">
        <f>I38</f>
        <v>4.3035714285714288</v>
      </c>
      <c r="J47" s="18"/>
      <c r="K47" s="21"/>
      <c r="L47" s="170"/>
      <c r="M47" s="52"/>
      <c r="N47" s="118"/>
      <c r="O47" s="18"/>
      <c r="P47" s="21"/>
      <c r="Q47" s="21"/>
      <c r="R47" s="381">
        <f>R38</f>
        <v>1014.3928571428571</v>
      </c>
      <c r="S47" s="21"/>
      <c r="T47" s="56"/>
      <c r="U47" s="7"/>
      <c r="W47" s="143" t="s">
        <v>105</v>
      </c>
      <c r="X47" s="22">
        <f>COUNTIF(X4:X34,"NE")</f>
        <v>2</v>
      </c>
      <c r="Y47" s="56"/>
      <c r="Z47" s="681"/>
      <c r="AA47" s="668"/>
      <c r="AB47" s="384">
        <f>IF(M53=0,"",AVERAGE(Z4:Z34))</f>
        <v>1.5785714285714287</v>
      </c>
      <c r="AC47" s="323" t="str">
        <f>IF(M54&gt;0,IF(Z38&gt;Z39,"",AC48/M54/AB48),"n/a")</f>
        <v>n/a</v>
      </c>
      <c r="AE47" s="548"/>
      <c r="AF47" s="56"/>
      <c r="AH47" s="124"/>
      <c r="AI47" s="124"/>
      <c r="AJ47" s="124"/>
      <c r="AK47" s="126"/>
      <c r="AL47" s="590"/>
      <c r="AM47" s="6"/>
      <c r="AN47" s="179" t="s">
        <v>67</v>
      </c>
      <c r="AO47" s="405"/>
      <c r="AP47" s="456">
        <f>IF(ISBLANK(AP4),"",AVERAGE(AP4:AP34))</f>
        <v>1.4321428571428569</v>
      </c>
      <c r="AQ47" s="443">
        <f>IF(ISBLANK(AQ4),"",AVERAGE(AQ4:AQ34))</f>
        <v>1.8499999999999999</v>
      </c>
      <c r="AR47" s="6"/>
      <c r="AS47" s="25"/>
      <c r="AT47" s="22"/>
      <c r="AU47" s="25"/>
      <c r="AV47" s="25"/>
      <c r="AW47" s="25"/>
      <c r="AX47" s="25"/>
      <c r="AY47" s="695" t="s">
        <v>35</v>
      </c>
      <c r="AZ47" s="695"/>
      <c r="BA47" s="695"/>
      <c r="BB47" s="695"/>
      <c r="BC47" s="695"/>
      <c r="BD47" s="695"/>
      <c r="BE47" s="67"/>
      <c r="BF47" s="694" t="s">
        <v>169</v>
      </c>
      <c r="BG47" s="694"/>
      <c r="BH47" s="694"/>
      <c r="BI47" s="694"/>
      <c r="BJ47" s="694"/>
      <c r="BK47" s="2"/>
      <c r="BL47" s="78"/>
    </row>
    <row r="48" spans="1:64" ht="12.75" customHeight="1" x14ac:dyDescent="0.2">
      <c r="A48" s="67"/>
      <c r="B48" s="707" t="s">
        <v>51</v>
      </c>
      <c r="C48" s="708"/>
      <c r="D48" s="709"/>
      <c r="E48" s="142">
        <f>IF(ISBLANK(H5),"",CORREL(H4:H34,R4:R34))</f>
        <v>-8.2559741389657531E-3</v>
      </c>
      <c r="F48" s="576">
        <f>IF(ISBLANK(H5),"",ABS(E48))</f>
        <v>8.2559741389657531E-3</v>
      </c>
      <c r="J48" s="18"/>
      <c r="K48" s="636" t="s">
        <v>377</v>
      </c>
      <c r="L48" s="636"/>
      <c r="M48" s="636"/>
      <c r="N48" s="636"/>
      <c r="O48" s="17"/>
      <c r="R48" s="25"/>
      <c r="S48" s="25"/>
      <c r="T48" s="56"/>
      <c r="U48" s="266"/>
      <c r="W48" s="304" t="s">
        <v>106</v>
      </c>
      <c r="X48" s="22">
        <f>COUNTIF(X4:X34,"E")</f>
        <v>3</v>
      </c>
      <c r="Y48" s="6"/>
      <c r="AB48" s="438">
        <f>Z39/E34</f>
        <v>1.4285714285714286</v>
      </c>
      <c r="AC48" s="579">
        <f>ABS(Z39-Z38)</f>
        <v>4.2000000000000028</v>
      </c>
      <c r="AD48" s="578" t="str">
        <f>IF(Z38&gt;Z39,"Excess","Deficit")</f>
        <v>Excess</v>
      </c>
      <c r="AE48" s="547"/>
      <c r="AF48" s="6"/>
      <c r="AK48" s="6"/>
      <c r="AL48" s="590"/>
      <c r="AM48" s="6"/>
      <c r="AN48" s="5">
        <f>SUM(AJ91:AJ121)</f>
        <v>11</v>
      </c>
      <c r="AO48" s="406"/>
      <c r="AR48" s="6"/>
      <c r="AS48" s="641" t="s">
        <v>447</v>
      </c>
      <c r="AT48" s="642"/>
      <c r="AU48" s="643"/>
      <c r="AV48" s="139"/>
      <c r="AY48" s="4" t="s">
        <v>164</v>
      </c>
      <c r="AZ48" s="68"/>
      <c r="BA48" s="4" t="s">
        <v>199</v>
      </c>
      <c r="BB48" s="329" t="s">
        <v>166</v>
      </c>
      <c r="BC48" s="147" t="s">
        <v>326</v>
      </c>
      <c r="BD48" s="147" t="s">
        <v>10</v>
      </c>
      <c r="BE48" s="67"/>
      <c r="BF48" s="181" t="s">
        <v>21</v>
      </c>
      <c r="BG48" s="294" t="s">
        <v>22</v>
      </c>
      <c r="BH48" s="335" t="s">
        <v>171</v>
      </c>
      <c r="BI48" s="336" t="s">
        <v>170</v>
      </c>
      <c r="BJ48" s="97" t="s">
        <v>172</v>
      </c>
      <c r="BK48" s="16"/>
      <c r="BL48" s="78"/>
    </row>
    <row r="49" spans="1:64" ht="12.75" customHeight="1" x14ac:dyDescent="0.2">
      <c r="A49" s="67"/>
      <c r="B49" s="707" t="s">
        <v>50</v>
      </c>
      <c r="C49" s="708"/>
      <c r="D49" s="709"/>
      <c r="E49" s="89">
        <f>IF(ISBLANK(H5),"",CORREL(H4:H34,M4:M34))</f>
        <v>-0.36738160445450757</v>
      </c>
      <c r="F49" s="576">
        <f>IF(ISBLANK(H5),"",ABS(E49))</f>
        <v>0.36738160445450757</v>
      </c>
      <c r="H49" s="4"/>
      <c r="I49" s="4"/>
      <c r="J49" s="18"/>
      <c r="K49" s="152">
        <f ca="1">IF(ISBLANK(F4),"",F38-AVERAGE(OFFSET(F91,0,0,M53)))</f>
        <v>2.9705357142857149</v>
      </c>
      <c r="L49" s="151">
        <f ca="1">IF(ISBLANK(G4),"",G38-AVERAGE(OFFSET(G91,0,0,M53)))</f>
        <v>1.9367857142857154</v>
      </c>
      <c r="M49" s="14">
        <f ca="1">IF(ISBLANK(G4),"",AVERAGE(K49:L49))</f>
        <v>2.4536607142857152</v>
      </c>
      <c r="N49" s="129">
        <f ca="1">IF(ISBLANK(I4),"",I38-AVERAGE(OFFSET(I91,0,0,M53)))</f>
        <v>-1.0337499999999995</v>
      </c>
      <c r="O49" s="18"/>
      <c r="R49" s="21"/>
      <c r="S49" s="21"/>
      <c r="T49" s="56"/>
      <c r="U49" s="300"/>
      <c r="W49" s="304" t="s">
        <v>112</v>
      </c>
      <c r="X49" s="22">
        <f>COUNTIF(X4:X34,"SE")</f>
        <v>0</v>
      </c>
      <c r="Y49" s="67"/>
      <c r="Z49" s="648" t="s">
        <v>115</v>
      </c>
      <c r="AA49" s="648"/>
      <c r="AE49" s="547"/>
      <c r="AF49" s="67"/>
      <c r="AG49" s="710" t="s">
        <v>179</v>
      </c>
      <c r="AH49" s="710"/>
      <c r="AI49" s="710"/>
      <c r="AJ49" s="710"/>
      <c r="AK49" s="313"/>
      <c r="AL49" s="590"/>
      <c r="AM49" s="67"/>
      <c r="AO49" s="224"/>
      <c r="AP49" s="457" t="s">
        <v>215</v>
      </c>
      <c r="AR49" s="6"/>
      <c r="AS49" s="644" t="s">
        <v>17</v>
      </c>
      <c r="AT49" s="645"/>
      <c r="AU49" s="280" t="s">
        <v>15</v>
      </c>
      <c r="AX49" s="361">
        <v>1</v>
      </c>
      <c r="AY49" s="23">
        <f t="shared" ref="AY49:AY76" si="26">IF(ISBLANK(G4),"",AVERAGE(F4:G4))</f>
        <v>2.6</v>
      </c>
      <c r="AZ49" s="50"/>
      <c r="BA49" s="26">
        <f>BC4</f>
        <v>-2.11</v>
      </c>
      <c r="BB49" s="7">
        <f t="shared" ref="BB49:BB76" si="27">IF(ISBLANK(H4),"",AY49-H4)</f>
        <v>-0.89999999999999991</v>
      </c>
      <c r="BC49" s="25">
        <f>IF(ISBLANK(G4),"",(AVERAGE($AY$49:AY49)))</f>
        <v>2.6</v>
      </c>
      <c r="BD49" s="13">
        <f>IF(ISBLANK(G4),"",AVERAGE(BF4:BG4))</f>
        <v>-2.11</v>
      </c>
      <c r="BE49" s="67"/>
      <c r="BF49" s="556">
        <v>9.375E-2</v>
      </c>
      <c r="BG49" s="556">
        <v>0.69791666666666663</v>
      </c>
      <c r="BH49" s="556" t="s">
        <v>274</v>
      </c>
      <c r="BI49" s="556" t="s">
        <v>233</v>
      </c>
      <c r="BJ49" s="556">
        <v>8.1944444444444445E-2</v>
      </c>
      <c r="BK49" s="20"/>
      <c r="BL49" s="78"/>
    </row>
    <row r="50" spans="1:64" ht="12.75" customHeight="1" x14ac:dyDescent="0.2">
      <c r="A50" s="67"/>
      <c r="B50" s="707" t="s">
        <v>56</v>
      </c>
      <c r="C50" s="708"/>
      <c r="D50" s="709"/>
      <c r="E50" s="89">
        <f>IF(ISBLANK(H5),"",CORREL(M4:M34,R4:R34))</f>
        <v>-8.1899110827534038E-2</v>
      </c>
      <c r="F50" s="576">
        <f>IF(ISBLANK(H5),"",ABS(E50))</f>
        <v>8.1899110827534038E-2</v>
      </c>
      <c r="G50" s="607" t="s">
        <v>427</v>
      </c>
      <c r="H50" s="820" t="s">
        <v>423</v>
      </c>
      <c r="I50" s="821"/>
      <c r="J50" s="18"/>
      <c r="K50" s="8"/>
      <c r="L50" s="118"/>
      <c r="M50" s="118"/>
      <c r="N50" s="118"/>
      <c r="O50" s="18"/>
      <c r="Q50" s="662" t="s">
        <v>132</v>
      </c>
      <c r="R50" s="662"/>
      <c r="T50" s="68"/>
      <c r="U50" s="300"/>
      <c r="W50" s="305" t="s">
        <v>111</v>
      </c>
      <c r="X50" s="22">
        <f>COUNTIF(X4:X34,"S")</f>
        <v>6</v>
      </c>
      <c r="Y50" s="84"/>
      <c r="Z50" s="661" t="s">
        <v>120</v>
      </c>
      <c r="AA50" s="660">
        <v>5</v>
      </c>
      <c r="AB50" s="322"/>
      <c r="AC50" s="646" t="s">
        <v>285</v>
      </c>
      <c r="AD50" s="647"/>
      <c r="AF50" s="67"/>
      <c r="AH50" s="713">
        <f>SUM(AW91:AW121)</f>
        <v>1</v>
      </c>
      <c r="AI50" s="713"/>
      <c r="AJ50" s="93">
        <f>IF(M53=0,"",AH50/M53)</f>
        <v>3.5714285714285712E-2</v>
      </c>
      <c r="AK50" s="68"/>
      <c r="AL50" s="590"/>
      <c r="AM50" s="67"/>
      <c r="AN50" s="180" t="s">
        <v>68</v>
      </c>
      <c r="AO50" s="87"/>
      <c r="AP50" s="397">
        <f>IF(M53=0,"",AP38/SUM(AT91:AT121))</f>
        <v>0.16093450330414114</v>
      </c>
      <c r="AR50" s="6"/>
      <c r="AS50" s="637" t="s">
        <v>44</v>
      </c>
      <c r="AT50" s="638"/>
      <c r="AU50" s="92">
        <f>IF(AP4=AP5,"",IF(AP42=0,"",CORREL(G4:G34,AP4:AP34)))</f>
        <v>0.22441287921206221</v>
      </c>
      <c r="AV50" s="577">
        <f>IF(AP4=AP5,"",IF(AP42=0,"",ABS(AU50)))</f>
        <v>0.22441287921206221</v>
      </c>
      <c r="AX50" s="361">
        <v>2</v>
      </c>
      <c r="AY50" s="23">
        <f t="shared" si="26"/>
        <v>6.5</v>
      </c>
      <c r="AZ50" s="50"/>
      <c r="BA50" s="26">
        <f t="shared" ref="BA50:BA76" si="28">BC5</f>
        <v>1.78</v>
      </c>
      <c r="BB50" s="7">
        <f t="shared" si="27"/>
        <v>-9.9999999999999645E-2</v>
      </c>
      <c r="BC50" s="25">
        <f>IF(ISBLANK(G5),"",(AVERAGE($AY$49:AY50)))</f>
        <v>4.55</v>
      </c>
      <c r="BD50" s="13">
        <f t="shared" ref="BD50:BD76" si="29">IF(ISBLANK(G5),"",AVERAGE(BF5:BG5))</f>
        <v>-0.16500000000000048</v>
      </c>
      <c r="BE50" s="67"/>
      <c r="BF50" s="556">
        <v>0.19444444444444445</v>
      </c>
      <c r="BG50" s="556" t="s">
        <v>355</v>
      </c>
      <c r="BH50" s="556">
        <v>0.58680555555555558</v>
      </c>
      <c r="BI50" s="556">
        <v>0.35416666666666669</v>
      </c>
      <c r="BJ50" s="556">
        <v>0.52222222222222225</v>
      </c>
      <c r="BK50" s="55"/>
      <c r="BL50" s="78"/>
    </row>
    <row r="51" spans="1:64" ht="12.75" customHeight="1" x14ac:dyDescent="0.2">
      <c r="A51" s="67"/>
      <c r="B51" s="707" t="s">
        <v>11</v>
      </c>
      <c r="C51" s="708"/>
      <c r="D51" s="709"/>
      <c r="E51" s="89">
        <f>IF(ISBLANK(H5),"",CORREL(F4:F34,G4:G34))</f>
        <v>0.74643526407739136</v>
      </c>
      <c r="F51" s="576">
        <f>IF(ISBLANK(H5),"",ABS(E51))</f>
        <v>0.74643526407739136</v>
      </c>
      <c r="H51" s="821" t="s">
        <v>424</v>
      </c>
      <c r="I51" s="821"/>
      <c r="J51" s="18"/>
      <c r="K51" s="8"/>
      <c r="N51" s="187"/>
      <c r="O51" s="18"/>
      <c r="P51" s="21"/>
      <c r="Q51" s="649" t="s">
        <v>143</v>
      </c>
      <c r="R51" s="649"/>
      <c r="S51" s="21"/>
      <c r="T51" s="68"/>
      <c r="U51" s="586"/>
      <c r="W51" s="304" t="s">
        <v>110</v>
      </c>
      <c r="X51" s="22">
        <f>COUNTIF(X4:X34,"SW")</f>
        <v>13</v>
      </c>
      <c r="Y51" s="67"/>
      <c r="Z51" s="661"/>
      <c r="AA51" s="660"/>
      <c r="AC51" s="714" t="s">
        <v>286</v>
      </c>
      <c r="AD51" s="717">
        <v>0</v>
      </c>
      <c r="AF51" s="67"/>
      <c r="AG51" s="650"/>
      <c r="AH51" s="650"/>
      <c r="AI51" s="650"/>
      <c r="AJ51" s="650"/>
      <c r="AK51" s="6"/>
      <c r="AL51" s="590"/>
      <c r="AM51" s="67"/>
      <c r="AN51" s="5">
        <f>M53-AN48</f>
        <v>17</v>
      </c>
      <c r="AO51" s="406"/>
      <c r="AR51" s="6"/>
      <c r="AS51" s="637" t="s">
        <v>39</v>
      </c>
      <c r="AT51" s="638"/>
      <c r="AU51" s="92">
        <f>IF(AP4=AP5,"",IF(AP42=0,"",CORREL(AP4:AP34,I4:I34)))</f>
        <v>0.49454332033278986</v>
      </c>
      <c r="AV51" s="577">
        <f>IF(AP4=AP5,"",IF(AP42=0,"",ABS(AU51)))</f>
        <v>0.49454332033278986</v>
      </c>
      <c r="AX51" s="361">
        <v>3</v>
      </c>
      <c r="AY51" s="23">
        <f t="shared" si="26"/>
        <v>6.9</v>
      </c>
      <c r="AZ51" s="50"/>
      <c r="BA51" s="26">
        <f t="shared" si="28"/>
        <v>2.1550000000000002</v>
      </c>
      <c r="BB51" s="7">
        <f t="shared" si="27"/>
        <v>-0.59999999999999964</v>
      </c>
      <c r="BC51" s="25">
        <f>IF(ISBLANK(G6),"",(AVERAGE($AY$49:AY51)))</f>
        <v>5.333333333333333</v>
      </c>
      <c r="BD51" s="13">
        <f t="shared" si="29"/>
        <v>0.60833333333333328</v>
      </c>
      <c r="BE51" s="67"/>
      <c r="BF51" s="556">
        <v>0.30208333333333331</v>
      </c>
      <c r="BG51" s="556">
        <v>0.59375</v>
      </c>
      <c r="BH51" s="556">
        <v>0.62847222222222221</v>
      </c>
      <c r="BI51" s="556">
        <v>0.3611111111111111</v>
      </c>
      <c r="BJ51" s="556">
        <v>0.90208333333333324</v>
      </c>
      <c r="BK51" s="18"/>
      <c r="BL51" s="78"/>
    </row>
    <row r="52" spans="1:64" ht="12.75" customHeight="1" x14ac:dyDescent="0.2">
      <c r="A52" s="67"/>
      <c r="B52" s="707" t="s">
        <v>92</v>
      </c>
      <c r="C52" s="708"/>
      <c r="D52" s="709"/>
      <c r="E52" s="89">
        <f>IF(ISBLANK(H5),"",CORREL(K4:K34,L4:L34))</f>
        <v>0.34311049419915757</v>
      </c>
      <c r="F52" s="576">
        <f>IF(ISBLANK(H5),"",ABS(E52))</f>
        <v>0.34311049419915757</v>
      </c>
      <c r="H52" s="601"/>
      <c r="I52" s="601"/>
      <c r="J52" s="18"/>
      <c r="K52" s="8"/>
      <c r="L52" s="187" t="s">
        <v>346</v>
      </c>
      <c r="M52" s="118"/>
      <c r="N52" s="118"/>
      <c r="O52" s="18"/>
      <c r="P52" s="25"/>
      <c r="Q52" s="715">
        <f>IF(ISBLANK(H5),"",AVERAGE(F48:F66,F72:F80,AV50:AV60))</f>
        <v>0.3190828680683413</v>
      </c>
      <c r="R52" s="716"/>
      <c r="S52" s="25"/>
      <c r="T52" s="67"/>
      <c r="W52" s="304" t="s">
        <v>114</v>
      </c>
      <c r="X52" s="22">
        <f>COUNTIF(X4:X34,"W")</f>
        <v>2</v>
      </c>
      <c r="Y52" s="67"/>
      <c r="Z52" s="659" t="s">
        <v>116</v>
      </c>
      <c r="AA52" s="711">
        <f>(Z38+AA50)/Z39</f>
        <v>1.23</v>
      </c>
      <c r="AC52" s="714"/>
      <c r="AD52" s="717"/>
      <c r="AF52" s="67"/>
      <c r="AG52" s="712" t="s">
        <v>180</v>
      </c>
      <c r="AH52" s="712"/>
      <c r="AI52" s="712"/>
      <c r="AJ52" s="712"/>
      <c r="AK52" s="314"/>
      <c r="AL52" s="590"/>
      <c r="AM52" s="67"/>
      <c r="AO52" s="407"/>
      <c r="AP52" s="639" t="s">
        <v>190</v>
      </c>
      <c r="AQ52" s="640"/>
      <c r="AR52" s="6"/>
      <c r="AS52" s="637" t="s">
        <v>40</v>
      </c>
      <c r="AT52" s="638"/>
      <c r="AU52" s="92">
        <f>IF(AP4=AP5,"",IF(AP42=0,"",CORREL(AP4:AP34,K4:K34)))</f>
        <v>-0.75219873116341762</v>
      </c>
      <c r="AV52" s="577">
        <f>IF(AP4=AP5,"",IF(AP42=0,"",ABS(AU52)))</f>
        <v>0.75219873116341762</v>
      </c>
      <c r="AX52" s="361">
        <v>4</v>
      </c>
      <c r="AY52" s="23">
        <f t="shared" si="26"/>
        <v>10.9</v>
      </c>
      <c r="AZ52" s="50"/>
      <c r="BA52" s="26">
        <f t="shared" si="28"/>
        <v>6.1350000000000007</v>
      </c>
      <c r="BB52" s="7">
        <f t="shared" si="27"/>
        <v>-9.9999999999999645E-2</v>
      </c>
      <c r="BC52" s="25">
        <f>IF(ISBLANK(G7),"",(AVERAGE($AY$49:AY52)))</f>
        <v>6.7249999999999996</v>
      </c>
      <c r="BD52" s="13">
        <f t="shared" si="29"/>
        <v>1.9899999999999995</v>
      </c>
      <c r="BE52" s="6"/>
      <c r="BF52" s="556" t="s">
        <v>371</v>
      </c>
      <c r="BG52" s="556">
        <v>0.55902777777777779</v>
      </c>
      <c r="BH52" s="556">
        <v>0.63888888888888895</v>
      </c>
      <c r="BI52" s="556" t="s">
        <v>372</v>
      </c>
      <c r="BJ52" s="556">
        <v>0.96944444444444444</v>
      </c>
      <c r="BK52" s="18"/>
      <c r="BL52" s="78"/>
    </row>
    <row r="53" spans="1:64" ht="12.75" customHeight="1" x14ac:dyDescent="0.2">
      <c r="A53" s="67"/>
      <c r="B53" s="707" t="s">
        <v>93</v>
      </c>
      <c r="C53" s="708"/>
      <c r="D53" s="709"/>
      <c r="E53" s="89">
        <f>IF(ISBLANK(H5),"",CORREL(P4:P34,Q4:Q34))</f>
        <v>0.94218809424936734</v>
      </c>
      <c r="F53" s="576">
        <f>IF(ISBLANK(H5),"",ABS(E53))</f>
        <v>0.94218809424936734</v>
      </c>
      <c r="H53" s="601"/>
      <c r="I53" s="601"/>
      <c r="J53" s="18"/>
      <c r="K53" s="8"/>
      <c r="L53" s="21" t="s">
        <v>88</v>
      </c>
      <c r="M53" s="21">
        <f>COUNT(H4:H34)</f>
        <v>28</v>
      </c>
      <c r="N53" s="118"/>
      <c r="O53" s="18"/>
      <c r="Q53" s="663" t="s">
        <v>34</v>
      </c>
      <c r="R53" s="663"/>
      <c r="S53" s="22"/>
      <c r="T53" s="67"/>
      <c r="W53" s="304" t="s">
        <v>128</v>
      </c>
      <c r="X53" s="22">
        <f>COUNTIF(X4:X34,"NW")</f>
        <v>1</v>
      </c>
      <c r="Y53" s="136"/>
      <c r="Z53" s="659"/>
      <c r="AA53" s="711"/>
      <c r="AB53" s="323"/>
      <c r="AC53" s="542" t="s">
        <v>281</v>
      </c>
      <c r="AD53" s="549">
        <f>IF(Z38=0,"",AD51/Z38)</f>
        <v>0</v>
      </c>
      <c r="AF53" s="67"/>
      <c r="AH53" s="713">
        <f>SUM(AX91:AX121)</f>
        <v>17</v>
      </c>
      <c r="AI53" s="713"/>
      <c r="AJ53" s="93">
        <f>IF(M53=0,"",AH53/M53)</f>
        <v>0.6071428571428571</v>
      </c>
      <c r="AK53" s="68"/>
      <c r="AL53" s="590"/>
      <c r="AM53" s="67"/>
      <c r="AN53" s="179" t="s">
        <v>77</v>
      </c>
      <c r="AO53" s="88"/>
      <c r="AP53" s="718" t="str">
        <f>IF(M54=0,"",(AP39-AP38)/M54/(AP39/E34))</f>
        <v/>
      </c>
      <c r="AQ53" s="719"/>
      <c r="AR53" s="6"/>
      <c r="AS53" s="637" t="s">
        <v>38</v>
      </c>
      <c r="AT53" s="638"/>
      <c r="AU53" s="92">
        <f>IF(AQ38=0,"",CORREL(AP4:AP34,AQ4:AQ34))</f>
        <v>-0.33236958747395068</v>
      </c>
      <c r="AV53" s="577">
        <f>IF(AQ38=0,"",ABS(AU53))</f>
        <v>0.33236958747395068</v>
      </c>
      <c r="AX53" s="361">
        <v>5</v>
      </c>
      <c r="AY53" s="23">
        <f t="shared" si="26"/>
        <v>12.15</v>
      </c>
      <c r="AZ53" s="50"/>
      <c r="BA53" s="26">
        <f t="shared" si="28"/>
        <v>7.3250000000000011</v>
      </c>
      <c r="BB53" s="7">
        <f t="shared" si="27"/>
        <v>0.15000000000000036</v>
      </c>
      <c r="BC53" s="25">
        <f>IF(ISBLANK(G8),"",(AVERAGE($AY$49:AY53)))</f>
        <v>7.81</v>
      </c>
      <c r="BD53" s="13">
        <f t="shared" si="29"/>
        <v>3.0569999999999995</v>
      </c>
      <c r="BE53" s="6"/>
      <c r="BF53" s="556">
        <v>0.27430555555555552</v>
      </c>
      <c r="BG53" s="556">
        <v>0.60416666666666663</v>
      </c>
      <c r="BH53" s="556">
        <v>0.62847222222222221</v>
      </c>
      <c r="BI53" s="556">
        <v>0.35416666666666669</v>
      </c>
      <c r="BJ53" s="556">
        <v>3.2638888888888891E-2</v>
      </c>
      <c r="BK53" s="18"/>
      <c r="BL53" s="78"/>
    </row>
    <row r="54" spans="1:64" ht="12.75" customHeight="1" x14ac:dyDescent="0.2">
      <c r="A54" s="67"/>
      <c r="B54" s="707" t="s">
        <v>53</v>
      </c>
      <c r="C54" s="708"/>
      <c r="D54" s="709"/>
      <c r="E54" s="89">
        <f>IF(ISBLANK(H5),"",(CORREL(G4:G34,R4:R34)))</f>
        <v>7.5302424859552297E-2</v>
      </c>
      <c r="F54" s="576">
        <f>IF(ISBLANK(H5),"",ABS(E54))</f>
        <v>7.5302424859552297E-2</v>
      </c>
      <c r="H54" s="601"/>
      <c r="I54" s="601"/>
      <c r="J54" s="18"/>
      <c r="K54" s="8"/>
      <c r="L54" s="21" t="s">
        <v>89</v>
      </c>
      <c r="M54" s="21">
        <f>SUM(E34-M53)</f>
        <v>0</v>
      </c>
      <c r="N54" s="187"/>
      <c r="O54" s="18"/>
      <c r="Q54" s="5">
        <f>SUM(E69,E83,AU63)</f>
        <v>7</v>
      </c>
      <c r="R54" s="21" t="s">
        <v>193</v>
      </c>
      <c r="S54" s="608"/>
      <c r="T54" s="67"/>
      <c r="U54" s="7"/>
      <c r="W54" s="300"/>
      <c r="X54" s="25"/>
      <c r="Y54" s="136"/>
      <c r="Z54" s="659" t="s">
        <v>153</v>
      </c>
      <c r="AA54" s="659" t="str">
        <f>IF(M54&gt;0,(Z39-Z38)/M54,"n/a")</f>
        <v>n/a</v>
      </c>
      <c r="AB54" s="267"/>
      <c r="AC54" s="542" t="s">
        <v>283</v>
      </c>
      <c r="AD54" s="549">
        <f>IF(AT67=0,"",AV38/AT67)</f>
        <v>0</v>
      </c>
      <c r="AF54" s="67"/>
      <c r="AK54" s="6"/>
      <c r="AL54" s="590"/>
      <c r="AM54" s="67"/>
      <c r="AN54" s="138">
        <f>IF(M53=0,"",AN48/M53)</f>
        <v>0.39285714285714285</v>
      </c>
      <c r="AO54" s="406"/>
      <c r="AP54" s="531">
        <f>AP39/E34</f>
        <v>2.6785714285714284</v>
      </c>
      <c r="AQ54" s="532" t="str">
        <f>IF(M54=0,"",(AP39-AP38)/M54)</f>
        <v/>
      </c>
      <c r="AR54" s="6"/>
      <c r="AS54" s="637" t="s">
        <v>49</v>
      </c>
      <c r="AT54" s="638"/>
      <c r="AU54" s="92">
        <f>IF(AQ38=0,"",CORREL(AQ4:AQ34,I4:I34))</f>
        <v>-0.26657654924369167</v>
      </c>
      <c r="AV54" s="577">
        <f>IF(AQ38=0,"",ABS(AU54))</f>
        <v>0.26657654924369167</v>
      </c>
      <c r="AX54" s="361">
        <v>6</v>
      </c>
      <c r="AY54" s="23">
        <f t="shared" si="26"/>
        <v>10.649999999999999</v>
      </c>
      <c r="AZ54" s="50"/>
      <c r="BA54" s="26">
        <f t="shared" si="28"/>
        <v>5.7850000000000001</v>
      </c>
      <c r="BB54" s="7">
        <f t="shared" si="27"/>
        <v>-0.15000000000000213</v>
      </c>
      <c r="BC54" s="25">
        <f>IF(ISBLANK(G9),"",(AVERAGE($AY$49:AY54)))</f>
        <v>8.2833333333333332</v>
      </c>
      <c r="BD54" s="13">
        <f t="shared" si="29"/>
        <v>3.5116666666666658</v>
      </c>
      <c r="BE54" s="6"/>
      <c r="BF54" s="556">
        <v>0.29166666666666669</v>
      </c>
      <c r="BG54" s="556">
        <v>0.4236111111111111</v>
      </c>
      <c r="BH54" s="556">
        <v>0.58680555555555558</v>
      </c>
      <c r="BI54" s="556">
        <v>0.22569444444444445</v>
      </c>
      <c r="BJ54" s="556">
        <v>0.58402777777777781</v>
      </c>
      <c r="BK54" s="18"/>
      <c r="BL54" s="78"/>
    </row>
    <row r="55" spans="1:64" ht="12.75" customHeight="1" x14ac:dyDescent="0.2">
      <c r="A55" s="67"/>
      <c r="B55" s="707" t="s">
        <v>54</v>
      </c>
      <c r="C55" s="708"/>
      <c r="D55" s="709"/>
      <c r="E55" s="89">
        <f>IF(ISBLANK(H5),"",CORREL(F4:F34,R4:R34))</f>
        <v>-7.9257730783163699E-2</v>
      </c>
      <c r="F55" s="576">
        <f>IF(ISBLANK(H5),"",ABS(E55))</f>
        <v>7.9257730783163699E-2</v>
      </c>
      <c r="H55" s="601"/>
      <c r="I55" s="601"/>
      <c r="J55" s="20"/>
      <c r="K55" s="8"/>
      <c r="M55" s="118"/>
      <c r="N55" s="118"/>
      <c r="O55" s="18"/>
      <c r="Q55" s="21"/>
      <c r="S55" s="21"/>
      <c r="T55" s="67"/>
      <c r="U55" s="7"/>
      <c r="W55" s="300" t="s">
        <v>129</v>
      </c>
      <c r="X55" s="22">
        <f>MAX(X46:X53)</f>
        <v>13</v>
      </c>
      <c r="Y55" s="136"/>
      <c r="Z55" s="659"/>
      <c r="AA55" s="659"/>
      <c r="AB55" s="267"/>
      <c r="AC55" s="543" t="s">
        <v>284</v>
      </c>
      <c r="AD55" s="546" t="s">
        <v>205</v>
      </c>
      <c r="AE55" s="267"/>
      <c r="AF55" s="67"/>
      <c r="AK55" s="6"/>
      <c r="AL55" s="590"/>
      <c r="AM55" s="67"/>
      <c r="AO55" s="408"/>
      <c r="AR55" s="6"/>
      <c r="AS55" s="637" t="s">
        <v>96</v>
      </c>
      <c r="AT55" s="638"/>
      <c r="AU55" s="92">
        <f>IF(AQ38=0,"",CORREL(M4:M34,AQ4:AQ34))</f>
        <v>0.48628762764059591</v>
      </c>
      <c r="AV55" s="577">
        <f>IF(AQ38=0,"",ABS(AU55))</f>
        <v>0.48628762764059591</v>
      </c>
      <c r="AX55" s="361">
        <v>7</v>
      </c>
      <c r="AY55" s="23">
        <f t="shared" si="26"/>
        <v>8.5500000000000007</v>
      </c>
      <c r="AZ55" s="50"/>
      <c r="BA55" s="26">
        <f t="shared" si="28"/>
        <v>3.718</v>
      </c>
      <c r="BB55" s="7">
        <f t="shared" si="27"/>
        <v>-0.44999999999999929</v>
      </c>
      <c r="BC55" s="25">
        <f>IF(ISBLANK(G10),"",(AVERAGE($AY$49:AY55)))</f>
        <v>8.3214285714285712</v>
      </c>
      <c r="BD55" s="13">
        <f t="shared" si="29"/>
        <v>3.5411428571428569</v>
      </c>
      <c r="BE55" s="6"/>
      <c r="BF55" s="556">
        <v>0.30208333333333331</v>
      </c>
      <c r="BG55" s="556">
        <v>0.63541666666666663</v>
      </c>
      <c r="BH55" s="556">
        <v>0.6645833333333333</v>
      </c>
      <c r="BI55" s="556" t="s">
        <v>375</v>
      </c>
      <c r="BJ55" s="556">
        <v>0.36041666666666666</v>
      </c>
      <c r="BK55" s="18"/>
      <c r="BL55" s="78"/>
    </row>
    <row r="56" spans="1:64" ht="12.75" customHeight="1" thickBot="1" x14ac:dyDescent="0.25">
      <c r="A56" s="67"/>
      <c r="B56" s="707" t="s">
        <v>55</v>
      </c>
      <c r="C56" s="708"/>
      <c r="D56" s="709"/>
      <c r="E56" s="89">
        <f>IF(ISBLANK(H5),"",CORREL(I4:I34,R4:R34))</f>
        <v>0.2153569800440176</v>
      </c>
      <c r="F56" s="576">
        <f>IF(ISBLANK(H5),"",ABS(E56))</f>
        <v>0.2153569800440176</v>
      </c>
      <c r="G56" s="7"/>
      <c r="H56" s="7"/>
      <c r="I56" s="7"/>
      <c r="J56" s="20"/>
      <c r="K56" s="7"/>
      <c r="O56" s="20"/>
      <c r="T56" s="67"/>
      <c r="U56" s="7"/>
      <c r="V56" s="7"/>
      <c r="W56" s="25"/>
      <c r="X56" s="25"/>
      <c r="Y56" s="136"/>
      <c r="AD56" s="267"/>
      <c r="AE56" s="267"/>
      <c r="AF56" s="166"/>
      <c r="AG56" s="710" t="s">
        <v>126</v>
      </c>
      <c r="AH56" s="710"/>
      <c r="AI56" s="710"/>
      <c r="AJ56" s="710"/>
      <c r="AK56" s="313"/>
      <c r="AL56" s="590"/>
      <c r="AM56" s="67"/>
      <c r="AN56" s="179" t="s">
        <v>109</v>
      </c>
      <c r="AO56" s="88"/>
      <c r="AR56" s="6"/>
      <c r="AS56" s="637" t="s">
        <v>37</v>
      </c>
      <c r="AT56" s="638"/>
      <c r="AU56" s="92">
        <f>IF(AQ38=0,"",CORREL(Z4:Z34,AQ4:AQ34))</f>
        <v>0.93902675011890324</v>
      </c>
      <c r="AV56" s="577">
        <f>IF(AQ38=0,"",ABS(AU56))</f>
        <v>0.93902675011890324</v>
      </c>
      <c r="AX56" s="361">
        <v>8</v>
      </c>
      <c r="AY56" s="23">
        <f t="shared" si="26"/>
        <v>5.3</v>
      </c>
      <c r="AZ56" s="50"/>
      <c r="BA56" s="26">
        <f t="shared" si="28"/>
        <v>0.50099999999999967</v>
      </c>
      <c r="BB56" s="7">
        <f t="shared" si="27"/>
        <v>-0.20000000000000018</v>
      </c>
      <c r="BC56" s="25">
        <f>IF(ISBLANK(G11),"",(AVERAGE($AY$49:AY56)))</f>
        <v>7.9437499999999996</v>
      </c>
      <c r="BD56" s="13">
        <f t="shared" si="29"/>
        <v>3.1611249999999993</v>
      </c>
      <c r="BE56" s="6"/>
      <c r="BF56" s="556">
        <v>0.2986111111111111</v>
      </c>
      <c r="BG56" s="556">
        <v>0.63888888888888895</v>
      </c>
      <c r="BH56" s="556">
        <v>0.70138888888888884</v>
      </c>
      <c r="BI56" s="556">
        <v>0.41666666666666669</v>
      </c>
      <c r="BJ56" s="556">
        <v>0.58333333333333337</v>
      </c>
      <c r="BK56" s="18"/>
      <c r="BL56" s="78"/>
    </row>
    <row r="57" spans="1:64" ht="12.75" customHeight="1" x14ac:dyDescent="0.2">
      <c r="A57" s="67"/>
      <c r="B57" s="707" t="s">
        <v>94</v>
      </c>
      <c r="C57" s="708"/>
      <c r="D57" s="709"/>
      <c r="E57" s="89">
        <f>IF(ISBLANK(H5),"",CORREL(N4:N34,R4:R34))</f>
        <v>-0.11602229033802786</v>
      </c>
      <c r="F57" s="576">
        <f>IF(ISBLANK(H5),"",ABS(E57))</f>
        <v>0.11602229033802786</v>
      </c>
      <c r="H57" s="720" t="s">
        <v>135</v>
      </c>
      <c r="I57" s="721"/>
      <c r="J57" s="193"/>
      <c r="K57" s="721" t="s">
        <v>35</v>
      </c>
      <c r="L57" s="721"/>
      <c r="M57" s="721"/>
      <c r="N57" s="721"/>
      <c r="O57" s="194"/>
      <c r="P57" s="721" t="s">
        <v>136</v>
      </c>
      <c r="Q57" s="721"/>
      <c r="R57" s="721"/>
      <c r="S57" s="721"/>
      <c r="T57" s="195"/>
      <c r="U57" s="651" t="s">
        <v>159</v>
      </c>
      <c r="V57" s="653" t="s">
        <v>134</v>
      </c>
      <c r="W57" s="655" t="s">
        <v>160</v>
      </c>
      <c r="X57" s="657" t="s">
        <v>181</v>
      </c>
      <c r="Y57" s="196"/>
      <c r="Z57" s="724" t="s">
        <v>133</v>
      </c>
      <c r="AA57" s="724"/>
      <c r="AB57" s="725"/>
      <c r="AC57" s="726" t="s">
        <v>122</v>
      </c>
      <c r="AD57" s="727"/>
      <c r="AE57" s="728"/>
      <c r="AF57" s="166"/>
      <c r="AH57" s="713">
        <f t="array" ref="AH57">MAX(FREQUENCY(IF(AW91:AW121=1,ROW(91:121)),IF(AW91:AW121&lt;&gt;1,ROW(91:121))))</f>
        <v>1</v>
      </c>
      <c r="AI57" s="713"/>
      <c r="AJ57" s="4"/>
      <c r="AK57" s="68"/>
      <c r="AL57" s="590"/>
      <c r="AM57" s="67"/>
      <c r="AN57" s="138">
        <f>IF(AN48=0,"",AN38/AN48)</f>
        <v>0.81818181818181823</v>
      </c>
      <c r="AO57" s="223"/>
      <c r="AR57" s="6"/>
      <c r="AS57" s="637" t="s">
        <v>45</v>
      </c>
      <c r="AT57" s="638"/>
      <c r="AU57" s="92">
        <f>IF(AP4=AP5,"",IF(AP42=0,"",CORREL(AP4:AP34,R4:R34)))</f>
        <v>9.4076853593119611E-2</v>
      </c>
      <c r="AV57" s="577">
        <f>IF(AP4=AP5,"",IF(AP42=0,"",ABS(AU57)))</f>
        <v>9.4076853593119611E-2</v>
      </c>
      <c r="AX57" s="361">
        <v>9</v>
      </c>
      <c r="AY57" s="23">
        <f t="shared" si="26"/>
        <v>7.95</v>
      </c>
      <c r="AZ57" s="50"/>
      <c r="BA57" s="26">
        <f t="shared" si="28"/>
        <v>3.2298333333333336</v>
      </c>
      <c r="BB57" s="7">
        <f t="shared" si="27"/>
        <v>-0.14999999999999947</v>
      </c>
      <c r="BC57" s="25">
        <f>IF(ISBLANK(G12),"",(AVERAGE($AY$49:AY57)))</f>
        <v>7.9444444444444446</v>
      </c>
      <c r="BD57" s="13">
        <f t="shared" si="29"/>
        <v>3.1687592592592591</v>
      </c>
      <c r="BE57" s="6"/>
      <c r="BF57" s="556">
        <v>2.7777777777777776E-2</v>
      </c>
      <c r="BG57" s="556">
        <v>0.53125</v>
      </c>
      <c r="BH57" s="556">
        <v>0.59722222222222221</v>
      </c>
      <c r="BI57" s="556">
        <v>0.22916666666666666</v>
      </c>
      <c r="BJ57" s="556">
        <v>0.79652777777777783</v>
      </c>
      <c r="BK57" s="18"/>
      <c r="BL57" s="78"/>
    </row>
    <row r="58" spans="1:64" ht="12.75" x14ac:dyDescent="0.2">
      <c r="A58" s="67"/>
      <c r="B58" s="707" t="s">
        <v>14</v>
      </c>
      <c r="C58" s="708"/>
      <c r="D58" s="709"/>
      <c r="E58" s="89">
        <f>IF(ISBLANK(H5),"",CORREL(I4:I34,N4:N34))</f>
        <v>0.66613716933517619</v>
      </c>
      <c r="F58" s="576">
        <f>IF(ISBLANK(H5),"",ABS(E58))</f>
        <v>0.66613716933517619</v>
      </c>
      <c r="H58" s="722"/>
      <c r="I58" s="723"/>
      <c r="J58" s="204"/>
      <c r="K58" s="205" t="s">
        <v>2</v>
      </c>
      <c r="L58" s="206" t="s">
        <v>3</v>
      </c>
      <c r="M58" s="207" t="s">
        <v>156</v>
      </c>
      <c r="N58" s="208" t="s">
        <v>5</v>
      </c>
      <c r="O58" s="204"/>
      <c r="P58" s="205" t="s">
        <v>2</v>
      </c>
      <c r="Q58" s="206" t="s">
        <v>3</v>
      </c>
      <c r="R58" s="207" t="s">
        <v>4</v>
      </c>
      <c r="S58" s="208" t="s">
        <v>5</v>
      </c>
      <c r="T58" s="209"/>
      <c r="U58" s="652"/>
      <c r="V58" s="654"/>
      <c r="W58" s="656"/>
      <c r="X58" s="658"/>
      <c r="Y58" s="210"/>
      <c r="Z58" s="211" t="s">
        <v>137</v>
      </c>
      <c r="AA58" s="211" t="s">
        <v>235</v>
      </c>
      <c r="AB58" s="495" t="s">
        <v>138</v>
      </c>
      <c r="AC58" s="533" t="s">
        <v>140</v>
      </c>
      <c r="AD58" s="534" t="s">
        <v>235</v>
      </c>
      <c r="AE58" s="535" t="s">
        <v>141</v>
      </c>
      <c r="AF58" s="166"/>
      <c r="AG58" s="650"/>
      <c r="AH58" s="650"/>
      <c r="AI58" s="650"/>
      <c r="AJ58" s="650"/>
      <c r="AK58" s="6"/>
      <c r="AL58" s="590"/>
      <c r="AM58" s="67"/>
      <c r="AO58" s="224"/>
      <c r="AR58" s="6"/>
      <c r="AS58" s="637" t="s">
        <v>46</v>
      </c>
      <c r="AT58" s="638"/>
      <c r="AU58" s="92">
        <f>IF(ISBLANK(U5),"",CORREL(U4:U34,R4:R34))</f>
        <v>0.10263108326301913</v>
      </c>
      <c r="AV58" s="577">
        <f>IF(ISBLANK(U5),"",ABS(AU58))</f>
        <v>0.10263108326301913</v>
      </c>
      <c r="AX58" s="361">
        <v>10</v>
      </c>
      <c r="AY58" s="23">
        <f t="shared" si="26"/>
        <v>9.4499999999999993</v>
      </c>
      <c r="AZ58" s="50"/>
      <c r="BA58" s="26">
        <f t="shared" si="28"/>
        <v>4.8086666666666673</v>
      </c>
      <c r="BB58" s="7">
        <f t="shared" si="27"/>
        <v>-0.15000000000000036</v>
      </c>
      <c r="BC58" s="25">
        <f>IF(ISBLANK(G13),"",(AVERAGE($AY$49:AY58)))</f>
        <v>8.0950000000000006</v>
      </c>
      <c r="BD58" s="13">
        <f t="shared" si="29"/>
        <v>3.332749999999999</v>
      </c>
      <c r="BE58" s="6"/>
      <c r="BF58" s="556" t="s">
        <v>298</v>
      </c>
      <c r="BG58" s="556" t="s">
        <v>382</v>
      </c>
      <c r="BH58" s="556" t="s">
        <v>274</v>
      </c>
      <c r="BI58" s="556" t="s">
        <v>383</v>
      </c>
      <c r="BJ58" s="556">
        <v>1.2500000000000001E-2</v>
      </c>
      <c r="BK58" s="18"/>
      <c r="BL58" s="78"/>
    </row>
    <row r="59" spans="1:64" ht="12.75" x14ac:dyDescent="0.2">
      <c r="A59" s="67"/>
      <c r="B59" s="707" t="s">
        <v>52</v>
      </c>
      <c r="C59" s="708"/>
      <c r="D59" s="709"/>
      <c r="E59" s="89">
        <f>IF(ISBLANK(H5),"",CORREL(L4:L34,R4:R34))</f>
        <v>-0.19015270062207565</v>
      </c>
      <c r="F59" s="576">
        <f>IF(ISBLANK(H5),"",ABS(E59))</f>
        <v>0.19015270062207565</v>
      </c>
      <c r="H59" s="729" t="s">
        <v>19</v>
      </c>
      <c r="I59" s="730"/>
      <c r="J59" s="191"/>
      <c r="K59" s="100">
        <f>IF(ISBLANK(F4),"",AVERAGE(F4:F18))</f>
        <v>5.74</v>
      </c>
      <c r="L59" s="100">
        <f>IF(ISBLANK(G4),"",AVERAGE(G4:G18))</f>
        <v>10.146666666666668</v>
      </c>
      <c r="M59" s="100">
        <f>IF(ISBLANK(H4),"",AVERAGE(H4:H18))</f>
        <v>8.1933333333333334</v>
      </c>
      <c r="N59" s="100">
        <f>IF(ISBLANK(G4),"",AVERAGE(I4:I18))</f>
        <v>4.4066666666666672</v>
      </c>
      <c r="O59" s="191"/>
      <c r="P59" s="100">
        <f>IF(ISBLANK(F4),"",K59-AVERAGE(F91:F105))</f>
        <v>3.5550000000000002</v>
      </c>
      <c r="Q59" s="100">
        <f>IF(ISBLANK(G4),"",L59-AVERAGE(G91:G105))</f>
        <v>2.9545925925925953</v>
      </c>
      <c r="R59" s="100">
        <f>IF(ISBLANK(H4),"",M59-AVERAGE(H91:H105))</f>
        <v>3.5047962962962966</v>
      </c>
      <c r="S59" s="100">
        <f>IF(ISBLANK(G4),"",N59-AVERAGE(I91:I105))</f>
        <v>-0.60040740740740706</v>
      </c>
      <c r="T59" s="166"/>
      <c r="U59" s="342">
        <f>IF(ISBLANK(M4),"",AVERAGE(M4:M18))</f>
        <v>82.933333333333337</v>
      </c>
      <c r="V59" s="342">
        <f>IF(ISBLANK(P4),"",AVERAGE(R4:R18))</f>
        <v>1014</v>
      </c>
      <c r="W59" s="345">
        <f>IF(ISBLANK(U4),"",AVERAGE(U4:U18))</f>
        <v>7.0133333333333336</v>
      </c>
      <c r="X59" s="100">
        <f>IF(ISBLANK(AI4),"",AVERAGE(AI4:AI18))</f>
        <v>5.3933333333333335</v>
      </c>
      <c r="Y59" s="192"/>
      <c r="Z59" s="38">
        <f>IF(ISBLANK(Z4),"",SUM(Z4:Z18))</f>
        <v>20.900000000000002</v>
      </c>
      <c r="AA59" s="492">
        <f>IF(ISBLANK(Z4),"",Z59/($Z$39/$E$34*15))</f>
        <v>0.97533333333333339</v>
      </c>
      <c r="AB59" s="496">
        <f>IF(Z38=0,"",Z59/$Z$38)</f>
        <v>0.47285067873303172</v>
      </c>
      <c r="AC59" s="499">
        <f>IF(ISBLANK(AP4),"",SUM(AP4:AP18))</f>
        <v>25.3</v>
      </c>
      <c r="AD59" s="492">
        <f>IF(ISBLANK(AP4),"",AC59/SUM(AS91:AS105))</f>
        <v>0.65679188911770103</v>
      </c>
      <c r="AE59" s="197">
        <f>IF(ISBLANK(AP4),"",AC59/$AP$38)</f>
        <v>0.63092269326683303</v>
      </c>
      <c r="AF59" s="166"/>
      <c r="AG59" s="712" t="s">
        <v>127</v>
      </c>
      <c r="AH59" s="712"/>
      <c r="AI59" s="712"/>
      <c r="AJ59" s="712"/>
      <c r="AK59" s="314"/>
      <c r="AL59" s="590"/>
      <c r="AM59" s="67"/>
      <c r="AN59" s="182" t="s">
        <v>66</v>
      </c>
      <c r="AO59" s="87"/>
      <c r="AP59" s="800" t="s">
        <v>97</v>
      </c>
      <c r="AQ59" s="800"/>
      <c r="AR59" s="6"/>
      <c r="AS59" s="637" t="s">
        <v>47</v>
      </c>
      <c r="AT59" s="638"/>
      <c r="AU59" s="92">
        <f>IF(AQ38=0,"",CORREL(AQ4:AQ34,R4:R34))</f>
        <v>-0.2069149868305189</v>
      </c>
      <c r="AV59" s="577">
        <f>IF(AQ38=0,"",ABS(AU59))</f>
        <v>0.2069149868305189</v>
      </c>
      <c r="AX59" s="361">
        <v>11</v>
      </c>
      <c r="AY59" s="23">
        <f t="shared" si="26"/>
        <v>10.199999999999999</v>
      </c>
      <c r="AZ59" s="50"/>
      <c r="BA59" s="26">
        <f t="shared" si="28"/>
        <v>5.6375000000000002</v>
      </c>
      <c r="BB59" s="7">
        <f t="shared" si="27"/>
        <v>9.9999999999999645E-2</v>
      </c>
      <c r="BC59" s="25">
        <f>IF(ISBLANK(G14),"",(AVERAGE($AY$49:AY59)))</f>
        <v>8.286363636363637</v>
      </c>
      <c r="BD59" s="13">
        <f t="shared" si="29"/>
        <v>3.542272727272727</v>
      </c>
      <c r="BE59" s="6"/>
      <c r="BF59" s="556">
        <v>0.27083333333333331</v>
      </c>
      <c r="BG59" s="556">
        <v>0.625</v>
      </c>
      <c r="BH59" s="556">
        <v>0.63888888888888895</v>
      </c>
      <c r="BI59" s="556" t="s">
        <v>387</v>
      </c>
      <c r="BJ59" s="556">
        <v>0.65208333333333335</v>
      </c>
      <c r="BK59" s="18"/>
      <c r="BL59" s="78"/>
    </row>
    <row r="60" spans="1:64" ht="12.75" customHeight="1" x14ac:dyDescent="0.2">
      <c r="A60" s="67"/>
      <c r="B60" s="707" t="s">
        <v>57</v>
      </c>
      <c r="C60" s="708"/>
      <c r="D60" s="709"/>
      <c r="E60" s="89">
        <f>IF(ISBLANK(H5),"",CORREL(G4:G34,N4:N34))</f>
        <v>0.32717880907543517</v>
      </c>
      <c r="F60" s="576">
        <f>IF(ISBLANK(H5),"",ABS(E60))</f>
        <v>0.32717880907543517</v>
      </c>
      <c r="H60" s="729" t="s">
        <v>217</v>
      </c>
      <c r="I60" s="730"/>
      <c r="J60" s="191"/>
      <c r="K60" s="100">
        <f>IF(ISBLANK(F19),"",AVERAGE(F19:F34))</f>
        <v>4.546153846153846</v>
      </c>
      <c r="L60" s="100">
        <f>IF(ISBLANK(G19),"",AVERAGE(G19:G34))</f>
        <v>8.7307692307692299</v>
      </c>
      <c r="M60" s="100">
        <f>IF(ISBLANK(H19),"",AVERAGE(H19:H34))</f>
        <v>6.4846153846153856</v>
      </c>
      <c r="N60" s="100">
        <f>IF(ISBLANK(G19),"",AVERAGE(I19:I34))</f>
        <v>4.1846153846153848</v>
      </c>
      <c r="O60" s="191"/>
      <c r="P60" s="100">
        <f>IF(ISBLANK(F19),"",K60-AVERAGE(F106:F121))</f>
        <v>2.2961538461538455</v>
      </c>
      <c r="Q60" s="100">
        <f>IF(ISBLANK(G19),"",L60-AVERAGE(G106:G121))</f>
        <v>0.76239316239316235</v>
      </c>
      <c r="R60" s="100">
        <f>IF(ISBLANK(H19),"",M60-AVERAGE(H106:H121))</f>
        <v>1.3754273504273504</v>
      </c>
      <c r="S60" s="100">
        <f>IF(ISBLANK(G19),"",N60-AVERAGE(I106:I121))</f>
        <v>-1.5337606837606836</v>
      </c>
      <c r="T60" s="166"/>
      <c r="U60" s="342">
        <f>IF(ISBLANK(M19),"",AVERAGE(M19:M34))</f>
        <v>87.692307692307693</v>
      </c>
      <c r="V60" s="342">
        <f>IF(ISBLANK(P19),"",AVERAGE(R19:R34))</f>
        <v>1014.8461538461538</v>
      </c>
      <c r="W60" s="345">
        <f>IF(ISBLANK(U19),"",AVERAGE(U19:U34))</f>
        <v>4.9461538461538463</v>
      </c>
      <c r="X60" s="100">
        <f>IF(ISBLANK(AI19),"",AVERAGE(AI19:AI34))</f>
        <v>4.5307692307692315</v>
      </c>
      <c r="Y60" s="192"/>
      <c r="Z60" s="38">
        <f>IF(ISBLANK(Z19),"",SUM(Z19:Z34))</f>
        <v>23.3</v>
      </c>
      <c r="AA60" s="492">
        <f>IF(ISBLANK(Z19),"",(Z60/($Z$39/$E$34*13)))</f>
        <v>1.2546153846153845</v>
      </c>
      <c r="AB60" s="496">
        <f>IF(ISBLANK(Z19),"",Z60/$Z$38)</f>
        <v>0.52714932126696834</v>
      </c>
      <c r="AC60" s="118">
        <f>IF(ISBLANK(AP19),"",SUM(AP19:AP34))</f>
        <v>14.8</v>
      </c>
      <c r="AD60" s="492">
        <f>IF(ISBLANK(AP19),"",AC60/SUM(AS106:AS121))</f>
        <v>0.40570812845399828</v>
      </c>
      <c r="AE60" s="197">
        <f>IF(ISBLANK(AP19),"",AC60/$AP$38)</f>
        <v>0.36907730673316713</v>
      </c>
      <c r="AF60" s="166"/>
      <c r="AH60" s="713">
        <f t="array" ref="AH60">MAX(FREQUENCY(IF(AX91:AX121=1,ROW(91:121)),IF(AX91:AX121&lt;&gt;1,ROW(91:121))))</f>
        <v>6</v>
      </c>
      <c r="AI60" s="713"/>
      <c r="AJ60" s="4"/>
      <c r="AK60" s="68"/>
      <c r="AL60" s="4"/>
      <c r="AM60" s="67"/>
      <c r="AN60" s="53">
        <f t="array" ref="AN60">MAX(FREQUENCY(IF(AJ91:AJ121=1,ROW(53:83)),IF(AJ91:AJ121&lt;&gt;1,ROW(53:83))))</f>
        <v>4</v>
      </c>
      <c r="AO60" s="223"/>
      <c r="AP60" s="767" t="s">
        <v>268</v>
      </c>
      <c r="AQ60" s="767"/>
      <c r="AR60" s="6"/>
      <c r="AS60" s="801" t="s">
        <v>48</v>
      </c>
      <c r="AT60" s="802"/>
      <c r="AU60" s="96">
        <f>IF(U42=0,"",CORREL(U4:U34,S4:S34))</f>
        <v>-1.8169170101949312E-2</v>
      </c>
      <c r="AV60" s="577">
        <f>IF(U42=0,"",ABS(AU60))</f>
        <v>1.8169170101949312E-2</v>
      </c>
      <c r="AX60" s="361">
        <v>12</v>
      </c>
      <c r="AY60" s="23">
        <f t="shared" si="26"/>
        <v>8.0500000000000007</v>
      </c>
      <c r="AZ60" s="50"/>
      <c r="BA60" s="26">
        <f t="shared" si="28"/>
        <v>3.5027777777777778</v>
      </c>
      <c r="BB60" s="7">
        <f t="shared" si="27"/>
        <v>-0.84999999999999964</v>
      </c>
      <c r="BC60" s="25">
        <f>IF(ISBLANK(G15),"",(AVERAGE($AY$49:AY60)))</f>
        <v>8.2666666666666675</v>
      </c>
      <c r="BD60" s="13">
        <f t="shared" si="29"/>
        <v>3.5389814814814811</v>
      </c>
      <c r="BE60" s="6"/>
      <c r="BF60" s="556">
        <v>0.375</v>
      </c>
      <c r="BG60" s="556">
        <v>0.56597222222222221</v>
      </c>
      <c r="BH60" s="556">
        <v>0.70833333333333337</v>
      </c>
      <c r="BI60" s="556">
        <v>0.22222222222222221</v>
      </c>
      <c r="BJ60" s="556">
        <v>0.6479166666666667</v>
      </c>
      <c r="BK60" s="18"/>
      <c r="BL60" s="78"/>
    </row>
    <row r="61" spans="1:64" ht="12.75" x14ac:dyDescent="0.2">
      <c r="A61" s="67"/>
      <c r="B61" s="707" t="s">
        <v>58</v>
      </c>
      <c r="C61" s="708"/>
      <c r="D61" s="709"/>
      <c r="E61" s="89">
        <f>IF(ISBLANK(H5),"",CORREL(G4:G34,K4:K34))</f>
        <v>-0.41838961401400165</v>
      </c>
      <c r="F61" s="576">
        <f>IF(ISBLANK(H5),"",ABS(E61))</f>
        <v>0.41838961401400165</v>
      </c>
      <c r="H61" s="198"/>
      <c r="I61" s="110"/>
      <c r="J61" s="191"/>
      <c r="K61" s="50"/>
      <c r="L61" s="50"/>
      <c r="M61" s="50"/>
      <c r="N61" s="50"/>
      <c r="O61" s="191"/>
      <c r="P61" s="50"/>
      <c r="Q61" s="50"/>
      <c r="R61" s="50"/>
      <c r="S61" s="50"/>
      <c r="T61" s="166"/>
      <c r="U61" s="343"/>
      <c r="V61" s="343"/>
      <c r="W61" s="346"/>
      <c r="X61" s="50"/>
      <c r="Y61" s="192"/>
      <c r="Z61" s="110"/>
      <c r="AA61" s="493"/>
      <c r="AB61" s="497"/>
      <c r="AC61" s="69"/>
      <c r="AD61" s="493"/>
      <c r="AE61" s="199"/>
      <c r="AF61" s="166"/>
      <c r="AJ61" s="333"/>
      <c r="AK61" s="6"/>
      <c r="AM61" s="136"/>
      <c r="AO61" s="225"/>
      <c r="AP61" s="767"/>
      <c r="AQ61" s="767"/>
      <c r="AR61" s="6"/>
      <c r="AX61" s="361">
        <v>13</v>
      </c>
      <c r="AY61" s="23">
        <f t="shared" si="26"/>
        <v>7.1</v>
      </c>
      <c r="AZ61" s="50"/>
      <c r="BA61" s="26">
        <f t="shared" si="28"/>
        <v>2.5680555555555555</v>
      </c>
      <c r="BB61" s="7">
        <f t="shared" si="27"/>
        <v>-0.30000000000000071</v>
      </c>
      <c r="BC61" s="25">
        <f>IF(ISBLANK(G16),"",(AVERAGE($AY$49:AY61)))</f>
        <v>8.1769230769230763</v>
      </c>
      <c r="BD61" s="13">
        <f t="shared" si="29"/>
        <v>3.4642948717948725</v>
      </c>
      <c r="BE61" s="6"/>
      <c r="BF61" s="556">
        <v>0.31944444444444448</v>
      </c>
      <c r="BG61" s="556">
        <v>0.56944444444444442</v>
      </c>
      <c r="BH61" s="556">
        <v>0.625</v>
      </c>
      <c r="BI61" s="556">
        <v>0.23958333333333334</v>
      </c>
      <c r="BJ61" s="556">
        <v>0.65069444444444446</v>
      </c>
      <c r="BK61" s="18"/>
      <c r="BL61" s="78"/>
    </row>
    <row r="62" spans="1:64" ht="12.75" x14ac:dyDescent="0.2">
      <c r="A62" s="67"/>
      <c r="B62" s="707" t="s">
        <v>59</v>
      </c>
      <c r="C62" s="708"/>
      <c r="D62" s="709"/>
      <c r="E62" s="89">
        <f>IF(ISBLANK(H5),"",CORREL(I4:I34,K4:K34))</f>
        <v>-0.51250845191016781</v>
      </c>
      <c r="F62" s="576">
        <f>IF(ISBLANK(H5),"",ABS(E62))</f>
        <v>0.51250845191016781</v>
      </c>
      <c r="H62" s="729" t="s">
        <v>27</v>
      </c>
      <c r="I62" s="730"/>
      <c r="J62" s="191"/>
      <c r="K62" s="100">
        <f>IF(ISBLANK(F4),"",AVERAGE(F4:F13))</f>
        <v>5.69</v>
      </c>
      <c r="L62" s="100">
        <f>IF(ISBLANK(G4),"",AVERAGE(G4:G13))</f>
        <v>10.499999999999998</v>
      </c>
      <c r="M62" s="100">
        <f>IF(ISBLANK(H4),"",AVERAGE(H4:H13))</f>
        <v>8.36</v>
      </c>
      <c r="N62" s="100">
        <f>IF(ISBLANK(G4),"",AVERAGE(I4:I13))</f>
        <v>4.8100000000000005</v>
      </c>
      <c r="O62" s="191"/>
      <c r="P62" s="100">
        <f>IF(ISBLANK(F4),"",K62-AVERAGE(F91:F100))</f>
        <v>3.3675000000000002</v>
      </c>
      <c r="Q62" s="100">
        <f>IF(ISBLANK(G4),"",L62-AVERAGE(G91:G100))</f>
        <v>3.2979999999999983</v>
      </c>
      <c r="R62" s="100">
        <f>IF(ISBLANK(H4),"",M62-AVERAGE(H91:H100))</f>
        <v>3.5977499999999996</v>
      </c>
      <c r="S62" s="100">
        <f>IF(ISBLANK(G4),"",N62-AVERAGE(I91:I100))</f>
        <v>-6.9499999999999673E-2</v>
      </c>
      <c r="T62" s="166"/>
      <c r="U62" s="342">
        <f>IF(ISBLANK(M4),"",AVERAGE(M4:M13))</f>
        <v>81.3</v>
      </c>
      <c r="V62" s="342">
        <f>IF(ISBLANK(P4),"",AVERAGE(R4:R13))</f>
        <v>1019.15</v>
      </c>
      <c r="W62" s="345">
        <f>IF(ISBLANK(U4),"",AVERAGE(U4:U13))</f>
        <v>7.7199999999999989</v>
      </c>
      <c r="X62" s="100">
        <f>IF(ISBLANK(AI4),"",AVERAGE(AI4:AI13))</f>
        <v>5.25</v>
      </c>
      <c r="Y62" s="192"/>
      <c r="Z62" s="38">
        <f>IF(ISBLANK(Z4),"",SUM(Z4:Z13))</f>
        <v>12.700000000000001</v>
      </c>
      <c r="AA62" s="492">
        <f>IF(ISBLANK(Z4),"",Z62/($Z$39/$E$34*10))</f>
        <v>0.88900000000000001</v>
      </c>
      <c r="AB62" s="496">
        <f>IF(Z38=0,"",Z62/$Z$38)</f>
        <v>0.28733031674208143</v>
      </c>
      <c r="AC62" s="118">
        <f>IF(ISBLANK(AP4),"",SUM(AP4:AP13))</f>
        <v>17.100000000000001</v>
      </c>
      <c r="AD62" s="492">
        <f>IF(ISBLANK(AP4),"",AC62/SUM(AS91:AS100))</f>
        <v>0.67659559159042137</v>
      </c>
      <c r="AE62" s="197">
        <f>IF(ISBLANK(AP4),"",AC62/$AP$38)</f>
        <v>0.42643391521197016</v>
      </c>
      <c r="AF62" s="222"/>
      <c r="AK62" s="6"/>
      <c r="AM62" s="136"/>
      <c r="AN62" s="180" t="s">
        <v>65</v>
      </c>
      <c r="AO62" s="226"/>
      <c r="AP62" s="767"/>
      <c r="AQ62" s="767"/>
      <c r="AR62" s="6"/>
      <c r="AS62" s="785" t="s">
        <v>4</v>
      </c>
      <c r="AT62" s="785"/>
      <c r="AU62" s="220">
        <f>IF(AQ38=0,"",AVERAGE(AV50:AV60))</f>
        <v>0.35610977627036527</v>
      </c>
      <c r="AV62" s="577">
        <f>AU62</f>
        <v>0.35610977627036527</v>
      </c>
      <c r="AX62" s="361">
        <v>14</v>
      </c>
      <c r="AY62" s="23">
        <f t="shared" si="26"/>
        <v>7</v>
      </c>
      <c r="AZ62" s="50"/>
      <c r="BA62" s="26">
        <f t="shared" si="28"/>
        <v>2.4833333333333343</v>
      </c>
      <c r="BB62" s="7">
        <f t="shared" si="27"/>
        <v>0.20000000000000018</v>
      </c>
      <c r="BC62" s="25">
        <f>IF(ISBLANK(G17),"",(AVERAGE($AY$49:AY62)))</f>
        <v>8.0928571428571434</v>
      </c>
      <c r="BD62" s="13">
        <f t="shared" si="29"/>
        <v>3.394226190476191</v>
      </c>
      <c r="BE62" s="6"/>
      <c r="BF62" s="556">
        <v>0</v>
      </c>
      <c r="BG62" s="556">
        <v>0.55902777777777779</v>
      </c>
      <c r="BH62" s="556">
        <v>0.57986111111111105</v>
      </c>
      <c r="BI62" s="556" t="s">
        <v>390</v>
      </c>
      <c r="BJ62" s="556">
        <v>0.60347222222222219</v>
      </c>
      <c r="BK62" s="55"/>
      <c r="BL62" s="78"/>
    </row>
    <row r="63" spans="1:64" ht="12.75" customHeight="1" x14ac:dyDescent="0.2">
      <c r="A63" s="67"/>
      <c r="B63" s="707" t="s">
        <v>72</v>
      </c>
      <c r="C63" s="708"/>
      <c r="D63" s="709"/>
      <c r="E63" s="89">
        <f>IF(ISBLANK(H5),"",CORREL(R4:R34,K4:K34))</f>
        <v>2.8964702170223455E-2</v>
      </c>
      <c r="F63" s="576">
        <f>IF(ISBLANK(H5),"",ABS(E63))</f>
        <v>2.8964702170223455E-2</v>
      </c>
      <c r="H63" s="729" t="s">
        <v>28</v>
      </c>
      <c r="I63" s="730"/>
      <c r="J63" s="191"/>
      <c r="K63" s="100">
        <f>IF(ISBLANK(F14),"",AVERAGE(F14:F23))</f>
        <v>4.58</v>
      </c>
      <c r="L63" s="100">
        <f>IF(ISBLANK(G14),"",AVERAGE(G14:G23))</f>
        <v>8.3999999999999986</v>
      </c>
      <c r="M63" s="100">
        <f>IF(ISBLANK(H14),"",AVERAGE(H14:H23))</f>
        <v>6.56</v>
      </c>
      <c r="N63" s="100">
        <f>IF(ISBLANK(G14),"",AVERAGE(I14:I23))</f>
        <v>3.8199999999999994</v>
      </c>
      <c r="O63" s="191"/>
      <c r="P63" s="100">
        <f>IF(ISBLANK(F14),"",K63-AVERAGE(F101:F110))</f>
        <v>2.6464285714285714</v>
      </c>
      <c r="Q63" s="100">
        <f>IF(ISBLANK(G14),"",L63-AVERAGE(G101:G110))</f>
        <v>1.0750000000000002</v>
      </c>
      <c r="R63" s="100">
        <f>IF(ISBLANK(H14),"",M63-AVERAGE(H101:H110))</f>
        <v>1.9307142857142869</v>
      </c>
      <c r="S63" s="100">
        <f>IF(ISBLANK(G14),"",N63-AVERAGE(I101:I110))</f>
        <v>-1.5714285714285712</v>
      </c>
      <c r="T63" s="166"/>
      <c r="U63" s="342">
        <f>IF(ISBLANK(M14),"",AVERAGE(M14:M23))</f>
        <v>87.8</v>
      </c>
      <c r="V63" s="342">
        <f>IF(ISBLANK(P14),"",AVERAGE(R14:R23))</f>
        <v>1005.75</v>
      </c>
      <c r="W63" s="345">
        <f>IF(ISBLANK(U14),"",AVERAGE(U14:U23))</f>
        <v>5.14</v>
      </c>
      <c r="X63" s="100">
        <f>IF(ISBLANK(AI14),"",AVERAGE(AI14:AI23))</f>
        <v>4.6599999999999993</v>
      </c>
      <c r="Y63" s="192"/>
      <c r="Z63" s="38">
        <f>IF(ISBLANK(Z14),"",SUM(Z14:Z23))</f>
        <v>19.399999999999999</v>
      </c>
      <c r="AA63" s="492">
        <f>IF(ISBLANK(Z14),"",Z63/($Z$39/$E$34*10))</f>
        <v>1.3579999999999999</v>
      </c>
      <c r="AB63" s="496">
        <f>IF(ISBLANK(Z14),"",Z63/$Z$38)</f>
        <v>0.43891402714932121</v>
      </c>
      <c r="AC63" s="118">
        <f>IF(ISBLANK(AP14),"",SUM(AP14:AP23))</f>
        <v>11.7</v>
      </c>
      <c r="AD63" s="492">
        <f>IF(ISBLANK(AP14),"",AC63/SUM(AS101:AS110))</f>
        <v>0.4345750588931992</v>
      </c>
      <c r="AE63" s="197">
        <f>IF(ISBLANK(AP14),"",AC63/$AP$38)</f>
        <v>0.29177057356608482</v>
      </c>
      <c r="AF63" s="222"/>
      <c r="AK63" s="315"/>
      <c r="AL63" s="306"/>
      <c r="AM63" s="136"/>
      <c r="AN63" s="5">
        <f>MIN(AT79,AN92)</f>
        <v>8</v>
      </c>
      <c r="AO63" s="227"/>
      <c r="AP63" s="784" t="s">
        <v>228</v>
      </c>
      <c r="AQ63" s="784"/>
      <c r="AR63" s="6"/>
      <c r="AS63" s="785" t="s">
        <v>34</v>
      </c>
      <c r="AT63" s="785"/>
      <c r="AU63" s="9">
        <f>AN96+AN101</f>
        <v>2</v>
      </c>
      <c r="AV63" s="103" t="s">
        <v>69</v>
      </c>
      <c r="AX63" s="361">
        <v>15</v>
      </c>
      <c r="AY63" s="23">
        <f t="shared" si="26"/>
        <v>5.85</v>
      </c>
      <c r="AZ63" s="50"/>
      <c r="BA63" s="26">
        <f t="shared" si="28"/>
        <v>1.3027777777777785</v>
      </c>
      <c r="BB63" s="7">
        <f t="shared" si="27"/>
        <v>-0.25</v>
      </c>
      <c r="BC63" s="25">
        <f>IF(ISBLANK(G18),"",(AVERAGE($AY$49:AY63)))</f>
        <v>7.9433333333333325</v>
      </c>
      <c r="BD63" s="13">
        <f t="shared" si="29"/>
        <v>3.2547962962962975</v>
      </c>
      <c r="BE63" s="6"/>
      <c r="BF63" s="556">
        <v>0.26041666666666669</v>
      </c>
      <c r="BG63" s="556">
        <v>0.5</v>
      </c>
      <c r="BH63" s="556">
        <v>0.48958333333333331</v>
      </c>
      <c r="BI63" s="556" t="s">
        <v>392</v>
      </c>
      <c r="BJ63" s="556">
        <v>0.52847222222222223</v>
      </c>
      <c r="BK63" s="18"/>
      <c r="BL63" s="78"/>
    </row>
    <row r="64" spans="1:64" ht="12.75" x14ac:dyDescent="0.2">
      <c r="A64" s="67"/>
      <c r="B64" s="707" t="s">
        <v>74</v>
      </c>
      <c r="C64" s="708"/>
      <c r="D64" s="709"/>
      <c r="E64" s="89">
        <f>IF(ISBLANK(H5),"",CORREL(K4:K34,N4:N34))</f>
        <v>-0.90690437079919373</v>
      </c>
      <c r="F64" s="576">
        <f>IF(ISBLANK(H5),"",ABS(E64))</f>
        <v>0.90690437079919373</v>
      </c>
      <c r="H64" s="729" t="s">
        <v>218</v>
      </c>
      <c r="I64" s="730"/>
      <c r="J64" s="191"/>
      <c r="K64" s="100">
        <f>IF(ISBLANK(F24),"",AVERAGE(F24:F34))</f>
        <v>5.3125</v>
      </c>
      <c r="L64" s="100">
        <f>IF(ISBLANK(G24),"",AVERAGE(G24:G34))</f>
        <v>9.5875000000000004</v>
      </c>
      <c r="M64" s="100">
        <f>IF(ISBLANK(H24),"",AVERAGE(H24:H34))</f>
        <v>7.2500000000000009</v>
      </c>
      <c r="N64" s="100">
        <f>IF(ISBLANK(G24),"",AVERAGE(I24:I34))</f>
        <v>4.2749999999999995</v>
      </c>
      <c r="O64" s="191"/>
      <c r="P64" s="100">
        <f>IF(ISBLANK(F24),"",K64-AVERAGE(F111:F121))</f>
        <v>2.8794642857142856</v>
      </c>
      <c r="Q64" s="100">
        <f>IF(ISBLANK(G24),"",L64-AVERAGE(G111:G121))</f>
        <v>1.3125</v>
      </c>
      <c r="R64" s="100">
        <f>IF(ISBLANK(H24),"",M64-AVERAGE(H111:H121))</f>
        <v>1.8959821428571439</v>
      </c>
      <c r="S64" s="100">
        <f>IF(ISBLANK(G24),"",N64-AVERAGE(I111:I121))</f>
        <v>-1.5669642857142874</v>
      </c>
      <c r="T64" s="166"/>
      <c r="U64" s="342">
        <f>IF(ISBLANK(M24),"",AVERAGE(M24:M34))</f>
        <v>86.625</v>
      </c>
      <c r="V64" s="342">
        <f>IF(ISBLANK(P24),"",AVERAGE(R24:R34))</f>
        <v>1019.25</v>
      </c>
      <c r="W64" s="345">
        <f>IF(ISBLANK(U24),"",AVERAGE(U24:U34))</f>
        <v>5.1125000000000007</v>
      </c>
      <c r="X64" s="100">
        <f>IF(ISBLANK(AI24),"",AVERAGE(AI24:AI34))</f>
        <v>5.0875000000000004</v>
      </c>
      <c r="Y64" s="192"/>
      <c r="Z64" s="38">
        <f>IF(ISBLANK(Z24),"",SUM(Z24:Z34))</f>
        <v>12.100000000000001</v>
      </c>
      <c r="AA64" s="492">
        <f>IF(ISBLANK(Z24),"",Z64/($Z$39/$E$34*8))</f>
        <v>1.0587500000000001</v>
      </c>
      <c r="AB64" s="496">
        <f>IF(ISBLANK(Z24),"",Z64/$Z$38)</f>
        <v>0.27375565610859731</v>
      </c>
      <c r="AC64" s="118">
        <f>IF(ISBLANK(AP24),"",SUM(AP24:AP34))</f>
        <v>11.3</v>
      </c>
      <c r="AD64" s="492">
        <f>IF(ISBLANK(AP24),"",AC64/SUM(AS111:AS121))</f>
        <v>0.49553671917165809</v>
      </c>
      <c r="AE64" s="197">
        <f>IF(ISBLANK(AP24),"",AC64/$AP$38)</f>
        <v>0.28179551122194518</v>
      </c>
      <c r="AF64" s="50"/>
      <c r="AG64" s="739" t="s">
        <v>177</v>
      </c>
      <c r="AH64" s="739"/>
      <c r="AI64" s="739"/>
      <c r="AJ64" s="739"/>
      <c r="AK64" s="68"/>
      <c r="AL64" s="4"/>
      <c r="AM64" s="136"/>
      <c r="AN64" s="105"/>
      <c r="AO64" s="228"/>
      <c r="AP64" s="784"/>
      <c r="AQ64" s="784"/>
      <c r="AR64" s="6"/>
      <c r="AX64" s="361">
        <v>16</v>
      </c>
      <c r="AY64" s="23">
        <f t="shared" si="26"/>
        <v>7.2</v>
      </c>
      <c r="AZ64" s="50"/>
      <c r="BA64" s="26">
        <f t="shared" si="28"/>
        <v>2.6222222222222231</v>
      </c>
      <c r="BB64" s="7">
        <f t="shared" si="27"/>
        <v>0.29999999999999982</v>
      </c>
      <c r="BC64" s="25">
        <f>IF(ISBLANK(G19),"",(AVERAGE($AY$49:AY64)))</f>
        <v>7.8968749999999996</v>
      </c>
      <c r="BD64" s="13">
        <f t="shared" si="29"/>
        <v>3.2152604166666681</v>
      </c>
      <c r="BE64" s="6"/>
      <c r="BF64" s="556">
        <v>0.17708333333333334</v>
      </c>
      <c r="BG64" s="556">
        <v>0.62847222222222221</v>
      </c>
      <c r="BH64" s="556">
        <v>0.64930555555555558</v>
      </c>
      <c r="BI64" s="556">
        <v>0.3125</v>
      </c>
      <c r="BJ64" s="556">
        <v>0.55694444444444446</v>
      </c>
      <c r="BK64" s="18"/>
      <c r="BL64" s="78"/>
    </row>
    <row r="65" spans="1:64" ht="12.75" customHeight="1" thickBot="1" x14ac:dyDescent="0.25">
      <c r="A65" s="67"/>
      <c r="B65" s="707" t="s">
        <v>73</v>
      </c>
      <c r="C65" s="708"/>
      <c r="D65" s="709"/>
      <c r="E65" s="89">
        <f>IF(ISBLANK(H5),"",CORREL(F4:F34,I4:I34))</f>
        <v>-0.4783440034107847</v>
      </c>
      <c r="F65" s="576">
        <f>IF(ISBLANK(H5),"",ABS(E65))</f>
        <v>0.4783440034107847</v>
      </c>
      <c r="G65" s="21"/>
      <c r="H65" s="198"/>
      <c r="I65" s="110"/>
      <c r="J65" s="191"/>
      <c r="K65" s="50"/>
      <c r="L65" s="50"/>
      <c r="M65" s="50"/>
      <c r="N65" s="50"/>
      <c r="O65" s="191"/>
      <c r="P65" s="50"/>
      <c r="Q65" s="50"/>
      <c r="R65" s="50"/>
      <c r="S65" s="50"/>
      <c r="T65" s="166"/>
      <c r="U65" s="343"/>
      <c r="V65" s="343"/>
      <c r="W65" s="346"/>
      <c r="X65" s="50"/>
      <c r="Y65" s="192"/>
      <c r="Z65" s="110"/>
      <c r="AA65" s="493"/>
      <c r="AB65" s="497"/>
      <c r="AC65" s="69"/>
      <c r="AD65" s="493"/>
      <c r="AE65" s="199"/>
      <c r="AF65" s="50"/>
      <c r="AH65" s="713">
        <f>SUM(BH91:BH121)</f>
        <v>7</v>
      </c>
      <c r="AI65" s="713"/>
      <c r="AJ65" s="93">
        <f>IF(M53=0,"",AH65/M53)</f>
        <v>0.25</v>
      </c>
      <c r="AK65" s="6"/>
      <c r="AM65" s="136"/>
      <c r="AO65" s="229"/>
      <c r="AP65" s="784"/>
      <c r="AQ65" s="784"/>
      <c r="AR65" s="6"/>
      <c r="AV65" s="332"/>
      <c r="AW65" s="332"/>
      <c r="AX65" s="361">
        <v>17</v>
      </c>
      <c r="AY65" s="23">
        <f t="shared" si="26"/>
        <v>6.25</v>
      </c>
      <c r="AZ65" s="50"/>
      <c r="BA65" s="26">
        <f t="shared" si="28"/>
        <v>1.6023809523809529</v>
      </c>
      <c r="BB65" s="7">
        <f t="shared" si="27"/>
        <v>0.25</v>
      </c>
      <c r="BC65" s="25">
        <f>IF(ISBLANK(G20),"",(AVERAGE($AY$49:AY65)))</f>
        <v>7.8</v>
      </c>
      <c r="BD65" s="13">
        <f t="shared" si="29"/>
        <v>3.1203851540616263</v>
      </c>
      <c r="BE65" s="6"/>
      <c r="BF65" s="556">
        <v>0.14583333333333334</v>
      </c>
      <c r="BG65" s="556">
        <v>0.57986111111111105</v>
      </c>
      <c r="BH65" s="556">
        <v>0.6875</v>
      </c>
      <c r="BI65" s="556">
        <v>0.33333333333333331</v>
      </c>
      <c r="BJ65" s="556">
        <v>0.4909722222222222</v>
      </c>
      <c r="BK65" s="18"/>
      <c r="BL65" s="78"/>
    </row>
    <row r="66" spans="1:64" ht="12.75" customHeight="1" thickTop="1" x14ac:dyDescent="0.2">
      <c r="A66" s="67"/>
      <c r="B66" s="707" t="s">
        <v>82</v>
      </c>
      <c r="C66" s="708"/>
      <c r="D66" s="709"/>
      <c r="E66" s="89">
        <f>IF(ISBLANK(H5),"",CORREL(G4:G34,I4:I34))</f>
        <v>0.22733414214634676</v>
      </c>
      <c r="F66" s="576">
        <f>IF(ISBLANK(H5),"",ABS(E66))</f>
        <v>0.22733414214634676</v>
      </c>
      <c r="H66" s="729" t="s">
        <v>29</v>
      </c>
      <c r="I66" s="730"/>
      <c r="J66" s="191"/>
      <c r="K66" s="100">
        <f>IF(ISBLANK(F4),"",AVERAGE(F4:F8))</f>
        <v>5.26</v>
      </c>
      <c r="L66" s="100">
        <f>IF(ISBLANK(G4),"",AVERAGE(G4:G8))</f>
        <v>10.36</v>
      </c>
      <c r="M66" s="100">
        <f>IF(ISBLANK(H4),"",AVERAGE(H4:H8))</f>
        <v>8.120000000000001</v>
      </c>
      <c r="N66" s="100">
        <f>IF(ISBLANK(G4),"",AVERAGE(I4:I8))</f>
        <v>5.0999999999999996</v>
      </c>
      <c r="O66" s="191"/>
      <c r="P66" s="100">
        <f>IF(ISBLANK(F4),"",K66-AVERAGE(F91:F95))</f>
        <v>2.9099999999999997</v>
      </c>
      <c r="Q66" s="100">
        <f>IF(ISBLANK(G4),"",L66-AVERAGE(G91:G95))</f>
        <v>3.2039999999999988</v>
      </c>
      <c r="R66" s="100">
        <f>IF(ISBLANK(H4),"",M66-AVERAGE(H91:H95))</f>
        <v>3.3670000000000009</v>
      </c>
      <c r="S66" s="100">
        <f>IF(ISBLANK(G4),"",N66-AVERAGE(I91:I95))</f>
        <v>0.29400000000000048</v>
      </c>
      <c r="T66" s="166"/>
      <c r="U66" s="342">
        <f>IF(ISBLANK(M4),"",AVERAGE(M4:M8))</f>
        <v>82.2</v>
      </c>
      <c r="V66" s="342">
        <f>IF(ISBLANK(P4),"",AVERAGE(R4:R8))</f>
        <v>1021</v>
      </c>
      <c r="W66" s="345">
        <f>IF(ISBLANK(U4),"",AVERAGE(U4:U8))</f>
        <v>8.6</v>
      </c>
      <c r="X66" s="100">
        <f>IF(ISBLANK(AI4),"",AVERAGE(AI4:AI8))</f>
        <v>5.18</v>
      </c>
      <c r="Y66" s="192"/>
      <c r="Z66" s="100">
        <f>IF(ISBLANK(Z4),"",SUM(Z4:Z8))</f>
        <v>0.30000000000000004</v>
      </c>
      <c r="AA66" s="492">
        <f>IF(ISBLANK(Z4),"",Z66/($Z$39/$E$34*5))</f>
        <v>4.2000000000000003E-2</v>
      </c>
      <c r="AB66" s="496">
        <f>IF(Z38=0,"",Z66/$Z$38)</f>
        <v>6.7873303167420816E-3</v>
      </c>
      <c r="AC66" s="165">
        <f>IF(ISBLANK(AP4),"",SUM(AP4:AP8))</f>
        <v>6.3999999999999995</v>
      </c>
      <c r="AD66" s="492">
        <f>IF(ISBLANK(AP4),"",AC66/SUM(AS91:AS95))</f>
        <v>0.514476092666727</v>
      </c>
      <c r="AE66" s="197">
        <f>IF(ISBLANK(AP4),"",AC66/$AP$38)</f>
        <v>0.15960099750623441</v>
      </c>
      <c r="AF66" s="50"/>
      <c r="AG66" s="650"/>
      <c r="AH66" s="650"/>
      <c r="AI66" s="650"/>
      <c r="AJ66" s="650"/>
      <c r="AK66" s="316"/>
      <c r="AM66" s="136"/>
      <c r="AN66" s="190" t="s">
        <v>254</v>
      </c>
      <c r="AO66" s="229"/>
      <c r="AP66" s="784"/>
      <c r="AQ66" s="784"/>
      <c r="AR66" s="6"/>
      <c r="AT66" s="186" t="s">
        <v>86</v>
      </c>
      <c r="AU66" s="186"/>
      <c r="AV66" s="571"/>
      <c r="AW66" s="571"/>
      <c r="AX66" s="361">
        <v>18</v>
      </c>
      <c r="AY66" s="23">
        <f t="shared" si="26"/>
        <v>4.55</v>
      </c>
      <c r="AZ66" s="50"/>
      <c r="BA66" s="26">
        <f t="shared" si="28"/>
        <v>-0.16746031746031687</v>
      </c>
      <c r="BB66" s="7">
        <f t="shared" si="27"/>
        <v>4.9999999999999822E-2</v>
      </c>
      <c r="BC66" s="25">
        <f>IF(ISBLANK(G21),"",(AVERAGE($AY$49:AY66)))</f>
        <v>7.6194444444444445</v>
      </c>
      <c r="BD66" s="13">
        <f t="shared" si="29"/>
        <v>2.9377270723104072</v>
      </c>
      <c r="BE66" s="6"/>
      <c r="BF66" s="556">
        <v>0.30763888888888891</v>
      </c>
      <c r="BG66" s="556">
        <v>0.4861111111111111</v>
      </c>
      <c r="BH66" s="556">
        <v>0.67708333333333337</v>
      </c>
      <c r="BI66" s="556">
        <v>0.35416666666666669</v>
      </c>
      <c r="BJ66" s="556">
        <v>0.77569444444444446</v>
      </c>
      <c r="BK66" s="18"/>
      <c r="BL66" s="78"/>
    </row>
    <row r="67" spans="1:64" ht="12.75" x14ac:dyDescent="0.2">
      <c r="A67" s="67"/>
      <c r="B67" s="740"/>
      <c r="C67" s="741"/>
      <c r="D67" s="741"/>
      <c r="E67" s="157"/>
      <c r="F67" s="576"/>
      <c r="H67" s="729" t="s">
        <v>36</v>
      </c>
      <c r="I67" s="730"/>
      <c r="J67" s="191"/>
      <c r="K67" s="100">
        <f>IF(ISBLANK(F9),"",AVERAGE(F9:F13))</f>
        <v>6.1199999999999992</v>
      </c>
      <c r="L67" s="100">
        <f>IF(ISBLANK(G9),"",AVERAGE(G9:G13))</f>
        <v>10.64</v>
      </c>
      <c r="M67" s="100">
        <f>IF(ISBLANK(H9),"",AVERAGE(H9:H13))</f>
        <v>8.6</v>
      </c>
      <c r="N67" s="100">
        <f>IF(ISBLANK(G9),"",AVERAGE(I9:I13))</f>
        <v>4.5199999999999987</v>
      </c>
      <c r="O67" s="191"/>
      <c r="P67" s="100">
        <f>IF(ISBLANK(F9),"",K67-AVERAGE(F96:F100))</f>
        <v>3.8249999999999993</v>
      </c>
      <c r="Q67" s="100">
        <f>IF(ISBLANK(G9),"",L67-AVERAGE(G96:G100))</f>
        <v>3.3920000000000003</v>
      </c>
      <c r="R67" s="100">
        <f>IF(ISBLANK(H9),"",M67-AVERAGE(H96:H100))</f>
        <v>3.8284999999999991</v>
      </c>
      <c r="S67" s="100">
        <f>IF(ISBLANK(G9),"",N67-AVERAGE(I96:I100))</f>
        <v>-0.43300000000000161</v>
      </c>
      <c r="T67" s="166"/>
      <c r="U67" s="342">
        <f>IF(ISBLANK(M9),"",AVERAGE(M9:M13))</f>
        <v>80.400000000000006</v>
      </c>
      <c r="V67" s="342">
        <f>IF(ISBLANK(P9),"",AVERAGE(R9:R13))</f>
        <v>1017.3</v>
      </c>
      <c r="W67" s="345">
        <f>IF(ISBLANK(U9),"",AVERAGE(U9:U13))</f>
        <v>6.839999999999999</v>
      </c>
      <c r="X67" s="100">
        <f>IF(ISBLANK(AI9),"",AVERAGE(AI9:AI13))</f>
        <v>5.32</v>
      </c>
      <c r="Y67" s="192"/>
      <c r="Z67" s="100">
        <f>IF(ISBLANK(Z9),"",SUM(Z9:Z13))</f>
        <v>12.4</v>
      </c>
      <c r="AA67" s="492">
        <f>IF(ISBLANK(Z9),"",Z67/($Z$39/$E$34*5))</f>
        <v>1.736</v>
      </c>
      <c r="AB67" s="496">
        <f>IF(ISBLANK(Z9),"",Z67/$Z$38)</f>
        <v>0.28054298642533937</v>
      </c>
      <c r="AC67" s="165">
        <f>IF(ISBLANK(AP9),"",SUM(AP9:AP13))</f>
        <v>10.7</v>
      </c>
      <c r="AD67" s="492">
        <f>IF(ISBLANK(AP9),"",AC67/SUM(AS96:AS100))</f>
        <v>0.83373908883436387</v>
      </c>
      <c r="AE67" s="197">
        <f>IF(ISBLANK(AP9),"",AC67/$AP$38)</f>
        <v>0.26683291770573569</v>
      </c>
      <c r="AF67" s="50"/>
      <c r="AG67" s="780" t="s">
        <v>178</v>
      </c>
      <c r="AH67" s="780"/>
      <c r="AI67" s="780"/>
      <c r="AJ67" s="780"/>
      <c r="AK67" s="84"/>
      <c r="AM67" s="71"/>
      <c r="AN67" s="5">
        <f t="array" ref="AN67">SUM(IF(AP4:AP34&gt;0.25*AT91:AT121,1,0))</f>
        <v>7</v>
      </c>
      <c r="AO67" s="229"/>
      <c r="AP67" s="784"/>
      <c r="AQ67" s="784"/>
      <c r="AR67" s="6"/>
      <c r="AT67" s="187">
        <f>M53-AT70</f>
        <v>13</v>
      </c>
      <c r="AU67" s="187"/>
      <c r="AV67" s="571"/>
      <c r="AW67" s="571"/>
      <c r="AX67" s="361">
        <v>19</v>
      </c>
      <c r="AY67" s="23">
        <f t="shared" si="26"/>
        <v>4.3499999999999996</v>
      </c>
      <c r="AZ67" s="50"/>
      <c r="BA67" s="26">
        <f t="shared" si="28"/>
        <v>-0.43730158730158641</v>
      </c>
      <c r="BB67" s="7">
        <f t="shared" si="27"/>
        <v>-0.25</v>
      </c>
      <c r="BC67" s="25">
        <f>IF(ISBLANK(G22),"",(AVERAGE($AY$49:AY67)))</f>
        <v>7.4473684210526319</v>
      </c>
      <c r="BD67" s="13">
        <f t="shared" si="29"/>
        <v>2.760093984962408</v>
      </c>
      <c r="BE67" s="6"/>
      <c r="BF67" s="556" t="s">
        <v>309</v>
      </c>
      <c r="BG67" s="556">
        <v>0.68055555555555547</v>
      </c>
      <c r="BH67" s="556" t="s">
        <v>274</v>
      </c>
      <c r="BI67" s="556"/>
      <c r="BJ67" s="556">
        <v>2.8472222222222222E-2</v>
      </c>
      <c r="BK67" s="18"/>
      <c r="BL67" s="78"/>
    </row>
    <row r="68" spans="1:64" ht="12.75" customHeight="1" x14ac:dyDescent="0.2">
      <c r="A68" s="67"/>
      <c r="B68" s="731" t="s">
        <v>4</v>
      </c>
      <c r="C68" s="732"/>
      <c r="D68" s="732"/>
      <c r="E68" s="582">
        <f>IF(ISBLANK(H5),"",AVERAGE(F48:F66))</f>
        <v>0.35426968060289948</v>
      </c>
      <c r="F68" s="576">
        <f>IF(ISBLANK(H5),"",ABS(E68))</f>
        <v>0.35426968060289948</v>
      </c>
      <c r="H68" s="729" t="s">
        <v>30</v>
      </c>
      <c r="I68" s="730"/>
      <c r="J68" s="191"/>
      <c r="K68" s="100">
        <f>IF(ISBLANK(F14),"",AVERAGE(F14:F18))</f>
        <v>5.8400000000000007</v>
      </c>
      <c r="L68" s="100">
        <f>IF(ISBLANK(G14),"",AVERAGE(G14:G18))</f>
        <v>9.4400000000000013</v>
      </c>
      <c r="M68" s="100">
        <f>IF(ISBLANK(H14),"",AVERAGE(H14:H18))</f>
        <v>7.8599999999999994</v>
      </c>
      <c r="N68" s="100">
        <f>IF(ISBLANK(G14),"",AVERAGE(I14:I18))</f>
        <v>3.6</v>
      </c>
      <c r="O68" s="191"/>
      <c r="P68" s="100">
        <f>IF(ISBLANK(F14),"",K68-AVERAGE(F101:F105))</f>
        <v>3.9300000000000006</v>
      </c>
      <c r="Q68" s="100">
        <f>IF(ISBLANK(G14),"",L68-AVERAGE(G101:G105))</f>
        <v>2.2677777777777797</v>
      </c>
      <c r="R68" s="100">
        <f>IF(ISBLANK(H14),"",M68-AVERAGE(H101:H105))</f>
        <v>3.318888888888889</v>
      </c>
      <c r="S68" s="100">
        <f>IF(ISBLANK(G14),"",N68-AVERAGE(I101:I105))</f>
        <v>-1.6622222222222223</v>
      </c>
      <c r="T68" s="166"/>
      <c r="U68" s="342">
        <f>IF(ISBLANK(M14),"",AVERAGE(M14:M18))</f>
        <v>86.2</v>
      </c>
      <c r="V68" s="342">
        <f>IF(ISBLANK(P14),"",AVERAGE(R14:R18))</f>
        <v>1003.7</v>
      </c>
      <c r="W68" s="345">
        <f>IF(ISBLANK(U14),"",AVERAGE(U14:U18))</f>
        <v>5.6</v>
      </c>
      <c r="X68" s="100">
        <f>IF(ISBLANK(AI14),"",AVERAGE(AI14:AI18))</f>
        <v>5.68</v>
      </c>
      <c r="Y68" s="192"/>
      <c r="Z68" s="100">
        <f>IF(ISBLANK(Z14),"",SUM(Z14:Z18))</f>
        <v>8.1999999999999993</v>
      </c>
      <c r="AA68" s="492">
        <f>IF(ISBLANK(Z14),"",Z68/($Z$39/$E$34*5))</f>
        <v>1.1479999999999999</v>
      </c>
      <c r="AB68" s="496">
        <f>IF(ISBLANK(Z14),"",Z68/$Z$38)</f>
        <v>0.18552036199095021</v>
      </c>
      <c r="AC68" s="165">
        <f>IF(ISBLANK(AP14),"",SUM(AP14:AP18))</f>
        <v>8.1999999999999993</v>
      </c>
      <c r="AD68" s="492">
        <f>IF(ISBLANK(AP14),"",AC68/SUM(AS101:AS105))</f>
        <v>0.61900889448573349</v>
      </c>
      <c r="AE68" s="197">
        <f>IF(ISBLANK(AP14),"",AC68/$AP$38)</f>
        <v>0.20448877805486285</v>
      </c>
      <c r="AF68" s="50"/>
      <c r="AH68" s="781">
        <f>SUM(AY91:AY121)</f>
        <v>14</v>
      </c>
      <c r="AI68" s="781"/>
      <c r="AJ68" s="93">
        <f>IF(M53=0,"",AH68/M53)</f>
        <v>0.5</v>
      </c>
      <c r="AK68" s="6"/>
      <c r="AM68" s="136"/>
      <c r="AO68" s="228"/>
      <c r="AP68" s="784"/>
      <c r="AQ68" s="784"/>
      <c r="AR68" s="6"/>
      <c r="AT68" s="4"/>
      <c r="AU68" s="4"/>
      <c r="AV68" s="571"/>
      <c r="AW68" s="571"/>
      <c r="AX68" s="361">
        <v>20</v>
      </c>
      <c r="AY68" s="23">
        <f t="shared" si="26"/>
        <v>4.3499999999999996</v>
      </c>
      <c r="AZ68" s="50"/>
      <c r="BA68" s="26">
        <f t="shared" si="28"/>
        <v>-0.50714285714285734</v>
      </c>
      <c r="BB68" s="7">
        <f t="shared" si="27"/>
        <v>4.9999999999999822E-2</v>
      </c>
      <c r="BC68" s="25">
        <f>IF(ISBLANK(G23),"",(AVERAGE($AY$49:AY68)))</f>
        <v>7.2924999999999995</v>
      </c>
      <c r="BD68" s="13">
        <f t="shared" si="29"/>
        <v>2.5967321428571442</v>
      </c>
      <c r="BE68" s="6"/>
      <c r="BF68" s="556">
        <v>0.34375</v>
      </c>
      <c r="BG68" s="556">
        <v>0.52083333333333337</v>
      </c>
      <c r="BH68" s="556" t="s">
        <v>230</v>
      </c>
      <c r="BI68" s="556">
        <v>2.7777777777777776E-2</v>
      </c>
      <c r="BJ68" s="556">
        <v>0.81180555555555556</v>
      </c>
      <c r="BK68" s="54"/>
      <c r="BL68" s="78"/>
    </row>
    <row r="69" spans="1:64" ht="12.75" customHeight="1" x14ac:dyDescent="0.2">
      <c r="A69" s="67"/>
      <c r="B69" s="731" t="s">
        <v>34</v>
      </c>
      <c r="C69" s="732"/>
      <c r="D69" s="732"/>
      <c r="E69" s="583">
        <f>AN100+AN97</f>
        <v>5</v>
      </c>
      <c r="F69" s="85" t="s">
        <v>90</v>
      </c>
      <c r="H69" s="729" t="s">
        <v>31</v>
      </c>
      <c r="I69" s="730"/>
      <c r="J69" s="191"/>
      <c r="K69" s="100">
        <f>IF(ISBLANK(F19),"",AVERAGE(F19:F23))</f>
        <v>3.3200000000000003</v>
      </c>
      <c r="L69" s="100">
        <f>IF(ISBLANK(G19),"",AVERAGE(G19:G23))</f>
        <v>7.3599999999999994</v>
      </c>
      <c r="M69" s="100">
        <f>IF(ISBLANK(H19),"",AVERAGE(H19:H23))</f>
        <v>5.26</v>
      </c>
      <c r="N69" s="100">
        <f>IF(ISBLANK(G19),"",AVERAGE(I19:I23))</f>
        <v>4.04</v>
      </c>
      <c r="O69" s="191"/>
      <c r="P69" s="100">
        <f>IF(ISBLANK(F19),"",K69-AVERAGE(F106:F110))</f>
        <v>1.3628571428571425</v>
      </c>
      <c r="Q69" s="100">
        <f>IF(ISBLANK(G19),"",L69-AVERAGE(G106:G110))</f>
        <v>-0.11777777777777665</v>
      </c>
      <c r="R69" s="100">
        <f>IF(ISBLANK(H19),"",M69-AVERAGE(H106:H110))</f>
        <v>0.5425396825396831</v>
      </c>
      <c r="S69" s="100">
        <f>IF(ISBLANK(G19),"",N69-AVERAGE(I106:I110))</f>
        <v>-1.4806349206349196</v>
      </c>
      <c r="T69" s="166"/>
      <c r="U69" s="342">
        <f>IF(ISBLANK(M19),"",AVERAGE(M19:M23))</f>
        <v>89.4</v>
      </c>
      <c r="V69" s="342">
        <f>IF(ISBLANK(P19),"",AVERAGE(R19:R23))</f>
        <v>1007.8</v>
      </c>
      <c r="W69" s="345">
        <f>IF(ISBLANK(U19),"",AVERAGE(U19:U23))</f>
        <v>4.68</v>
      </c>
      <c r="X69" s="100">
        <f>IF(ISBLANK(AI19),"",AVERAGE(AI19:AI23))</f>
        <v>3.6400000000000006</v>
      </c>
      <c r="Y69" s="192"/>
      <c r="Z69" s="100">
        <f>IF(ISBLANK(Z19),"",SUM(Z19:Z23))</f>
        <v>11.2</v>
      </c>
      <c r="AA69" s="492">
        <f>IF(ISBLANK(Z19),"",Z69/($Z$39/$E$34*5))</f>
        <v>1.5679999999999998</v>
      </c>
      <c r="AB69" s="496">
        <f>IF(ISBLANK(Z19),"",Z69/$Z$38)</f>
        <v>0.25339366515837103</v>
      </c>
      <c r="AC69" s="165">
        <f>IF(ISBLANK(AP19),"",SUM(AP19:AP23))</f>
        <v>3.5</v>
      </c>
      <c r="AD69" s="492">
        <f>IF(ISBLANK(AP19),"",AC69/SUM(AS106:AS110))</f>
        <v>0.2559252264886635</v>
      </c>
      <c r="AE69" s="197">
        <f>IF(ISBLANK(AP19),"",AC69/$AP$38)</f>
        <v>8.7281795511221963E-2</v>
      </c>
      <c r="AF69" s="50"/>
      <c r="AK69" s="6"/>
      <c r="AM69" s="136"/>
      <c r="AN69" s="183" t="s">
        <v>255</v>
      </c>
      <c r="AO69" s="228"/>
      <c r="AP69" s="767" t="s">
        <v>195</v>
      </c>
      <c r="AQ69" s="767"/>
      <c r="AR69" s="6"/>
      <c r="AT69" s="189" t="s">
        <v>85</v>
      </c>
      <c r="AU69" s="189"/>
      <c r="AV69" s="603"/>
      <c r="AW69" s="571"/>
      <c r="AX69" s="361">
        <v>21</v>
      </c>
      <c r="AY69" s="23">
        <f t="shared" si="26"/>
        <v>5</v>
      </c>
      <c r="AZ69" s="50"/>
      <c r="BA69" s="26">
        <f t="shared" si="28"/>
        <v>2.857142857142847E-2</v>
      </c>
      <c r="BB69" s="7">
        <f t="shared" si="27"/>
        <v>0</v>
      </c>
      <c r="BC69" s="25">
        <f>IF(ISBLANK(G24),"",(AVERAGE($AY$49:AY69)))</f>
        <v>7.1833333333333327</v>
      </c>
      <c r="BD69" s="13">
        <f t="shared" si="29"/>
        <v>2.4744387755102055</v>
      </c>
      <c r="BE69" s="6"/>
      <c r="BF69" s="556">
        <v>1.0416666666666666E-2</v>
      </c>
      <c r="BG69" s="556">
        <v>0.60069444444444442</v>
      </c>
      <c r="BH69" s="556">
        <v>0.61111111111111105</v>
      </c>
      <c r="BI69" s="556">
        <v>0.30208333333333331</v>
      </c>
      <c r="BJ69" s="556">
        <v>0.62291666666666667</v>
      </c>
      <c r="BK69" s="54"/>
      <c r="BL69" s="78"/>
    </row>
    <row r="70" spans="1:64" ht="12.75" x14ac:dyDescent="0.2">
      <c r="A70" s="67"/>
      <c r="B70" s="160"/>
      <c r="C70" s="161"/>
      <c r="D70" s="161"/>
      <c r="E70" s="158"/>
      <c r="F70" s="120"/>
      <c r="H70" s="729" t="s">
        <v>32</v>
      </c>
      <c r="I70" s="730"/>
      <c r="J70" s="191"/>
      <c r="K70" s="100">
        <f>IF(ISBLANK(F24),"",AVERAGE(F24:F28))</f>
        <v>6.1400000000000006</v>
      </c>
      <c r="L70" s="100">
        <f>IF(ISBLANK(G24),"",AVERAGE(G24:G28))</f>
        <v>10.4</v>
      </c>
      <c r="M70" s="100">
        <f>IF(ISBLANK(H24),"",AVERAGE(H24:H28))</f>
        <v>8.16</v>
      </c>
      <c r="N70" s="100">
        <f>IF(ISBLANK(G24),"",AVERAGE(I24:I28))</f>
        <v>4.26</v>
      </c>
      <c r="O70" s="191"/>
      <c r="P70" s="100">
        <f>IF(ISBLANK(F24),"",K70-AVERAGE(F111:F115))</f>
        <v>3.7831428571428574</v>
      </c>
      <c r="Q70" s="100">
        <f>IF(ISBLANK(G24),"",L70-AVERAGE(G111:G115))</f>
        <v>2.3499999999999996</v>
      </c>
      <c r="R70" s="100">
        <f>IF(ISBLANK(H24),"",M70-AVERAGE(H111:H115))</f>
        <v>2.9565714285714284</v>
      </c>
      <c r="S70" s="100">
        <f>IF(ISBLANK(G24),"",N70-AVERAGE(I111:I115))</f>
        <v>-1.4331428571428573</v>
      </c>
      <c r="T70" s="166"/>
      <c r="U70" s="342">
        <f>IF(ISBLANK(M24),"",AVERAGE(M24:M28))</f>
        <v>88.2</v>
      </c>
      <c r="V70" s="342">
        <f>IF(ISBLANK(P24),"",AVERAGE(R24:R28))</f>
        <v>1017.8</v>
      </c>
      <c r="W70" s="345">
        <f>IF(ISBLANK(U24),"",AVERAGE(U24:U28))</f>
        <v>4.7200000000000006</v>
      </c>
      <c r="X70" s="100">
        <f>IF(ISBLANK(AI24),"",AVERAGE(AI24:AI28))</f>
        <v>6.24</v>
      </c>
      <c r="Y70" s="192"/>
      <c r="Z70" s="100">
        <f>IF(ISBLANK(Z24),"",SUM(Z24:Z28))</f>
        <v>4.0999999999999996</v>
      </c>
      <c r="AA70" s="492">
        <f>IF(ISBLANK(Z24),"",Z70/($Z$39/$E$34*5))</f>
        <v>0.57399999999999995</v>
      </c>
      <c r="AB70" s="496">
        <f>IF(ISBLANK(Z24),"",Z70/$Z$38)</f>
        <v>9.2760180995475103E-2</v>
      </c>
      <c r="AC70" s="165">
        <f>IF(ISBLANK(AP24),"",SUM(AP24:AP28))</f>
        <v>7</v>
      </c>
      <c r="AD70" s="492">
        <f>IF(ISBLANK(AP24),"",AC70/SUM(AS111:AS115))</f>
        <v>0.49584818254208146</v>
      </c>
      <c r="AE70" s="197">
        <f>IF(ISBLANK(AP24),"",AC70/$AP$38)</f>
        <v>0.17456359102244393</v>
      </c>
      <c r="AF70" s="50"/>
      <c r="AK70" s="6"/>
      <c r="AM70" s="149"/>
      <c r="AN70" s="5">
        <f>M53-AN67</f>
        <v>21</v>
      </c>
      <c r="AO70" s="88"/>
      <c r="AP70" s="767"/>
      <c r="AQ70" s="767"/>
      <c r="AR70" s="6"/>
      <c r="AT70" s="5">
        <f>M53-SUM(BI91:BI121)</f>
        <v>15</v>
      </c>
      <c r="AU70" s="5"/>
      <c r="AV70" s="571"/>
      <c r="AW70" s="571"/>
      <c r="AX70" s="361">
        <v>22</v>
      </c>
      <c r="AY70" s="23">
        <f t="shared" si="26"/>
        <v>5.8</v>
      </c>
      <c r="AZ70" s="50"/>
      <c r="BA70" s="26">
        <f t="shared" si="28"/>
        <v>0.71428571428571352</v>
      </c>
      <c r="BB70" s="7">
        <f t="shared" si="27"/>
        <v>-0.10000000000000053</v>
      </c>
      <c r="BC70" s="25">
        <f>IF(ISBLANK(G25),"",(AVERAGE($AY$49:AY70)))</f>
        <v>7.120454545454546</v>
      </c>
      <c r="BD70" s="13">
        <f t="shared" si="29"/>
        <v>2.39443181818182</v>
      </c>
      <c r="BE70" s="6"/>
      <c r="BF70" s="556">
        <v>0.29166666666666669</v>
      </c>
      <c r="BG70" s="556" t="s">
        <v>402</v>
      </c>
      <c r="BH70" s="556">
        <v>0.60416666666666663</v>
      </c>
      <c r="BI70" s="556">
        <v>0.22916666666666666</v>
      </c>
      <c r="BJ70" s="556">
        <v>0.96388888888888891</v>
      </c>
      <c r="BK70" s="54"/>
      <c r="BL70" s="78"/>
    </row>
    <row r="71" spans="1:64" ht="13.5" customHeight="1" thickBot="1" x14ac:dyDescent="0.25">
      <c r="A71" s="67"/>
      <c r="B71" s="748" t="s">
        <v>7</v>
      </c>
      <c r="C71" s="749"/>
      <c r="D71" s="749"/>
      <c r="E71" s="221" t="s">
        <v>15</v>
      </c>
      <c r="F71" s="120"/>
      <c r="G71" s="575" t="s">
        <v>340</v>
      </c>
      <c r="H71" s="750" t="s">
        <v>219</v>
      </c>
      <c r="I71" s="751"/>
      <c r="J71" s="200"/>
      <c r="K71" s="201">
        <f>IF(ISBLANK(F29),"",AVERAGE(F29:F34))</f>
        <v>3.9333333333333336</v>
      </c>
      <c r="L71" s="201">
        <f>IF(ISBLANK(G29),"",AVERAGE(G29:G34))</f>
        <v>8.2333333333333325</v>
      </c>
      <c r="M71" s="201">
        <f>IF(ISBLANK(H29),"",AVERAGE(H29:H34))</f>
        <v>5.7333333333333334</v>
      </c>
      <c r="N71" s="201">
        <f>IF(ISBLANK(G29),"",AVERAGE(I29:I34))</f>
        <v>4.3</v>
      </c>
      <c r="O71" s="200"/>
      <c r="P71" s="201">
        <f>IF(ISBLANK(F29),"",K71-AVERAGE(F116:F121))</f>
        <v>1.3733333333333335</v>
      </c>
      <c r="Q71" s="201">
        <f>IF(ISBLANK(G29),"",L71-AVERAGE(G116:G121))</f>
        <v>-0.41666666666666785</v>
      </c>
      <c r="R71" s="201">
        <f>IF(ISBLANK(H29),"",M71-AVERAGE(H116:H121))</f>
        <v>0.12833333333333297</v>
      </c>
      <c r="S71" s="201">
        <f>IF(ISBLANK(G29),"",N71-AVERAGE(I116:I121))</f>
        <v>-1.7900000000000009</v>
      </c>
      <c r="T71" s="202"/>
      <c r="U71" s="344">
        <f>IF(ISBLANK(M29),"",AVERAGE(M29:M34))</f>
        <v>84</v>
      </c>
      <c r="V71" s="344">
        <f>IF(ISBLANK(P29),"",AVERAGE(R29:R34))</f>
        <v>1021.6666666666666</v>
      </c>
      <c r="W71" s="347">
        <f>IF(ISBLANK(U29),"",AVERAGE(U29:U34))</f>
        <v>5.7666666666666666</v>
      </c>
      <c r="X71" s="201">
        <f>IF(ISBLANK(AI29),"",AVERAGE(AI29:AI34))</f>
        <v>3.1666666666666665</v>
      </c>
      <c r="Y71" s="203"/>
      <c r="Z71" s="201">
        <f>IF(ISBLANK(Z29),"",SUM(Z29:Z34))</f>
        <v>8</v>
      </c>
      <c r="AA71" s="494">
        <f>IF(ISBLANK(Z29),"",Z71/($Z$39/$E$34*3))</f>
        <v>1.8666666666666667</v>
      </c>
      <c r="AB71" s="498">
        <f>IF(ISBLANK(Z29),"",Z71/$Z$38)</f>
        <v>0.18099547511312217</v>
      </c>
      <c r="AC71" s="255">
        <f>IF(ISBLANK(AP29),"",SUM(AP29:AP34))</f>
        <v>4.3</v>
      </c>
      <c r="AD71" s="494">
        <f>IF(ISBLANK(AP29),"",AC71/SUM(AS116:AS121))</f>
        <v>0.49503052188317553</v>
      </c>
      <c r="AE71" s="256">
        <f>IF(ISBLANK(AP29),"",AC71/$AP$38)</f>
        <v>0.10723192019950126</v>
      </c>
      <c r="AF71" s="50"/>
      <c r="AG71" s="739" t="s">
        <v>125</v>
      </c>
      <c r="AH71" s="739"/>
      <c r="AI71" s="739"/>
      <c r="AJ71" s="739"/>
      <c r="AK71" s="315"/>
      <c r="AL71" s="306"/>
      <c r="AM71" s="136"/>
      <c r="AO71" s="88"/>
      <c r="AP71" s="767"/>
      <c r="AQ71" s="767"/>
      <c r="AR71" s="6"/>
      <c r="AT71" s="52"/>
      <c r="AU71" s="52"/>
      <c r="AV71" s="603"/>
      <c r="AW71" s="571"/>
      <c r="AX71" s="361">
        <v>23</v>
      </c>
      <c r="AY71" s="23">
        <f t="shared" si="26"/>
        <v>8.4</v>
      </c>
      <c r="AZ71" s="50"/>
      <c r="BA71" s="26">
        <f t="shared" si="28"/>
        <v>3.1749999999999998</v>
      </c>
      <c r="BB71" s="7">
        <f t="shared" si="27"/>
        <v>0.20000000000000107</v>
      </c>
      <c r="BC71" s="25">
        <f>IF(ISBLANK(G26),"",(AVERAGE($AY$49:AY71)))</f>
        <v>7.1760869565217398</v>
      </c>
      <c r="BD71" s="13">
        <f t="shared" si="29"/>
        <v>2.4283695652173929</v>
      </c>
      <c r="BE71" s="6"/>
      <c r="BF71" s="556">
        <v>0.24652777777777779</v>
      </c>
      <c r="BG71" s="556" t="s">
        <v>406</v>
      </c>
      <c r="BH71" s="556" t="s">
        <v>311</v>
      </c>
      <c r="BI71" s="556" t="s">
        <v>407</v>
      </c>
      <c r="BJ71" s="556">
        <v>0.42708333333333331</v>
      </c>
      <c r="BK71" s="54"/>
      <c r="BL71" s="78"/>
    </row>
    <row r="72" spans="1:64" ht="12.75" customHeight="1" x14ac:dyDescent="0.2">
      <c r="A72" s="67"/>
      <c r="B72" s="742" t="s">
        <v>33</v>
      </c>
      <c r="C72" s="743"/>
      <c r="D72" s="744"/>
      <c r="E72" s="89">
        <f>IF(Z38=0,"",CORREL(Z4:Z34,R4:R34))</f>
        <v>-0.16563142535538186</v>
      </c>
      <c r="F72" s="576">
        <f>IF(Z38=0,"",ABS(E72))</f>
        <v>0.16563142535538186</v>
      </c>
      <c r="G72" s="574">
        <f>IF(Z38=0,"",IF(AQ86&lt;0.5,"n/a",CORREL(Y4:Y34,R4:R34)))</f>
        <v>-0.20093043639475852</v>
      </c>
      <c r="H72" s="102"/>
      <c r="I72" s="21"/>
      <c r="J72" s="20"/>
      <c r="K72" s="21"/>
      <c r="O72" s="20"/>
      <c r="Q72" s="122"/>
      <c r="S72" s="100"/>
      <c r="T72" s="166"/>
      <c r="W72" s="24"/>
      <c r="X72" s="24"/>
      <c r="Y72" s="192"/>
      <c r="Z72" s="24"/>
      <c r="AA72" s="24"/>
      <c r="AB72" s="24"/>
      <c r="AC72" s="24"/>
      <c r="AF72" s="6"/>
      <c r="AH72" s="713">
        <f t="array" ref="AH72">MAX(FREQUENCY(IF(BH91:BH121=1,ROW(91:121)),IF(BH91:BH121&lt;&gt;1,ROW(91:121))))</f>
        <v>7</v>
      </c>
      <c r="AI72" s="713"/>
      <c r="AJ72" s="4"/>
      <c r="AK72" s="68"/>
      <c r="AL72" s="474"/>
      <c r="AM72" s="136"/>
      <c r="AN72" s="185" t="s">
        <v>123</v>
      </c>
      <c r="AO72" s="409"/>
      <c r="AP72" s="767"/>
      <c r="AQ72" s="767"/>
      <c r="AR72" s="6"/>
      <c r="AT72" s="307" t="s">
        <v>87</v>
      </c>
      <c r="AU72" s="307"/>
      <c r="AV72" s="571"/>
      <c r="AW72" s="571"/>
      <c r="AX72" s="361">
        <v>24</v>
      </c>
      <c r="AY72" s="23">
        <f t="shared" si="26"/>
        <v>11</v>
      </c>
      <c r="AZ72" s="50"/>
      <c r="BA72" s="26">
        <f t="shared" si="28"/>
        <v>5.6800000000000006</v>
      </c>
      <c r="BB72" s="7">
        <f t="shared" si="27"/>
        <v>0.40000000000000036</v>
      </c>
      <c r="BC72" s="25">
        <f>IF(ISBLANK(G27),"",(AVERAGE($AY$49:AY72)))</f>
        <v>7.3354166666666671</v>
      </c>
      <c r="BD72" s="13">
        <f t="shared" si="29"/>
        <v>2.5638541666666672</v>
      </c>
      <c r="BE72" s="6"/>
      <c r="BF72" s="556">
        <v>0.30555555555555552</v>
      </c>
      <c r="BG72" s="556">
        <v>0.59027777777777779</v>
      </c>
      <c r="BH72" s="556">
        <v>0.63541666666666663</v>
      </c>
      <c r="BI72" s="556">
        <v>0.34722222222222227</v>
      </c>
      <c r="BJ72" s="556">
        <v>3.0555555555555555E-2</v>
      </c>
      <c r="BK72" s="54"/>
      <c r="BL72" s="78"/>
    </row>
    <row r="73" spans="1:64" ht="12.75" customHeight="1" x14ac:dyDescent="0.2">
      <c r="A73" s="67"/>
      <c r="B73" s="742" t="s">
        <v>61</v>
      </c>
      <c r="C73" s="743"/>
      <c r="D73" s="744"/>
      <c r="E73" s="89">
        <f>IF(Z38=0,"",CORREL(Z4:Z34,H4:H34))</f>
        <v>-1.5517867557082871E-3</v>
      </c>
      <c r="F73" s="576">
        <f>IF(Z38=0,"",ABS(E73))</f>
        <v>1.5517867557082871E-3</v>
      </c>
      <c r="H73" s="102"/>
      <c r="J73" s="20"/>
      <c r="K73" s="231"/>
      <c r="L73" s="4" t="s">
        <v>352</v>
      </c>
      <c r="M73" s="4" t="s">
        <v>10</v>
      </c>
      <c r="N73" s="122"/>
      <c r="O73" s="20"/>
      <c r="Q73" s="753" t="s">
        <v>103</v>
      </c>
      <c r="R73" s="754"/>
      <c r="S73" s="754"/>
      <c r="T73" s="754"/>
      <c r="U73" s="754"/>
      <c r="V73" s="754"/>
      <c r="W73" s="754"/>
      <c r="X73" s="754"/>
      <c r="Y73" s="754"/>
      <c r="Z73" s="754"/>
      <c r="AA73" s="754"/>
      <c r="AB73" s="755"/>
      <c r="AC73" s="303"/>
      <c r="AF73" s="6"/>
      <c r="AG73" s="650"/>
      <c r="AH73" s="650"/>
      <c r="AI73" s="650"/>
      <c r="AJ73" s="650"/>
      <c r="AK73" s="6"/>
      <c r="AL73" s="477"/>
      <c r="AM73" s="136"/>
      <c r="AN73" s="138">
        <f>IF(M53=0,"",AN67/M53)</f>
        <v>0.25</v>
      </c>
      <c r="AO73" s="409"/>
      <c r="AP73" s="783" t="s">
        <v>269</v>
      </c>
      <c r="AQ73" s="661"/>
      <c r="AR73" s="6"/>
      <c r="AT73" s="587">
        <f>IF(AT67=0,"",AT67/M53)</f>
        <v>0.4642857142857143</v>
      </c>
      <c r="AU73" s="587"/>
      <c r="AV73" s="603"/>
      <c r="AW73" s="571"/>
      <c r="AX73" s="361">
        <v>25</v>
      </c>
      <c r="AY73" s="23">
        <f t="shared" si="26"/>
        <v>11.149999999999999</v>
      </c>
      <c r="AZ73" s="50"/>
      <c r="BA73" s="26">
        <f t="shared" si="28"/>
        <v>5.7349999999999994</v>
      </c>
      <c r="BB73" s="7">
        <f t="shared" si="27"/>
        <v>4.9999999999998934E-2</v>
      </c>
      <c r="BC73" s="25">
        <f>IF(ISBLANK(G28),"",(AVERAGE($AY$49:AY73)))</f>
        <v>7.4880000000000004</v>
      </c>
      <c r="BD73" s="13">
        <f t="shared" si="29"/>
        <v>2.6907000000000014</v>
      </c>
      <c r="BE73" s="6"/>
      <c r="BF73" s="556">
        <v>5.2083333333333336E-2</v>
      </c>
      <c r="BG73" s="556">
        <v>0.51388888888888895</v>
      </c>
      <c r="BH73" s="556">
        <v>0.56597222222222221</v>
      </c>
      <c r="BI73" s="556">
        <v>0.33680555555555558</v>
      </c>
      <c r="BJ73" s="556">
        <v>0.4694444444444445</v>
      </c>
      <c r="BK73" s="54"/>
      <c r="BL73" s="78"/>
    </row>
    <row r="74" spans="1:64" ht="12.75" customHeight="1" x14ac:dyDescent="0.2">
      <c r="A74" s="67"/>
      <c r="B74" s="742" t="s">
        <v>60</v>
      </c>
      <c r="C74" s="743"/>
      <c r="D74" s="744"/>
      <c r="E74" s="89">
        <f>IF(Z38=0,"",CORREL(Z4:Z34,G4:G34))</f>
        <v>-0.10255682240253793</v>
      </c>
      <c r="F74" s="576">
        <f>IF(Z38=0,"",ABS(E74))</f>
        <v>0.10255682240253793</v>
      </c>
      <c r="G74" s="236"/>
      <c r="H74" s="747" t="s">
        <v>2</v>
      </c>
      <c r="I74" s="237" t="s">
        <v>203</v>
      </c>
      <c r="J74" s="245"/>
      <c r="K74" s="106">
        <f>F39</f>
        <v>2.2000000000000002</v>
      </c>
      <c r="L74" s="108" t="str">
        <f>IF(ISBLANK(F4),"",(IF(M54=0,"n/a",(E34*K74-M53*F38)/M54)))</f>
        <v>n/a</v>
      </c>
      <c r="M74" s="106" t="str">
        <f>IF(ISBLANK(F4),"",IF(M54&gt;0,L74-F39,"n/a"))</f>
        <v>n/a</v>
      </c>
      <c r="N74" s="246" t="s">
        <v>142</v>
      </c>
      <c r="O74" s="67"/>
      <c r="Q74" s="733" t="s">
        <v>398</v>
      </c>
      <c r="R74" s="734"/>
      <c r="S74" s="734"/>
      <c r="T74" s="734"/>
      <c r="U74" s="734"/>
      <c r="V74" s="734"/>
      <c r="W74" s="734"/>
      <c r="X74" s="734"/>
      <c r="Y74" s="734"/>
      <c r="Z74" s="734"/>
      <c r="AA74" s="734"/>
      <c r="AB74" s="735"/>
      <c r="AC74" s="437"/>
      <c r="AF74" s="6"/>
      <c r="AG74" s="780" t="s">
        <v>130</v>
      </c>
      <c r="AH74" s="780"/>
      <c r="AI74" s="780"/>
      <c r="AJ74" s="780"/>
      <c r="AK74" s="316"/>
      <c r="AL74" s="477"/>
      <c r="AM74" s="136"/>
      <c r="AO74" s="88"/>
      <c r="AP74" s="661"/>
      <c r="AQ74" s="661"/>
      <c r="AR74" s="6"/>
      <c r="AV74" s="571"/>
      <c r="AW74" s="571"/>
      <c r="AX74" s="361">
        <v>26</v>
      </c>
      <c r="AY74" s="23">
        <f t="shared" si="26"/>
        <v>7.95</v>
      </c>
      <c r="AZ74" s="50"/>
      <c r="BA74" s="26">
        <f t="shared" si="28"/>
        <v>2.4400000000000004</v>
      </c>
      <c r="BB74" s="7">
        <f t="shared" si="27"/>
        <v>-0.54999999999999982</v>
      </c>
      <c r="BC74" s="25">
        <f>IF(ISBLANK(G29),"",(AVERAGE($AY$49:AY74)))</f>
        <v>7.5057692307692312</v>
      </c>
      <c r="BD74" s="13">
        <f t="shared" si="29"/>
        <v>2.6810576923076943</v>
      </c>
      <c r="BE74" s="6"/>
      <c r="BF74" s="556">
        <v>0.22916666666666666</v>
      </c>
      <c r="BG74" s="556">
        <v>0.61458333333333337</v>
      </c>
      <c r="BH74" s="556" t="s">
        <v>382</v>
      </c>
      <c r="BI74" s="556">
        <v>0.3125</v>
      </c>
      <c r="BJ74" s="556">
        <v>8.2638888888888887E-2</v>
      </c>
      <c r="BK74" s="54"/>
      <c r="BL74" s="78"/>
    </row>
    <row r="75" spans="1:64" ht="12.75" customHeight="1" x14ac:dyDescent="0.2">
      <c r="A75" s="67"/>
      <c r="B75" s="742" t="s">
        <v>64</v>
      </c>
      <c r="C75" s="743"/>
      <c r="D75" s="744"/>
      <c r="E75" s="89">
        <f>IF(Z38=0,"",CORREL(Z4:Z34,I4:I34))</f>
        <v>-0.21870304085599124</v>
      </c>
      <c r="F75" s="576">
        <f>IF(Z38=0,"",ABS(E75))</f>
        <v>0.21870304085599124</v>
      </c>
      <c r="G75" s="236"/>
      <c r="H75" s="746"/>
      <c r="I75" s="238" t="s">
        <v>149</v>
      </c>
      <c r="J75" s="191"/>
      <c r="K75" s="249">
        <v>3</v>
      </c>
      <c r="L75" s="91">
        <f>IF(ISBLANK(F4),"",(M54*K75+M53*F38)/E34)</f>
        <v>5.1857142857142859</v>
      </c>
      <c r="M75" s="232">
        <f>IF(ISBLANK(F4),"",L75-F39)</f>
        <v>2.9857142857142858</v>
      </c>
      <c r="N75" s="248" t="s">
        <v>148</v>
      </c>
      <c r="O75" s="67"/>
      <c r="Q75" s="736"/>
      <c r="R75" s="737"/>
      <c r="S75" s="737"/>
      <c r="T75" s="737"/>
      <c r="U75" s="737"/>
      <c r="V75" s="737"/>
      <c r="W75" s="737"/>
      <c r="X75" s="737"/>
      <c r="Y75" s="737"/>
      <c r="Z75" s="737"/>
      <c r="AA75" s="737"/>
      <c r="AB75" s="738"/>
      <c r="AC75" s="437"/>
      <c r="AF75" s="6"/>
      <c r="AH75" s="781">
        <f t="array" ref="AH75">MAX(FREQUENCY(IF(AY91:AY121=1,ROW(91:121)),IF(AY91:AY121&lt;&gt;1,ROW(91:121))))</f>
        <v>6</v>
      </c>
      <c r="AI75" s="781"/>
      <c r="AJ75" s="5"/>
      <c r="AK75" s="84"/>
      <c r="AL75" s="5"/>
      <c r="AM75" s="136"/>
      <c r="AN75" s="184" t="s">
        <v>293</v>
      </c>
      <c r="AO75" s="88"/>
      <c r="AP75" s="661"/>
      <c r="AQ75" s="661"/>
      <c r="AR75" s="6"/>
      <c r="AT75" s="589" t="s">
        <v>84</v>
      </c>
      <c r="AU75" s="589"/>
      <c r="AV75" s="603"/>
      <c r="AW75" s="571"/>
      <c r="AX75" s="361">
        <v>27</v>
      </c>
      <c r="AY75" s="23">
        <f t="shared" si="26"/>
        <v>6.4499999999999993</v>
      </c>
      <c r="AZ75" s="50"/>
      <c r="BA75" s="26">
        <f t="shared" si="28"/>
        <v>0.84499999999999953</v>
      </c>
      <c r="BB75" s="7">
        <f t="shared" si="27"/>
        <v>1.2499999999999991</v>
      </c>
      <c r="BC75" s="25">
        <f>IF(ISBLANK(G30),"",(AVERAGE($AY$49:AY75)))</f>
        <v>7.4666666666666668</v>
      </c>
      <c r="BD75" s="13">
        <f t="shared" si="29"/>
        <v>2.6130555555555581</v>
      </c>
      <c r="BE75" s="6"/>
      <c r="BF75" s="556">
        <v>0.29166666666666669</v>
      </c>
      <c r="BG75" s="556">
        <v>0.52777777777777779</v>
      </c>
      <c r="BH75" s="556">
        <v>0.53125</v>
      </c>
      <c r="BI75" s="556" t="s">
        <v>414</v>
      </c>
      <c r="BJ75" s="556">
        <v>0.50416666666666665</v>
      </c>
      <c r="BK75" s="54"/>
      <c r="BL75" s="78"/>
    </row>
    <row r="76" spans="1:64" ht="12.75" customHeight="1" x14ac:dyDescent="0.2">
      <c r="A76" s="67"/>
      <c r="B76" s="742" t="s">
        <v>62</v>
      </c>
      <c r="C76" s="743"/>
      <c r="D76" s="744"/>
      <c r="E76" s="89">
        <f>IF(Z38=0,"",CORREL(Z4:Z34,M4:M34))</f>
        <v>0.46538541878895096</v>
      </c>
      <c r="F76" s="576">
        <f>IF(Z38=0,"",ABS(E76))</f>
        <v>0.46538541878895096</v>
      </c>
      <c r="G76" s="236"/>
      <c r="H76" s="745" t="s">
        <v>3</v>
      </c>
      <c r="I76" s="237" t="s">
        <v>203</v>
      </c>
      <c r="J76" s="191"/>
      <c r="K76" s="90">
        <f>G39</f>
        <v>7.6</v>
      </c>
      <c r="L76" s="38" t="str">
        <f>IF(ISBLANK(G4),"",IF(M54&gt;0,(E34*K76-G38*M53)/M54,"n/a"))</f>
        <v>n/a</v>
      </c>
      <c r="M76" s="90" t="str">
        <f>IF(ISBLANK(G4),"",IF(M54&gt;0,L76-G39,"n/a"))</f>
        <v>n/a</v>
      </c>
      <c r="N76" s="247" t="s">
        <v>142</v>
      </c>
      <c r="O76" s="67"/>
      <c r="Q76" s="817" t="s">
        <v>379</v>
      </c>
      <c r="R76" s="818"/>
      <c r="S76" s="818"/>
      <c r="T76" s="818"/>
      <c r="U76" s="818"/>
      <c r="V76" s="818"/>
      <c r="W76" s="818"/>
      <c r="X76" s="818"/>
      <c r="Y76" s="818"/>
      <c r="Z76" s="818"/>
      <c r="AA76" s="818"/>
      <c r="AB76" s="819"/>
      <c r="AC76" s="437"/>
      <c r="AF76" s="6"/>
      <c r="AK76" s="6"/>
      <c r="AM76" s="136"/>
      <c r="AN76" s="5">
        <f>COUNTIF(AP4:AP34, "0")</f>
        <v>11</v>
      </c>
      <c r="AO76" s="88"/>
      <c r="AP76" s="782" t="s">
        <v>272</v>
      </c>
      <c r="AQ76" s="782"/>
      <c r="AR76" s="6"/>
      <c r="AT76" s="188">
        <f>AN94</f>
        <v>4</v>
      </c>
      <c r="AU76" s="188"/>
      <c r="AV76" s="571"/>
      <c r="AW76" s="571"/>
      <c r="AX76" s="361">
        <v>28</v>
      </c>
      <c r="AY76" s="23">
        <f t="shared" si="26"/>
        <v>3.85</v>
      </c>
      <c r="AZ76" s="50"/>
      <c r="BA76" s="26">
        <f t="shared" si="28"/>
        <v>-1.8500000000000003</v>
      </c>
      <c r="BB76" s="7">
        <f t="shared" si="27"/>
        <v>0.35000000000000009</v>
      </c>
      <c r="BC76" s="25">
        <f>IF(ISBLANK(G31),"",(AVERAGE($AY$49:AY76)))</f>
        <v>7.3374999999999995</v>
      </c>
      <c r="BD76" s="13">
        <f t="shared" si="29"/>
        <v>2.4536607142857152</v>
      </c>
      <c r="BE76" s="6"/>
      <c r="BF76" s="556">
        <v>0.35416666666666669</v>
      </c>
      <c r="BG76" s="556">
        <v>0.54513888888888895</v>
      </c>
      <c r="BH76" s="556">
        <v>0.63541666666666663</v>
      </c>
      <c r="BI76" s="556">
        <v>0.34722222222222227</v>
      </c>
      <c r="BJ76" s="556">
        <v>0.54791666666666672</v>
      </c>
      <c r="BK76" s="54"/>
      <c r="BL76" s="78"/>
    </row>
    <row r="77" spans="1:64" ht="12.75" customHeight="1" x14ac:dyDescent="0.2">
      <c r="A77" s="67"/>
      <c r="B77" s="742" t="s">
        <v>95</v>
      </c>
      <c r="C77" s="743"/>
      <c r="D77" s="744"/>
      <c r="E77" s="89">
        <f>IF(Z38=0,"",CORREL(Z4:Z34,L4:L34))</f>
        <v>0.34581185618594706</v>
      </c>
      <c r="F77" s="576">
        <f>IF(Z38=0,"",ABS(E77))</f>
        <v>0.34581185618594706</v>
      </c>
      <c r="G77" s="236"/>
      <c r="H77" s="746"/>
      <c r="I77" s="238" t="s">
        <v>149</v>
      </c>
      <c r="J77" s="191"/>
      <c r="K77" s="249">
        <v>7</v>
      </c>
      <c r="L77" s="91">
        <f>IF(ISBLANK(G4),"",(M54*K77+M53*G38)/E34)</f>
        <v>9.4892857142857157</v>
      </c>
      <c r="M77" s="233">
        <f>IF(ISBLANK(G4),"",L77-G39)</f>
        <v>1.889285714285716</v>
      </c>
      <c r="N77" s="248" t="s">
        <v>148</v>
      </c>
      <c r="O77" s="67"/>
      <c r="Q77" s="814"/>
      <c r="R77" s="815"/>
      <c r="S77" s="815"/>
      <c r="T77" s="815"/>
      <c r="U77" s="815"/>
      <c r="V77" s="815"/>
      <c r="W77" s="815"/>
      <c r="X77" s="815"/>
      <c r="Y77" s="815"/>
      <c r="Z77" s="815"/>
      <c r="AA77" s="815"/>
      <c r="AB77" s="816"/>
      <c r="AC77" s="437"/>
      <c r="AF77" s="6"/>
      <c r="AK77" s="6"/>
      <c r="AM77" s="136"/>
      <c r="AN77" s="105"/>
      <c r="AO77" s="410"/>
      <c r="AP77" s="782"/>
      <c r="AQ77" s="782"/>
      <c r="AR77" s="6"/>
      <c r="AT77" s="21"/>
      <c r="AU77" s="21"/>
      <c r="AV77" s="603"/>
      <c r="AW77" s="571"/>
      <c r="AX77" s="361"/>
      <c r="AY77" s="23"/>
      <c r="AZ77" s="50"/>
      <c r="BA77" s="26"/>
      <c r="BB77" s="7"/>
      <c r="BC77" s="25"/>
      <c r="BD77" s="13"/>
      <c r="BE77" s="6"/>
      <c r="BF77" s="556"/>
      <c r="BG77" s="556"/>
      <c r="BH77" s="556"/>
      <c r="BI77" s="556"/>
      <c r="BJ77" s="556"/>
      <c r="BK77" s="54"/>
      <c r="BL77" s="78"/>
    </row>
    <row r="78" spans="1:64" ht="12.75" customHeight="1" x14ac:dyDescent="0.2">
      <c r="A78" s="67"/>
      <c r="B78" s="742" t="s">
        <v>63</v>
      </c>
      <c r="C78" s="743"/>
      <c r="D78" s="744"/>
      <c r="E78" s="89">
        <f>IF(Z38=0,"",CORREL(Z4:Z34,N4:N34))</f>
        <v>-0.15085706935145635</v>
      </c>
      <c r="F78" s="576">
        <f>IF(Z38=0,"",ABS(E78))</f>
        <v>0.15085706935145635</v>
      </c>
      <c r="G78" s="236"/>
      <c r="H78" s="745" t="s">
        <v>4</v>
      </c>
      <c r="I78" s="237" t="s">
        <v>203</v>
      </c>
      <c r="J78" s="191"/>
      <c r="K78" s="90">
        <f>AY81</f>
        <v>4.9000000000000004</v>
      </c>
      <c r="L78" s="38" t="str">
        <f>IF(ISBLANK(F4),"",IF(M54&gt;0,(E34*K78-AY80*M53)/M54,"n/a"))</f>
        <v>n/a</v>
      </c>
      <c r="M78" s="90" t="str">
        <f>IF(ISBLANK(F4),"",IF(M54&gt;0,L78-AY81,"n/a"))</f>
        <v>n/a</v>
      </c>
      <c r="N78" s="247" t="s">
        <v>142</v>
      </c>
      <c r="O78" s="67"/>
      <c r="Q78" s="787"/>
      <c r="R78" s="788"/>
      <c r="S78" s="788"/>
      <c r="T78" s="788"/>
      <c r="U78" s="788"/>
      <c r="V78" s="788"/>
      <c r="W78" s="788"/>
      <c r="X78" s="788"/>
      <c r="Y78" s="788"/>
      <c r="Z78" s="788"/>
      <c r="AA78" s="788"/>
      <c r="AB78" s="789"/>
      <c r="AC78" s="437"/>
      <c r="AF78" s="6"/>
      <c r="AG78" s="804" t="s">
        <v>273</v>
      </c>
      <c r="AH78" s="804"/>
      <c r="AI78" s="804"/>
      <c r="AJ78" s="804"/>
      <c r="AK78" s="317"/>
      <c r="AL78" s="308"/>
      <c r="AM78" s="136"/>
      <c r="AN78" s="230" t="s">
        <v>175</v>
      </c>
      <c r="AO78" s="88"/>
      <c r="AP78" s="782"/>
      <c r="AQ78" s="782"/>
      <c r="AR78" s="6"/>
      <c r="AT78" s="189" t="s">
        <v>83</v>
      </c>
      <c r="AU78" s="189"/>
      <c r="AV78" s="571"/>
      <c r="AW78" s="604"/>
      <c r="AX78" s="361"/>
      <c r="AY78" s="23"/>
      <c r="AZ78" s="50"/>
      <c r="BA78" s="26"/>
      <c r="BB78" s="389"/>
      <c r="BC78" s="38"/>
      <c r="BD78" s="13"/>
      <c r="BE78" s="6"/>
      <c r="BF78" s="556"/>
      <c r="BG78" s="556"/>
      <c r="BH78" s="556"/>
      <c r="BI78" s="556"/>
      <c r="BJ78" s="556"/>
      <c r="BK78" s="54"/>
      <c r="BL78" s="78"/>
    </row>
    <row r="79" spans="1:64" ht="12.75" customHeight="1" x14ac:dyDescent="0.2">
      <c r="A79" s="67"/>
      <c r="B79" s="742" t="s">
        <v>76</v>
      </c>
      <c r="C79" s="743"/>
      <c r="D79" s="744"/>
      <c r="E79" s="89">
        <f>IF(Z38=0,"",CORREL(Z4:Z34,F4:F34))</f>
        <v>5.6966679517221272E-2</v>
      </c>
      <c r="F79" s="576">
        <f>IF(Z38=0,"",ABS(E79))</f>
        <v>5.6966679517221272E-2</v>
      </c>
      <c r="G79" s="236"/>
      <c r="H79" s="746"/>
      <c r="I79" s="238" t="s">
        <v>149</v>
      </c>
      <c r="J79" s="191"/>
      <c r="K79" s="250">
        <f>AVERAGE(K75,K77)</f>
        <v>5</v>
      </c>
      <c r="L79" s="38">
        <f>IF(ISBLANK(F4),"",(M54*K79+M53*AY80)/E34)</f>
        <v>7.3375000000000012</v>
      </c>
      <c r="M79" s="234">
        <f>IF(ISBLANK(F4),"",L79-AY81)</f>
        <v>2.4375000000000009</v>
      </c>
      <c r="N79" s="248" t="s">
        <v>148</v>
      </c>
      <c r="O79" s="67"/>
      <c r="Q79" s="811"/>
      <c r="R79" s="812"/>
      <c r="S79" s="812"/>
      <c r="T79" s="812"/>
      <c r="U79" s="812"/>
      <c r="V79" s="812"/>
      <c r="W79" s="812"/>
      <c r="X79" s="812"/>
      <c r="Y79" s="812"/>
      <c r="Z79" s="812"/>
      <c r="AA79" s="812"/>
      <c r="AB79" s="813"/>
      <c r="AC79" s="437"/>
      <c r="AF79" s="6"/>
      <c r="AH79" s="778">
        <v>-8.4</v>
      </c>
      <c r="AI79" s="778"/>
      <c r="AJ79" s="52" t="s">
        <v>365</v>
      </c>
      <c r="AK79" s="318"/>
      <c r="AL79" s="309"/>
      <c r="AM79" s="136"/>
      <c r="AN79" s="4">
        <f t="array" ref="AN79">MAX(FREQUENCY(IF(AV91:AV121=1,ROW(91:121)),IF(AV91:AV121&lt;&gt;1,ROW(91:121))))</f>
        <v>2</v>
      </c>
      <c r="AO79" s="88"/>
      <c r="AP79" s="803" t="s">
        <v>278</v>
      </c>
      <c r="AQ79" s="661"/>
      <c r="AR79" s="6"/>
      <c r="AT79" s="5">
        <f>AN95</f>
        <v>8</v>
      </c>
      <c r="AU79" s="5"/>
      <c r="AV79" s="5"/>
      <c r="AX79" s="386"/>
      <c r="AY79" s="387"/>
      <c r="AZ79" s="388"/>
      <c r="BA79" s="101"/>
      <c r="BB79" s="239"/>
      <c r="BC79" s="91"/>
      <c r="BD79" s="241"/>
      <c r="BE79" s="243"/>
      <c r="BF79" s="560"/>
      <c r="BG79" s="560"/>
      <c r="BH79" s="560"/>
      <c r="BI79" s="560"/>
      <c r="BJ79" s="560"/>
      <c r="BK79" s="58"/>
      <c r="BL79" s="78"/>
    </row>
    <row r="80" spans="1:64" ht="12.75" customHeight="1" x14ac:dyDescent="0.2">
      <c r="A80" s="67"/>
      <c r="B80" s="742" t="s">
        <v>75</v>
      </c>
      <c r="C80" s="743"/>
      <c r="D80" s="744"/>
      <c r="E80" s="89">
        <f>IF(Z38=0,"",CORREL(Z4:Z34,K4:K34))</f>
        <v>0.28843628502300805</v>
      </c>
      <c r="F80" s="576">
        <f>IF(Z38=0,"",ABS(E80))</f>
        <v>0.28843628502300805</v>
      </c>
      <c r="G80" s="236"/>
      <c r="H80" s="745" t="s">
        <v>5</v>
      </c>
      <c r="I80" s="237" t="s">
        <v>203</v>
      </c>
      <c r="J80" s="191"/>
      <c r="K80" s="106">
        <f>K76-K74</f>
        <v>5.3999999999999995</v>
      </c>
      <c r="L80" s="108" t="str">
        <f>IF(ISBLANK(F4),"",IF(M54&gt;0,(E34*K80-I38*M53)/M54,"n/a"))</f>
        <v>n/a</v>
      </c>
      <c r="M80" s="90" t="str">
        <f>IF(ISBLANK(F4),"",IF(M54&gt;0,L80-I39,"n/a"))</f>
        <v>n/a</v>
      </c>
      <c r="N80" s="247" t="s">
        <v>142</v>
      </c>
      <c r="O80" s="67"/>
      <c r="Q80" s="805"/>
      <c r="R80" s="806"/>
      <c r="S80" s="806"/>
      <c r="T80" s="806"/>
      <c r="U80" s="806"/>
      <c r="V80" s="806"/>
      <c r="W80" s="806"/>
      <c r="X80" s="806"/>
      <c r="Y80" s="806"/>
      <c r="Z80" s="806"/>
      <c r="AA80" s="806"/>
      <c r="AB80" s="807"/>
      <c r="AC80" s="437"/>
      <c r="AF80" s="6"/>
      <c r="AK80" s="319"/>
      <c r="AL80" s="99"/>
      <c r="AM80" s="136"/>
      <c r="AO80" s="88"/>
      <c r="AP80" s="661"/>
      <c r="AQ80" s="661"/>
      <c r="AR80" s="6"/>
      <c r="AS80" s="4"/>
      <c r="AT80" s="4"/>
      <c r="AU80" s="4"/>
      <c r="AV80" s="4"/>
      <c r="AX80" s="11" t="s">
        <v>4</v>
      </c>
      <c r="AY80" s="57">
        <f>IF(ISBLANK(G4),"",AVERAGE(F4:G34))</f>
        <v>7.3375000000000012</v>
      </c>
      <c r="AZ80" s="362"/>
      <c r="BB80" s="7">
        <f>IF(ISBLANK(H4),"",AVERAGE(BB49:BB79))</f>
        <v>-6.2500000000000069E-2</v>
      </c>
      <c r="BC80" s="114">
        <f>IF(ISBLANK(G4),"",(AVERAGE($AY$49:AY79)))</f>
        <v>7.3374999999999995</v>
      </c>
      <c r="BD80" s="585">
        <f>IF(ISBLANK(H4),"",BC80-D120)</f>
        <v>2.4374999999999991</v>
      </c>
      <c r="BE80" s="6"/>
      <c r="BF80" s="341">
        <f>IF(ISBLANK(BF50),"",AVERAGE(BF49:BF79))</f>
        <v>0.23063888888888889</v>
      </c>
      <c r="BG80" s="340">
        <f>IF(ISBLANK(BG49),"",AVERAGE(BG49:BG79))</f>
        <v>0.5746527777777779</v>
      </c>
      <c r="BH80" s="339">
        <f>IF(ISBLANK(BH49),"",AVERAGE(BH49:BH79))</f>
        <v>0.62143308080808068</v>
      </c>
      <c r="BI80" s="338">
        <f>IF(ISBLANK(BI49),"",AVERAGE(BI49:BI79))</f>
        <v>0.29475308641975306</v>
      </c>
      <c r="BJ80" s="337">
        <f>IF(ISBLANK(BJ50),"",AVERAGE(BJ49:BJ79))</f>
        <v>0.50858134920634912</v>
      </c>
      <c r="BK80" s="19"/>
      <c r="BL80" s="78"/>
    </row>
    <row r="81" spans="1:64" ht="12.75" customHeight="1" thickBot="1" x14ac:dyDescent="0.25">
      <c r="A81" s="67"/>
      <c r="B81" s="740"/>
      <c r="C81" s="741"/>
      <c r="D81" s="741"/>
      <c r="E81" s="159"/>
      <c r="F81" s="25"/>
      <c r="G81" s="236"/>
      <c r="H81" s="752"/>
      <c r="I81" s="281" t="s">
        <v>149</v>
      </c>
      <c r="J81" s="191"/>
      <c r="K81" s="252">
        <f>K77-K75</f>
        <v>4</v>
      </c>
      <c r="L81" s="167">
        <f>IF(ISBLANK(F4),"",(M54*K81+M53*I38)/E34)</f>
        <v>4.3035714285714288</v>
      </c>
      <c r="M81" s="235">
        <f>IF(ISBLANK(F4),"",L81-I39)</f>
        <v>-1.0964285714285706</v>
      </c>
      <c r="N81" s="279" t="s">
        <v>148</v>
      </c>
      <c r="O81" s="67"/>
      <c r="P81" s="454"/>
      <c r="Q81" s="808"/>
      <c r="R81" s="809"/>
      <c r="S81" s="809"/>
      <c r="T81" s="809"/>
      <c r="U81" s="809"/>
      <c r="V81" s="809"/>
      <c r="W81" s="809"/>
      <c r="X81" s="809"/>
      <c r="Y81" s="809"/>
      <c r="Z81" s="809"/>
      <c r="AA81" s="809"/>
      <c r="AB81" s="810"/>
      <c r="AC81" s="437"/>
      <c r="AF81" s="6"/>
      <c r="AG81" s="779" t="s">
        <v>275</v>
      </c>
      <c r="AH81" s="779"/>
      <c r="AI81" s="779"/>
      <c r="AJ81" s="779"/>
      <c r="AK81" s="222"/>
      <c r="AM81" s="136"/>
      <c r="AN81" s="183" t="s">
        <v>176</v>
      </c>
      <c r="AO81" s="411"/>
      <c r="AP81" s="661"/>
      <c r="AQ81" s="661"/>
      <c r="AR81" s="6"/>
      <c r="AT81" s="588" t="s">
        <v>194</v>
      </c>
      <c r="AU81" s="588"/>
      <c r="AX81" s="4" t="s">
        <v>9</v>
      </c>
      <c r="AY81" s="379">
        <f>AVERAGE(F39:G39)</f>
        <v>4.9000000000000004</v>
      </c>
      <c r="AZ81" s="363"/>
      <c r="BB81" s="713" t="s">
        <v>173</v>
      </c>
      <c r="BC81" s="713"/>
      <c r="BE81" s="6"/>
      <c r="BK81" s="67"/>
      <c r="BL81" s="78"/>
    </row>
    <row r="82" spans="1:64" ht="12.75" customHeight="1" x14ac:dyDescent="0.2">
      <c r="A82" s="67"/>
      <c r="B82" s="764" t="s">
        <v>4</v>
      </c>
      <c r="C82" s="765"/>
      <c r="D82" s="765"/>
      <c r="E82" s="218">
        <f>IF(Z38=0,"",AVERAGE(F72:F80))</f>
        <v>0.19954448713735587</v>
      </c>
      <c r="F82" s="25"/>
      <c r="G82" s="236"/>
      <c r="H82" s="766" t="s">
        <v>13</v>
      </c>
      <c r="I82" s="237" t="s">
        <v>203</v>
      </c>
      <c r="J82" s="191"/>
      <c r="K82" s="164">
        <f>R39</f>
        <v>1013.25</v>
      </c>
      <c r="L82" s="168" t="str">
        <f>IF(ISBLANK(P4),"",IF(M54&gt;0,(E34*K82-R38*M53)/M54,"n/a"))</f>
        <v>n/a</v>
      </c>
      <c r="M82" s="164" t="str">
        <f>IF(ISBLANK(P4),"",IF(M54&gt;0,L82-R39,"n/a"))</f>
        <v>n/a</v>
      </c>
      <c r="N82" s="247" t="s">
        <v>142</v>
      </c>
      <c r="O82" s="67"/>
      <c r="Q82" s="761"/>
      <c r="R82" s="762"/>
      <c r="S82" s="762"/>
      <c r="T82" s="762"/>
      <c r="U82" s="762"/>
      <c r="V82" s="762"/>
      <c r="W82" s="762"/>
      <c r="X82" s="762"/>
      <c r="Y82" s="762"/>
      <c r="Z82" s="762"/>
      <c r="AA82" s="762"/>
      <c r="AB82" s="763"/>
      <c r="AC82" s="436"/>
      <c r="AF82" s="6"/>
      <c r="AH82" s="636" t="s">
        <v>205</v>
      </c>
      <c r="AI82" s="636"/>
      <c r="AJ82" s="52"/>
      <c r="AK82" s="320"/>
      <c r="AL82" s="307"/>
      <c r="AM82" s="136"/>
      <c r="AN82" s="332">
        <f t="array" ref="AN82">MAX(FREQUENCY(IF(AV91:AV121=0,ROW(91:121)),IF(AV91:AV121&lt;&gt;0,ROW(91:121))))</f>
        <v>9</v>
      </c>
      <c r="AO82" s="412"/>
      <c r="AP82" s="822" t="s">
        <v>526</v>
      </c>
      <c r="AQ82" s="823"/>
      <c r="AR82" s="6"/>
      <c r="AT82" s="138">
        <f>IF(AN48=0,"n/a",AN48/AT67)</f>
        <v>0.84615384615384615</v>
      </c>
      <c r="AU82" s="138"/>
      <c r="AX82" s="4" t="s">
        <v>10</v>
      </c>
      <c r="AY82" s="57">
        <f>IF(ISBLANK(G4),"",AY80-AY81)</f>
        <v>2.4375000000000009</v>
      </c>
      <c r="AZ82" s="311"/>
      <c r="BA82" s="148" t="s">
        <v>158</v>
      </c>
      <c r="BB82" s="275" t="s">
        <v>145</v>
      </c>
      <c r="BC82" s="276" t="s">
        <v>146</v>
      </c>
      <c r="BE82" s="6"/>
      <c r="BF82" s="431">
        <f>MAX(BF49:BF79)-MIN(BF49:BF79)</f>
        <v>0.375</v>
      </c>
      <c r="BG82" s="431">
        <f>MAX(BG49:BG79)-MIN(BG49:BG79)</f>
        <v>0.27430555555555552</v>
      </c>
      <c r="BH82" s="431">
        <f>MAX(BH49:BH79)-MIN(BH49:BH79)</f>
        <v>0.21875000000000006</v>
      </c>
      <c r="BI82" s="431">
        <f>MAX(BI49:BI79)-MIN(BI49:BI79)</f>
        <v>0.3888888888888889</v>
      </c>
      <c r="BJ82" s="431">
        <f>MAX(BJ49:BJ79)-MIN(BJ49:BJ79)</f>
        <v>0.95694444444444449</v>
      </c>
      <c r="BK82" s="67"/>
      <c r="BL82" s="78"/>
    </row>
    <row r="83" spans="1:64" ht="12.75" customHeight="1" thickBot="1" x14ac:dyDescent="0.25">
      <c r="A83" s="67"/>
      <c r="B83" s="756" t="s">
        <v>34</v>
      </c>
      <c r="C83" s="757"/>
      <c r="D83" s="757"/>
      <c r="E83" s="219">
        <f>AN93+AN98</f>
        <v>0</v>
      </c>
      <c r="F83" s="85" t="s">
        <v>91</v>
      </c>
      <c r="G83" s="236"/>
      <c r="H83" s="746"/>
      <c r="I83" s="238" t="s">
        <v>149</v>
      </c>
      <c r="J83" s="242"/>
      <c r="K83" s="251">
        <v>1020</v>
      </c>
      <c r="L83" s="119">
        <f>IF(ISBLANK(P4),"",SUM(M54*K83+M53*R38)/E34)</f>
        <v>1014.3928571428571</v>
      </c>
      <c r="M83" s="169">
        <f>IF(ISBLANK(P4),"",L83-R39)</f>
        <v>1.1428571428571104</v>
      </c>
      <c r="N83" s="248" t="s">
        <v>148</v>
      </c>
      <c r="O83" s="67"/>
      <c r="Q83" s="758"/>
      <c r="R83" s="759"/>
      <c r="S83" s="759"/>
      <c r="T83" s="759"/>
      <c r="U83" s="759"/>
      <c r="V83" s="759"/>
      <c r="W83" s="759"/>
      <c r="X83" s="759"/>
      <c r="Y83" s="759"/>
      <c r="Z83" s="759"/>
      <c r="AA83" s="759"/>
      <c r="AB83" s="760"/>
      <c r="AC83" s="436"/>
      <c r="AF83" s="6"/>
      <c r="AK83" s="312"/>
      <c r="AM83" s="136"/>
      <c r="AO83" s="88"/>
      <c r="AP83" s="823"/>
      <c r="AQ83" s="823"/>
      <c r="AR83" s="67"/>
      <c r="AZ83" s="6"/>
      <c r="BA83" s="25">
        <f>E91/3</f>
        <v>1.7999999999999998</v>
      </c>
      <c r="BB83" s="274">
        <f>AY81-BA83</f>
        <v>3.1000000000000005</v>
      </c>
      <c r="BC83" s="273">
        <f>AY81+BA83</f>
        <v>6.7</v>
      </c>
      <c r="BE83" s="6"/>
      <c r="BF83" s="334">
        <f>IF(ISBLANK(BF50),"",STDEV(BF49:BF79))</f>
        <v>0.11251345227070597</v>
      </c>
      <c r="BG83" s="334">
        <f>IF(ISBLANK(BG50),"",STDEV(BG49:BG79))</f>
        <v>6.3175695312839675E-2</v>
      </c>
      <c r="BH83" s="334">
        <f>IF(ISBLANK(BH51),"",STDEV(BH49:BH79))</f>
        <v>5.2945594142351775E-2</v>
      </c>
      <c r="BI83" s="334">
        <f>IF(ISBLANK(BI51),"",STDEV(BI49:BI79))</f>
        <v>8.8202717634136965E-2</v>
      </c>
      <c r="BJ83" s="334">
        <f>IF(ISBLANK(BJ51),"",STDEV(BJ49:BJ79))</f>
        <v>0.28831005132583559</v>
      </c>
      <c r="BK83" s="67"/>
      <c r="BL83" s="78"/>
    </row>
    <row r="84" spans="1:64" s="107" customFormat="1" ht="12.75" x14ac:dyDescent="0.2">
      <c r="A84" s="240"/>
      <c r="C84" s="239"/>
      <c r="F84" s="117"/>
      <c r="H84" s="241"/>
      <c r="J84" s="242"/>
      <c r="O84" s="242"/>
      <c r="T84" s="243"/>
      <c r="Y84" s="243"/>
      <c r="AF84" s="243"/>
      <c r="AI84" s="117"/>
      <c r="AJ84" s="117"/>
      <c r="AK84" s="240"/>
      <c r="AL84" s="117"/>
      <c r="AM84" s="240"/>
      <c r="AO84" s="413"/>
      <c r="AP84" s="799"/>
      <c r="AQ84" s="799"/>
      <c r="AR84" s="240"/>
      <c r="AV84" s="117"/>
      <c r="AY84" s="117"/>
      <c r="AZ84" s="240"/>
      <c r="BA84" s="330">
        <f>MIN(AY49:AY79)</f>
        <v>2.6</v>
      </c>
      <c r="BB84" s="330">
        <f>MAX(AY49:AY79)</f>
        <v>12.15</v>
      </c>
      <c r="BE84" s="243"/>
      <c r="BF84" s="771" t="s">
        <v>191</v>
      </c>
      <c r="BG84" s="771"/>
      <c r="BH84" s="771"/>
      <c r="BI84" s="771"/>
      <c r="BJ84" s="771"/>
      <c r="BK84" s="240"/>
      <c r="BL84" s="244"/>
    </row>
    <row r="85" spans="1:64" s="172" customFormat="1" ht="12" x14ac:dyDescent="0.2">
      <c r="A85" s="171"/>
      <c r="C85" s="173">
        <f>MIN(C4:C34)</f>
        <v>3.7</v>
      </c>
      <c r="E85" s="174" t="s">
        <v>70</v>
      </c>
      <c r="F85" s="173">
        <f>MIN(F4:F34)</f>
        <v>-1.7</v>
      </c>
      <c r="G85" s="173">
        <f>MIN(G4:G34)</f>
        <v>4.7</v>
      </c>
      <c r="H85" s="173">
        <f>MIN(H4:H34)</f>
        <v>3.5</v>
      </c>
      <c r="I85" s="173">
        <f>MIN(I4:I34)</f>
        <v>1.4999999999999996</v>
      </c>
      <c r="J85" s="175"/>
      <c r="K85" s="176">
        <f>MIN(K4:K34)</f>
        <v>52</v>
      </c>
      <c r="L85" s="176">
        <f>MIN(L4:L34)</f>
        <v>83</v>
      </c>
      <c r="M85" s="176">
        <f>MIN(M4:M34)</f>
        <v>74</v>
      </c>
      <c r="N85" s="176">
        <f>MIN(N4:N34)</f>
        <v>5</v>
      </c>
      <c r="O85" s="177"/>
      <c r="P85" s="176">
        <f>MIN(P4:P34)</f>
        <v>989</v>
      </c>
      <c r="Q85" s="176">
        <f>MIN(Q4:Q34)</f>
        <v>998</v>
      </c>
      <c r="R85" s="173">
        <f>MIN(R4:R34)</f>
        <v>993.5</v>
      </c>
      <c r="S85" s="176">
        <f>MIN(S4:S34)</f>
        <v>1</v>
      </c>
      <c r="T85" s="171"/>
      <c r="U85" s="173">
        <f t="shared" ref="U85:AC85" si="30">MIN(U4:U34)</f>
        <v>2.8</v>
      </c>
      <c r="V85" s="173">
        <f t="shared" si="30"/>
        <v>8.1</v>
      </c>
      <c r="W85" s="173">
        <f t="shared" si="30"/>
        <v>10.5</v>
      </c>
      <c r="X85" s="173">
        <f t="shared" si="30"/>
        <v>0</v>
      </c>
      <c r="Y85" s="175">
        <f t="shared" si="30"/>
        <v>0</v>
      </c>
      <c r="Z85" s="173">
        <f t="shared" si="30"/>
        <v>0</v>
      </c>
      <c r="AA85" s="173">
        <f t="shared" si="30"/>
        <v>0.5</v>
      </c>
      <c r="AB85" s="173">
        <f t="shared" si="30"/>
        <v>0.3</v>
      </c>
      <c r="AC85" s="422">
        <f t="shared" si="30"/>
        <v>2.2624434389140269E-3</v>
      </c>
      <c r="AD85" s="173">
        <f>MIN(AE4:AE34)</f>
        <v>1.6</v>
      </c>
      <c r="AE85" s="173">
        <f>MIN(AD4:AD34)</f>
        <v>0.15</v>
      </c>
      <c r="AF85" s="175">
        <f>MIN(AF4:AF4)</f>
        <v>0</v>
      </c>
      <c r="AG85" s="173">
        <f>MIN(AG4:AG34)</f>
        <v>-4.7</v>
      </c>
      <c r="AH85" s="173">
        <f>MIN(AH4:AH34)</f>
        <v>2.6</v>
      </c>
      <c r="AI85" s="173">
        <f>MIN(AI4:AI34)</f>
        <v>1.5</v>
      </c>
      <c r="AJ85" s="173">
        <f>MIN(AJ4:AJ34)</f>
        <v>1.1999999999999993</v>
      </c>
      <c r="AK85" s="175"/>
      <c r="AL85" s="173"/>
      <c r="AM85" s="175"/>
      <c r="AO85" s="414"/>
      <c r="AP85" s="173">
        <f>MIN(AP4:AP34)</f>
        <v>0</v>
      </c>
      <c r="AQ85" s="173">
        <f>MIN(AQ4:AQ34)</f>
        <v>0</v>
      </c>
      <c r="AR85" s="175"/>
      <c r="AS85" s="173">
        <f t="shared" ref="AS85:AZ85" si="31">MIN(AS8:AS34)</f>
        <v>5.0272727272727273</v>
      </c>
      <c r="AT85" s="173">
        <f t="shared" si="31"/>
        <v>9.2136363636363665</v>
      </c>
      <c r="AU85" s="173">
        <f t="shared" si="31"/>
        <v>7.2772727272727273</v>
      </c>
      <c r="AV85" s="173">
        <f t="shared" si="31"/>
        <v>4.1782608695652179</v>
      </c>
      <c r="AW85" s="173">
        <f t="shared" si="31"/>
        <v>79.875</v>
      </c>
      <c r="AX85" s="176">
        <f t="shared" si="31"/>
        <v>1012.3421052631579</v>
      </c>
      <c r="AY85" s="173">
        <f t="shared" si="31"/>
        <v>6.0535714285714279</v>
      </c>
      <c r="AZ85" s="175">
        <f t="shared" si="31"/>
        <v>0</v>
      </c>
      <c r="BA85" s="173">
        <f>MIN(BA4:BA34)</f>
        <v>-4.05</v>
      </c>
      <c r="BB85" s="173">
        <f>MIN(BB4:BB34)</f>
        <v>-4.1000000000000005</v>
      </c>
      <c r="BC85" s="173">
        <f>MIN(BC4:BC34)</f>
        <v>-2.11</v>
      </c>
      <c r="BD85" s="173">
        <f>MIN(BD4:BD34)</f>
        <v>-4.5</v>
      </c>
      <c r="BE85" s="175">
        <f>MIN(BE8:BE34)</f>
        <v>0</v>
      </c>
      <c r="BF85" s="173">
        <f>MIN(BF8:BF33)</f>
        <v>2.8897727272727276</v>
      </c>
      <c r="BG85" s="173">
        <f>MIN(BG8:BG33)</f>
        <v>1.8990909090909129</v>
      </c>
      <c r="BH85" s="173">
        <f>MIN(BH8:BH33)</f>
        <v>-1.0337499999999995</v>
      </c>
      <c r="BI85" s="422">
        <f>MIN(BI8:BI33)</f>
        <v>3.111111111111111E-2</v>
      </c>
      <c r="BJ85" s="422">
        <f>MIN(BJ8:BJ30)</f>
        <v>0.40513781106633517</v>
      </c>
      <c r="BK85" s="177"/>
      <c r="BL85" s="178"/>
    </row>
    <row r="86" spans="1:64" s="172" customFormat="1" ht="12" x14ac:dyDescent="0.2">
      <c r="A86" s="171"/>
      <c r="B86" s="173">
        <f>MAX(B4:B34)</f>
        <v>11.3</v>
      </c>
      <c r="E86" s="174" t="s">
        <v>71</v>
      </c>
      <c r="F86" s="173">
        <f>MAX(F4:F34)</f>
        <v>11.3</v>
      </c>
      <c r="G86" s="173">
        <f>MAX(G4:G34)</f>
        <v>14.2</v>
      </c>
      <c r="H86" s="173">
        <f>MAX(H4:H34)</f>
        <v>12</v>
      </c>
      <c r="I86" s="173">
        <f>MAX(I4:I34)</f>
        <v>8.6</v>
      </c>
      <c r="J86" s="175"/>
      <c r="K86" s="176">
        <f>MAX(K4:K34)</f>
        <v>93</v>
      </c>
      <c r="L86" s="176">
        <f>MAX(L4:L34)</f>
        <v>98</v>
      </c>
      <c r="M86" s="176">
        <f>MAX(M4:M34)</f>
        <v>96</v>
      </c>
      <c r="N86" s="176">
        <f>MAX(N4:N34)</f>
        <v>43</v>
      </c>
      <c r="O86" s="177"/>
      <c r="P86" s="176">
        <f t="shared" ref="P86:AC86" si="32">MAX(P4:P34)</f>
        <v>1025</v>
      </c>
      <c r="Q86" s="176">
        <f t="shared" si="32"/>
        <v>1035</v>
      </c>
      <c r="R86" s="173">
        <f t="shared" si="32"/>
        <v>1030</v>
      </c>
      <c r="S86" s="176">
        <f t="shared" si="32"/>
        <v>12</v>
      </c>
      <c r="T86" s="177">
        <f t="shared" si="32"/>
        <v>0</v>
      </c>
      <c r="U86" s="173">
        <f t="shared" si="32"/>
        <v>11.8</v>
      </c>
      <c r="V86" s="173">
        <f t="shared" si="32"/>
        <v>25.5</v>
      </c>
      <c r="W86" s="173">
        <f t="shared" si="32"/>
        <v>35.6</v>
      </c>
      <c r="X86" s="173">
        <f t="shared" si="32"/>
        <v>0</v>
      </c>
      <c r="Y86" s="175">
        <f t="shared" si="32"/>
        <v>2</v>
      </c>
      <c r="Z86" s="173">
        <f t="shared" si="32"/>
        <v>12.3</v>
      </c>
      <c r="AA86" s="173">
        <f t="shared" si="32"/>
        <v>3</v>
      </c>
      <c r="AB86" s="173">
        <f t="shared" si="32"/>
        <v>0.8</v>
      </c>
      <c r="AC86" s="422">
        <f t="shared" si="32"/>
        <v>0.27828054298642535</v>
      </c>
      <c r="AD86" s="173">
        <f>MAX(AE4:AE34)</f>
        <v>15</v>
      </c>
      <c r="AE86" s="173">
        <f>MAX(AD4:AD34)</f>
        <v>1.2444444444444445</v>
      </c>
      <c r="AF86" s="175">
        <f>MAX(AF4:AF4)</f>
        <v>0</v>
      </c>
      <c r="AG86" s="173">
        <f>MAX(AG4:AG34)</f>
        <v>7.4</v>
      </c>
      <c r="AH86" s="173">
        <f>MAX(AH4:AH34)</f>
        <v>11</v>
      </c>
      <c r="AI86" s="173">
        <f>MAX(AI4:AI34)</f>
        <v>9.1</v>
      </c>
      <c r="AJ86" s="173">
        <f>MAX(AJ4:AJ34)</f>
        <v>10.199999999999999</v>
      </c>
      <c r="AK86" s="175"/>
      <c r="AL86" s="173"/>
      <c r="AM86" s="175"/>
      <c r="AO86" s="415"/>
      <c r="AP86" s="176">
        <f>MAX(AP4:AP34)</f>
        <v>7</v>
      </c>
      <c r="AQ86" s="173">
        <f>MAX(AQ4:AQ34)</f>
        <v>10</v>
      </c>
      <c r="AR86" s="177"/>
      <c r="AS86" s="173">
        <f t="shared" ref="AS86:AZ86" si="33">MAX(AS8:AS34)</f>
        <v>6</v>
      </c>
      <c r="AT86" s="173">
        <f t="shared" si="33"/>
        <v>10.685714285714285</v>
      </c>
      <c r="AU86" s="173">
        <f t="shared" si="33"/>
        <v>8.6285714285714299</v>
      </c>
      <c r="AV86" s="173">
        <f t="shared" si="33"/>
        <v>5.0999999999999996</v>
      </c>
      <c r="AW86" s="173">
        <f t="shared" si="33"/>
        <v>85.347826086956516</v>
      </c>
      <c r="AX86" s="176">
        <f t="shared" si="33"/>
        <v>1021</v>
      </c>
      <c r="AY86" s="173">
        <f t="shared" si="33"/>
        <v>9.1999999999999993</v>
      </c>
      <c r="AZ86" s="175">
        <f t="shared" si="33"/>
        <v>0</v>
      </c>
      <c r="BA86" s="173">
        <f>MAX(BA4:BA34)</f>
        <v>8.9500000000000011</v>
      </c>
      <c r="BB86" s="173">
        <f>MAX(BB4:BB34)</f>
        <v>5.85</v>
      </c>
      <c r="BC86" s="173">
        <f>MAX(BC4:BC34)</f>
        <v>7.3250000000000011</v>
      </c>
      <c r="BD86" s="173">
        <f>MAX(BD4:BD34)</f>
        <v>3.88</v>
      </c>
      <c r="BE86" s="175">
        <f>MAX(BE8:BE34)</f>
        <v>0</v>
      </c>
      <c r="BF86" s="173">
        <f>MAX(BF8:BF33)</f>
        <v>3.65</v>
      </c>
      <c r="BG86" s="173">
        <f>MAX(BG8:BG33)</f>
        <v>3.4751428571428562</v>
      </c>
      <c r="BH86" s="173">
        <f>MAX(BH8:BH33)</f>
        <v>0.29399999999999915</v>
      </c>
      <c r="BI86" s="422">
        <f>MAX(BI8:BI33)</f>
        <v>1.1826315789473685</v>
      </c>
      <c r="BJ86" s="422">
        <f>MAX(BJ8:BJ33)</f>
        <v>0.75415631786560888</v>
      </c>
      <c r="BK86" s="177"/>
      <c r="BL86" s="178"/>
    </row>
    <row r="87" spans="1:64" ht="10.5" customHeight="1" x14ac:dyDescent="0.2">
      <c r="A87" s="67"/>
      <c r="B87" s="21"/>
      <c r="C87" s="140"/>
      <c r="D87" s="146"/>
      <c r="E87" s="4"/>
      <c r="F87" s="21"/>
      <c r="H87" s="13"/>
      <c r="J87" s="20"/>
      <c r="K87" s="21"/>
      <c r="L87" s="21"/>
      <c r="M87" s="21"/>
      <c r="N87" s="22"/>
      <c r="O87" s="20"/>
      <c r="P87" s="21"/>
      <c r="Q87" s="21"/>
      <c r="R87" s="21"/>
      <c r="S87" s="21"/>
      <c r="T87" s="67"/>
      <c r="U87" s="21"/>
      <c r="V87" s="21"/>
      <c r="W87" s="21"/>
      <c r="X87" s="21"/>
      <c r="Y87" s="67"/>
      <c r="Z87" s="21"/>
      <c r="AA87" s="21"/>
      <c r="AB87" s="21"/>
      <c r="AC87" s="21"/>
      <c r="AD87" s="21"/>
      <c r="AE87" s="21"/>
      <c r="AF87" s="67"/>
      <c r="AG87" s="21"/>
      <c r="AH87" s="21"/>
      <c r="AI87" s="21"/>
      <c r="AJ87" s="21"/>
      <c r="AK87" s="67"/>
      <c r="AL87" s="21"/>
      <c r="AM87" s="67"/>
      <c r="AO87" s="88"/>
      <c r="AR87" s="6"/>
      <c r="AS87" s="21"/>
      <c r="AT87" s="22"/>
      <c r="AU87" s="21"/>
      <c r="AV87" s="21"/>
      <c r="AW87" s="21"/>
      <c r="AX87" s="21"/>
      <c r="AZ87" s="6"/>
      <c r="BA87" s="25"/>
      <c r="BB87" s="21"/>
      <c r="BC87" s="21"/>
      <c r="BD87" s="21"/>
      <c r="BE87" s="67"/>
      <c r="BF87" s="21"/>
      <c r="BG87" s="21"/>
      <c r="BH87" s="21"/>
      <c r="BI87" s="21"/>
      <c r="BJ87" s="21"/>
      <c r="BK87" s="67"/>
      <c r="BL87" s="95"/>
    </row>
    <row r="88" spans="1:64" s="327" customFormat="1" ht="10.5" customHeight="1" x14ac:dyDescent="0.2">
      <c r="C88" s="328"/>
    </row>
    <row r="89" spans="1:64" s="327" customFormat="1" ht="1.5" customHeight="1" x14ac:dyDescent="0.2">
      <c r="C89" s="328"/>
    </row>
    <row r="90" spans="1:64" s="331" customFormat="1" ht="11.25" x14ac:dyDescent="0.2">
      <c r="A90" s="331" t="s">
        <v>167</v>
      </c>
      <c r="B90" s="148" t="s">
        <v>2</v>
      </c>
      <c r="C90" s="148" t="s">
        <v>3</v>
      </c>
      <c r="D90" s="148" t="s">
        <v>4</v>
      </c>
      <c r="E90" s="147" t="s">
        <v>5</v>
      </c>
      <c r="F90" s="331" t="s">
        <v>332</v>
      </c>
      <c r="G90" s="331" t="s">
        <v>333</v>
      </c>
      <c r="H90" s="331" t="s">
        <v>348</v>
      </c>
      <c r="I90" s="331" t="s">
        <v>347</v>
      </c>
      <c r="K90" s="331" t="s">
        <v>167</v>
      </c>
      <c r="L90" s="331" t="s">
        <v>167</v>
      </c>
      <c r="M90" s="147" t="s">
        <v>184</v>
      </c>
      <c r="N90" s="331" t="s">
        <v>167</v>
      </c>
      <c r="O90" s="331" t="s">
        <v>167</v>
      </c>
      <c r="P90" s="331" t="s">
        <v>167</v>
      </c>
      <c r="Q90" s="331" t="s">
        <v>167</v>
      </c>
      <c r="S90" s="331" t="s">
        <v>167</v>
      </c>
      <c r="U90" s="331" t="s">
        <v>204</v>
      </c>
      <c r="V90" s="331" t="s">
        <v>346</v>
      </c>
      <c r="W90" s="786" t="s">
        <v>229</v>
      </c>
      <c r="X90" s="786"/>
      <c r="Y90" s="331" t="s">
        <v>167</v>
      </c>
      <c r="Z90" s="147" t="s">
        <v>144</v>
      </c>
      <c r="AA90" s="147" t="s">
        <v>185</v>
      </c>
      <c r="AB90" s="147" t="s">
        <v>236</v>
      </c>
      <c r="AC90" s="147" t="s">
        <v>237</v>
      </c>
      <c r="AD90" s="331" t="s">
        <v>167</v>
      </c>
      <c r="AE90" s="278" t="s">
        <v>345</v>
      </c>
      <c r="AF90" s="331" t="s">
        <v>344</v>
      </c>
      <c r="AG90" s="147" t="s">
        <v>155</v>
      </c>
      <c r="AH90" s="147" t="s">
        <v>183</v>
      </c>
      <c r="AI90" s="331" t="s">
        <v>328</v>
      </c>
      <c r="AJ90" s="147" t="s">
        <v>117</v>
      </c>
      <c r="AK90" s="331" t="s">
        <v>167</v>
      </c>
      <c r="AL90" s="147" t="s">
        <v>118</v>
      </c>
      <c r="AM90" s="331" t="s">
        <v>329</v>
      </c>
      <c r="AN90" s="331" t="s">
        <v>168</v>
      </c>
      <c r="AO90" s="331" t="s">
        <v>329</v>
      </c>
      <c r="AQ90" s="147"/>
      <c r="AR90" s="331" t="s">
        <v>329</v>
      </c>
      <c r="AS90" s="331" t="s">
        <v>256</v>
      </c>
      <c r="AT90" s="331" t="s">
        <v>253</v>
      </c>
      <c r="AU90" s="331" t="s">
        <v>346</v>
      </c>
      <c r="AV90" s="147" t="s">
        <v>196</v>
      </c>
      <c r="AW90" s="147" t="s">
        <v>145</v>
      </c>
      <c r="AX90" s="147" t="s">
        <v>146</v>
      </c>
      <c r="AY90" s="147" t="s">
        <v>400</v>
      </c>
      <c r="AZ90" s="147" t="s">
        <v>124</v>
      </c>
      <c r="BA90" s="147" t="s">
        <v>145</v>
      </c>
      <c r="BB90" s="147" t="s">
        <v>146</v>
      </c>
      <c r="BC90" s="331" t="s">
        <v>330</v>
      </c>
      <c r="BD90" s="331" t="s">
        <v>331</v>
      </c>
      <c r="BE90" s="147" t="s">
        <v>327</v>
      </c>
      <c r="BF90" s="331" t="s">
        <v>167</v>
      </c>
      <c r="BG90" s="147" t="s">
        <v>163</v>
      </c>
      <c r="BH90" s="147" t="s">
        <v>399</v>
      </c>
      <c r="BI90" s="147" t="s">
        <v>401</v>
      </c>
      <c r="BJ90" s="147" t="s">
        <v>119</v>
      </c>
      <c r="BK90" s="331" t="s">
        <v>327</v>
      </c>
    </row>
    <row r="91" spans="1:64" ht="12.75" x14ac:dyDescent="0.2">
      <c r="A91" s="8">
        <f t="shared" ref="A91:A121" si="34">IF(ISBLANK(K4),NA(),N4)</f>
        <v>15</v>
      </c>
      <c r="B91" s="125">
        <f t="shared" ref="B91:B121" si="35">$F$39</f>
        <v>2.2000000000000002</v>
      </c>
      <c r="C91" s="125">
        <f t="shared" ref="C91:C121" si="36">$G$39</f>
        <v>7.6</v>
      </c>
      <c r="D91" s="125">
        <f>AVERAGE(B91:C91)</f>
        <v>4.9000000000000004</v>
      </c>
      <c r="E91" s="125">
        <f t="shared" ref="E91:E121" si="37">C91-B91</f>
        <v>5.3999999999999995</v>
      </c>
      <c r="F91" s="7">
        <v>2.35</v>
      </c>
      <c r="G91" s="7">
        <v>7.07</v>
      </c>
      <c r="H91" s="7">
        <f>AVERAGE(F91:G91)</f>
        <v>4.71</v>
      </c>
      <c r="I91" s="7">
        <f>G91-F91</f>
        <v>4.7200000000000006</v>
      </c>
      <c r="K91" s="7">
        <f t="shared" ref="K91:K121" si="38">IF(ISBLANK(G4),NA(),I4)</f>
        <v>8.6</v>
      </c>
      <c r="L91" s="7">
        <f t="shared" ref="L91:L121" si="39">IF(ISBLANK(G4),NA(),AY49)</f>
        <v>2.6</v>
      </c>
      <c r="M91" s="370">
        <f t="shared" ref="M91:M121" si="40">IF(ISBLANK(U4),NA(),AY4)</f>
        <v>5.4</v>
      </c>
      <c r="N91" s="1">
        <f t="shared" ref="N91:N121" si="41">IF(ISBLANK(F4),NA(),BJ91)</f>
        <v>3.3333333333333333E-2</v>
      </c>
      <c r="O91" s="7">
        <f t="shared" ref="O91:O121" si="42">IF(ISBLANK(M4),NA(),AW4)</f>
        <v>86</v>
      </c>
      <c r="P91" s="7">
        <f t="shared" ref="P91:P121" si="43">IF(ISBLANK(F4),NA(),AS4)</f>
        <v>-1.7</v>
      </c>
      <c r="Q91" s="7">
        <f t="shared" ref="Q91:Q121" si="44">IF(ISBLANK(G4),NA(),AT4)</f>
        <v>6.9</v>
      </c>
      <c r="R91" s="7">
        <f t="shared" ref="R91:R121" si="45">IF(ISBLANK(H4),NA(),AU4)</f>
        <v>3.5</v>
      </c>
      <c r="S91" s="7">
        <f t="shared" ref="S91:S121" si="46">IF(ISBLANK(G4),NA(),AV4)</f>
        <v>8.6</v>
      </c>
      <c r="T91" s="1">
        <v>32</v>
      </c>
      <c r="U91" s="333">
        <f t="shared" ref="U91:U121" si="47">$Z$39/$E$34</f>
        <v>1.4285714285714286</v>
      </c>
      <c r="V91" s="4">
        <v>1</v>
      </c>
      <c r="W91" s="7">
        <f t="shared" ref="W91:W121" si="48">0.273*V91</f>
        <v>0.27300000000000002</v>
      </c>
      <c r="X91" s="7">
        <f t="shared" ref="X91:X121" si="49">0.273*T91</f>
        <v>8.7360000000000007</v>
      </c>
      <c r="Y91" s="8">
        <f t="shared" ref="Y91:Y121" si="50">IF(ISBLANK(Q4),NA(),S4)</f>
        <v>4</v>
      </c>
      <c r="Z91" s="7">
        <f>IF(ISBLANK(Z4),NA(),SUM($Z$4:Z4))</f>
        <v>0.1</v>
      </c>
      <c r="AA91" s="7">
        <f>$AB$48*E4</f>
        <v>1.4285714285714286</v>
      </c>
      <c r="AB91" s="26">
        <f>IF(ISBLANK(Z4),"",SUM($Z$4:Z4))</f>
        <v>0.1</v>
      </c>
      <c r="AC91" s="115">
        <f>IF(ISBLANK(Z4),NA(),AB91/AA91)</f>
        <v>7.0000000000000007E-2</v>
      </c>
      <c r="AD91" s="8">
        <f t="shared" ref="AD91:AD121" si="51">IF(ISBLANK(P4),NA(),AX4)</f>
        <v>1026</v>
      </c>
      <c r="AE91" s="610">
        <f t="shared" ref="AE91:AE121" si="52">IF(ISNA(AG91),"",AG91/AH91)</f>
        <v>8.1382934519575081E-2</v>
      </c>
      <c r="AF91" s="141" t="e">
        <f>IF(ISTEXT(BM53),NA(),IF(ISBLANK(BM53),NA(),BM53))</f>
        <v>#N/A</v>
      </c>
      <c r="AG91" s="22">
        <f>IF(ISBLANK(AP4),NA(),SUM($AP$4:AP4))</f>
        <v>0.2</v>
      </c>
      <c r="AH91" s="7">
        <f>SUM($AS$91:AS91)</f>
        <v>2.4575176746900653</v>
      </c>
      <c r="AI91" s="115">
        <f t="shared" ref="AI91:AI121" si="53">IF(ISBLANK(AP4),NA(),AG91/AH91)</f>
        <v>8.1382934519575081E-2</v>
      </c>
      <c r="AJ91" s="124">
        <f t="shared" ref="AJ91:AJ121" si="54">IF(ISBLANK(F4),"",IF(Z4&gt;0.1,1,0))</f>
        <v>0</v>
      </c>
      <c r="AK91" s="8">
        <f t="shared" ref="AK91:AK121" si="55">IF(ISBLANK(P4),NA(),R4)</f>
        <v>1026</v>
      </c>
      <c r="AL91" s="124">
        <f t="shared" ref="AL91:AL121" si="56">IF(ISBLANK(Z4),"",IF(Z4&gt;0.9,1,0))</f>
        <v>0</v>
      </c>
      <c r="AM91" s="141" t="e">
        <f t="shared" ref="AM91:AM121" si="57">IF(ISTEXT(BH49),NA(),IF(ISBLANK(BH49),NA(),BH49))</f>
        <v>#N/A</v>
      </c>
      <c r="AN91" s="109">
        <f t="array" ref="AN91" xml:space="preserve"> SUM(COUNTIF(AN4:AN34,"-"),COUNTIF(AN4:AN34,"*yy*"))</f>
        <v>18</v>
      </c>
      <c r="AO91" s="141">
        <f t="shared" ref="AO91:AO121" si="58">IF(ISTEXT(BG49),NA(),IF(ISBLANK(BG49),NA(),BG49))</f>
        <v>0.69791666666666663</v>
      </c>
      <c r="AR91" s="141">
        <f t="shared" ref="AR91:AR121" si="59">IF(ISTEXT(BF49),NA(),IF(ISBLANK(BF49),NA(),BF49))</f>
        <v>9.375E-2</v>
      </c>
      <c r="AS91" s="7">
        <f t="shared" ref="AS91:AS121" si="60">AT91/($AT$123/$AP$39)</f>
        <v>2.4575176746900653</v>
      </c>
      <c r="AT91" s="7">
        <v>8.1645188348317621</v>
      </c>
      <c r="AU91" s="4">
        <v>1</v>
      </c>
      <c r="AV91" s="127">
        <f t="shared" ref="AV91:AV121" si="61">IF(ISBLANK(AP4),"",IF(AP4&gt;0.25*AT91,1,0))</f>
        <v>0</v>
      </c>
      <c r="AW91" s="124">
        <f>IF(ISBLANK(F4),"",IF(AY49&lt;BC91,1,0))</f>
        <v>1</v>
      </c>
      <c r="AX91" s="124">
        <f>IF(ISBLANK(G4),"",IF(AY49&gt;BD91,1,0))</f>
        <v>0</v>
      </c>
      <c r="AY91" s="124">
        <f t="shared" ref="AY91:AY121" si="62">IF(ISBLANK(F4),"",IF(P4&gt;1013,1,0))</f>
        <v>1</v>
      </c>
      <c r="AZ91" s="125">
        <f t="shared" ref="AZ91:AZ121" si="63">$U$39</f>
        <v>5.0999999999999996</v>
      </c>
      <c r="BA91" s="125">
        <f t="shared" ref="BA91:BA121" si="64">$BB$83</f>
        <v>3.1000000000000005</v>
      </c>
      <c r="BB91" s="125">
        <f t="shared" ref="BB91:BB121" si="65">$BC$83</f>
        <v>6.7</v>
      </c>
      <c r="BC91" s="7">
        <v>3.1366666666666667</v>
      </c>
      <c r="BD91" s="7">
        <v>6.2833333333333332</v>
      </c>
      <c r="BE91" s="124"/>
      <c r="BF91" s="8">
        <f t="shared" ref="BF91:BF121" si="66">IF(ISBLANK(M4),NA(),M4)</f>
        <v>86</v>
      </c>
      <c r="BG91" s="21">
        <f t="shared" ref="BG91:BG121" si="67">IF(ISBLANK(H4),NA(),H4)</f>
        <v>3.5</v>
      </c>
      <c r="BH91" s="124">
        <f t="shared" ref="BH91:BH121" si="68">IF(ISBLANK(F4),"",IF(Q4&lt;1013,1,0))</f>
        <v>0</v>
      </c>
      <c r="BI91" s="124">
        <f>IF(ISBLANK(L4),"",IF(AQ4&gt;0.4,1,0))</f>
        <v>1</v>
      </c>
      <c r="BJ91" s="144">
        <f t="shared" ref="BJ91:BJ121" si="69">IF(ISBLANK(Z4),"",Z4/3)</f>
        <v>3.3333333333333333E-2</v>
      </c>
      <c r="BL91" s="99"/>
    </row>
    <row r="92" spans="1:64" ht="12.75" x14ac:dyDescent="0.2">
      <c r="A92" s="8">
        <f t="shared" si="34"/>
        <v>16</v>
      </c>
      <c r="B92" s="125">
        <f t="shared" si="35"/>
        <v>2.2000000000000002</v>
      </c>
      <c r="C92" s="125">
        <f t="shared" si="36"/>
        <v>7.6</v>
      </c>
      <c r="D92" s="125">
        <f t="shared" ref="D92:D121" si="70">AVERAGE(B92:C92)</f>
        <v>4.9000000000000004</v>
      </c>
      <c r="E92" s="125">
        <f t="shared" si="37"/>
        <v>5.3999999999999995</v>
      </c>
      <c r="F92" s="7">
        <v>2.35</v>
      </c>
      <c r="G92" s="7">
        <v>7.09</v>
      </c>
      <c r="H92" s="7">
        <f t="shared" ref="H92:H118" si="71">AVERAGE(F92:G92)</f>
        <v>4.72</v>
      </c>
      <c r="I92" s="7">
        <f t="shared" ref="I92:I118" si="72">G92-F92</f>
        <v>4.74</v>
      </c>
      <c r="K92" s="7">
        <f t="shared" si="38"/>
        <v>7</v>
      </c>
      <c r="L92" s="7">
        <f t="shared" si="39"/>
        <v>6.5</v>
      </c>
      <c r="M92" s="370">
        <f t="shared" si="40"/>
        <v>6.15</v>
      </c>
      <c r="N92" s="1">
        <f t="shared" si="41"/>
        <v>3.3333333333333333E-2</v>
      </c>
      <c r="O92" s="7">
        <f t="shared" si="42"/>
        <v>89.5</v>
      </c>
      <c r="P92" s="7">
        <f t="shared" si="43"/>
        <v>0.65</v>
      </c>
      <c r="Q92" s="7">
        <f t="shared" si="44"/>
        <v>8.4499999999999993</v>
      </c>
      <c r="R92" s="7">
        <f t="shared" si="45"/>
        <v>5.05</v>
      </c>
      <c r="S92" s="7">
        <f t="shared" si="46"/>
        <v>7.8</v>
      </c>
      <c r="T92" s="1">
        <v>33</v>
      </c>
      <c r="U92" s="333">
        <f t="shared" si="47"/>
        <v>1.4285714285714286</v>
      </c>
      <c r="V92" s="4">
        <v>2</v>
      </c>
      <c r="W92" s="7">
        <f t="shared" si="48"/>
        <v>0.54600000000000004</v>
      </c>
      <c r="X92" s="7">
        <f t="shared" si="49"/>
        <v>9.0090000000000003</v>
      </c>
      <c r="Y92" s="8">
        <f t="shared" si="50"/>
        <v>8</v>
      </c>
      <c r="Z92" s="7">
        <f>IF(ISBLANK(Z5),NA(),SUM($Z$4:Z5))</f>
        <v>0.2</v>
      </c>
      <c r="AA92" s="7">
        <f t="shared" ref="AA92:AA121" si="73">$AB$48*E5</f>
        <v>2.8571428571428572</v>
      </c>
      <c r="AB92" s="26">
        <f>IF(ISBLANK(Z5),"",SUM($Z$4:Z5))</f>
        <v>0.2</v>
      </c>
      <c r="AC92" s="115">
        <f t="shared" ref="AC92:AC121" si="74">IF(ISBLANK(Z5),NA(),AB92/AA92)</f>
        <v>7.0000000000000007E-2</v>
      </c>
      <c r="AD92" s="8">
        <f t="shared" si="51"/>
        <v>1025</v>
      </c>
      <c r="AE92" s="610">
        <f t="shared" si="52"/>
        <v>6.0851067100421867E-2</v>
      </c>
      <c r="AF92" s="141">
        <f t="shared" ref="AF92:AF121" si="75">IF(ISTEXT(BI50),NA(),IF(ISBLANK(BI50),NA(),BI50))</f>
        <v>0.35416666666666669</v>
      </c>
      <c r="AG92" s="22">
        <f>IF(ISBLANK(AP5),NA(),SUM($AP$4:AP5))</f>
        <v>0.30000000000000004</v>
      </c>
      <c r="AH92" s="7">
        <f>SUM($AS$91:AS92)</f>
        <v>4.9300696650876024</v>
      </c>
      <c r="AI92" s="115">
        <f t="shared" si="53"/>
        <v>6.0851067100421867E-2</v>
      </c>
      <c r="AJ92" s="124">
        <f t="shared" si="54"/>
        <v>0</v>
      </c>
      <c r="AK92" s="8">
        <f t="shared" si="55"/>
        <v>1024</v>
      </c>
      <c r="AL92" s="124">
        <f t="shared" si="56"/>
        <v>0</v>
      </c>
      <c r="AM92" s="141">
        <f t="shared" si="57"/>
        <v>0.58680555555555558</v>
      </c>
      <c r="AN92" s="45">
        <f t="array" ref="AN92">MAX(FREQUENCY(IF(AJ91:AJ121=0,ROW(91:121)),IF(AJ91:AJ121&lt;&gt;0,ROW(91:121))))</f>
        <v>9</v>
      </c>
      <c r="AO92" s="141" t="e">
        <f t="shared" si="58"/>
        <v>#N/A</v>
      </c>
      <c r="AP92" s="59" t="s">
        <v>113</v>
      </c>
      <c r="AQ92" s="447">
        <v>2.7E-2</v>
      </c>
      <c r="AR92" s="141">
        <f t="shared" si="59"/>
        <v>0.19444444444444445</v>
      </c>
      <c r="AS92" s="7">
        <f t="shared" si="60"/>
        <v>2.472551990397537</v>
      </c>
      <c r="AT92" s="7">
        <v>8.2144667782490721</v>
      </c>
      <c r="AU92" s="4">
        <v>2</v>
      </c>
      <c r="AV92" s="127">
        <f t="shared" si="61"/>
        <v>0</v>
      </c>
      <c r="AW92" s="124">
        <f t="shared" ref="AW92:AW121" si="76">IF(ISBLANK(F5),"",IF(AY50&lt;BC92,1,0))</f>
        <v>0</v>
      </c>
      <c r="AX92" s="124">
        <f t="shared" ref="AX92:AX121" si="77">IF(ISBLANK(G5),"",IF(AY50&gt;BD92,1,0))</f>
        <v>1</v>
      </c>
      <c r="AY92" s="124">
        <f t="shared" si="62"/>
        <v>1</v>
      </c>
      <c r="AZ92" s="125">
        <f t="shared" si="63"/>
        <v>5.0999999999999996</v>
      </c>
      <c r="BA92" s="125">
        <f t="shared" si="64"/>
        <v>3.1000000000000005</v>
      </c>
      <c r="BB92" s="125">
        <f t="shared" si="65"/>
        <v>6.7</v>
      </c>
      <c r="BC92" s="7">
        <v>3.14</v>
      </c>
      <c r="BD92" s="7">
        <v>6.3</v>
      </c>
      <c r="BE92" s="124"/>
      <c r="BF92" s="8">
        <f t="shared" si="66"/>
        <v>93</v>
      </c>
      <c r="BG92" s="21">
        <f t="shared" si="67"/>
        <v>6.6</v>
      </c>
      <c r="BH92" s="124">
        <f t="shared" si="68"/>
        <v>0</v>
      </c>
      <c r="BI92" s="124">
        <f t="shared" ref="BI92:BI121" si="78">IF(ISBLANK(L5),"",IF(AQ5&gt;0.4,1,0))</f>
        <v>0</v>
      </c>
      <c r="BJ92" s="144">
        <f t="shared" si="69"/>
        <v>3.3333333333333333E-2</v>
      </c>
      <c r="BL92" s="99"/>
    </row>
    <row r="93" spans="1:64" ht="12.75" x14ac:dyDescent="0.2">
      <c r="A93" s="8">
        <f t="shared" si="34"/>
        <v>29</v>
      </c>
      <c r="B93" s="125">
        <f t="shared" si="35"/>
        <v>2.2000000000000002</v>
      </c>
      <c r="C93" s="125">
        <f t="shared" si="36"/>
        <v>7.6</v>
      </c>
      <c r="D93" s="125">
        <f t="shared" si="70"/>
        <v>4.9000000000000004</v>
      </c>
      <c r="E93" s="125">
        <f t="shared" si="37"/>
        <v>5.3999999999999995</v>
      </c>
      <c r="F93" s="7">
        <v>2.35</v>
      </c>
      <c r="G93" s="7">
        <v>7.14</v>
      </c>
      <c r="H93" s="7">
        <f t="shared" si="71"/>
        <v>4.7450000000000001</v>
      </c>
      <c r="I93" s="7">
        <f t="shared" si="72"/>
        <v>4.7899999999999991</v>
      </c>
      <c r="K93" s="7">
        <f t="shared" si="38"/>
        <v>5.3999999999999995</v>
      </c>
      <c r="L93" s="7">
        <f t="shared" si="39"/>
        <v>6.9</v>
      </c>
      <c r="M93" s="370">
        <f t="shared" si="40"/>
        <v>6.6000000000000005</v>
      </c>
      <c r="N93" s="1">
        <f t="shared" si="41"/>
        <v>0</v>
      </c>
      <c r="O93" s="7">
        <f t="shared" si="42"/>
        <v>86</v>
      </c>
      <c r="P93" s="7">
        <f t="shared" si="43"/>
        <v>1.8333333333333333</v>
      </c>
      <c r="Q93" s="7">
        <f t="shared" si="44"/>
        <v>8.8333333333333339</v>
      </c>
      <c r="R93" s="7">
        <f t="shared" si="45"/>
        <v>5.8666666666666671</v>
      </c>
      <c r="S93" s="7">
        <f t="shared" si="46"/>
        <v>7</v>
      </c>
      <c r="T93" s="1">
        <v>34</v>
      </c>
      <c r="U93" s="333">
        <f t="shared" si="47"/>
        <v>1.4285714285714286</v>
      </c>
      <c r="V93" s="4">
        <v>3</v>
      </c>
      <c r="W93" s="7">
        <f t="shared" si="48"/>
        <v>0.81900000000000006</v>
      </c>
      <c r="X93" s="7">
        <f t="shared" si="49"/>
        <v>9.282</v>
      </c>
      <c r="Y93" s="8">
        <f t="shared" si="50"/>
        <v>9</v>
      </c>
      <c r="Z93" s="7">
        <f>IF(ISBLANK(Z6),NA(),SUM($Z$4:Z6))</f>
        <v>0.2</v>
      </c>
      <c r="AA93" s="7">
        <f t="shared" si="73"/>
        <v>4.2857142857142856</v>
      </c>
      <c r="AB93" s="26">
        <f>IF(ISBLANK(Z6),"",SUM($Z$4:Z6))</f>
        <v>0.2</v>
      </c>
      <c r="AC93" s="115">
        <f t="shared" si="74"/>
        <v>4.6666666666666669E-2</v>
      </c>
      <c r="AD93" s="8">
        <f t="shared" si="51"/>
        <v>1023.8333333333334</v>
      </c>
      <c r="AE93" s="610">
        <f t="shared" si="52"/>
        <v>0.84930266297218449</v>
      </c>
      <c r="AF93" s="141">
        <f t="shared" si="75"/>
        <v>0.3611111111111111</v>
      </c>
      <c r="AG93" s="22">
        <f>IF(ISBLANK(AP6),NA(),SUM($AP$4:AP6))</f>
        <v>6.3</v>
      </c>
      <c r="AH93" s="7">
        <f>SUM($AS$91:AS93)</f>
        <v>7.4178502843177014</v>
      </c>
      <c r="AI93" s="115">
        <f t="shared" si="53"/>
        <v>0.84930266297218449</v>
      </c>
      <c r="AJ93" s="124">
        <f t="shared" si="54"/>
        <v>0</v>
      </c>
      <c r="AK93" s="8">
        <f t="shared" si="55"/>
        <v>1021.5</v>
      </c>
      <c r="AL93" s="124">
        <f t="shared" si="56"/>
        <v>0</v>
      </c>
      <c r="AM93" s="141">
        <f t="shared" si="57"/>
        <v>0.62847222222222221</v>
      </c>
      <c r="AN93" s="150">
        <f>COUNTIF(E72:E80, "&lt;-0.5")</f>
        <v>0</v>
      </c>
      <c r="AO93" s="141">
        <f t="shared" si="58"/>
        <v>0.59375</v>
      </c>
      <c r="AP93" s="59" t="s">
        <v>206</v>
      </c>
      <c r="AQ93" s="447">
        <v>2.9000000000000001E-2</v>
      </c>
      <c r="AR93" s="141">
        <f t="shared" si="59"/>
        <v>0.30208333333333331</v>
      </c>
      <c r="AS93" s="7">
        <f t="shared" si="60"/>
        <v>2.4877806192300986</v>
      </c>
      <c r="AT93" s="7">
        <v>8.2650602808767974</v>
      </c>
      <c r="AU93" s="4">
        <v>3</v>
      </c>
      <c r="AV93" s="127">
        <f t="shared" si="61"/>
        <v>1</v>
      </c>
      <c r="AW93" s="124">
        <f t="shared" si="76"/>
        <v>0</v>
      </c>
      <c r="AX93" s="124">
        <f t="shared" si="77"/>
        <v>1</v>
      </c>
      <c r="AY93" s="124">
        <f t="shared" si="62"/>
        <v>1</v>
      </c>
      <c r="AZ93" s="125">
        <f t="shared" si="63"/>
        <v>5.0999999999999996</v>
      </c>
      <c r="BA93" s="125">
        <f t="shared" si="64"/>
        <v>3.1000000000000005</v>
      </c>
      <c r="BB93" s="125">
        <f t="shared" si="65"/>
        <v>6.7</v>
      </c>
      <c r="BC93" s="7">
        <v>3.1483333333333334</v>
      </c>
      <c r="BD93" s="7">
        <v>6.3416666666666668</v>
      </c>
      <c r="BE93" s="124"/>
      <c r="BF93" s="8">
        <f t="shared" si="66"/>
        <v>79</v>
      </c>
      <c r="BG93" s="21">
        <f t="shared" si="67"/>
        <v>7.5</v>
      </c>
      <c r="BH93" s="124">
        <f t="shared" si="68"/>
        <v>0</v>
      </c>
      <c r="BI93" s="124">
        <f t="shared" si="78"/>
        <v>0</v>
      </c>
      <c r="BJ93" s="144">
        <f t="shared" si="69"/>
        <v>0</v>
      </c>
      <c r="BL93" s="99"/>
    </row>
    <row r="94" spans="1:64" ht="12.75" x14ac:dyDescent="0.2">
      <c r="A94" s="8">
        <f t="shared" si="34"/>
        <v>14</v>
      </c>
      <c r="B94" s="125">
        <f t="shared" si="35"/>
        <v>2.2000000000000002</v>
      </c>
      <c r="C94" s="125">
        <f t="shared" si="36"/>
        <v>7.6</v>
      </c>
      <c r="D94" s="125">
        <f t="shared" si="70"/>
        <v>4.9000000000000004</v>
      </c>
      <c r="E94" s="125">
        <f t="shared" si="37"/>
        <v>5.3999999999999995</v>
      </c>
      <c r="F94" s="7">
        <v>2.35</v>
      </c>
      <c r="G94" s="7">
        <v>7.18</v>
      </c>
      <c r="H94" s="7">
        <f t="shared" si="71"/>
        <v>4.7649999999999997</v>
      </c>
      <c r="I94" s="7">
        <f t="shared" si="72"/>
        <v>4.83</v>
      </c>
      <c r="K94" s="7">
        <f t="shared" si="38"/>
        <v>2.8000000000000007</v>
      </c>
      <c r="L94" s="7">
        <f t="shared" si="39"/>
        <v>10.9</v>
      </c>
      <c r="M94" s="370">
        <f t="shared" si="40"/>
        <v>7.9</v>
      </c>
      <c r="N94" s="1">
        <f t="shared" si="41"/>
        <v>0</v>
      </c>
      <c r="O94" s="7">
        <f t="shared" si="42"/>
        <v>83.75</v>
      </c>
      <c r="P94" s="7">
        <f t="shared" si="43"/>
        <v>3.75</v>
      </c>
      <c r="Q94" s="7">
        <f t="shared" si="44"/>
        <v>9.6999999999999993</v>
      </c>
      <c r="R94" s="7">
        <f t="shared" si="45"/>
        <v>7.15</v>
      </c>
      <c r="S94" s="7">
        <f t="shared" si="46"/>
        <v>5.95</v>
      </c>
      <c r="T94" s="1">
        <v>35</v>
      </c>
      <c r="U94" s="333">
        <f t="shared" si="47"/>
        <v>1.4285714285714286</v>
      </c>
      <c r="V94" s="4">
        <v>4</v>
      </c>
      <c r="W94" s="7">
        <f t="shared" si="48"/>
        <v>1.0920000000000001</v>
      </c>
      <c r="X94" s="7">
        <f t="shared" si="49"/>
        <v>9.5550000000000015</v>
      </c>
      <c r="Y94" s="8">
        <f t="shared" si="50"/>
        <v>2</v>
      </c>
      <c r="Z94" s="7">
        <f>IF(ISBLANK(Z7),NA(),SUM($Z$4:Z7))</f>
        <v>0.2</v>
      </c>
      <c r="AA94" s="7">
        <f t="shared" si="73"/>
        <v>5.7142857142857144</v>
      </c>
      <c r="AB94" s="26">
        <f>IF(ISBLANK(Z7),"",SUM($Z$4:Z7))</f>
        <v>0.2</v>
      </c>
      <c r="AC94" s="115">
        <f t="shared" si="74"/>
        <v>3.5000000000000003E-2</v>
      </c>
      <c r="AD94" s="8">
        <f t="shared" si="51"/>
        <v>1021.875</v>
      </c>
      <c r="AE94" s="610">
        <f t="shared" si="52"/>
        <v>0.64509321885722481</v>
      </c>
      <c r="AF94" s="141" t="e">
        <f t="shared" si="75"/>
        <v>#N/A</v>
      </c>
      <c r="AG94" s="22">
        <f>IF(ISBLANK(AP7),NA(),SUM($AP$4:AP7))</f>
        <v>6.3999999999999995</v>
      </c>
      <c r="AH94" s="7">
        <f>SUM($AS$91:AS94)</f>
        <v>9.9210467772975903</v>
      </c>
      <c r="AI94" s="115">
        <f t="shared" si="53"/>
        <v>0.64509321885722481</v>
      </c>
      <c r="AJ94" s="124">
        <f t="shared" si="54"/>
        <v>0</v>
      </c>
      <c r="AK94" s="8">
        <f t="shared" si="55"/>
        <v>1016</v>
      </c>
      <c r="AL94" s="124">
        <f t="shared" si="56"/>
        <v>0</v>
      </c>
      <c r="AM94" s="141">
        <f t="shared" si="57"/>
        <v>0.63888888888888895</v>
      </c>
      <c r="AN94" s="141">
        <f t="array" ref="AN94">MAX(FREQUENCY(IF(BI91:BI121=1,ROW(91:121)),IF(BI91:BI121&lt;&gt;1,ROW(91:121))))</f>
        <v>4</v>
      </c>
      <c r="AO94" s="141">
        <f t="shared" si="58"/>
        <v>0.55902777777777779</v>
      </c>
      <c r="AP94" s="449" t="s">
        <v>105</v>
      </c>
      <c r="AQ94" s="448">
        <v>0.03</v>
      </c>
      <c r="AR94" s="141" t="e">
        <f t="shared" si="59"/>
        <v>#N/A</v>
      </c>
      <c r="AS94" s="7">
        <f t="shared" si="60"/>
        <v>2.503196492979888</v>
      </c>
      <c r="AT94" s="7">
        <v>8.3162758602729525</v>
      </c>
      <c r="AU94" s="4">
        <v>4</v>
      </c>
      <c r="AV94" s="127">
        <f t="shared" si="61"/>
        <v>0</v>
      </c>
      <c r="AW94" s="124">
        <f t="shared" si="76"/>
        <v>0</v>
      </c>
      <c r="AX94" s="124">
        <f t="shared" si="77"/>
        <v>1</v>
      </c>
      <c r="AY94" s="124">
        <f t="shared" si="62"/>
        <v>1</v>
      </c>
      <c r="AZ94" s="125">
        <f t="shared" si="63"/>
        <v>5.0999999999999996</v>
      </c>
      <c r="BA94" s="125">
        <f t="shared" si="64"/>
        <v>3.1000000000000005</v>
      </c>
      <c r="BB94" s="125">
        <f t="shared" si="65"/>
        <v>6.7</v>
      </c>
      <c r="BC94" s="7">
        <v>3.1549999999999998</v>
      </c>
      <c r="BD94" s="7">
        <v>6.375</v>
      </c>
      <c r="BE94" s="124"/>
      <c r="BF94" s="8">
        <f t="shared" si="66"/>
        <v>77</v>
      </c>
      <c r="BG94" s="21">
        <f t="shared" si="67"/>
        <v>11</v>
      </c>
      <c r="BH94" s="124">
        <f t="shared" si="68"/>
        <v>0</v>
      </c>
      <c r="BI94" s="124">
        <f t="shared" si="78"/>
        <v>0</v>
      </c>
      <c r="BJ94" s="144">
        <f t="shared" si="69"/>
        <v>0</v>
      </c>
      <c r="BL94" s="99"/>
    </row>
    <row r="95" spans="1:64" ht="12.75" x14ac:dyDescent="0.2">
      <c r="A95" s="8">
        <f t="shared" si="34"/>
        <v>11</v>
      </c>
      <c r="B95" s="125">
        <f t="shared" si="35"/>
        <v>2.2000000000000002</v>
      </c>
      <c r="C95" s="125">
        <f t="shared" si="36"/>
        <v>7.6</v>
      </c>
      <c r="D95" s="125">
        <f t="shared" si="70"/>
        <v>4.9000000000000004</v>
      </c>
      <c r="E95" s="125">
        <f t="shared" si="37"/>
        <v>5.3999999999999995</v>
      </c>
      <c r="F95" s="7">
        <v>2.35</v>
      </c>
      <c r="G95" s="7">
        <v>7.3</v>
      </c>
      <c r="H95" s="7">
        <f t="shared" si="71"/>
        <v>4.8250000000000002</v>
      </c>
      <c r="I95" s="7">
        <f t="shared" si="72"/>
        <v>4.9499999999999993</v>
      </c>
      <c r="K95" s="7">
        <f t="shared" si="38"/>
        <v>1.6999999999999993</v>
      </c>
      <c r="L95" s="7">
        <f t="shared" si="39"/>
        <v>12.15</v>
      </c>
      <c r="M95" s="370">
        <f t="shared" si="40"/>
        <v>8.6</v>
      </c>
      <c r="N95" s="1">
        <f t="shared" si="41"/>
        <v>3.3333333333333333E-2</v>
      </c>
      <c r="O95" s="7">
        <f t="shared" si="42"/>
        <v>82.2</v>
      </c>
      <c r="P95" s="7">
        <f t="shared" si="43"/>
        <v>5.26</v>
      </c>
      <c r="Q95" s="7">
        <f t="shared" si="44"/>
        <v>10.36</v>
      </c>
      <c r="R95" s="7">
        <f t="shared" si="45"/>
        <v>8.120000000000001</v>
      </c>
      <c r="S95" s="7">
        <f t="shared" si="46"/>
        <v>5.0999999999999996</v>
      </c>
      <c r="T95" s="1">
        <v>36</v>
      </c>
      <c r="U95" s="333">
        <f t="shared" si="47"/>
        <v>1.4285714285714286</v>
      </c>
      <c r="V95" s="4">
        <v>5</v>
      </c>
      <c r="W95" s="7">
        <f t="shared" si="48"/>
        <v>1.3650000000000002</v>
      </c>
      <c r="X95" s="7">
        <f t="shared" si="49"/>
        <v>9.8280000000000012</v>
      </c>
      <c r="Y95" s="8">
        <f t="shared" si="50"/>
        <v>5</v>
      </c>
      <c r="Z95" s="7">
        <f>IF(ISBLANK(Z8),NA(),SUM($Z$4:Z8))</f>
        <v>0.30000000000000004</v>
      </c>
      <c r="AA95" s="7">
        <f t="shared" si="73"/>
        <v>7.1428571428571432</v>
      </c>
      <c r="AB95" s="26">
        <f>IF(ISBLANK(Z8),"",SUM($Z$4:Z8))</f>
        <v>0.30000000000000004</v>
      </c>
      <c r="AC95" s="115">
        <f t="shared" si="74"/>
        <v>4.2000000000000003E-2</v>
      </c>
      <c r="AD95" s="8">
        <f t="shared" si="51"/>
        <v>1021</v>
      </c>
      <c r="AE95" s="610">
        <f t="shared" si="52"/>
        <v>0.514476092666727</v>
      </c>
      <c r="AF95" s="141">
        <f t="shared" si="75"/>
        <v>0.35416666666666669</v>
      </c>
      <c r="AG95" s="22">
        <f>IF(ISBLANK(AP8),NA(),SUM($AP$4:AP8))</f>
        <v>6.3999999999999995</v>
      </c>
      <c r="AH95" s="7">
        <f>SUM($AS$91:AS95)</f>
        <v>12.43983946236713</v>
      </c>
      <c r="AI95" s="115">
        <f t="shared" si="53"/>
        <v>0.514476092666727</v>
      </c>
      <c r="AJ95" s="124">
        <f t="shared" si="54"/>
        <v>0</v>
      </c>
      <c r="AK95" s="8">
        <f t="shared" si="55"/>
        <v>1017.5</v>
      </c>
      <c r="AL95" s="124">
        <f t="shared" si="56"/>
        <v>0</v>
      </c>
      <c r="AM95" s="141">
        <f t="shared" si="57"/>
        <v>0.62847222222222221</v>
      </c>
      <c r="AN95" s="141">
        <f t="array" ref="AN95">MAX(FREQUENCY(IF(BI91:BI121=0,ROW(91:121)),IF(BI91:BI121&lt;&gt;0,ROW(91:121))))</f>
        <v>8</v>
      </c>
      <c r="AO95" s="141">
        <f t="shared" si="58"/>
        <v>0.60416666666666663</v>
      </c>
      <c r="AP95" s="449" t="s">
        <v>207</v>
      </c>
      <c r="AQ95" s="448">
        <v>4.9000000000000002E-2</v>
      </c>
      <c r="AR95" s="141">
        <f t="shared" si="59"/>
        <v>0.27430555555555552</v>
      </c>
      <c r="AS95" s="7">
        <f t="shared" si="60"/>
        <v>2.5187926850695397</v>
      </c>
      <c r="AT95" s="7">
        <v>8.3680905045292437</v>
      </c>
      <c r="AU95" s="4">
        <v>5</v>
      </c>
      <c r="AV95" s="127">
        <f t="shared" si="61"/>
        <v>0</v>
      </c>
      <c r="AW95" s="124">
        <f t="shared" si="76"/>
        <v>0</v>
      </c>
      <c r="AX95" s="124">
        <f t="shared" si="77"/>
        <v>1</v>
      </c>
      <c r="AY95" s="124">
        <f t="shared" si="62"/>
        <v>1</v>
      </c>
      <c r="AZ95" s="125">
        <f t="shared" si="63"/>
        <v>5.0999999999999996</v>
      </c>
      <c r="BA95" s="125">
        <f t="shared" si="64"/>
        <v>3.1000000000000005</v>
      </c>
      <c r="BB95" s="125">
        <f t="shared" si="65"/>
        <v>6.7</v>
      </c>
      <c r="BC95" s="7">
        <v>3.1749999999999998</v>
      </c>
      <c r="BD95" s="7">
        <v>6.4749999999999996</v>
      </c>
      <c r="BE95" s="124"/>
      <c r="BF95" s="8">
        <f t="shared" si="66"/>
        <v>76</v>
      </c>
      <c r="BG95" s="21">
        <f t="shared" si="67"/>
        <v>12</v>
      </c>
      <c r="BH95" s="124">
        <f t="shared" si="68"/>
        <v>0</v>
      </c>
      <c r="BI95" s="124">
        <f t="shared" si="78"/>
        <v>0</v>
      </c>
      <c r="BJ95" s="144">
        <f t="shared" si="69"/>
        <v>3.3333333333333333E-2</v>
      </c>
      <c r="BL95" s="99"/>
    </row>
    <row r="96" spans="1:64" ht="12.75" x14ac:dyDescent="0.2">
      <c r="A96" s="8">
        <f t="shared" si="34"/>
        <v>14</v>
      </c>
      <c r="B96" s="125">
        <f t="shared" si="35"/>
        <v>2.2000000000000002</v>
      </c>
      <c r="C96" s="125">
        <f t="shared" si="36"/>
        <v>7.6</v>
      </c>
      <c r="D96" s="125">
        <f t="shared" si="70"/>
        <v>4.9000000000000004</v>
      </c>
      <c r="E96" s="125">
        <f t="shared" si="37"/>
        <v>5.3999999999999995</v>
      </c>
      <c r="F96" s="7">
        <v>2.35</v>
      </c>
      <c r="G96" s="7">
        <v>7.38</v>
      </c>
      <c r="H96" s="7">
        <f t="shared" si="71"/>
        <v>4.8650000000000002</v>
      </c>
      <c r="I96" s="7">
        <f t="shared" si="72"/>
        <v>5.0299999999999994</v>
      </c>
      <c r="K96" s="7">
        <f t="shared" si="38"/>
        <v>1.9000000000000004</v>
      </c>
      <c r="L96" s="7">
        <f t="shared" si="39"/>
        <v>10.649999999999999</v>
      </c>
      <c r="M96" s="370">
        <f t="shared" si="40"/>
        <v>9.0499999999999989</v>
      </c>
      <c r="N96" s="1">
        <f t="shared" si="41"/>
        <v>0</v>
      </c>
      <c r="O96" s="7">
        <f t="shared" si="42"/>
        <v>81.333333333333329</v>
      </c>
      <c r="P96" s="7">
        <f t="shared" si="43"/>
        <v>6</v>
      </c>
      <c r="Q96" s="7">
        <f t="shared" si="44"/>
        <v>10.566666666666666</v>
      </c>
      <c r="R96" s="7">
        <f t="shared" si="45"/>
        <v>8.5666666666666682</v>
      </c>
      <c r="S96" s="7">
        <f t="shared" si="46"/>
        <v>4.5666666666666664</v>
      </c>
      <c r="T96" s="1">
        <v>37</v>
      </c>
      <c r="U96" s="333">
        <f t="shared" si="47"/>
        <v>1.4285714285714286</v>
      </c>
      <c r="V96" s="4">
        <v>6</v>
      </c>
      <c r="W96" s="7">
        <f t="shared" si="48"/>
        <v>1.6380000000000001</v>
      </c>
      <c r="X96" s="7">
        <f t="shared" si="49"/>
        <v>10.101000000000001</v>
      </c>
      <c r="Y96" s="8">
        <f t="shared" si="50"/>
        <v>1</v>
      </c>
      <c r="Z96" s="7">
        <f>IF(ISBLANK(Z9),NA(),SUM($Z$4:Z9))</f>
        <v>0.30000000000000004</v>
      </c>
      <c r="AA96" s="7">
        <f t="shared" si="73"/>
        <v>8.5714285714285712</v>
      </c>
      <c r="AB96" s="26">
        <f>IF(ISBLANK(Z9),"",SUM($Z$4:Z9))</f>
        <v>0.30000000000000004</v>
      </c>
      <c r="AC96" s="115">
        <f t="shared" si="74"/>
        <v>3.5000000000000003E-2</v>
      </c>
      <c r="AD96" s="8">
        <f t="shared" si="51"/>
        <v>1020.75</v>
      </c>
      <c r="AE96" s="610">
        <f t="shared" si="52"/>
        <v>0.42739603575985297</v>
      </c>
      <c r="AF96" s="141">
        <f t="shared" si="75"/>
        <v>0.22569444444444445</v>
      </c>
      <c r="AG96" s="22">
        <f>IF(ISBLANK(AP9),NA(),SUM($AP$4:AP9))</f>
        <v>6.3999999999999995</v>
      </c>
      <c r="AH96" s="7">
        <f>SUM($AS$91:AS96)</f>
        <v>14.974401876755024</v>
      </c>
      <c r="AI96" s="115">
        <f t="shared" si="53"/>
        <v>0.42739603575985297</v>
      </c>
      <c r="AJ96" s="124">
        <f t="shared" si="54"/>
        <v>0</v>
      </c>
      <c r="AK96" s="8">
        <f t="shared" si="55"/>
        <v>1019.5</v>
      </c>
      <c r="AL96" s="124">
        <f t="shared" si="56"/>
        <v>0</v>
      </c>
      <c r="AM96" s="141">
        <f t="shared" si="57"/>
        <v>0.58680555555555558</v>
      </c>
      <c r="AN96" s="124">
        <f>COUNTIF(AU50:AU60, "&lt;-0.5")</f>
        <v>1</v>
      </c>
      <c r="AO96" s="141">
        <f t="shared" si="58"/>
        <v>0.4236111111111111</v>
      </c>
      <c r="AP96" s="449" t="s">
        <v>106</v>
      </c>
      <c r="AQ96" s="448">
        <v>5.2999999999999999E-2</v>
      </c>
      <c r="AR96" s="141">
        <f t="shared" si="59"/>
        <v>0.29166666666666669</v>
      </c>
      <c r="AS96" s="7">
        <f t="shared" si="60"/>
        <v>2.5345624143878949</v>
      </c>
      <c r="AT96" s="7">
        <v>8.4204816850143036</v>
      </c>
      <c r="AU96" s="4">
        <v>6</v>
      </c>
      <c r="AV96" s="127">
        <f t="shared" si="61"/>
        <v>0</v>
      </c>
      <c r="AW96" s="124">
        <f t="shared" si="76"/>
        <v>0</v>
      </c>
      <c r="AX96" s="124">
        <f t="shared" si="77"/>
        <v>1</v>
      </c>
      <c r="AY96" s="124">
        <f t="shared" si="62"/>
        <v>1</v>
      </c>
      <c r="AZ96" s="125">
        <f t="shared" si="63"/>
        <v>5.0999999999999996</v>
      </c>
      <c r="BA96" s="125">
        <f t="shared" si="64"/>
        <v>3.1000000000000005</v>
      </c>
      <c r="BB96" s="125">
        <f t="shared" si="65"/>
        <v>6.7</v>
      </c>
      <c r="BC96" s="7">
        <v>3.1883333333333335</v>
      </c>
      <c r="BD96" s="7">
        <v>6.541666666666667</v>
      </c>
      <c r="BE96" s="124"/>
      <c r="BF96" s="8">
        <f t="shared" si="66"/>
        <v>77</v>
      </c>
      <c r="BG96" s="21">
        <f t="shared" si="67"/>
        <v>10.8</v>
      </c>
      <c r="BH96" s="124">
        <f t="shared" si="68"/>
        <v>0</v>
      </c>
      <c r="BI96" s="124">
        <f t="shared" si="78"/>
        <v>0</v>
      </c>
      <c r="BJ96" s="144">
        <f t="shared" si="69"/>
        <v>0</v>
      </c>
      <c r="BL96" s="99"/>
    </row>
    <row r="97" spans="1:64" ht="12.75" x14ac:dyDescent="0.2">
      <c r="A97" s="8">
        <f t="shared" si="34"/>
        <v>22</v>
      </c>
      <c r="B97" s="125">
        <f t="shared" si="35"/>
        <v>2.2000000000000002</v>
      </c>
      <c r="C97" s="125">
        <f t="shared" si="36"/>
        <v>7.6</v>
      </c>
      <c r="D97" s="125">
        <f t="shared" si="70"/>
        <v>4.9000000000000004</v>
      </c>
      <c r="E97" s="125">
        <f t="shared" si="37"/>
        <v>5.3999999999999995</v>
      </c>
      <c r="F97" s="7">
        <v>2.35</v>
      </c>
      <c r="G97" s="7">
        <v>7.3140000000000001</v>
      </c>
      <c r="H97" s="7">
        <f t="shared" si="71"/>
        <v>4.8319999999999999</v>
      </c>
      <c r="I97" s="7">
        <f t="shared" si="72"/>
        <v>4.9640000000000004</v>
      </c>
      <c r="K97" s="7">
        <f t="shared" si="38"/>
        <v>5.7</v>
      </c>
      <c r="L97" s="7">
        <f t="shared" si="39"/>
        <v>8.5500000000000007</v>
      </c>
      <c r="M97" s="370">
        <f t="shared" si="40"/>
        <v>9.1999999999999993</v>
      </c>
      <c r="N97" s="1">
        <f t="shared" si="41"/>
        <v>3.3333333333333333E-2</v>
      </c>
      <c r="O97" s="7">
        <f t="shared" si="42"/>
        <v>80.285714285714292</v>
      </c>
      <c r="P97" s="7">
        <f t="shared" si="43"/>
        <v>5.9571428571428573</v>
      </c>
      <c r="Q97" s="7">
        <f t="shared" si="44"/>
        <v>10.685714285714285</v>
      </c>
      <c r="R97" s="7">
        <f t="shared" si="45"/>
        <v>8.6285714285714299</v>
      </c>
      <c r="S97" s="7">
        <f t="shared" si="46"/>
        <v>4.7285714285714286</v>
      </c>
      <c r="T97" s="1">
        <v>38</v>
      </c>
      <c r="U97" s="333">
        <f t="shared" si="47"/>
        <v>1.4285714285714286</v>
      </c>
      <c r="V97" s="4">
        <v>7</v>
      </c>
      <c r="W97" s="7">
        <f t="shared" si="48"/>
        <v>1.911</v>
      </c>
      <c r="X97" s="7">
        <f t="shared" si="49"/>
        <v>10.374000000000001</v>
      </c>
      <c r="Y97" s="8">
        <f t="shared" si="50"/>
        <v>9</v>
      </c>
      <c r="Z97" s="7">
        <f>IF(ISBLANK(Z10),NA(),SUM($Z$4:Z10))</f>
        <v>0.4</v>
      </c>
      <c r="AA97" s="7">
        <f t="shared" si="73"/>
        <v>10</v>
      </c>
      <c r="AB97" s="26">
        <f>IF(ISBLANK(Z10),"",SUM($Z$4:Z10))</f>
        <v>0.4</v>
      </c>
      <c r="AC97" s="115">
        <f t="shared" si="74"/>
        <v>0.04</v>
      </c>
      <c r="AD97" s="8">
        <f t="shared" si="51"/>
        <v>1019.8571428571429</v>
      </c>
      <c r="AE97" s="610">
        <f t="shared" si="52"/>
        <v>0.40513781106633517</v>
      </c>
      <c r="AF97" s="141" t="e">
        <f t="shared" si="75"/>
        <v>#N/A</v>
      </c>
      <c r="AG97" s="22">
        <f>IF(ISBLANK(AP10),NA(),SUM($AP$4:AP10))</f>
        <v>7.1</v>
      </c>
      <c r="AH97" s="7">
        <f>SUM($AS$91:AS97)</f>
        <v>17.52490092522488</v>
      </c>
      <c r="AI97" s="115">
        <f t="shared" si="53"/>
        <v>0.40513781106633517</v>
      </c>
      <c r="AJ97" s="124">
        <f t="shared" si="54"/>
        <v>0</v>
      </c>
      <c r="AK97" s="8">
        <f t="shared" si="55"/>
        <v>1014.5</v>
      </c>
      <c r="AL97" s="124">
        <f t="shared" si="56"/>
        <v>0</v>
      </c>
      <c r="AM97" s="141">
        <f t="shared" si="57"/>
        <v>0.6645833333333333</v>
      </c>
      <c r="AN97" s="150">
        <f>COUNTIF(E48:E66,"&gt;0.5")</f>
        <v>3</v>
      </c>
      <c r="AO97" s="141">
        <f t="shared" si="58"/>
        <v>0.63541666666666663</v>
      </c>
      <c r="AP97" s="449" t="s">
        <v>208</v>
      </c>
      <c r="AQ97" s="448">
        <v>5.0999999999999997E-2</v>
      </c>
      <c r="AR97" s="141">
        <f t="shared" si="59"/>
        <v>0.30208333333333331</v>
      </c>
      <c r="AS97" s="7">
        <f t="shared" si="60"/>
        <v>2.5504990484698564</v>
      </c>
      <c r="AT97" s="7">
        <v>8.4734273669379974</v>
      </c>
      <c r="AU97" s="4">
        <v>7</v>
      </c>
      <c r="AV97" s="127">
        <f t="shared" si="61"/>
        <v>0</v>
      </c>
      <c r="AW97" s="124">
        <f t="shared" si="76"/>
        <v>0</v>
      </c>
      <c r="AX97" s="124">
        <f t="shared" si="77"/>
        <v>1</v>
      </c>
      <c r="AY97" s="124">
        <f t="shared" si="62"/>
        <v>0</v>
      </c>
      <c r="AZ97" s="125">
        <f t="shared" si="63"/>
        <v>5.0999999999999996</v>
      </c>
      <c r="BA97" s="125">
        <f t="shared" si="64"/>
        <v>3.1000000000000005</v>
      </c>
      <c r="BB97" s="125">
        <f t="shared" si="65"/>
        <v>6.7</v>
      </c>
      <c r="BC97" s="7">
        <v>3.1773333333333333</v>
      </c>
      <c r="BD97" s="7">
        <v>6.4866666666666664</v>
      </c>
      <c r="BE97" s="124"/>
      <c r="BF97" s="8">
        <f t="shared" si="66"/>
        <v>74</v>
      </c>
      <c r="BG97" s="21">
        <f t="shared" si="67"/>
        <v>9</v>
      </c>
      <c r="BH97" s="124">
        <f t="shared" si="68"/>
        <v>0</v>
      </c>
      <c r="BI97" s="124">
        <f t="shared" si="78"/>
        <v>0</v>
      </c>
      <c r="BJ97" s="144">
        <f t="shared" si="69"/>
        <v>3.3333333333333333E-2</v>
      </c>
      <c r="BL97" s="99"/>
    </row>
    <row r="98" spans="1:64" ht="12.75" x14ac:dyDescent="0.2">
      <c r="A98" s="8">
        <f t="shared" si="34"/>
        <v>43</v>
      </c>
      <c r="B98" s="125">
        <f t="shared" si="35"/>
        <v>2.2000000000000002</v>
      </c>
      <c r="C98" s="125">
        <f t="shared" si="36"/>
        <v>7.6</v>
      </c>
      <c r="D98" s="125">
        <f t="shared" si="70"/>
        <v>4.9000000000000004</v>
      </c>
      <c r="E98" s="125">
        <f t="shared" si="37"/>
        <v>5.3999999999999995</v>
      </c>
      <c r="F98" s="7">
        <v>2.35</v>
      </c>
      <c r="G98" s="7">
        <v>7.2480000000000002</v>
      </c>
      <c r="H98" s="7">
        <f t="shared" si="71"/>
        <v>4.7990000000000004</v>
      </c>
      <c r="I98" s="7">
        <f t="shared" si="72"/>
        <v>4.8979999999999997</v>
      </c>
      <c r="K98" s="7">
        <f t="shared" si="38"/>
        <v>7.6</v>
      </c>
      <c r="L98" s="7">
        <f t="shared" si="39"/>
        <v>5.3</v>
      </c>
      <c r="M98" s="370">
        <f t="shared" si="40"/>
        <v>8.3999999999999986</v>
      </c>
      <c r="N98" s="1">
        <f t="shared" si="41"/>
        <v>0</v>
      </c>
      <c r="O98" s="7">
        <f t="shared" si="42"/>
        <v>79.875</v>
      </c>
      <c r="P98" s="7">
        <f t="shared" si="43"/>
        <v>5.4</v>
      </c>
      <c r="Q98" s="7">
        <f t="shared" si="44"/>
        <v>10.487499999999999</v>
      </c>
      <c r="R98" s="7">
        <f t="shared" si="45"/>
        <v>8.2375000000000007</v>
      </c>
      <c r="S98" s="7">
        <f t="shared" si="46"/>
        <v>5.0875000000000004</v>
      </c>
      <c r="T98" s="1">
        <v>39</v>
      </c>
      <c r="U98" s="333">
        <f t="shared" si="47"/>
        <v>1.4285714285714286</v>
      </c>
      <c r="V98" s="4">
        <v>8</v>
      </c>
      <c r="W98" s="7">
        <f t="shared" si="48"/>
        <v>2.1840000000000002</v>
      </c>
      <c r="X98" s="7">
        <f t="shared" si="49"/>
        <v>10.647</v>
      </c>
      <c r="Y98" s="8">
        <f t="shared" si="50"/>
        <v>4</v>
      </c>
      <c r="Z98" s="7">
        <f>IF(ISBLANK(Z11),NA(),SUM($Z$4:Z11))</f>
        <v>0.4</v>
      </c>
      <c r="AA98" s="7">
        <f t="shared" si="73"/>
        <v>11.428571428571429</v>
      </c>
      <c r="AB98" s="26">
        <f>IF(ISBLANK(Z11),"",SUM($Z$4:Z11))</f>
        <v>0.4</v>
      </c>
      <c r="AC98" s="115">
        <f t="shared" si="74"/>
        <v>3.5000000000000003E-2</v>
      </c>
      <c r="AD98" s="8">
        <f t="shared" si="51"/>
        <v>1020.125</v>
      </c>
      <c r="AE98" s="610">
        <f t="shared" si="52"/>
        <v>0.70178941758546654</v>
      </c>
      <c r="AF98" s="141">
        <f t="shared" si="75"/>
        <v>0.41666666666666669</v>
      </c>
      <c r="AG98" s="22">
        <f>IF(ISBLANK(AP11),NA(),SUM($AP$4:AP11))</f>
        <v>14.1</v>
      </c>
      <c r="AH98" s="7">
        <f>SUM($AS$91:AS98)</f>
        <v>20.091497031276976</v>
      </c>
      <c r="AI98" s="115">
        <f t="shared" si="53"/>
        <v>0.70178941758546654</v>
      </c>
      <c r="AJ98" s="124">
        <f t="shared" si="54"/>
        <v>0</v>
      </c>
      <c r="AK98" s="8">
        <f t="shared" si="55"/>
        <v>1022</v>
      </c>
      <c r="AL98" s="124">
        <f t="shared" si="56"/>
        <v>0</v>
      </c>
      <c r="AM98" s="141">
        <f t="shared" si="57"/>
        <v>0.70138888888888884</v>
      </c>
      <c r="AN98" s="150">
        <f>COUNTIF(E72:E80, "&gt;0.5")</f>
        <v>0</v>
      </c>
      <c r="AO98" s="141">
        <f t="shared" si="58"/>
        <v>0.63888888888888895</v>
      </c>
      <c r="AP98" s="449" t="s">
        <v>112</v>
      </c>
      <c r="AQ98" s="448">
        <v>2.9000000000000001E-2</v>
      </c>
      <c r="AR98" s="141">
        <f t="shared" si="59"/>
        <v>0.2986111111111111</v>
      </c>
      <c r="AS98" s="7">
        <f t="shared" si="60"/>
        <v>2.5665961060520961</v>
      </c>
      <c r="AT98" s="7">
        <v>8.5269060178421636</v>
      </c>
      <c r="AU98" s="4">
        <v>8</v>
      </c>
      <c r="AV98" s="127">
        <f t="shared" si="61"/>
        <v>1</v>
      </c>
      <c r="AW98" s="124">
        <f t="shared" si="76"/>
        <v>0</v>
      </c>
      <c r="AX98" s="124">
        <f t="shared" si="77"/>
        <v>0</v>
      </c>
      <c r="AY98" s="124">
        <f t="shared" si="62"/>
        <v>1</v>
      </c>
      <c r="AZ98" s="125">
        <f t="shared" si="63"/>
        <v>5.0999999999999996</v>
      </c>
      <c r="BA98" s="125">
        <f t="shared" si="64"/>
        <v>3.1000000000000005</v>
      </c>
      <c r="BB98" s="125">
        <f t="shared" si="65"/>
        <v>6.7</v>
      </c>
      <c r="BC98" s="7">
        <v>3.1663333333333341</v>
      </c>
      <c r="BD98" s="7">
        <v>6.4316666666666666</v>
      </c>
      <c r="BE98" s="124"/>
      <c r="BF98" s="8">
        <f t="shared" si="66"/>
        <v>77</v>
      </c>
      <c r="BG98" s="21">
        <f t="shared" si="67"/>
        <v>5.5</v>
      </c>
      <c r="BH98" s="124">
        <f t="shared" si="68"/>
        <v>0</v>
      </c>
      <c r="BI98" s="124">
        <f t="shared" si="78"/>
        <v>0</v>
      </c>
      <c r="BJ98" s="144">
        <f t="shared" si="69"/>
        <v>0</v>
      </c>
      <c r="BL98" s="99"/>
    </row>
    <row r="99" spans="1:64" ht="12.75" x14ac:dyDescent="0.2">
      <c r="A99" s="8">
        <f t="shared" si="34"/>
        <v>17</v>
      </c>
      <c r="B99" s="125">
        <f t="shared" si="35"/>
        <v>2.2000000000000002</v>
      </c>
      <c r="C99" s="125">
        <f t="shared" si="36"/>
        <v>7.6</v>
      </c>
      <c r="D99" s="125">
        <f t="shared" si="70"/>
        <v>4.9000000000000004</v>
      </c>
      <c r="E99" s="125">
        <f t="shared" si="37"/>
        <v>5.3999999999999995</v>
      </c>
      <c r="F99" s="7">
        <v>2.2583333333333333</v>
      </c>
      <c r="G99" s="7">
        <v>7.1820000000000004</v>
      </c>
      <c r="H99" s="7">
        <f t="shared" si="71"/>
        <v>4.7201666666666666</v>
      </c>
      <c r="I99" s="7">
        <f t="shared" si="72"/>
        <v>4.9236666666666675</v>
      </c>
      <c r="K99" s="7">
        <f t="shared" si="38"/>
        <v>5.0999999999999996</v>
      </c>
      <c r="L99" s="7">
        <f t="shared" si="39"/>
        <v>7.95</v>
      </c>
      <c r="M99" s="370">
        <f t="shared" si="40"/>
        <v>8.0333333333333314</v>
      </c>
      <c r="N99" s="1">
        <f t="shared" si="41"/>
        <v>0</v>
      </c>
      <c r="O99" s="7">
        <f t="shared" si="42"/>
        <v>80</v>
      </c>
      <c r="P99" s="7">
        <f t="shared" si="43"/>
        <v>5.4</v>
      </c>
      <c r="Q99" s="7">
        <f t="shared" si="44"/>
        <v>10.488888888888887</v>
      </c>
      <c r="R99" s="7">
        <f t="shared" si="45"/>
        <v>8.2222222222222214</v>
      </c>
      <c r="S99" s="7">
        <f t="shared" si="46"/>
        <v>5.0888888888888895</v>
      </c>
      <c r="T99" s="1">
        <v>40</v>
      </c>
      <c r="U99" s="333">
        <f t="shared" si="47"/>
        <v>1.4285714285714286</v>
      </c>
      <c r="V99" s="4">
        <v>9</v>
      </c>
      <c r="W99" s="7">
        <f t="shared" si="48"/>
        <v>2.4570000000000003</v>
      </c>
      <c r="X99" s="7">
        <f t="shared" si="49"/>
        <v>10.920000000000002</v>
      </c>
      <c r="Y99" s="8">
        <f t="shared" si="50"/>
        <v>4</v>
      </c>
      <c r="Z99" s="7">
        <f>IF(ISBLANK(Z12),NA(),SUM($Z$4:Z12))</f>
        <v>0.4</v>
      </c>
      <c r="AA99" s="7">
        <f t="shared" si="73"/>
        <v>12.857142857142858</v>
      </c>
      <c r="AB99" s="26">
        <f>IF(ISBLANK(Z12),"",SUM($Z$4:Z12))</f>
        <v>0.4</v>
      </c>
      <c r="AC99" s="115">
        <f t="shared" si="74"/>
        <v>3.111111111111111E-2</v>
      </c>
      <c r="AD99" s="8">
        <f t="shared" si="51"/>
        <v>1019.8888888888889</v>
      </c>
      <c r="AE99" s="610">
        <f t="shared" si="52"/>
        <v>0.75415631786560888</v>
      </c>
      <c r="AF99" s="141">
        <f t="shared" si="75"/>
        <v>0.22916666666666666</v>
      </c>
      <c r="AG99" s="22">
        <f>IF(ISBLANK(AP12),NA(),SUM($AP$4:AP12))</f>
        <v>17.100000000000001</v>
      </c>
      <c r="AH99" s="7">
        <f>SUM($AS$91:AS99)</f>
        <v>22.674344290313606</v>
      </c>
      <c r="AI99" s="115">
        <f t="shared" si="53"/>
        <v>0.75415631786560888</v>
      </c>
      <c r="AJ99" s="124">
        <f t="shared" si="54"/>
        <v>0</v>
      </c>
      <c r="AK99" s="8">
        <f t="shared" si="55"/>
        <v>1018</v>
      </c>
      <c r="AL99" s="124">
        <f t="shared" si="56"/>
        <v>0</v>
      </c>
      <c r="AM99" s="141">
        <f t="shared" si="57"/>
        <v>0.59722222222222221</v>
      </c>
      <c r="AN99" s="7">
        <f>I39/3</f>
        <v>1.7999999999999998</v>
      </c>
      <c r="AO99" s="141">
        <f t="shared" si="58"/>
        <v>0.53125</v>
      </c>
      <c r="AP99" s="449" t="s">
        <v>209</v>
      </c>
      <c r="AQ99" s="448">
        <v>3.5000000000000003E-2</v>
      </c>
      <c r="AR99" s="141">
        <f t="shared" si="59"/>
        <v>2.7777777777777776E-2</v>
      </c>
      <c r="AS99" s="7">
        <f t="shared" si="60"/>
        <v>2.5828472590366287</v>
      </c>
      <c r="AT99" s="7">
        <v>8.5808966141241143</v>
      </c>
      <c r="AU99" s="4">
        <v>9</v>
      </c>
      <c r="AV99" s="127">
        <f t="shared" si="61"/>
        <v>1</v>
      </c>
      <c r="AW99" s="124">
        <f t="shared" si="76"/>
        <v>0</v>
      </c>
      <c r="AX99" s="124">
        <f t="shared" si="77"/>
        <v>1</v>
      </c>
      <c r="AY99" s="124">
        <f t="shared" si="62"/>
        <v>1</v>
      </c>
      <c r="AZ99" s="125">
        <f t="shared" si="63"/>
        <v>5.0999999999999996</v>
      </c>
      <c r="BA99" s="125">
        <f t="shared" si="64"/>
        <v>3.1000000000000005</v>
      </c>
      <c r="BB99" s="125">
        <f t="shared" si="65"/>
        <v>6.7</v>
      </c>
      <c r="BC99" s="7">
        <v>3.0789444444444438</v>
      </c>
      <c r="BD99" s="7">
        <v>6.3613888888888894</v>
      </c>
      <c r="BE99" s="124"/>
      <c r="BF99" s="8">
        <f t="shared" si="66"/>
        <v>81</v>
      </c>
      <c r="BG99" s="21">
        <f t="shared" si="67"/>
        <v>8.1</v>
      </c>
      <c r="BH99" s="124">
        <f t="shared" si="68"/>
        <v>0</v>
      </c>
      <c r="BI99" s="124">
        <f t="shared" si="78"/>
        <v>0</v>
      </c>
      <c r="BJ99" s="144">
        <f t="shared" si="69"/>
        <v>0</v>
      </c>
      <c r="BL99" s="99"/>
    </row>
    <row r="100" spans="1:64" ht="12.75" x14ac:dyDescent="0.2">
      <c r="A100" s="8">
        <f t="shared" si="34"/>
        <v>11</v>
      </c>
      <c r="B100" s="125">
        <f t="shared" si="35"/>
        <v>2.2000000000000002</v>
      </c>
      <c r="C100" s="125">
        <f t="shared" si="36"/>
        <v>7.6</v>
      </c>
      <c r="D100" s="125">
        <f t="shared" si="70"/>
        <v>4.9000000000000004</v>
      </c>
      <c r="E100" s="125">
        <f t="shared" si="37"/>
        <v>5.3999999999999995</v>
      </c>
      <c r="F100" s="7">
        <v>2.1666666666666665</v>
      </c>
      <c r="G100" s="7">
        <v>7.1160000000000005</v>
      </c>
      <c r="H100" s="7">
        <f t="shared" si="71"/>
        <v>4.6413333333333338</v>
      </c>
      <c r="I100" s="7">
        <f t="shared" si="72"/>
        <v>4.9493333333333336</v>
      </c>
      <c r="K100" s="7">
        <f t="shared" si="38"/>
        <v>2.2999999999999989</v>
      </c>
      <c r="L100" s="7">
        <f t="shared" si="39"/>
        <v>9.4499999999999993</v>
      </c>
      <c r="M100" s="370">
        <f t="shared" si="40"/>
        <v>7.7199999999999989</v>
      </c>
      <c r="N100" s="1">
        <f t="shared" si="41"/>
        <v>4.1000000000000005</v>
      </c>
      <c r="O100" s="7">
        <f t="shared" si="42"/>
        <v>81.3</v>
      </c>
      <c r="P100" s="7">
        <f t="shared" si="43"/>
        <v>5.69</v>
      </c>
      <c r="Q100" s="7">
        <f t="shared" si="44"/>
        <v>10.499999999999998</v>
      </c>
      <c r="R100" s="7">
        <f t="shared" si="45"/>
        <v>8.36</v>
      </c>
      <c r="S100" s="7">
        <f t="shared" si="46"/>
        <v>4.8100000000000005</v>
      </c>
      <c r="T100" s="1">
        <v>41</v>
      </c>
      <c r="U100" s="333">
        <f t="shared" si="47"/>
        <v>1.4285714285714286</v>
      </c>
      <c r="V100" s="4">
        <v>10</v>
      </c>
      <c r="W100" s="7">
        <f t="shared" si="48"/>
        <v>2.7300000000000004</v>
      </c>
      <c r="X100" s="7">
        <f t="shared" si="49"/>
        <v>11.193000000000001</v>
      </c>
      <c r="Y100" s="8">
        <f t="shared" si="50"/>
        <v>5</v>
      </c>
      <c r="Z100" s="7">
        <f>IF(ISBLANK(Z13),NA(),SUM($Z$4:Z13))</f>
        <v>12.700000000000001</v>
      </c>
      <c r="AA100" s="7">
        <f t="shared" si="73"/>
        <v>14.285714285714286</v>
      </c>
      <c r="AB100" s="26">
        <f>IF(ISBLANK(Z13),"",SUM($Z$4:Z13))</f>
        <v>12.700000000000001</v>
      </c>
      <c r="AC100" s="115">
        <f t="shared" si="74"/>
        <v>0.88900000000000001</v>
      </c>
      <c r="AD100" s="8">
        <f t="shared" si="51"/>
        <v>1019.15</v>
      </c>
      <c r="AE100" s="610">
        <f t="shared" si="52"/>
        <v>0.67659559159042137</v>
      </c>
      <c r="AF100" s="141" t="e">
        <f t="shared" si="75"/>
        <v>#N/A</v>
      </c>
      <c r="AG100" s="22">
        <f>IF(ISBLANK(AP13),NA(),SUM($AP$4:AP13))</f>
        <v>17.100000000000001</v>
      </c>
      <c r="AH100" s="7">
        <f>SUM($AS$91:AS100)</f>
        <v>25.273590624207799</v>
      </c>
      <c r="AI100" s="115">
        <f t="shared" si="53"/>
        <v>0.67659559159042137</v>
      </c>
      <c r="AJ100" s="124">
        <f t="shared" si="54"/>
        <v>1</v>
      </c>
      <c r="AK100" s="8">
        <f t="shared" si="55"/>
        <v>1012.5</v>
      </c>
      <c r="AL100" s="124">
        <f t="shared" si="56"/>
        <v>1</v>
      </c>
      <c r="AM100" s="141" t="e">
        <f t="shared" si="57"/>
        <v>#N/A</v>
      </c>
      <c r="AN100" s="150">
        <f>COUNTIF(E48:E66,"&lt;-0.5")</f>
        <v>2</v>
      </c>
      <c r="AO100" s="141" t="e">
        <f t="shared" si="58"/>
        <v>#N/A</v>
      </c>
      <c r="AP100" s="449" t="s">
        <v>111</v>
      </c>
      <c r="AQ100" s="448">
        <v>9.4E-2</v>
      </c>
      <c r="AR100" s="141" t="e">
        <f t="shared" si="59"/>
        <v>#N/A</v>
      </c>
      <c r="AS100" s="7">
        <f t="shared" si="60"/>
        <v>2.5992463338941927</v>
      </c>
      <c r="AT100" s="7">
        <v>8.6353786456990367</v>
      </c>
      <c r="AU100" s="4">
        <v>10</v>
      </c>
      <c r="AV100" s="127">
        <f t="shared" si="61"/>
        <v>0</v>
      </c>
      <c r="AW100" s="124">
        <f t="shared" si="76"/>
        <v>0</v>
      </c>
      <c r="AX100" s="124">
        <f t="shared" si="77"/>
        <v>1</v>
      </c>
      <c r="AY100" s="124">
        <f t="shared" si="62"/>
        <v>0</v>
      </c>
      <c r="AZ100" s="125">
        <f t="shared" si="63"/>
        <v>5.0999999999999996</v>
      </c>
      <c r="BA100" s="125">
        <f t="shared" si="64"/>
        <v>3.1000000000000005</v>
      </c>
      <c r="BB100" s="125">
        <f t="shared" si="65"/>
        <v>6.7</v>
      </c>
      <c r="BC100" s="7">
        <v>2.9915555555555562</v>
      </c>
      <c r="BD100" s="7">
        <v>6.2911111111111113</v>
      </c>
      <c r="BE100" s="124"/>
      <c r="BF100" s="8">
        <f t="shared" si="66"/>
        <v>93</v>
      </c>
      <c r="BG100" s="21">
        <f t="shared" si="67"/>
        <v>9.6</v>
      </c>
      <c r="BH100" s="124">
        <f t="shared" si="68"/>
        <v>0</v>
      </c>
      <c r="BI100" s="124">
        <f t="shared" si="78"/>
        <v>1</v>
      </c>
      <c r="BJ100" s="144">
        <f t="shared" si="69"/>
        <v>4.1000000000000005</v>
      </c>
      <c r="BL100" s="99"/>
    </row>
    <row r="101" spans="1:64" ht="12.75" x14ac:dyDescent="0.2">
      <c r="A101" s="8">
        <f t="shared" si="34"/>
        <v>8</v>
      </c>
      <c r="B101" s="125">
        <f t="shared" si="35"/>
        <v>2.2000000000000002</v>
      </c>
      <c r="C101" s="125">
        <f t="shared" si="36"/>
        <v>7.6</v>
      </c>
      <c r="D101" s="125">
        <f t="shared" si="70"/>
        <v>4.9000000000000004</v>
      </c>
      <c r="E101" s="125">
        <f t="shared" si="37"/>
        <v>5.3999999999999995</v>
      </c>
      <c r="F101" s="7">
        <v>2.0750000000000002</v>
      </c>
      <c r="G101" s="7">
        <v>7.05</v>
      </c>
      <c r="H101" s="7">
        <f t="shared" si="71"/>
        <v>4.5625</v>
      </c>
      <c r="I101" s="7">
        <f t="shared" si="72"/>
        <v>4.9749999999999996</v>
      </c>
      <c r="K101" s="7">
        <f t="shared" si="38"/>
        <v>3.5999999999999996</v>
      </c>
      <c r="L101" s="7">
        <f t="shared" si="39"/>
        <v>10.199999999999999</v>
      </c>
      <c r="M101" s="370">
        <f t="shared" si="40"/>
        <v>7.3999999999999995</v>
      </c>
      <c r="N101" s="1">
        <f t="shared" si="41"/>
        <v>0.3666666666666667</v>
      </c>
      <c r="O101" s="7">
        <f t="shared" si="42"/>
        <v>82.36363636363636</v>
      </c>
      <c r="P101" s="7">
        <f t="shared" si="43"/>
        <v>5.9363636363636374</v>
      </c>
      <c r="Q101" s="7">
        <f t="shared" si="44"/>
        <v>10.636363636363635</v>
      </c>
      <c r="R101" s="7">
        <f t="shared" si="45"/>
        <v>8.5181818181818176</v>
      </c>
      <c r="S101" s="7">
        <f t="shared" si="46"/>
        <v>4.7</v>
      </c>
      <c r="T101" s="1">
        <v>42</v>
      </c>
      <c r="U101" s="333">
        <f t="shared" si="47"/>
        <v>1.4285714285714286</v>
      </c>
      <c r="V101" s="4">
        <v>11</v>
      </c>
      <c r="W101" s="7">
        <f t="shared" si="48"/>
        <v>3.0030000000000001</v>
      </c>
      <c r="X101" s="7">
        <f t="shared" si="49"/>
        <v>11.466000000000001</v>
      </c>
      <c r="Y101" s="8">
        <f t="shared" si="50"/>
        <v>2</v>
      </c>
      <c r="Z101" s="7">
        <f>IF(ISBLANK(Z14),NA(),SUM($Z$4:Z14))</f>
        <v>13.8</v>
      </c>
      <c r="AA101" s="7">
        <f t="shared" si="73"/>
        <v>15.714285714285715</v>
      </c>
      <c r="AB101" s="26">
        <f>IF(ISBLANK(Z14),"",SUM($Z$4:Z14))</f>
        <v>13.8</v>
      </c>
      <c r="AC101" s="115">
        <f t="shared" si="74"/>
        <v>0.87818181818181817</v>
      </c>
      <c r="AD101" s="8">
        <f t="shared" si="51"/>
        <v>1018.4090909090909</v>
      </c>
      <c r="AE101" s="610">
        <f t="shared" si="52"/>
        <v>0.62030784764136138</v>
      </c>
      <c r="AF101" s="141" t="e">
        <f t="shared" si="75"/>
        <v>#N/A</v>
      </c>
      <c r="AG101" s="22">
        <f>IF(ISBLANK(AP14),NA(),SUM($AP$4:AP14))</f>
        <v>17.3</v>
      </c>
      <c r="AH101" s="7">
        <f>SUM($AS$91:AS101)</f>
        <v>27.889377936746996</v>
      </c>
      <c r="AI101" s="115">
        <f t="shared" si="53"/>
        <v>0.62030784764136138</v>
      </c>
      <c r="AJ101" s="124">
        <f t="shared" si="54"/>
        <v>1</v>
      </c>
      <c r="AK101" s="8">
        <f t="shared" si="55"/>
        <v>1011</v>
      </c>
      <c r="AL101" s="124">
        <f t="shared" si="56"/>
        <v>1</v>
      </c>
      <c r="AM101" s="141">
        <f t="shared" si="57"/>
        <v>0.63888888888888895</v>
      </c>
      <c r="AN101" s="124">
        <f>COUNTIF(AU50:AU60, "&gt;0.5")</f>
        <v>1</v>
      </c>
      <c r="AO101" s="141">
        <f t="shared" si="58"/>
        <v>0.625</v>
      </c>
      <c r="AP101" s="449" t="s">
        <v>210</v>
      </c>
      <c r="AQ101" s="450">
        <v>0.19700000000000001</v>
      </c>
      <c r="AR101" s="141">
        <f t="shared" si="59"/>
        <v>0.27083333333333331</v>
      </c>
      <c r="AS101" s="7">
        <f t="shared" si="60"/>
        <v>2.6157873125391977</v>
      </c>
      <c r="AT101" s="7">
        <v>8.6903321189068041</v>
      </c>
      <c r="AU101" s="4">
        <v>11</v>
      </c>
      <c r="AV101" s="127">
        <f t="shared" si="61"/>
        <v>0</v>
      </c>
      <c r="AW101" s="124">
        <f t="shared" si="76"/>
        <v>0</v>
      </c>
      <c r="AX101" s="124">
        <f t="shared" si="77"/>
        <v>1</v>
      </c>
      <c r="AY101" s="124">
        <f t="shared" si="62"/>
        <v>0</v>
      </c>
      <c r="AZ101" s="125">
        <f t="shared" si="63"/>
        <v>5.0999999999999996</v>
      </c>
      <c r="BA101" s="125">
        <f t="shared" si="64"/>
        <v>3.1000000000000005</v>
      </c>
      <c r="BB101" s="125">
        <f t="shared" si="65"/>
        <v>6.7</v>
      </c>
      <c r="BC101" s="7">
        <v>2.9041666666666668</v>
      </c>
      <c r="BD101" s="7">
        <v>6.2208333333333332</v>
      </c>
      <c r="BE101" s="124"/>
      <c r="BF101" s="8">
        <f t="shared" si="66"/>
        <v>93</v>
      </c>
      <c r="BG101" s="21">
        <f t="shared" si="67"/>
        <v>10.1</v>
      </c>
      <c r="BH101" s="124">
        <f t="shared" si="68"/>
        <v>1</v>
      </c>
      <c r="BI101" s="124">
        <f t="shared" si="78"/>
        <v>1</v>
      </c>
      <c r="BJ101" s="144">
        <f t="shared" si="69"/>
        <v>0.3666666666666667</v>
      </c>
      <c r="BL101" s="99"/>
    </row>
    <row r="102" spans="1:64" ht="12.75" x14ac:dyDescent="0.2">
      <c r="A102" s="8">
        <f t="shared" si="34"/>
        <v>28</v>
      </c>
      <c r="B102" s="125">
        <f t="shared" si="35"/>
        <v>2.2000000000000002</v>
      </c>
      <c r="C102" s="125">
        <f t="shared" si="36"/>
        <v>7.6</v>
      </c>
      <c r="D102" s="125">
        <f t="shared" si="70"/>
        <v>4.9000000000000004</v>
      </c>
      <c r="E102" s="125">
        <f t="shared" si="37"/>
        <v>5.3999999999999995</v>
      </c>
      <c r="F102" s="7">
        <v>1.9833333333333332</v>
      </c>
      <c r="G102" s="7">
        <v>7.1111111111111107</v>
      </c>
      <c r="H102" s="7">
        <f t="shared" si="71"/>
        <v>4.5472222222222216</v>
      </c>
      <c r="I102" s="7">
        <f t="shared" si="72"/>
        <v>5.1277777777777773</v>
      </c>
      <c r="K102" s="7">
        <f t="shared" si="38"/>
        <v>4.9000000000000004</v>
      </c>
      <c r="L102" s="7">
        <f t="shared" si="39"/>
        <v>8.0500000000000007</v>
      </c>
      <c r="M102" s="370">
        <f t="shared" si="40"/>
        <v>7.1916666666666664</v>
      </c>
      <c r="N102" s="1">
        <f t="shared" si="41"/>
        <v>0.6333333333333333</v>
      </c>
      <c r="O102" s="7">
        <f t="shared" si="42"/>
        <v>82.583333333333329</v>
      </c>
      <c r="P102" s="7">
        <f t="shared" si="43"/>
        <v>5.9083333333333341</v>
      </c>
      <c r="Q102" s="7">
        <f t="shared" si="44"/>
        <v>10.624999999999998</v>
      </c>
      <c r="R102" s="7">
        <f t="shared" si="45"/>
        <v>8.5499999999999989</v>
      </c>
      <c r="S102" s="7">
        <f t="shared" si="46"/>
        <v>4.7166666666666668</v>
      </c>
      <c r="T102" s="1">
        <v>43</v>
      </c>
      <c r="U102" s="333">
        <f t="shared" si="47"/>
        <v>1.4285714285714286</v>
      </c>
      <c r="V102" s="4">
        <v>12</v>
      </c>
      <c r="W102" s="7">
        <f t="shared" si="48"/>
        <v>3.2760000000000002</v>
      </c>
      <c r="X102" s="7">
        <f t="shared" si="49"/>
        <v>11.739000000000001</v>
      </c>
      <c r="Y102" s="8">
        <f t="shared" si="50"/>
        <v>2</v>
      </c>
      <c r="Z102" s="7">
        <f>IF(ISBLANK(Z15),NA(),SUM($Z$4:Z15))</f>
        <v>15.700000000000001</v>
      </c>
      <c r="AA102" s="7">
        <f t="shared" si="73"/>
        <v>17.142857142857142</v>
      </c>
      <c r="AB102" s="26">
        <f>IF(ISBLANK(Z15),"",SUM($Z$4:Z15))</f>
        <v>15.700000000000001</v>
      </c>
      <c r="AC102" s="115">
        <f t="shared" si="74"/>
        <v>0.91583333333333339</v>
      </c>
      <c r="AD102" s="8">
        <f t="shared" si="51"/>
        <v>1017.7916666666666</v>
      </c>
      <c r="AE102" s="610">
        <f t="shared" si="52"/>
        <v>0.64871575657853786</v>
      </c>
      <c r="AF102" s="141">
        <f t="shared" si="75"/>
        <v>0.22222222222222221</v>
      </c>
      <c r="AG102" s="22">
        <f>IF(ISBLANK(AP15),NA(),SUM($AP$4:AP15))</f>
        <v>19.8</v>
      </c>
      <c r="AH102" s="7">
        <f>SUM($AS$91:AS102)</f>
        <v>30.521842269454545</v>
      </c>
      <c r="AI102" s="115">
        <f t="shared" si="53"/>
        <v>0.64871575657853786</v>
      </c>
      <c r="AJ102" s="124">
        <f t="shared" si="54"/>
        <v>1</v>
      </c>
      <c r="AK102" s="8">
        <f t="shared" si="55"/>
        <v>1011</v>
      </c>
      <c r="AL102" s="124">
        <f t="shared" si="56"/>
        <v>1</v>
      </c>
      <c r="AM102" s="141">
        <f t="shared" si="57"/>
        <v>0.70833333333333337</v>
      </c>
      <c r="AN102" s="141">
        <f t="array" ref="AN102">MAX(FREQUENCY(IF(AJ91:AJ121=1,ROW(91:121)),IF(AJ91:AJ121&lt;&gt;1,ROW(91:121))))</f>
        <v>4</v>
      </c>
      <c r="AO102" s="141">
        <f t="shared" si="58"/>
        <v>0.56597222222222221</v>
      </c>
      <c r="AP102" s="451" t="s">
        <v>110</v>
      </c>
      <c r="AQ102" s="450">
        <v>0.17599999999999999</v>
      </c>
      <c r="AR102" s="141">
        <f t="shared" si="59"/>
        <v>0.375</v>
      </c>
      <c r="AS102" s="7">
        <f t="shared" si="60"/>
        <v>2.6324643327075483</v>
      </c>
      <c r="AT102" s="7">
        <v>8.7457375577671943</v>
      </c>
      <c r="AU102" s="4">
        <v>12</v>
      </c>
      <c r="AV102" s="127">
        <f t="shared" si="61"/>
        <v>1</v>
      </c>
      <c r="AW102" s="124">
        <f t="shared" si="76"/>
        <v>0</v>
      </c>
      <c r="AX102" s="124">
        <f t="shared" si="77"/>
        <v>1</v>
      </c>
      <c r="AY102" s="124">
        <f t="shared" si="62"/>
        <v>0</v>
      </c>
      <c r="AZ102" s="125">
        <f t="shared" si="63"/>
        <v>5.0999999999999996</v>
      </c>
      <c r="BA102" s="125">
        <f t="shared" si="64"/>
        <v>3.1000000000000005</v>
      </c>
      <c r="BB102" s="125">
        <f t="shared" si="65"/>
        <v>6.7</v>
      </c>
      <c r="BC102" s="7">
        <v>2.8379629629629628</v>
      </c>
      <c r="BD102" s="7">
        <v>6.2564814814814804</v>
      </c>
      <c r="BE102" s="124"/>
      <c r="BF102" s="8">
        <f t="shared" si="66"/>
        <v>85</v>
      </c>
      <c r="BG102" s="21">
        <f t="shared" si="67"/>
        <v>8.9</v>
      </c>
      <c r="BH102" s="124">
        <f t="shared" si="68"/>
        <v>1</v>
      </c>
      <c r="BI102" s="124">
        <f t="shared" si="78"/>
        <v>1</v>
      </c>
      <c r="BJ102" s="144">
        <f t="shared" si="69"/>
        <v>0.6333333333333333</v>
      </c>
      <c r="BL102" s="99"/>
    </row>
    <row r="103" spans="1:64" ht="12.75" x14ac:dyDescent="0.2">
      <c r="A103" s="8">
        <f t="shared" si="34"/>
        <v>13</v>
      </c>
      <c r="B103" s="125">
        <f t="shared" si="35"/>
        <v>2.2000000000000002</v>
      </c>
      <c r="C103" s="125">
        <f t="shared" si="36"/>
        <v>7.6</v>
      </c>
      <c r="D103" s="125">
        <f t="shared" si="70"/>
        <v>4.9000000000000004</v>
      </c>
      <c r="E103" s="125">
        <f t="shared" si="37"/>
        <v>5.3999999999999995</v>
      </c>
      <c r="F103" s="7">
        <v>1.8916666666666666</v>
      </c>
      <c r="G103" s="7">
        <v>7.1722222222222216</v>
      </c>
      <c r="H103" s="7">
        <f t="shared" si="71"/>
        <v>4.5319444444444441</v>
      </c>
      <c r="I103" s="7">
        <f t="shared" si="72"/>
        <v>5.280555555555555</v>
      </c>
      <c r="K103" s="7">
        <f t="shared" si="38"/>
        <v>3</v>
      </c>
      <c r="L103" s="7">
        <f t="shared" si="39"/>
        <v>7.1</v>
      </c>
      <c r="M103" s="370">
        <f t="shared" si="40"/>
        <v>7.2230769230769223</v>
      </c>
      <c r="N103" s="1">
        <f t="shared" si="41"/>
        <v>1</v>
      </c>
      <c r="O103" s="7">
        <f t="shared" si="42"/>
        <v>82.92307692307692</v>
      </c>
      <c r="P103" s="7">
        <f t="shared" si="43"/>
        <v>5.884615384615385</v>
      </c>
      <c r="Q103" s="7">
        <f t="shared" si="44"/>
        <v>10.469230769230769</v>
      </c>
      <c r="R103" s="7">
        <f t="shared" si="45"/>
        <v>8.4615384615384617</v>
      </c>
      <c r="S103" s="7">
        <f t="shared" si="46"/>
        <v>4.5846153846153843</v>
      </c>
      <c r="T103" s="1">
        <v>44</v>
      </c>
      <c r="U103" s="333">
        <f t="shared" si="47"/>
        <v>1.4285714285714286</v>
      </c>
      <c r="V103" s="4">
        <v>13</v>
      </c>
      <c r="W103" s="7">
        <f t="shared" si="48"/>
        <v>3.5490000000000004</v>
      </c>
      <c r="X103" s="7">
        <f t="shared" si="49"/>
        <v>12.012</v>
      </c>
      <c r="Y103" s="8">
        <f t="shared" si="50"/>
        <v>12</v>
      </c>
      <c r="Z103" s="7">
        <f>IF(ISBLANK(Z16),NA(),SUM($Z$4:Z16))</f>
        <v>18.700000000000003</v>
      </c>
      <c r="AA103" s="7">
        <f t="shared" si="73"/>
        <v>18.571428571428573</v>
      </c>
      <c r="AB103" s="26">
        <f>IF(ISBLANK(Z16),"",SUM($Z$4:Z16))</f>
        <v>18.700000000000003</v>
      </c>
      <c r="AC103" s="115">
        <f t="shared" si="74"/>
        <v>1.006923076923077</v>
      </c>
      <c r="AD103" s="8">
        <f t="shared" si="51"/>
        <v>1016.6538461538462</v>
      </c>
      <c r="AE103" s="610">
        <f t="shared" si="52"/>
        <v>0.59690488614504644</v>
      </c>
      <c r="AF103" s="141">
        <f t="shared" si="75"/>
        <v>0.23958333333333334</v>
      </c>
      <c r="AG103" s="22">
        <f>IF(ISBLANK(AP16),NA(),SUM($AP$4:AP16))</f>
        <v>19.8</v>
      </c>
      <c r="AH103" s="7">
        <f>SUM($AS$91:AS103)</f>
        <v>33.171113957322589</v>
      </c>
      <c r="AI103" s="115">
        <f t="shared" si="53"/>
        <v>0.59690488614504644</v>
      </c>
      <c r="AJ103" s="124">
        <f t="shared" si="54"/>
        <v>1</v>
      </c>
      <c r="AK103" s="8">
        <f t="shared" si="55"/>
        <v>1003</v>
      </c>
      <c r="AL103" s="124">
        <f t="shared" si="56"/>
        <v>1</v>
      </c>
      <c r="AM103" s="141">
        <f t="shared" si="57"/>
        <v>0.625</v>
      </c>
      <c r="AN103" s="7">
        <f>I39/-3</f>
        <v>-1.7999999999999998</v>
      </c>
      <c r="AO103" s="141">
        <f t="shared" si="58"/>
        <v>0.56944444444444442</v>
      </c>
      <c r="AP103" s="451" t="s">
        <v>211</v>
      </c>
      <c r="AQ103" s="450">
        <v>0.108</v>
      </c>
      <c r="AR103" s="141">
        <f t="shared" si="59"/>
        <v>0.31944444444444448</v>
      </c>
      <c r="AS103" s="7">
        <f t="shared" si="60"/>
        <v>2.6492716878680418</v>
      </c>
      <c r="AT103" s="7">
        <v>8.8015760036855379</v>
      </c>
      <c r="AU103" s="4">
        <v>13</v>
      </c>
      <c r="AV103" s="127">
        <f t="shared" si="61"/>
        <v>0</v>
      </c>
      <c r="AW103" s="124">
        <f t="shared" si="76"/>
        <v>0</v>
      </c>
      <c r="AX103" s="124">
        <f t="shared" si="77"/>
        <v>1</v>
      </c>
      <c r="AY103" s="124">
        <f t="shared" si="62"/>
        <v>0</v>
      </c>
      <c r="AZ103" s="125">
        <f t="shared" si="63"/>
        <v>5.0999999999999996</v>
      </c>
      <c r="BA103" s="125">
        <f t="shared" si="64"/>
        <v>3.1000000000000005</v>
      </c>
      <c r="BB103" s="125">
        <f t="shared" si="65"/>
        <v>6.7</v>
      </c>
      <c r="BC103" s="7">
        <v>2.7717592592592588</v>
      </c>
      <c r="BD103" s="7">
        <v>6.2921296296296294</v>
      </c>
      <c r="BE103" s="124"/>
      <c r="BF103" s="8">
        <f t="shared" si="66"/>
        <v>87</v>
      </c>
      <c r="BG103" s="21">
        <f t="shared" si="67"/>
        <v>7.4</v>
      </c>
      <c r="BH103" s="124">
        <f t="shared" si="68"/>
        <v>1</v>
      </c>
      <c r="BI103" s="124">
        <f t="shared" si="78"/>
        <v>1</v>
      </c>
      <c r="BJ103" s="144">
        <f t="shared" si="69"/>
        <v>1</v>
      </c>
      <c r="BL103" s="99"/>
    </row>
    <row r="104" spans="1:64" ht="12.75" x14ac:dyDescent="0.2">
      <c r="A104" s="8">
        <f t="shared" si="34"/>
        <v>36</v>
      </c>
      <c r="B104" s="125">
        <f t="shared" si="35"/>
        <v>2.2000000000000002</v>
      </c>
      <c r="C104" s="125">
        <f t="shared" si="36"/>
        <v>7.6</v>
      </c>
      <c r="D104" s="125">
        <f t="shared" si="70"/>
        <v>4.9000000000000004</v>
      </c>
      <c r="E104" s="125">
        <f t="shared" si="37"/>
        <v>5.3999999999999995</v>
      </c>
      <c r="F104" s="7">
        <v>1.8</v>
      </c>
      <c r="G104" s="7">
        <v>7.2333333333333325</v>
      </c>
      <c r="H104" s="7">
        <f t="shared" si="71"/>
        <v>4.5166666666666666</v>
      </c>
      <c r="I104" s="7">
        <f t="shared" si="72"/>
        <v>5.4333333333333327</v>
      </c>
      <c r="K104" s="7">
        <f t="shared" si="38"/>
        <v>4.6000000000000005</v>
      </c>
      <c r="L104" s="7">
        <f t="shared" si="39"/>
        <v>7</v>
      </c>
      <c r="M104" s="370">
        <f t="shared" si="40"/>
        <v>7.0928571428571425</v>
      </c>
      <c r="N104" s="1">
        <f t="shared" si="41"/>
        <v>0</v>
      </c>
      <c r="O104" s="7">
        <f t="shared" si="42"/>
        <v>82.714285714285708</v>
      </c>
      <c r="P104" s="7">
        <f t="shared" si="43"/>
        <v>5.8</v>
      </c>
      <c r="Q104" s="7">
        <f t="shared" si="44"/>
        <v>10.385714285714286</v>
      </c>
      <c r="R104" s="7">
        <f t="shared" si="45"/>
        <v>8.3428571428571434</v>
      </c>
      <c r="S104" s="7">
        <f t="shared" si="46"/>
        <v>4.5857142857142863</v>
      </c>
      <c r="T104" s="1">
        <v>45</v>
      </c>
      <c r="U104" s="333">
        <f t="shared" si="47"/>
        <v>1.4285714285714286</v>
      </c>
      <c r="V104" s="4">
        <v>14</v>
      </c>
      <c r="W104" s="7">
        <f t="shared" si="48"/>
        <v>3.8220000000000001</v>
      </c>
      <c r="X104" s="7">
        <f t="shared" si="49"/>
        <v>12.285</v>
      </c>
      <c r="Y104" s="8">
        <f t="shared" si="50"/>
        <v>4</v>
      </c>
      <c r="Z104" s="7">
        <f>IF(ISBLANK(Z17),NA(),SUM($Z$4:Z17))</f>
        <v>18.700000000000003</v>
      </c>
      <c r="AA104" s="7">
        <f t="shared" si="73"/>
        <v>20</v>
      </c>
      <c r="AB104" s="26">
        <f>IF(ISBLANK(Z17),"",SUM($Z$4:Z17))</f>
        <v>18.700000000000003</v>
      </c>
      <c r="AC104" s="115">
        <f t="shared" si="74"/>
        <v>0.93500000000000016</v>
      </c>
      <c r="AD104" s="8">
        <f t="shared" si="51"/>
        <v>1015.4642857142857</v>
      </c>
      <c r="AE104" s="610">
        <f t="shared" si="52"/>
        <v>0.70596801224006289</v>
      </c>
      <c r="AF104" s="141" t="e">
        <f t="shared" si="75"/>
        <v>#N/A</v>
      </c>
      <c r="AG104" s="22">
        <f>IF(ISBLANK(AP17),NA(),SUM($AP$4:AP17))</f>
        <v>25.3</v>
      </c>
      <c r="AH104" s="7">
        <f>SUM($AS$91:AS104)</f>
        <v>35.837317784019923</v>
      </c>
      <c r="AI104" s="115">
        <f t="shared" si="53"/>
        <v>0.70596801224006289</v>
      </c>
      <c r="AJ104" s="124">
        <f t="shared" si="54"/>
        <v>0</v>
      </c>
      <c r="AK104" s="8">
        <f t="shared" si="55"/>
        <v>1000</v>
      </c>
      <c r="AL104" s="124">
        <f t="shared" si="56"/>
        <v>0</v>
      </c>
      <c r="AM104" s="141">
        <f t="shared" si="57"/>
        <v>0.57986111111111105</v>
      </c>
      <c r="AN104" s="25">
        <f>AP39/E34</f>
        <v>2.6785714285714284</v>
      </c>
      <c r="AO104" s="141">
        <f t="shared" si="58"/>
        <v>0.55902777777777779</v>
      </c>
      <c r="AP104" s="451" t="s">
        <v>114</v>
      </c>
      <c r="AQ104" s="452">
        <v>5.6000000000000001E-2</v>
      </c>
      <c r="AR104" s="141">
        <f t="shared" si="59"/>
        <v>0</v>
      </c>
      <c r="AS104" s="7">
        <f t="shared" si="60"/>
        <v>2.6662038266973314</v>
      </c>
      <c r="AT104" s="7">
        <v>8.8578290137084075</v>
      </c>
      <c r="AU104" s="4">
        <v>14</v>
      </c>
      <c r="AV104" s="127">
        <f t="shared" si="61"/>
        <v>1</v>
      </c>
      <c r="AW104" s="124">
        <f t="shared" si="76"/>
        <v>0</v>
      </c>
      <c r="AX104" s="124">
        <f t="shared" si="77"/>
        <v>1</v>
      </c>
      <c r="AY104" s="124">
        <f t="shared" si="62"/>
        <v>0</v>
      </c>
      <c r="AZ104" s="125">
        <f t="shared" si="63"/>
        <v>5.0999999999999996</v>
      </c>
      <c r="BA104" s="125">
        <f t="shared" si="64"/>
        <v>3.1000000000000005</v>
      </c>
      <c r="BB104" s="125">
        <f t="shared" si="65"/>
        <v>6.7</v>
      </c>
      <c r="BC104" s="7">
        <v>2.7055555555555557</v>
      </c>
      <c r="BD104" s="7">
        <v>6.3277777777777775</v>
      </c>
      <c r="BE104" s="124"/>
      <c r="BF104" s="8">
        <f t="shared" si="66"/>
        <v>80</v>
      </c>
      <c r="BG104" s="21">
        <f t="shared" si="67"/>
        <v>6.8</v>
      </c>
      <c r="BH104" s="124">
        <f t="shared" si="68"/>
        <v>1</v>
      </c>
      <c r="BI104" s="124">
        <f t="shared" si="78"/>
        <v>0</v>
      </c>
      <c r="BJ104" s="144">
        <f t="shared" si="69"/>
        <v>0</v>
      </c>
      <c r="BL104" s="99"/>
    </row>
    <row r="105" spans="1:64" ht="12.75" x14ac:dyDescent="0.2">
      <c r="A105" s="8">
        <f t="shared" si="34"/>
        <v>15</v>
      </c>
      <c r="B105" s="125">
        <f t="shared" si="35"/>
        <v>2.2000000000000002</v>
      </c>
      <c r="C105" s="125">
        <f t="shared" si="36"/>
        <v>7.6</v>
      </c>
      <c r="D105" s="125">
        <f t="shared" si="70"/>
        <v>4.9000000000000004</v>
      </c>
      <c r="E105" s="125">
        <f t="shared" si="37"/>
        <v>5.3999999999999995</v>
      </c>
      <c r="F105" s="7">
        <v>1.8</v>
      </c>
      <c r="G105" s="7">
        <v>7.2944444444444434</v>
      </c>
      <c r="H105" s="7">
        <f t="shared" si="71"/>
        <v>4.5472222222222216</v>
      </c>
      <c r="I105" s="7">
        <f t="shared" si="72"/>
        <v>5.4944444444444436</v>
      </c>
      <c r="K105" s="7">
        <f t="shared" si="38"/>
        <v>1.8999999999999995</v>
      </c>
      <c r="L105" s="7">
        <f t="shared" si="39"/>
        <v>5.85</v>
      </c>
      <c r="M105" s="370">
        <f t="shared" si="40"/>
        <v>7.0133333333333336</v>
      </c>
      <c r="N105" s="1">
        <f t="shared" si="41"/>
        <v>0.73333333333333339</v>
      </c>
      <c r="O105" s="7">
        <f t="shared" si="42"/>
        <v>82.933333333333337</v>
      </c>
      <c r="P105" s="7">
        <f t="shared" si="43"/>
        <v>5.74</v>
      </c>
      <c r="Q105" s="7">
        <f t="shared" si="44"/>
        <v>10.146666666666668</v>
      </c>
      <c r="R105" s="7">
        <f t="shared" si="45"/>
        <v>8.1933333333333334</v>
      </c>
      <c r="S105" s="7">
        <f t="shared" si="46"/>
        <v>4.4066666666666672</v>
      </c>
      <c r="T105" s="1">
        <v>46</v>
      </c>
      <c r="U105" s="333">
        <f t="shared" si="47"/>
        <v>1.4285714285714286</v>
      </c>
      <c r="V105" s="4">
        <v>15</v>
      </c>
      <c r="W105" s="7">
        <f t="shared" si="48"/>
        <v>4.0950000000000006</v>
      </c>
      <c r="X105" s="7">
        <f t="shared" si="49"/>
        <v>12.558000000000002</v>
      </c>
      <c r="Y105" s="8">
        <f t="shared" si="50"/>
        <v>9</v>
      </c>
      <c r="Z105" s="7">
        <f>IF(ISBLANK(Z18),NA(),SUM($Z$4:Z18))</f>
        <v>20.900000000000002</v>
      </c>
      <c r="AA105" s="7">
        <f t="shared" si="73"/>
        <v>21.428571428571431</v>
      </c>
      <c r="AB105" s="26">
        <f>IF(ISBLANK(Z18),"",SUM($Z$4:Z18))</f>
        <v>20.900000000000002</v>
      </c>
      <c r="AC105" s="115">
        <f t="shared" si="74"/>
        <v>0.97533333333333339</v>
      </c>
      <c r="AD105" s="8">
        <f t="shared" si="51"/>
        <v>1014</v>
      </c>
      <c r="AE105" s="610">
        <f t="shared" si="52"/>
        <v>0.65679188911770103</v>
      </c>
      <c r="AF105" s="141" t="e">
        <f t="shared" si="75"/>
        <v>#N/A</v>
      </c>
      <c r="AG105" s="22">
        <f>IF(ISBLANK(AP18),NA(),SUM($AP$4:AP18))</f>
        <v>25.3</v>
      </c>
      <c r="AH105" s="7">
        <f>SUM($AS$91:AS105)</f>
        <v>38.520573136167471</v>
      </c>
      <c r="AI105" s="115">
        <f t="shared" si="53"/>
        <v>0.65679188911770103</v>
      </c>
      <c r="AJ105" s="124">
        <f t="shared" si="54"/>
        <v>1</v>
      </c>
      <c r="AK105" s="8">
        <f t="shared" si="55"/>
        <v>993.5</v>
      </c>
      <c r="AL105" s="124">
        <f t="shared" si="56"/>
        <v>1</v>
      </c>
      <c r="AM105" s="141">
        <f t="shared" si="57"/>
        <v>0.48958333333333331</v>
      </c>
      <c r="AN105" s="1">
        <f t="array" ref="AN105">MAX(IF(F4:F34=$F$85,E4:E34,0))</f>
        <v>1</v>
      </c>
      <c r="AO105" s="141">
        <f t="shared" si="58"/>
        <v>0.5</v>
      </c>
      <c r="AP105" s="451" t="s">
        <v>212</v>
      </c>
      <c r="AQ105" s="450">
        <v>3.3000000000000002E-2</v>
      </c>
      <c r="AR105" s="141">
        <f t="shared" si="59"/>
        <v>0.26041666666666669</v>
      </c>
      <c r="AS105" s="7">
        <f t="shared" si="60"/>
        <v>2.6832553521475471</v>
      </c>
      <c r="AT105" s="7">
        <v>8.9144786574260095</v>
      </c>
      <c r="AU105" s="4">
        <v>15</v>
      </c>
      <c r="AV105" s="127">
        <f t="shared" si="61"/>
        <v>0</v>
      </c>
      <c r="AW105" s="124">
        <f t="shared" si="76"/>
        <v>0</v>
      </c>
      <c r="AX105" s="124">
        <f t="shared" si="77"/>
        <v>0</v>
      </c>
      <c r="AY105" s="124">
        <f t="shared" si="62"/>
        <v>0</v>
      </c>
      <c r="AZ105" s="125">
        <f t="shared" si="63"/>
        <v>5.0999999999999996</v>
      </c>
      <c r="BA105" s="125">
        <f t="shared" si="64"/>
        <v>3.1000000000000005</v>
      </c>
      <c r="BB105" s="125">
        <f t="shared" si="65"/>
        <v>6.7</v>
      </c>
      <c r="BC105" s="7">
        <v>2.7157407407407401</v>
      </c>
      <c r="BD105" s="7">
        <v>6.3787037037037031</v>
      </c>
      <c r="BE105" s="124"/>
      <c r="BF105" s="8">
        <f t="shared" si="66"/>
        <v>86</v>
      </c>
      <c r="BG105" s="21">
        <f t="shared" si="67"/>
        <v>6.1</v>
      </c>
      <c r="BH105" s="124">
        <f t="shared" si="68"/>
        <v>1</v>
      </c>
      <c r="BI105" s="124">
        <f t="shared" si="78"/>
        <v>1</v>
      </c>
      <c r="BJ105" s="144">
        <f t="shared" si="69"/>
        <v>0.73333333333333339</v>
      </c>
      <c r="BL105" s="99"/>
    </row>
    <row r="106" spans="1:64" ht="12.75" x14ac:dyDescent="0.2">
      <c r="A106" s="8">
        <f t="shared" si="34"/>
        <v>35</v>
      </c>
      <c r="B106" s="125">
        <f t="shared" si="35"/>
        <v>2.2000000000000002</v>
      </c>
      <c r="C106" s="125">
        <f t="shared" si="36"/>
        <v>7.6</v>
      </c>
      <c r="D106" s="125">
        <f t="shared" si="70"/>
        <v>4.9000000000000004</v>
      </c>
      <c r="E106" s="125">
        <f t="shared" si="37"/>
        <v>5.3999999999999995</v>
      </c>
      <c r="F106" s="7">
        <v>1.8</v>
      </c>
      <c r="G106" s="7">
        <v>7.3555555555555543</v>
      </c>
      <c r="H106" s="7">
        <f t="shared" si="71"/>
        <v>4.5777777777777775</v>
      </c>
      <c r="I106" s="7">
        <f t="shared" si="72"/>
        <v>5.5555555555555545</v>
      </c>
      <c r="K106" s="7">
        <f t="shared" si="38"/>
        <v>6.4</v>
      </c>
      <c r="L106" s="7">
        <f t="shared" si="39"/>
        <v>7.2</v>
      </c>
      <c r="M106" s="370">
        <f t="shared" si="40"/>
        <v>6.8562500000000002</v>
      </c>
      <c r="N106" s="1">
        <f t="shared" si="41"/>
        <v>0</v>
      </c>
      <c r="O106" s="7">
        <f t="shared" si="42"/>
        <v>82.875</v>
      </c>
      <c r="P106" s="7">
        <f t="shared" si="43"/>
        <v>5.6312500000000005</v>
      </c>
      <c r="Q106" s="7">
        <f t="shared" si="44"/>
        <v>10.162500000000001</v>
      </c>
      <c r="R106" s="7">
        <f t="shared" si="45"/>
        <v>8.1124999999999989</v>
      </c>
      <c r="S106" s="7">
        <f t="shared" si="46"/>
        <v>4.5312500000000009</v>
      </c>
      <c r="T106" s="1">
        <v>47</v>
      </c>
      <c r="U106" s="333">
        <f t="shared" si="47"/>
        <v>1.4285714285714286</v>
      </c>
      <c r="V106" s="4">
        <v>16</v>
      </c>
      <c r="W106" s="7">
        <f t="shared" si="48"/>
        <v>4.3680000000000003</v>
      </c>
      <c r="X106" s="7">
        <f t="shared" si="49"/>
        <v>12.831000000000001</v>
      </c>
      <c r="Y106" s="8">
        <f t="shared" si="50"/>
        <v>9</v>
      </c>
      <c r="Z106" s="7">
        <f>IF(ISBLANK(Z19),NA(),SUM($Z$4:Z19))</f>
        <v>20.900000000000002</v>
      </c>
      <c r="AA106" s="7">
        <f t="shared" si="73"/>
        <v>22.857142857142858</v>
      </c>
      <c r="AB106" s="26">
        <f>IF(ISBLANK(Z19),"",SUM($Z$4:Z19))</f>
        <v>20.900000000000002</v>
      </c>
      <c r="AC106" s="115">
        <f t="shared" si="74"/>
        <v>0.91437500000000005</v>
      </c>
      <c r="AD106" s="8">
        <f t="shared" si="51"/>
        <v>1012.84375</v>
      </c>
      <c r="AE106" s="610">
        <f t="shared" si="52"/>
        <v>0.66228388127864113</v>
      </c>
      <c r="AF106" s="141">
        <f t="shared" si="75"/>
        <v>0.3125</v>
      </c>
      <c r="AG106" s="22">
        <f>IF(ISBLANK(AP19),NA(),SUM($AP$4:AP19))</f>
        <v>27.3</v>
      </c>
      <c r="AH106" s="7">
        <f>SUM($AS$91:AS106)</f>
        <v>41.22099415630219</v>
      </c>
      <c r="AI106" s="115">
        <f t="shared" si="53"/>
        <v>0.66228388127864113</v>
      </c>
      <c r="AJ106" s="124">
        <f t="shared" si="54"/>
        <v>0</v>
      </c>
      <c r="AK106" s="8">
        <f t="shared" si="55"/>
        <v>995.5</v>
      </c>
      <c r="AL106" s="124">
        <f t="shared" si="56"/>
        <v>0</v>
      </c>
      <c r="AM106" s="141">
        <f t="shared" si="57"/>
        <v>0.64930555555555558</v>
      </c>
      <c r="AN106" s="1">
        <f t="array" ref="AN106">MAX(IF(G4:G34=$G$86,E4:E34,0))</f>
        <v>25</v>
      </c>
      <c r="AO106" s="141">
        <f t="shared" si="58"/>
        <v>0.62847222222222221</v>
      </c>
      <c r="AP106" s="451" t="s">
        <v>128</v>
      </c>
      <c r="AQ106" s="450">
        <v>1.7999999999999999E-2</v>
      </c>
      <c r="AR106" s="141">
        <f t="shared" si="59"/>
        <v>0.17708333333333334</v>
      </c>
      <c r="AS106" s="7">
        <f t="shared" si="60"/>
        <v>2.7004210201347214</v>
      </c>
      <c r="AT106" s="7">
        <v>8.9715075126147834</v>
      </c>
      <c r="AU106" s="4">
        <v>16</v>
      </c>
      <c r="AV106" s="127">
        <f t="shared" si="61"/>
        <v>0</v>
      </c>
      <c r="AW106" s="124">
        <f t="shared" si="76"/>
        <v>0</v>
      </c>
      <c r="AX106" s="124">
        <f t="shared" si="77"/>
        <v>1</v>
      </c>
      <c r="AY106" s="124">
        <f t="shared" si="62"/>
        <v>0</v>
      </c>
      <c r="AZ106" s="125">
        <f t="shared" si="63"/>
        <v>5.0999999999999996</v>
      </c>
      <c r="BA106" s="125">
        <f t="shared" si="64"/>
        <v>3.1000000000000005</v>
      </c>
      <c r="BB106" s="125">
        <f t="shared" si="65"/>
        <v>6.7</v>
      </c>
      <c r="BC106" s="7">
        <v>2.7259259259259263</v>
      </c>
      <c r="BD106" s="7">
        <v>6.4296296296296287</v>
      </c>
      <c r="BE106" s="124"/>
      <c r="BF106" s="8">
        <f t="shared" si="66"/>
        <v>82</v>
      </c>
      <c r="BG106" s="21">
        <f t="shared" si="67"/>
        <v>6.9</v>
      </c>
      <c r="BH106" s="124">
        <f t="shared" si="68"/>
        <v>1</v>
      </c>
      <c r="BI106" s="124">
        <f t="shared" si="78"/>
        <v>0</v>
      </c>
      <c r="BJ106" s="144">
        <f t="shared" si="69"/>
        <v>0</v>
      </c>
      <c r="BL106" s="99"/>
    </row>
    <row r="107" spans="1:64" ht="12.75" x14ac:dyDescent="0.2">
      <c r="A107" s="8">
        <f t="shared" si="34"/>
        <v>17</v>
      </c>
      <c r="B107" s="125">
        <f t="shared" si="35"/>
        <v>2.2000000000000002</v>
      </c>
      <c r="C107" s="125">
        <f t="shared" si="36"/>
        <v>7.6</v>
      </c>
      <c r="D107" s="125">
        <f t="shared" si="70"/>
        <v>4.9000000000000004</v>
      </c>
      <c r="E107" s="125">
        <f t="shared" si="37"/>
        <v>5.3999999999999995</v>
      </c>
      <c r="F107" s="7">
        <v>1.8785714285714288</v>
      </c>
      <c r="G107" s="7">
        <v>7.4166666666666652</v>
      </c>
      <c r="H107" s="7">
        <f t="shared" si="71"/>
        <v>4.6476190476190471</v>
      </c>
      <c r="I107" s="7">
        <f t="shared" si="72"/>
        <v>5.5380952380952362</v>
      </c>
      <c r="K107" s="7">
        <f t="shared" si="38"/>
        <v>4.5</v>
      </c>
      <c r="L107" s="7">
        <f t="shared" si="39"/>
        <v>6.25</v>
      </c>
      <c r="M107" s="370">
        <f t="shared" si="40"/>
        <v>6.7352941176470589</v>
      </c>
      <c r="N107" s="1">
        <f t="shared" si="41"/>
        <v>0</v>
      </c>
      <c r="O107" s="7">
        <f t="shared" si="42"/>
        <v>83.235294117647058</v>
      </c>
      <c r="P107" s="7">
        <f t="shared" si="43"/>
        <v>5.5352941176470596</v>
      </c>
      <c r="Q107" s="7">
        <f t="shared" si="44"/>
        <v>10.064705882352943</v>
      </c>
      <c r="R107" s="7">
        <f t="shared" si="45"/>
        <v>7.9882352941176462</v>
      </c>
      <c r="S107" s="7">
        <f t="shared" si="46"/>
        <v>4.5294117647058831</v>
      </c>
      <c r="T107" s="1">
        <v>48</v>
      </c>
      <c r="U107" s="333">
        <f t="shared" si="47"/>
        <v>1.4285714285714286</v>
      </c>
      <c r="V107" s="4">
        <v>17</v>
      </c>
      <c r="W107" s="7">
        <f t="shared" si="48"/>
        <v>4.641</v>
      </c>
      <c r="X107" s="7">
        <f t="shared" si="49"/>
        <v>13.104000000000001</v>
      </c>
      <c r="Y107" s="8">
        <f t="shared" si="50"/>
        <v>11</v>
      </c>
      <c r="Z107" s="7">
        <f>IF(ISBLANK(Z20),NA(),SUM($Z$4:Z20))</f>
        <v>20.900000000000002</v>
      </c>
      <c r="AA107" s="7">
        <f t="shared" si="73"/>
        <v>24.285714285714285</v>
      </c>
      <c r="AB107" s="26">
        <f>IF(ISBLANK(Z20),"",SUM($Z$4:Z20))</f>
        <v>20.900000000000002</v>
      </c>
      <c r="AC107" s="115">
        <f t="shared" si="74"/>
        <v>0.86058823529411776</v>
      </c>
      <c r="AD107" s="8">
        <f t="shared" si="51"/>
        <v>1012.4117647058823</v>
      </c>
      <c r="AE107" s="610">
        <f t="shared" si="52"/>
        <v>0.64407928566277683</v>
      </c>
      <c r="AF107" s="141">
        <f t="shared" si="75"/>
        <v>0.33333333333333331</v>
      </c>
      <c r="AG107" s="22">
        <f>IF(ISBLANK(AP20),NA(),SUM($AP$4:AP20))</f>
        <v>28.3</v>
      </c>
      <c r="AH107" s="7">
        <f>SUM($AS$91:AS107)</f>
        <v>43.938689894177323</v>
      </c>
      <c r="AI107" s="115">
        <f t="shared" si="53"/>
        <v>0.64407928566277683</v>
      </c>
      <c r="AJ107" s="124">
        <f t="shared" si="54"/>
        <v>0</v>
      </c>
      <c r="AK107" s="8">
        <f t="shared" si="55"/>
        <v>1005.5</v>
      </c>
      <c r="AL107" s="124">
        <f t="shared" si="56"/>
        <v>0</v>
      </c>
      <c r="AM107" s="141">
        <f t="shared" si="57"/>
        <v>0.6875</v>
      </c>
      <c r="AN107" s="7">
        <f>C85-G39</f>
        <v>-3.8999999999999995</v>
      </c>
      <c r="AO107" s="141">
        <f t="shared" si="58"/>
        <v>0.57986111111111105</v>
      </c>
      <c r="AP107" s="449" t="s">
        <v>213</v>
      </c>
      <c r="AQ107" s="448">
        <v>1.6E-2</v>
      </c>
      <c r="AR107" s="141">
        <f t="shared" si="59"/>
        <v>0.14583333333333334</v>
      </c>
      <c r="AS107" s="7">
        <f t="shared" si="60"/>
        <v>2.7176957378751307</v>
      </c>
      <c r="AT107" s="7">
        <v>9.0288986597103023</v>
      </c>
      <c r="AU107" s="4">
        <v>17</v>
      </c>
      <c r="AV107" s="127">
        <f t="shared" si="61"/>
        <v>0</v>
      </c>
      <c r="AW107" s="124">
        <f t="shared" si="76"/>
        <v>0</v>
      </c>
      <c r="AX107" s="124">
        <f t="shared" si="77"/>
        <v>0</v>
      </c>
      <c r="AY107" s="124">
        <f t="shared" si="62"/>
        <v>0</v>
      </c>
      <c r="AZ107" s="125">
        <f t="shared" si="63"/>
        <v>5.0999999999999996</v>
      </c>
      <c r="BA107" s="125">
        <f t="shared" si="64"/>
        <v>3.1000000000000005</v>
      </c>
      <c r="BB107" s="125">
        <f t="shared" si="65"/>
        <v>6.7</v>
      </c>
      <c r="BC107" s="7">
        <v>2.8015873015873014</v>
      </c>
      <c r="BD107" s="7">
        <v>6.4936507936507928</v>
      </c>
      <c r="BE107" s="124"/>
      <c r="BF107" s="8">
        <f t="shared" si="66"/>
        <v>89</v>
      </c>
      <c r="BG107" s="21">
        <f t="shared" si="67"/>
        <v>6</v>
      </c>
      <c r="BH107" s="124">
        <f t="shared" si="68"/>
        <v>1</v>
      </c>
      <c r="BI107" s="124">
        <f t="shared" si="78"/>
        <v>0</v>
      </c>
      <c r="BJ107" s="144">
        <f t="shared" si="69"/>
        <v>0</v>
      </c>
      <c r="BL107" s="99"/>
    </row>
    <row r="108" spans="1:64" ht="12.75" x14ac:dyDescent="0.2">
      <c r="A108" s="8">
        <f t="shared" si="34"/>
        <v>15</v>
      </c>
      <c r="B108" s="125">
        <f t="shared" si="35"/>
        <v>2.2000000000000002</v>
      </c>
      <c r="C108" s="125">
        <f t="shared" si="36"/>
        <v>7.6</v>
      </c>
      <c r="D108" s="125">
        <f t="shared" si="70"/>
        <v>4.9000000000000004</v>
      </c>
      <c r="E108" s="125">
        <f t="shared" si="37"/>
        <v>5.3999999999999995</v>
      </c>
      <c r="F108" s="7">
        <v>1.9571428571428573</v>
      </c>
      <c r="G108" s="7">
        <v>7.4777777777777761</v>
      </c>
      <c r="H108" s="7">
        <f t="shared" si="71"/>
        <v>4.7174603174603167</v>
      </c>
      <c r="I108" s="7">
        <f t="shared" si="72"/>
        <v>5.5206349206349188</v>
      </c>
      <c r="K108" s="7">
        <f t="shared" si="38"/>
        <v>4.5</v>
      </c>
      <c r="L108" s="7">
        <f t="shared" si="39"/>
        <v>4.55</v>
      </c>
      <c r="M108" s="370">
        <f t="shared" si="40"/>
        <v>6.6611111111111114</v>
      </c>
      <c r="N108" s="1">
        <f t="shared" si="41"/>
        <v>0</v>
      </c>
      <c r="O108" s="7">
        <f t="shared" si="42"/>
        <v>83.333333333333329</v>
      </c>
      <c r="P108" s="7">
        <f t="shared" si="43"/>
        <v>5.3555555555555561</v>
      </c>
      <c r="Q108" s="7">
        <f t="shared" si="44"/>
        <v>9.8833333333333346</v>
      </c>
      <c r="R108" s="7">
        <f t="shared" si="45"/>
        <v>7.7944444444444434</v>
      </c>
      <c r="S108" s="7">
        <f t="shared" si="46"/>
        <v>4.5277777777777786</v>
      </c>
      <c r="T108" s="1">
        <v>49</v>
      </c>
      <c r="U108" s="333">
        <f t="shared" si="47"/>
        <v>1.4285714285714286</v>
      </c>
      <c r="V108" s="4">
        <v>18</v>
      </c>
      <c r="W108" s="7">
        <f t="shared" si="48"/>
        <v>4.9140000000000006</v>
      </c>
      <c r="X108" s="7">
        <f t="shared" si="49"/>
        <v>13.377000000000001</v>
      </c>
      <c r="Y108" s="8">
        <f t="shared" si="50"/>
        <v>3</v>
      </c>
      <c r="Z108" s="7">
        <f>IF(ISBLANK(Z21),NA(),SUM($Z$4:Z21))</f>
        <v>20.900000000000002</v>
      </c>
      <c r="AA108" s="7">
        <f t="shared" si="73"/>
        <v>25.714285714285715</v>
      </c>
      <c r="AB108" s="26">
        <f>IF(ISBLANK(Z21),"",SUM($Z$4:Z21))</f>
        <v>20.900000000000002</v>
      </c>
      <c r="AC108" s="115">
        <f t="shared" si="74"/>
        <v>0.81277777777777782</v>
      </c>
      <c r="AD108" s="8">
        <f t="shared" si="51"/>
        <v>1012.4166666666666</v>
      </c>
      <c r="AE108" s="610">
        <f t="shared" si="52"/>
        <v>0.61704900677349905</v>
      </c>
      <c r="AF108" s="141">
        <f t="shared" si="75"/>
        <v>0.35416666666666669</v>
      </c>
      <c r="AG108" s="22">
        <f>IF(ISBLANK(AP21),NA(),SUM($AP$4:AP21))</f>
        <v>28.8</v>
      </c>
      <c r="AH108" s="7">
        <f>SUM($AS$91:AS108)</f>
        <v>46.67376445607286</v>
      </c>
      <c r="AI108" s="115">
        <f t="shared" si="53"/>
        <v>0.61704900677349905</v>
      </c>
      <c r="AJ108" s="124">
        <f t="shared" si="54"/>
        <v>0</v>
      </c>
      <c r="AK108" s="8">
        <f t="shared" si="55"/>
        <v>1012.5</v>
      </c>
      <c r="AL108" s="124">
        <f t="shared" si="56"/>
        <v>0</v>
      </c>
      <c r="AM108" s="141">
        <f t="shared" si="57"/>
        <v>0.67708333333333337</v>
      </c>
      <c r="AN108" s="124">
        <f t="array" ref="AN108">SUM(IF(Z4:Z34&gt;10,1,0))</f>
        <v>2</v>
      </c>
      <c r="AO108" s="141">
        <f t="shared" si="58"/>
        <v>0.4861111111111111</v>
      </c>
      <c r="AP108" s="303"/>
      <c r="AQ108" s="303"/>
      <c r="AR108" s="141">
        <f t="shared" si="59"/>
        <v>0.30763888888888891</v>
      </c>
      <c r="AS108" s="7">
        <f t="shared" si="60"/>
        <v>2.7350745618955359</v>
      </c>
      <c r="AT108" s="7">
        <v>9.0866356751967601</v>
      </c>
      <c r="AU108" s="4">
        <v>18</v>
      </c>
      <c r="AV108" s="127">
        <f t="shared" si="61"/>
        <v>0</v>
      </c>
      <c r="AW108" s="124">
        <f t="shared" si="76"/>
        <v>0</v>
      </c>
      <c r="AX108" s="124">
        <f t="shared" si="77"/>
        <v>0</v>
      </c>
      <c r="AY108" s="124">
        <f t="shared" si="62"/>
        <v>0</v>
      </c>
      <c r="AZ108" s="125">
        <f t="shared" si="63"/>
        <v>5.0999999999999996</v>
      </c>
      <c r="BA108" s="125">
        <f t="shared" si="64"/>
        <v>3.1000000000000005</v>
      </c>
      <c r="BB108" s="125">
        <f t="shared" si="65"/>
        <v>6.7</v>
      </c>
      <c r="BC108" s="7">
        <v>2.8772486772486774</v>
      </c>
      <c r="BD108" s="7">
        <v>6.557671957671956</v>
      </c>
      <c r="BE108" s="124"/>
      <c r="BF108" s="8">
        <f t="shared" si="66"/>
        <v>85</v>
      </c>
      <c r="BG108" s="21">
        <f t="shared" si="67"/>
        <v>4.5</v>
      </c>
      <c r="BH108" s="124">
        <f t="shared" si="68"/>
        <v>0</v>
      </c>
      <c r="BI108" s="124">
        <f t="shared" si="78"/>
        <v>0</v>
      </c>
      <c r="BJ108" s="144">
        <f t="shared" si="69"/>
        <v>0</v>
      </c>
      <c r="BL108" s="99"/>
    </row>
    <row r="109" spans="1:64" ht="12.75" x14ac:dyDescent="0.2">
      <c r="A109" s="8">
        <f t="shared" si="34"/>
        <v>12</v>
      </c>
      <c r="B109" s="125">
        <f t="shared" si="35"/>
        <v>2.2000000000000002</v>
      </c>
      <c r="C109" s="125">
        <f t="shared" si="36"/>
        <v>7.6</v>
      </c>
      <c r="D109" s="125">
        <f t="shared" si="70"/>
        <v>4.9000000000000004</v>
      </c>
      <c r="E109" s="125">
        <f t="shared" si="37"/>
        <v>5.3999999999999995</v>
      </c>
      <c r="F109" s="7">
        <v>2.035714285714286</v>
      </c>
      <c r="G109" s="7">
        <v>7.538888888888887</v>
      </c>
      <c r="H109" s="7">
        <f t="shared" si="71"/>
        <v>4.7873015873015863</v>
      </c>
      <c r="I109" s="7">
        <f t="shared" si="72"/>
        <v>5.5031746031746014</v>
      </c>
      <c r="K109" s="7">
        <f t="shared" si="38"/>
        <v>3.3</v>
      </c>
      <c r="L109" s="7">
        <f t="shared" si="39"/>
        <v>4.3499999999999996</v>
      </c>
      <c r="M109" s="370">
        <f t="shared" si="40"/>
        <v>6.5263157894736841</v>
      </c>
      <c r="N109" s="1">
        <f t="shared" si="41"/>
        <v>3.7333333333333329</v>
      </c>
      <c r="O109" s="7">
        <f t="shared" si="42"/>
        <v>84</v>
      </c>
      <c r="P109" s="7">
        <f t="shared" si="43"/>
        <v>5.215789473684211</v>
      </c>
      <c r="Q109" s="7">
        <f t="shared" si="44"/>
        <v>9.6789473684210545</v>
      </c>
      <c r="R109" s="7">
        <f t="shared" si="45"/>
        <v>7.6263157894736828</v>
      </c>
      <c r="S109" s="7">
        <f t="shared" si="46"/>
        <v>4.4631578947368427</v>
      </c>
      <c r="T109" s="1">
        <v>50</v>
      </c>
      <c r="U109" s="333">
        <f t="shared" si="47"/>
        <v>1.4285714285714286</v>
      </c>
      <c r="V109" s="4">
        <v>19</v>
      </c>
      <c r="W109" s="7">
        <f t="shared" si="48"/>
        <v>5.1870000000000003</v>
      </c>
      <c r="X109" s="7">
        <f t="shared" si="49"/>
        <v>13.65</v>
      </c>
      <c r="Y109" s="8">
        <f t="shared" si="50"/>
        <v>4</v>
      </c>
      <c r="Z109" s="7">
        <f>IF(ISBLANK(Z22),NA(),SUM($Z$4:Z22))</f>
        <v>32.1</v>
      </c>
      <c r="AA109" s="7">
        <f t="shared" si="73"/>
        <v>27.142857142857142</v>
      </c>
      <c r="AB109" s="26">
        <f>IF(ISBLANK(Z22),"",SUM($Z$4:Z22))</f>
        <v>32.1</v>
      </c>
      <c r="AC109" s="115">
        <f t="shared" si="74"/>
        <v>1.1826315789473685</v>
      </c>
      <c r="AD109" s="8">
        <f t="shared" si="51"/>
        <v>1012.3421052631579</v>
      </c>
      <c r="AE109" s="610">
        <f t="shared" si="52"/>
        <v>0.5826855339340693</v>
      </c>
      <c r="AF109" s="141" t="e">
        <f t="shared" si="75"/>
        <v>#N/A</v>
      </c>
      <c r="AG109" s="22">
        <f>IF(ISBLANK(AP22),NA(),SUM($AP$4:AP22))</f>
        <v>28.8</v>
      </c>
      <c r="AH109" s="7">
        <f>SUM($AS$91:AS109)</f>
        <v>49.426317151815049</v>
      </c>
      <c r="AI109" s="115">
        <f t="shared" si="53"/>
        <v>0.5826855339340693</v>
      </c>
      <c r="AJ109" s="124">
        <f t="shared" si="54"/>
        <v>1</v>
      </c>
      <c r="AK109" s="8">
        <f t="shared" si="55"/>
        <v>1011</v>
      </c>
      <c r="AL109" s="124">
        <f t="shared" si="56"/>
        <v>1</v>
      </c>
      <c r="AM109" s="141" t="e">
        <f t="shared" si="57"/>
        <v>#N/A</v>
      </c>
      <c r="AO109" s="141">
        <f t="shared" si="58"/>
        <v>0.68055555555555547</v>
      </c>
      <c r="AP109" s="423" t="s">
        <v>129</v>
      </c>
      <c r="AQ109" s="453">
        <f>MAX(AQ92:AQ107)</f>
        <v>0.19700000000000001</v>
      </c>
      <c r="AR109" s="141" t="e">
        <f t="shared" si="59"/>
        <v>#N/A</v>
      </c>
      <c r="AS109" s="7">
        <f t="shared" si="60"/>
        <v>2.7525526957421915</v>
      </c>
      <c r="AT109" s="7">
        <v>9.1447026239957054</v>
      </c>
      <c r="AU109" s="4">
        <v>19</v>
      </c>
      <c r="AV109" s="127">
        <f t="shared" si="61"/>
        <v>0</v>
      </c>
      <c r="AW109" s="124">
        <f t="shared" si="76"/>
        <v>0</v>
      </c>
      <c r="AX109" s="124">
        <f t="shared" si="77"/>
        <v>0</v>
      </c>
      <c r="AY109" s="124">
        <f t="shared" si="62"/>
        <v>0</v>
      </c>
      <c r="AZ109" s="125">
        <f t="shared" si="63"/>
        <v>5.0999999999999996</v>
      </c>
      <c r="BA109" s="125">
        <f t="shared" si="64"/>
        <v>3.1000000000000005</v>
      </c>
      <c r="BB109" s="125">
        <f t="shared" si="65"/>
        <v>6.7</v>
      </c>
      <c r="BC109" s="7">
        <v>2.9529100529100525</v>
      </c>
      <c r="BD109" s="7">
        <v>6.6216931216931201</v>
      </c>
      <c r="BE109" s="124"/>
      <c r="BF109" s="8">
        <f t="shared" si="66"/>
        <v>96</v>
      </c>
      <c r="BG109" s="21">
        <f t="shared" si="67"/>
        <v>4.5999999999999996</v>
      </c>
      <c r="BH109" s="124">
        <f t="shared" si="68"/>
        <v>0</v>
      </c>
      <c r="BI109" s="124">
        <f t="shared" si="78"/>
        <v>1</v>
      </c>
      <c r="BJ109" s="144">
        <f t="shared" si="69"/>
        <v>3.7333333333333329</v>
      </c>
      <c r="BL109" s="99"/>
    </row>
    <row r="110" spans="1:64" ht="12.75" x14ac:dyDescent="0.2">
      <c r="A110" s="8">
        <f t="shared" si="34"/>
        <v>5</v>
      </c>
      <c r="B110" s="125">
        <f t="shared" si="35"/>
        <v>2.2000000000000002</v>
      </c>
      <c r="C110" s="125">
        <f t="shared" si="36"/>
        <v>7.6</v>
      </c>
      <c r="D110" s="125">
        <f t="shared" si="70"/>
        <v>4.9000000000000004</v>
      </c>
      <c r="E110" s="125">
        <f t="shared" si="37"/>
        <v>5.3999999999999995</v>
      </c>
      <c r="F110" s="7">
        <v>2.1142857142857148</v>
      </c>
      <c r="G110" s="7">
        <v>7.6</v>
      </c>
      <c r="H110" s="7">
        <f t="shared" si="71"/>
        <v>4.8571428571428577</v>
      </c>
      <c r="I110" s="7">
        <f t="shared" si="72"/>
        <v>5.4857142857142849</v>
      </c>
      <c r="K110" s="7">
        <f t="shared" si="38"/>
        <v>1.4999999999999996</v>
      </c>
      <c r="L110" s="7">
        <f t="shared" si="39"/>
        <v>4.3499999999999996</v>
      </c>
      <c r="M110" s="370">
        <f t="shared" si="40"/>
        <v>6.43</v>
      </c>
      <c r="N110" s="1">
        <f t="shared" si="41"/>
        <v>0</v>
      </c>
      <c r="O110" s="7">
        <f t="shared" si="42"/>
        <v>84.55</v>
      </c>
      <c r="P110" s="7">
        <f t="shared" si="43"/>
        <v>5.1349999999999998</v>
      </c>
      <c r="Q110" s="7">
        <f t="shared" si="44"/>
        <v>9.4500000000000011</v>
      </c>
      <c r="R110" s="7">
        <f t="shared" si="45"/>
        <v>7.4599999999999991</v>
      </c>
      <c r="S110" s="7">
        <f t="shared" si="46"/>
        <v>4.3150000000000004</v>
      </c>
      <c r="T110" s="1">
        <v>51</v>
      </c>
      <c r="U110" s="333">
        <f t="shared" si="47"/>
        <v>1.4285714285714286</v>
      </c>
      <c r="V110" s="4">
        <v>20</v>
      </c>
      <c r="W110" s="7">
        <f t="shared" si="48"/>
        <v>5.4600000000000009</v>
      </c>
      <c r="X110" s="7">
        <f t="shared" si="49"/>
        <v>13.923000000000002</v>
      </c>
      <c r="Y110" s="8">
        <f t="shared" si="50"/>
        <v>3</v>
      </c>
      <c r="Z110" s="7">
        <f>IF(ISBLANK(Z23),NA(),SUM($Z$4:Z23))</f>
        <v>32.1</v>
      </c>
      <c r="AA110" s="7">
        <f t="shared" si="73"/>
        <v>28.571428571428573</v>
      </c>
      <c r="AB110" s="26">
        <f>IF(ISBLANK(Z23),"",SUM($Z$4:Z23))</f>
        <v>32.1</v>
      </c>
      <c r="AC110" s="115">
        <f t="shared" si="74"/>
        <v>1.1234999999999999</v>
      </c>
      <c r="AD110" s="8">
        <f t="shared" si="51"/>
        <v>1012.45</v>
      </c>
      <c r="AE110" s="610">
        <f t="shared" si="52"/>
        <v>0.55176173976185616</v>
      </c>
      <c r="AF110" s="141">
        <f t="shared" si="75"/>
        <v>2.7777777777777776E-2</v>
      </c>
      <c r="AG110" s="22">
        <f>IF(ISBLANK(AP23),NA(),SUM($AP$4:AP23))</f>
        <v>28.8</v>
      </c>
      <c r="AH110" s="7">
        <f>SUM($AS$91:AS110)</f>
        <v>52.196442639227328</v>
      </c>
      <c r="AI110" s="115">
        <f t="shared" si="53"/>
        <v>0.55176173976185616</v>
      </c>
      <c r="AJ110" s="124">
        <f t="shared" si="54"/>
        <v>0</v>
      </c>
      <c r="AK110" s="8">
        <f t="shared" si="55"/>
        <v>1014.5</v>
      </c>
      <c r="AL110" s="124">
        <f t="shared" si="56"/>
        <v>0</v>
      </c>
      <c r="AM110" s="141" t="e">
        <f t="shared" si="57"/>
        <v>#N/A</v>
      </c>
      <c r="AO110" s="141">
        <f t="shared" si="58"/>
        <v>0.52083333333333337</v>
      </c>
      <c r="AR110" s="141">
        <f t="shared" si="59"/>
        <v>0.34375</v>
      </c>
      <c r="AS110" s="7">
        <f t="shared" si="60"/>
        <v>2.7701254874122805</v>
      </c>
      <c r="AT110" s="7">
        <v>9.2030840509325884</v>
      </c>
      <c r="AU110" s="4">
        <v>20</v>
      </c>
      <c r="AV110" s="127">
        <f t="shared" si="61"/>
        <v>0</v>
      </c>
      <c r="AW110" s="124">
        <f t="shared" si="76"/>
        <v>0</v>
      </c>
      <c r="AX110" s="124">
        <f t="shared" si="77"/>
        <v>0</v>
      </c>
      <c r="AY110" s="124">
        <f t="shared" si="62"/>
        <v>0</v>
      </c>
      <c r="AZ110" s="125">
        <f t="shared" si="63"/>
        <v>5.0999999999999996</v>
      </c>
      <c r="BA110" s="125">
        <f t="shared" si="64"/>
        <v>3.1000000000000005</v>
      </c>
      <c r="BB110" s="125">
        <f t="shared" si="65"/>
        <v>6.7</v>
      </c>
      <c r="BC110" s="7">
        <v>3.0285714285714294</v>
      </c>
      <c r="BD110" s="7">
        <v>6.6857142857142859</v>
      </c>
      <c r="BE110" s="124"/>
      <c r="BF110" s="8">
        <f t="shared" si="66"/>
        <v>95</v>
      </c>
      <c r="BG110" s="21">
        <f t="shared" si="67"/>
        <v>4.3</v>
      </c>
      <c r="BH110" s="124">
        <f t="shared" si="68"/>
        <v>0</v>
      </c>
      <c r="BI110" s="124">
        <f t="shared" si="78"/>
        <v>0</v>
      </c>
      <c r="BJ110" s="144">
        <f t="shared" si="69"/>
        <v>0</v>
      </c>
      <c r="BL110" s="99"/>
    </row>
    <row r="111" spans="1:64" ht="12.75" x14ac:dyDescent="0.2">
      <c r="A111" s="8">
        <f t="shared" si="34"/>
        <v>9</v>
      </c>
      <c r="B111" s="125">
        <f t="shared" si="35"/>
        <v>2.2000000000000002</v>
      </c>
      <c r="C111" s="125">
        <f t="shared" si="36"/>
        <v>7.6</v>
      </c>
      <c r="D111" s="125">
        <f t="shared" si="70"/>
        <v>4.9000000000000004</v>
      </c>
      <c r="E111" s="125">
        <f t="shared" si="37"/>
        <v>5.3999999999999995</v>
      </c>
      <c r="F111" s="7">
        <v>2.1928571428571435</v>
      </c>
      <c r="G111" s="7">
        <v>7.75</v>
      </c>
      <c r="H111" s="7">
        <f t="shared" si="71"/>
        <v>4.9714285714285715</v>
      </c>
      <c r="I111" s="7">
        <f t="shared" si="72"/>
        <v>5.5571428571428569</v>
      </c>
      <c r="K111" s="7">
        <f t="shared" si="38"/>
        <v>2.8000000000000003</v>
      </c>
      <c r="L111" s="7">
        <f t="shared" si="39"/>
        <v>5</v>
      </c>
      <c r="M111" s="370">
        <f t="shared" si="40"/>
        <v>6.3428571428571425</v>
      </c>
      <c r="N111" s="1">
        <f t="shared" si="41"/>
        <v>3.3333333333333333E-2</v>
      </c>
      <c r="O111" s="7">
        <f t="shared" si="42"/>
        <v>84.761904761904759</v>
      </c>
      <c r="P111" s="7">
        <f t="shared" si="43"/>
        <v>5.0619047619047617</v>
      </c>
      <c r="Q111" s="7">
        <f t="shared" si="44"/>
        <v>9.3047619047619072</v>
      </c>
      <c r="R111" s="7">
        <f t="shared" si="45"/>
        <v>7.3428571428571425</v>
      </c>
      <c r="S111" s="7">
        <f t="shared" si="46"/>
        <v>4.2428571428571429</v>
      </c>
      <c r="T111" s="1">
        <v>52</v>
      </c>
      <c r="U111" s="333">
        <f t="shared" si="47"/>
        <v>1.4285714285714286</v>
      </c>
      <c r="V111" s="4">
        <v>21</v>
      </c>
      <c r="W111" s="7">
        <f t="shared" si="48"/>
        <v>5.7330000000000005</v>
      </c>
      <c r="X111" s="7">
        <f t="shared" si="49"/>
        <v>14.196000000000002</v>
      </c>
      <c r="Y111" s="8">
        <f t="shared" si="50"/>
        <v>4</v>
      </c>
      <c r="Z111" s="7">
        <f>IF(ISBLANK(Z24),NA(),SUM($Z$4:Z24))</f>
        <v>32.200000000000003</v>
      </c>
      <c r="AA111" s="7">
        <f t="shared" si="73"/>
        <v>30</v>
      </c>
      <c r="AB111" s="26">
        <f>IF(ISBLANK(Z24),"",SUM($Z$4:Z24))</f>
        <v>32.200000000000003</v>
      </c>
      <c r="AC111" s="115">
        <f t="shared" si="74"/>
        <v>1.0733333333333335</v>
      </c>
      <c r="AD111" s="8">
        <f t="shared" si="51"/>
        <v>1012.5238095238095</v>
      </c>
      <c r="AE111" s="610">
        <f t="shared" si="52"/>
        <v>0.5237865373720888</v>
      </c>
      <c r="AF111" s="141">
        <f t="shared" si="75"/>
        <v>0.30208333333333331</v>
      </c>
      <c r="AG111" s="22">
        <f>IF(ISBLANK(AP24),NA(),SUM($AP$4:AP24))</f>
        <v>28.8</v>
      </c>
      <c r="AH111" s="7">
        <f>SUM($AS$91:AS111)</f>
        <v>54.984231065757584</v>
      </c>
      <c r="AI111" s="115">
        <f t="shared" si="53"/>
        <v>0.5237865373720888</v>
      </c>
      <c r="AJ111" s="124">
        <f t="shared" si="54"/>
        <v>0</v>
      </c>
      <c r="AK111" s="8">
        <f t="shared" si="55"/>
        <v>1014</v>
      </c>
      <c r="AL111" s="124">
        <f t="shared" si="56"/>
        <v>0</v>
      </c>
      <c r="AM111" s="141">
        <f t="shared" si="57"/>
        <v>0.61111111111111105</v>
      </c>
      <c r="AO111" s="141">
        <f t="shared" si="58"/>
        <v>0.60069444444444442</v>
      </c>
      <c r="AQ111" s="377">
        <f>SUM(AQ92:AQ107)</f>
        <v>1.0010000000000001</v>
      </c>
      <c r="AR111" s="141">
        <f t="shared" si="59"/>
        <v>1.0416666666666666E-2</v>
      </c>
      <c r="AS111" s="7">
        <f t="shared" si="60"/>
        <v>2.7877884265302568</v>
      </c>
      <c r="AT111" s="7">
        <v>9.2617649713558325</v>
      </c>
      <c r="AU111" s="4">
        <v>21</v>
      </c>
      <c r="AV111" s="127">
        <f t="shared" si="61"/>
        <v>0</v>
      </c>
      <c r="AW111" s="124">
        <f t="shared" si="76"/>
        <v>0</v>
      </c>
      <c r="AX111" s="124">
        <f t="shared" si="77"/>
        <v>0</v>
      </c>
      <c r="AY111" s="124">
        <f t="shared" si="62"/>
        <v>0</v>
      </c>
      <c r="AZ111" s="125">
        <f t="shared" si="63"/>
        <v>5.0999999999999996</v>
      </c>
      <c r="BA111" s="125">
        <f t="shared" si="64"/>
        <v>3.1000000000000005</v>
      </c>
      <c r="BB111" s="125">
        <f t="shared" si="65"/>
        <v>6.7</v>
      </c>
      <c r="BC111" s="7">
        <v>3.1190476190476195</v>
      </c>
      <c r="BD111" s="7">
        <v>6.8238095238095235</v>
      </c>
      <c r="BE111" s="124"/>
      <c r="BF111" s="8">
        <f t="shared" si="66"/>
        <v>89</v>
      </c>
      <c r="BG111" s="21">
        <f t="shared" si="67"/>
        <v>5</v>
      </c>
      <c r="BH111" s="124">
        <f t="shared" si="68"/>
        <v>0</v>
      </c>
      <c r="BI111" s="124">
        <f t="shared" si="78"/>
        <v>1</v>
      </c>
      <c r="BJ111" s="144">
        <f t="shared" si="69"/>
        <v>3.3333333333333333E-2</v>
      </c>
      <c r="BL111" s="99"/>
    </row>
    <row r="112" spans="1:64" ht="12.75" x14ac:dyDescent="0.2">
      <c r="A112" s="8">
        <f t="shared" si="34"/>
        <v>8</v>
      </c>
      <c r="B112" s="125">
        <f t="shared" si="35"/>
        <v>2.2000000000000002</v>
      </c>
      <c r="C112" s="125">
        <f t="shared" si="36"/>
        <v>7.6</v>
      </c>
      <c r="D112" s="125">
        <f t="shared" si="70"/>
        <v>4.9000000000000004</v>
      </c>
      <c r="E112" s="125">
        <f t="shared" si="37"/>
        <v>5.3999999999999995</v>
      </c>
      <c r="F112" s="7">
        <v>2.2714285714285722</v>
      </c>
      <c r="G112" s="7">
        <v>7.9</v>
      </c>
      <c r="H112" s="7">
        <f t="shared" si="71"/>
        <v>5.0857142857142863</v>
      </c>
      <c r="I112" s="7">
        <f t="shared" si="72"/>
        <v>5.6285714285714281</v>
      </c>
      <c r="K112" s="7">
        <f t="shared" si="38"/>
        <v>3</v>
      </c>
      <c r="L112" s="7">
        <f t="shared" si="39"/>
        <v>5.8</v>
      </c>
      <c r="M112" s="370">
        <f t="shared" si="40"/>
        <v>6.1818181818181817</v>
      </c>
      <c r="N112" s="1">
        <f t="shared" si="41"/>
        <v>0.16666666666666666</v>
      </c>
      <c r="O112" s="7">
        <f t="shared" si="42"/>
        <v>85</v>
      </c>
      <c r="P112" s="7">
        <f t="shared" si="43"/>
        <v>5.0272727272727273</v>
      </c>
      <c r="Q112" s="7">
        <f t="shared" si="44"/>
        <v>9.2136363636363665</v>
      </c>
      <c r="R112" s="7">
        <f t="shared" si="45"/>
        <v>7.2772727272727273</v>
      </c>
      <c r="S112" s="7">
        <f t="shared" si="46"/>
        <v>4.1863636363636365</v>
      </c>
      <c r="T112" s="1">
        <v>53</v>
      </c>
      <c r="U112" s="333">
        <f t="shared" si="47"/>
        <v>1.4285714285714286</v>
      </c>
      <c r="V112" s="4">
        <v>22</v>
      </c>
      <c r="W112" s="7">
        <f t="shared" si="48"/>
        <v>6.0060000000000002</v>
      </c>
      <c r="X112" s="7">
        <f t="shared" si="49"/>
        <v>14.469000000000001</v>
      </c>
      <c r="Y112" s="8">
        <f t="shared" si="50"/>
        <v>5</v>
      </c>
      <c r="Z112" s="7">
        <f>IF(ISBLANK(Z25),NA(),SUM($Z$4:Z25))</f>
        <v>32.700000000000003</v>
      </c>
      <c r="AA112" s="7">
        <f t="shared" si="73"/>
        <v>31.428571428571431</v>
      </c>
      <c r="AB112" s="26">
        <f>IF(ISBLANK(Z25),"",SUM($Z$4:Z25))</f>
        <v>32.700000000000003</v>
      </c>
      <c r="AC112" s="115">
        <f t="shared" si="74"/>
        <v>1.0404545454545455</v>
      </c>
      <c r="AD112" s="8">
        <f t="shared" si="51"/>
        <v>1012.7045454545455</v>
      </c>
      <c r="AE112" s="610">
        <f t="shared" si="52"/>
        <v>0.49835811586604706</v>
      </c>
      <c r="AF112" s="141">
        <f t="shared" si="75"/>
        <v>0.22916666666666666</v>
      </c>
      <c r="AG112" s="22">
        <f>IF(ISBLANK(AP25),NA(),SUM($AP$4:AP25))</f>
        <v>28.8</v>
      </c>
      <c r="AH112" s="7">
        <f>SUM($AS$91:AS112)</f>
        <v>57.789768207047942</v>
      </c>
      <c r="AI112" s="115">
        <f t="shared" si="53"/>
        <v>0.49835811586604706</v>
      </c>
      <c r="AJ112" s="124">
        <f t="shared" si="54"/>
        <v>1</v>
      </c>
      <c r="AK112" s="8">
        <f t="shared" si="55"/>
        <v>1016.5</v>
      </c>
      <c r="AL112" s="124">
        <f t="shared" si="56"/>
        <v>0</v>
      </c>
      <c r="AM112" s="141">
        <f t="shared" si="57"/>
        <v>0.60416666666666663</v>
      </c>
      <c r="AO112" s="141" t="e">
        <f t="shared" si="58"/>
        <v>#N/A</v>
      </c>
      <c r="AR112" s="141">
        <f t="shared" si="59"/>
        <v>0.29166666666666669</v>
      </c>
      <c r="AS112" s="7">
        <f t="shared" si="60"/>
        <v>2.8055371412903605</v>
      </c>
      <c r="AT112" s="7">
        <v>9.3207308609790669</v>
      </c>
      <c r="AU112" s="4">
        <v>22</v>
      </c>
      <c r="AV112" s="127">
        <f t="shared" si="61"/>
        <v>0</v>
      </c>
      <c r="AW112" s="124">
        <f t="shared" si="76"/>
        <v>0</v>
      </c>
      <c r="AX112" s="124">
        <f t="shared" si="77"/>
        <v>0</v>
      </c>
      <c r="AY112" s="124">
        <f t="shared" si="62"/>
        <v>1</v>
      </c>
      <c r="AZ112" s="125">
        <f t="shared" si="63"/>
        <v>5.0999999999999996</v>
      </c>
      <c r="BA112" s="125">
        <f t="shared" si="64"/>
        <v>3.1000000000000005</v>
      </c>
      <c r="BB112" s="125">
        <f t="shared" si="65"/>
        <v>6.7</v>
      </c>
      <c r="BC112" s="7">
        <v>3.2095238095238106</v>
      </c>
      <c r="BD112" s="7">
        <v>6.961904761904762</v>
      </c>
      <c r="BE112" s="124"/>
      <c r="BF112" s="8">
        <f t="shared" si="66"/>
        <v>90</v>
      </c>
      <c r="BG112" s="21">
        <f t="shared" si="67"/>
        <v>5.9</v>
      </c>
      <c r="BH112" s="124">
        <f t="shared" si="68"/>
        <v>0</v>
      </c>
      <c r="BI112" s="124">
        <f t="shared" si="78"/>
        <v>1</v>
      </c>
      <c r="BJ112" s="144">
        <f t="shared" si="69"/>
        <v>0.16666666666666666</v>
      </c>
      <c r="BL112" s="99"/>
    </row>
    <row r="113" spans="1:64" ht="12.75" x14ac:dyDescent="0.2">
      <c r="A113" s="8">
        <f t="shared" si="34"/>
        <v>16</v>
      </c>
      <c r="B113" s="125">
        <f t="shared" si="35"/>
        <v>2.2000000000000002</v>
      </c>
      <c r="C113" s="125">
        <f t="shared" si="36"/>
        <v>7.6</v>
      </c>
      <c r="D113" s="125">
        <f t="shared" si="70"/>
        <v>4.9000000000000004</v>
      </c>
      <c r="E113" s="125">
        <f t="shared" si="37"/>
        <v>5.3999999999999995</v>
      </c>
      <c r="F113" s="7">
        <v>2.4</v>
      </c>
      <c r="G113" s="7">
        <v>8.0500000000000007</v>
      </c>
      <c r="H113" s="7">
        <f t="shared" si="71"/>
        <v>5.2250000000000005</v>
      </c>
      <c r="I113" s="7">
        <f t="shared" si="72"/>
        <v>5.65</v>
      </c>
      <c r="K113" s="7">
        <f t="shared" si="38"/>
        <v>4</v>
      </c>
      <c r="L113" s="7">
        <f t="shared" si="39"/>
        <v>8.4</v>
      </c>
      <c r="M113" s="370">
        <f t="shared" si="40"/>
        <v>6.1565217391304348</v>
      </c>
      <c r="N113" s="1">
        <f t="shared" si="41"/>
        <v>1.1666666666666667</v>
      </c>
      <c r="O113" s="7">
        <f t="shared" si="42"/>
        <v>85.347826086956516</v>
      </c>
      <c r="P113" s="7">
        <f t="shared" si="43"/>
        <v>5.0869565217391308</v>
      </c>
      <c r="Q113" s="7">
        <f t="shared" si="44"/>
        <v>9.2652173913043505</v>
      </c>
      <c r="R113" s="7">
        <f t="shared" si="45"/>
        <v>7.3173913043478249</v>
      </c>
      <c r="S113" s="7">
        <f t="shared" si="46"/>
        <v>4.1782608695652179</v>
      </c>
      <c r="T113" s="1">
        <v>54</v>
      </c>
      <c r="U113" s="333">
        <f t="shared" si="47"/>
        <v>1.4285714285714286</v>
      </c>
      <c r="V113" s="4">
        <v>23</v>
      </c>
      <c r="W113" s="7">
        <f t="shared" si="48"/>
        <v>6.2790000000000008</v>
      </c>
      <c r="X113" s="7">
        <f t="shared" si="49"/>
        <v>14.742000000000001</v>
      </c>
      <c r="Y113" s="8">
        <f t="shared" si="50"/>
        <v>5</v>
      </c>
      <c r="Z113" s="7">
        <f>IF(ISBLANK(Z26),NA(),SUM($Z$4:Z26))</f>
        <v>36.200000000000003</v>
      </c>
      <c r="AA113" s="7">
        <f t="shared" si="73"/>
        <v>32.857142857142861</v>
      </c>
      <c r="AB113" s="26">
        <f>IF(ISBLANK(Z26),"",SUM($Z$4:Z26))</f>
        <v>36.200000000000003</v>
      </c>
      <c r="AC113" s="115">
        <f t="shared" si="74"/>
        <v>1.1017391304347826</v>
      </c>
      <c r="AD113" s="8">
        <f t="shared" si="51"/>
        <v>1012.8695652173913</v>
      </c>
      <c r="AE113" s="610">
        <f t="shared" si="52"/>
        <v>0.47514453284510255</v>
      </c>
      <c r="AF113" s="141" t="e">
        <f t="shared" si="75"/>
        <v>#N/A</v>
      </c>
      <c r="AG113" s="22">
        <f>IF(ISBLANK(AP26),NA(),SUM($AP$4:AP26))</f>
        <v>28.8</v>
      </c>
      <c r="AH113" s="7">
        <f>SUM($AS$91:AS113)</f>
        <v>60.613135602233314</v>
      </c>
      <c r="AI113" s="115">
        <f t="shared" si="53"/>
        <v>0.47514453284510255</v>
      </c>
      <c r="AJ113" s="124">
        <f t="shared" si="54"/>
        <v>1</v>
      </c>
      <c r="AK113" s="8">
        <f t="shared" si="55"/>
        <v>1016.5</v>
      </c>
      <c r="AL113" s="124">
        <f t="shared" si="56"/>
        <v>1</v>
      </c>
      <c r="AM113" s="141" t="e">
        <f t="shared" si="57"/>
        <v>#N/A</v>
      </c>
      <c r="AO113" s="141" t="e">
        <f t="shared" si="58"/>
        <v>#N/A</v>
      </c>
      <c r="AR113" s="141">
        <f t="shared" si="59"/>
        <v>0.24652777777777779</v>
      </c>
      <c r="AS113" s="7">
        <f t="shared" si="60"/>
        <v>2.8233673951853699</v>
      </c>
      <c r="AT113" s="7">
        <v>9.379967645013183</v>
      </c>
      <c r="AU113" s="4">
        <v>23</v>
      </c>
      <c r="AV113" s="127">
        <f t="shared" si="61"/>
        <v>0</v>
      </c>
      <c r="AW113" s="124">
        <f t="shared" si="76"/>
        <v>0</v>
      </c>
      <c r="AX113" s="124">
        <f t="shared" si="77"/>
        <v>1</v>
      </c>
      <c r="AY113" s="124">
        <f t="shared" si="62"/>
        <v>1</v>
      </c>
      <c r="AZ113" s="125">
        <f t="shared" si="63"/>
        <v>5.0999999999999996</v>
      </c>
      <c r="BA113" s="125">
        <f t="shared" si="64"/>
        <v>3.1000000000000005</v>
      </c>
      <c r="BB113" s="125">
        <f t="shared" si="65"/>
        <v>6.7</v>
      </c>
      <c r="BC113" s="7">
        <v>3.3416666666666668</v>
      </c>
      <c r="BD113" s="7">
        <v>7.1083333333333343</v>
      </c>
      <c r="BE113" s="124"/>
      <c r="BF113" s="8">
        <f t="shared" si="66"/>
        <v>93</v>
      </c>
      <c r="BG113" s="21">
        <f t="shared" si="67"/>
        <v>8.1999999999999993</v>
      </c>
      <c r="BH113" s="124">
        <f t="shared" si="68"/>
        <v>0</v>
      </c>
      <c r="BI113" s="124">
        <f t="shared" si="78"/>
        <v>1</v>
      </c>
      <c r="BJ113" s="144">
        <f t="shared" si="69"/>
        <v>1.1666666666666667</v>
      </c>
      <c r="BL113" s="99"/>
    </row>
    <row r="114" spans="1:64" ht="12.75" x14ac:dyDescent="0.2">
      <c r="A114" s="8">
        <f t="shared" si="34"/>
        <v>27</v>
      </c>
      <c r="B114" s="125">
        <f t="shared" si="35"/>
        <v>2.2000000000000002</v>
      </c>
      <c r="C114" s="125">
        <f t="shared" si="36"/>
        <v>7.6</v>
      </c>
      <c r="D114" s="125">
        <f t="shared" si="70"/>
        <v>4.9000000000000004</v>
      </c>
      <c r="E114" s="125">
        <f t="shared" si="37"/>
        <v>5.3999999999999995</v>
      </c>
      <c r="F114" s="7">
        <v>2.44</v>
      </c>
      <c r="G114" s="7">
        <v>8.1999999999999993</v>
      </c>
      <c r="H114" s="7">
        <f t="shared" si="71"/>
        <v>5.3199999999999994</v>
      </c>
      <c r="I114" s="7">
        <f t="shared" si="72"/>
        <v>5.76</v>
      </c>
      <c r="K114" s="7">
        <f t="shared" si="38"/>
        <v>5.3999999999999986</v>
      </c>
      <c r="L114" s="7">
        <f t="shared" si="39"/>
        <v>11</v>
      </c>
      <c r="M114" s="370">
        <f t="shared" si="40"/>
        <v>6.0958333333333323</v>
      </c>
      <c r="N114" s="1">
        <f t="shared" si="41"/>
        <v>0</v>
      </c>
      <c r="O114" s="7">
        <f t="shared" si="42"/>
        <v>85.333333333333329</v>
      </c>
      <c r="P114" s="7">
        <f t="shared" si="43"/>
        <v>5.2208333333333332</v>
      </c>
      <c r="Q114" s="7">
        <f t="shared" si="44"/>
        <v>9.4500000000000011</v>
      </c>
      <c r="R114" s="7">
        <f t="shared" si="45"/>
        <v>7.4541666666666657</v>
      </c>
      <c r="S114" s="7">
        <f t="shared" si="46"/>
        <v>4.229166666666667</v>
      </c>
      <c r="T114" s="1">
        <v>55</v>
      </c>
      <c r="U114" s="333">
        <f t="shared" si="47"/>
        <v>1.4285714285714286</v>
      </c>
      <c r="V114" s="4">
        <v>24</v>
      </c>
      <c r="W114" s="7">
        <f t="shared" si="48"/>
        <v>6.5520000000000005</v>
      </c>
      <c r="X114" s="7">
        <f t="shared" si="49"/>
        <v>15.015000000000001</v>
      </c>
      <c r="Y114" s="8">
        <f t="shared" si="50"/>
        <v>9</v>
      </c>
      <c r="Z114" s="7">
        <f>IF(ISBLANK(Z27),NA(),SUM($Z$4:Z27))</f>
        <v>36.200000000000003</v>
      </c>
      <c r="AA114" s="7">
        <f t="shared" si="73"/>
        <v>34.285714285714285</v>
      </c>
      <c r="AB114" s="26">
        <f>IF(ISBLANK(Z27),"",SUM($Z$4:Z27))</f>
        <v>36.200000000000003</v>
      </c>
      <c r="AC114" s="115">
        <f t="shared" si="74"/>
        <v>1.0558333333333334</v>
      </c>
      <c r="AD114" s="8">
        <f t="shared" si="51"/>
        <v>1013.1875</v>
      </c>
      <c r="AE114" s="610">
        <f t="shared" si="52"/>
        <v>0.53266588775644907</v>
      </c>
      <c r="AF114" s="141">
        <f t="shared" si="75"/>
        <v>0.34722222222222227</v>
      </c>
      <c r="AG114" s="22">
        <f>IF(ISBLANK(AP27),NA(),SUM($AP$4:AP27))</f>
        <v>33.799999999999997</v>
      </c>
      <c r="AH114" s="7">
        <f>SUM($AS$91:AS114)</f>
        <v>63.45441068577378</v>
      </c>
      <c r="AI114" s="115">
        <f t="shared" si="53"/>
        <v>0.53266588775644907</v>
      </c>
      <c r="AJ114" s="124">
        <f t="shared" si="54"/>
        <v>0</v>
      </c>
      <c r="AK114" s="8">
        <f t="shared" si="55"/>
        <v>1020.5</v>
      </c>
      <c r="AL114" s="124">
        <f t="shared" si="56"/>
        <v>0</v>
      </c>
      <c r="AM114" s="141">
        <f t="shared" si="57"/>
        <v>0.63541666666666663</v>
      </c>
      <c r="AO114" s="141">
        <f t="shared" si="58"/>
        <v>0.59027777777777779</v>
      </c>
      <c r="AR114" s="141">
        <f t="shared" si="59"/>
        <v>0.30555555555555552</v>
      </c>
      <c r="AS114" s="7">
        <f t="shared" si="60"/>
        <v>2.841275083540463</v>
      </c>
      <c r="AT114" s="7">
        <v>9.4394616866509065</v>
      </c>
      <c r="AU114" s="4">
        <v>24</v>
      </c>
      <c r="AV114" s="127">
        <f t="shared" si="61"/>
        <v>1</v>
      </c>
      <c r="AW114" s="124">
        <f t="shared" si="76"/>
        <v>0</v>
      </c>
      <c r="AX114" s="124">
        <f t="shared" si="77"/>
        <v>1</v>
      </c>
      <c r="AY114" s="124">
        <f t="shared" si="62"/>
        <v>1</v>
      </c>
      <c r="AZ114" s="125">
        <f t="shared" si="63"/>
        <v>5.0999999999999996</v>
      </c>
      <c r="BA114" s="125">
        <f t="shared" si="64"/>
        <v>3.1000000000000005</v>
      </c>
      <c r="BB114" s="125">
        <f t="shared" si="65"/>
        <v>6.7</v>
      </c>
      <c r="BC114" s="7">
        <v>3.4</v>
      </c>
      <c r="BD114" s="7">
        <v>7.24</v>
      </c>
      <c r="BE114" s="124"/>
      <c r="BF114" s="8">
        <f t="shared" si="66"/>
        <v>85</v>
      </c>
      <c r="BG114" s="21">
        <f t="shared" si="67"/>
        <v>10.6</v>
      </c>
      <c r="BH114" s="124">
        <f t="shared" si="68"/>
        <v>0</v>
      </c>
      <c r="BI114" s="124">
        <f t="shared" si="78"/>
        <v>0</v>
      </c>
      <c r="BJ114" s="144">
        <f t="shared" si="69"/>
        <v>0</v>
      </c>
      <c r="BL114" s="99"/>
    </row>
    <row r="115" spans="1:64" ht="12.75" x14ac:dyDescent="0.2">
      <c r="A115" s="8">
        <f t="shared" si="34"/>
        <v>23</v>
      </c>
      <c r="B115" s="125">
        <f t="shared" si="35"/>
        <v>2.2000000000000002</v>
      </c>
      <c r="C115" s="125">
        <f t="shared" si="36"/>
        <v>7.6</v>
      </c>
      <c r="D115" s="125">
        <f t="shared" si="70"/>
        <v>4.9000000000000004</v>
      </c>
      <c r="E115" s="125">
        <f t="shared" si="37"/>
        <v>5.3999999999999995</v>
      </c>
      <c r="F115" s="7">
        <v>2.48</v>
      </c>
      <c r="G115" s="7">
        <v>8.35</v>
      </c>
      <c r="H115" s="7">
        <f t="shared" si="71"/>
        <v>5.415</v>
      </c>
      <c r="I115" s="7">
        <f t="shared" si="72"/>
        <v>5.8699999999999992</v>
      </c>
      <c r="K115" s="7">
        <f t="shared" si="38"/>
        <v>6.1</v>
      </c>
      <c r="L115" s="7">
        <f t="shared" si="39"/>
        <v>11.149999999999999</v>
      </c>
      <c r="M115" s="370">
        <f t="shared" si="40"/>
        <v>6.0879999999999992</v>
      </c>
      <c r="N115" s="1">
        <f t="shared" si="41"/>
        <v>0</v>
      </c>
      <c r="O115" s="7">
        <f t="shared" si="42"/>
        <v>85.28</v>
      </c>
      <c r="P115" s="7">
        <f t="shared" si="43"/>
        <v>5.3360000000000003</v>
      </c>
      <c r="Q115" s="7">
        <f t="shared" si="44"/>
        <v>9.64</v>
      </c>
      <c r="R115" s="7">
        <f t="shared" si="45"/>
        <v>7.5999999999999988</v>
      </c>
      <c r="S115" s="7">
        <f t="shared" si="46"/>
        <v>4.3039999999999994</v>
      </c>
      <c r="T115" s="1">
        <v>56</v>
      </c>
      <c r="U115" s="333">
        <f t="shared" si="47"/>
        <v>1.4285714285714286</v>
      </c>
      <c r="V115" s="4">
        <v>25</v>
      </c>
      <c r="W115" s="7">
        <f t="shared" si="48"/>
        <v>6.8250000000000002</v>
      </c>
      <c r="X115" s="7">
        <f t="shared" si="49"/>
        <v>15.288</v>
      </c>
      <c r="Y115" s="8">
        <f t="shared" si="50"/>
        <v>7</v>
      </c>
      <c r="Z115" s="7">
        <f>IF(ISBLANK(Z28),NA(),SUM($Z$4:Z28))</f>
        <v>36.200000000000003</v>
      </c>
      <c r="AA115" s="7">
        <f t="shared" si="73"/>
        <v>35.714285714285715</v>
      </c>
      <c r="AB115" s="26">
        <f>IF(ISBLANK(Z28),"",SUM($Z$4:Z28))</f>
        <v>36.200000000000003</v>
      </c>
      <c r="AC115" s="115">
        <f t="shared" si="74"/>
        <v>1.0136000000000001</v>
      </c>
      <c r="AD115" s="8">
        <f t="shared" si="51"/>
        <v>1013.52</v>
      </c>
      <c r="AE115" s="610">
        <f t="shared" si="52"/>
        <v>0.53985854900077357</v>
      </c>
      <c r="AF115" s="141">
        <f t="shared" si="75"/>
        <v>0.33680555555555558</v>
      </c>
      <c r="AG115" s="22">
        <f>IF(ISBLANK(AP28),NA(),SUM($AP$4:AP28))</f>
        <v>35.799999999999997</v>
      </c>
      <c r="AH115" s="7">
        <f>SUM($AS$91:AS115)</f>
        <v>66.31366691564368</v>
      </c>
      <c r="AI115" s="115">
        <f t="shared" si="53"/>
        <v>0.53985854900077357</v>
      </c>
      <c r="AJ115" s="124">
        <f t="shared" si="54"/>
        <v>0</v>
      </c>
      <c r="AK115" s="8">
        <f t="shared" si="55"/>
        <v>1021.5</v>
      </c>
      <c r="AL115" s="124">
        <f t="shared" si="56"/>
        <v>0</v>
      </c>
      <c r="AM115" s="141">
        <f t="shared" si="57"/>
        <v>0.56597222222222221</v>
      </c>
      <c r="AO115" s="141">
        <f t="shared" si="58"/>
        <v>0.51388888888888895</v>
      </c>
      <c r="AR115" s="141">
        <f t="shared" si="59"/>
        <v>5.2083333333333336E-2</v>
      </c>
      <c r="AS115" s="7">
        <f t="shared" si="60"/>
        <v>2.8592562298699034</v>
      </c>
      <c r="AT115" s="7">
        <v>9.4991997749627632</v>
      </c>
      <c r="AU115" s="4">
        <v>25</v>
      </c>
      <c r="AV115" s="127">
        <f t="shared" si="61"/>
        <v>0</v>
      </c>
      <c r="AW115" s="124">
        <f t="shared" si="76"/>
        <v>0</v>
      </c>
      <c r="AX115" s="124">
        <f t="shared" si="77"/>
        <v>1</v>
      </c>
      <c r="AY115" s="124">
        <f t="shared" si="62"/>
        <v>1</v>
      </c>
      <c r="AZ115" s="125">
        <f t="shared" si="63"/>
        <v>5.0999999999999996</v>
      </c>
      <c r="BA115" s="125">
        <f t="shared" si="64"/>
        <v>3.1000000000000005</v>
      </c>
      <c r="BB115" s="125">
        <f t="shared" si="65"/>
        <v>6.7</v>
      </c>
      <c r="BC115" s="7">
        <v>3.4583333333333339</v>
      </c>
      <c r="BD115" s="7">
        <v>7.3716666666666679</v>
      </c>
      <c r="BF115" s="8">
        <f t="shared" si="66"/>
        <v>84</v>
      </c>
      <c r="BG115" s="21">
        <f t="shared" si="67"/>
        <v>11.1</v>
      </c>
      <c r="BH115" s="124">
        <f t="shared" si="68"/>
        <v>0</v>
      </c>
      <c r="BI115" s="124">
        <f t="shared" si="78"/>
        <v>0</v>
      </c>
      <c r="BJ115" s="144">
        <f t="shared" si="69"/>
        <v>0</v>
      </c>
      <c r="BL115" s="99"/>
    </row>
    <row r="116" spans="1:64" ht="12.75" x14ac:dyDescent="0.2">
      <c r="A116" s="8">
        <f t="shared" si="34"/>
        <v>28</v>
      </c>
      <c r="B116" s="125">
        <f t="shared" si="35"/>
        <v>2.2000000000000002</v>
      </c>
      <c r="C116" s="125">
        <f t="shared" si="36"/>
        <v>7.6</v>
      </c>
      <c r="D116" s="125">
        <f t="shared" si="70"/>
        <v>4.9000000000000004</v>
      </c>
      <c r="E116" s="125">
        <f t="shared" si="37"/>
        <v>5.3999999999999995</v>
      </c>
      <c r="F116" s="7">
        <v>2.52</v>
      </c>
      <c r="G116" s="7">
        <v>8.5</v>
      </c>
      <c r="H116" s="7">
        <f t="shared" si="71"/>
        <v>5.51</v>
      </c>
      <c r="I116" s="7">
        <f t="shared" si="72"/>
        <v>5.98</v>
      </c>
      <c r="K116" s="7">
        <f t="shared" si="38"/>
        <v>5.9</v>
      </c>
      <c r="L116" s="7">
        <f t="shared" si="39"/>
        <v>7.95</v>
      </c>
      <c r="M116" s="370">
        <f t="shared" si="40"/>
        <v>6.1230769230769226</v>
      </c>
      <c r="N116" s="1">
        <f t="shared" si="41"/>
        <v>1.7333333333333334</v>
      </c>
      <c r="O116" s="7">
        <f t="shared" si="42"/>
        <v>85.230769230769226</v>
      </c>
      <c r="P116" s="7">
        <f t="shared" si="43"/>
        <v>5.3230769230769237</v>
      </c>
      <c r="Q116" s="7">
        <f t="shared" si="44"/>
        <v>9.6884615384615405</v>
      </c>
      <c r="R116" s="7">
        <f t="shared" si="45"/>
        <v>7.6346153846153832</v>
      </c>
      <c r="S116" s="7">
        <f t="shared" si="46"/>
        <v>4.365384615384615</v>
      </c>
      <c r="T116" s="1">
        <v>57</v>
      </c>
      <c r="U116" s="333">
        <f t="shared" si="47"/>
        <v>1.4285714285714286</v>
      </c>
      <c r="V116" s="4">
        <v>26</v>
      </c>
      <c r="W116" s="7">
        <f t="shared" si="48"/>
        <v>7.0980000000000008</v>
      </c>
      <c r="X116" s="7">
        <f t="shared" si="49"/>
        <v>15.561000000000002</v>
      </c>
      <c r="Y116" s="8">
        <f t="shared" si="50"/>
        <v>7</v>
      </c>
      <c r="Z116" s="7">
        <f>IF(ISBLANK(Z29),NA(),SUM($Z$4:Z29))</f>
        <v>41.400000000000006</v>
      </c>
      <c r="AA116" s="7">
        <f t="shared" si="73"/>
        <v>37.142857142857146</v>
      </c>
      <c r="AB116" s="26">
        <f>IF(ISBLANK(Z29),"",SUM($Z$4:Z29))</f>
        <v>41.400000000000006</v>
      </c>
      <c r="AC116" s="115">
        <f t="shared" si="74"/>
        <v>1.1146153846153848</v>
      </c>
      <c r="AD116" s="8">
        <f t="shared" si="51"/>
        <v>1013.5192307692307</v>
      </c>
      <c r="AE116" s="610">
        <f t="shared" si="52"/>
        <v>0.52174435430502386</v>
      </c>
      <c r="AF116" s="141">
        <f t="shared" si="75"/>
        <v>0.3125</v>
      </c>
      <c r="AG116" s="22">
        <f>IF(ISBLANK(AP29),NA(),SUM($AP$4:AP29))</f>
        <v>36.099999999999994</v>
      </c>
      <c r="AH116" s="7">
        <f>SUM($AS$91:AS116)</f>
        <v>69.190973897716759</v>
      </c>
      <c r="AI116" s="115">
        <f t="shared" si="53"/>
        <v>0.52174435430502386</v>
      </c>
      <c r="AJ116" s="124">
        <f t="shared" si="54"/>
        <v>1</v>
      </c>
      <c r="AK116" s="8">
        <f t="shared" si="55"/>
        <v>1013.5</v>
      </c>
      <c r="AL116" s="124">
        <f t="shared" si="56"/>
        <v>1</v>
      </c>
      <c r="AM116" s="141" t="e">
        <f t="shared" si="57"/>
        <v>#N/A</v>
      </c>
      <c r="AO116" s="141">
        <f t="shared" si="58"/>
        <v>0.61458333333333337</v>
      </c>
      <c r="AR116" s="141">
        <f t="shared" si="59"/>
        <v>0.22916666666666666</v>
      </c>
      <c r="AS116" s="7">
        <f t="shared" si="60"/>
        <v>2.8773069820730748</v>
      </c>
      <c r="AT116" s="7">
        <v>9.5591691122592941</v>
      </c>
      <c r="AU116" s="4">
        <v>26</v>
      </c>
      <c r="AV116" s="127">
        <f t="shared" si="61"/>
        <v>0</v>
      </c>
      <c r="AW116" s="124">
        <f t="shared" si="76"/>
        <v>0</v>
      </c>
      <c r="AX116" s="124">
        <f t="shared" si="77"/>
        <v>1</v>
      </c>
      <c r="AY116" s="124">
        <f t="shared" si="62"/>
        <v>0</v>
      </c>
      <c r="AZ116" s="125">
        <f t="shared" si="63"/>
        <v>5.0999999999999996</v>
      </c>
      <c r="BA116" s="125">
        <f t="shared" si="64"/>
        <v>3.1000000000000005</v>
      </c>
      <c r="BB116" s="125">
        <f t="shared" si="65"/>
        <v>6.7</v>
      </c>
      <c r="BC116" s="7">
        <v>3.5166666666666666</v>
      </c>
      <c r="BD116" s="7">
        <v>7.5033333333333347</v>
      </c>
      <c r="BF116" s="8">
        <f t="shared" si="66"/>
        <v>84</v>
      </c>
      <c r="BG116" s="21">
        <f t="shared" si="67"/>
        <v>8.5</v>
      </c>
      <c r="BH116" s="124">
        <f t="shared" si="68"/>
        <v>0</v>
      </c>
      <c r="BI116" s="124">
        <f t="shared" si="78"/>
        <v>1</v>
      </c>
      <c r="BJ116" s="144">
        <f t="shared" si="69"/>
        <v>1.7333333333333334</v>
      </c>
      <c r="BL116" s="99"/>
    </row>
    <row r="117" spans="1:64" ht="12.75" x14ac:dyDescent="0.2">
      <c r="A117" s="8">
        <f t="shared" si="34"/>
        <v>33</v>
      </c>
      <c r="B117" s="125">
        <f t="shared" si="35"/>
        <v>2.2000000000000002</v>
      </c>
      <c r="C117" s="125">
        <f t="shared" si="36"/>
        <v>7.6</v>
      </c>
      <c r="D117" s="125">
        <f t="shared" si="70"/>
        <v>4.9000000000000004</v>
      </c>
      <c r="E117" s="125">
        <f t="shared" si="37"/>
        <v>5.3999999999999995</v>
      </c>
      <c r="F117" s="7">
        <v>2.56</v>
      </c>
      <c r="G117" s="7">
        <v>8.65</v>
      </c>
      <c r="H117" s="7">
        <f t="shared" si="71"/>
        <v>5.6050000000000004</v>
      </c>
      <c r="I117" s="7">
        <f t="shared" si="72"/>
        <v>6.09</v>
      </c>
      <c r="K117" s="7">
        <f t="shared" si="38"/>
        <v>5.3</v>
      </c>
      <c r="L117" s="7">
        <f t="shared" si="39"/>
        <v>6.4499999999999993</v>
      </c>
      <c r="M117" s="370">
        <f t="shared" si="40"/>
        <v>6.0666666666666664</v>
      </c>
      <c r="N117" s="1">
        <f t="shared" si="41"/>
        <v>0.83333333333333337</v>
      </c>
      <c r="O117" s="7">
        <f t="shared" si="42"/>
        <v>85.074074074074076</v>
      </c>
      <c r="P117" s="7">
        <f t="shared" si="43"/>
        <v>5.2666666666666675</v>
      </c>
      <c r="Q117" s="7">
        <f t="shared" si="44"/>
        <v>9.6666666666666696</v>
      </c>
      <c r="R117" s="7">
        <f t="shared" si="45"/>
        <v>7.5444444444444434</v>
      </c>
      <c r="S117" s="7">
        <f t="shared" si="46"/>
        <v>4.3999999999999995</v>
      </c>
      <c r="T117" s="1">
        <v>58</v>
      </c>
      <c r="U117" s="333">
        <f t="shared" si="47"/>
        <v>1.4285714285714286</v>
      </c>
      <c r="V117" s="4">
        <v>27</v>
      </c>
      <c r="W117" s="7">
        <f t="shared" si="48"/>
        <v>7.3710000000000004</v>
      </c>
      <c r="X117" s="7">
        <f t="shared" si="49"/>
        <v>15.834000000000001</v>
      </c>
      <c r="Y117" s="8">
        <f t="shared" si="50"/>
        <v>7</v>
      </c>
      <c r="Z117" s="7">
        <f>IF(ISBLANK(Z30),NA(),SUM($Z$4:Z30))</f>
        <v>43.900000000000006</v>
      </c>
      <c r="AA117" s="7">
        <f t="shared" si="73"/>
        <v>38.571428571428569</v>
      </c>
      <c r="AB117" s="26">
        <f>IF(ISBLANK(Z30),"",SUM($Z$4:Z30))</f>
        <v>43.900000000000006</v>
      </c>
      <c r="AC117" s="115">
        <f t="shared" si="74"/>
        <v>1.1381481481481484</v>
      </c>
      <c r="AD117" s="8">
        <f t="shared" si="51"/>
        <v>1013.8148148148148</v>
      </c>
      <c r="AE117" s="610">
        <f t="shared" si="52"/>
        <v>0.55627693139402512</v>
      </c>
      <c r="AF117" s="141" t="e">
        <f t="shared" si="75"/>
        <v>#N/A</v>
      </c>
      <c r="AG117" s="22">
        <f>IF(ISBLANK(AP30),NA(),SUM($AP$4:AP30))</f>
        <v>40.099999999999994</v>
      </c>
      <c r="AH117" s="7">
        <f>SUM($AS$91:AS117)</f>
        <v>72.086397506202076</v>
      </c>
      <c r="AI117" s="115">
        <f t="shared" si="53"/>
        <v>0.55627693139402512</v>
      </c>
      <c r="AJ117" s="124">
        <f t="shared" si="54"/>
        <v>1</v>
      </c>
      <c r="AK117" s="8">
        <f t="shared" si="55"/>
        <v>1021.5</v>
      </c>
      <c r="AL117" s="124">
        <f t="shared" si="56"/>
        <v>1</v>
      </c>
      <c r="AM117" s="141">
        <f t="shared" si="57"/>
        <v>0.53125</v>
      </c>
      <c r="AO117" s="141">
        <f t="shared" si="58"/>
        <v>0.52777777777777779</v>
      </c>
      <c r="AR117" s="141">
        <f t="shared" si="59"/>
        <v>0.29166666666666669</v>
      </c>
      <c r="AS117" s="7">
        <f t="shared" si="60"/>
        <v>2.8954236084853204</v>
      </c>
      <c r="AT117" s="7">
        <v>9.6193573009709148</v>
      </c>
      <c r="AU117" s="4">
        <v>27</v>
      </c>
      <c r="AV117" s="127">
        <f t="shared" si="61"/>
        <v>1</v>
      </c>
      <c r="AW117" s="124">
        <f t="shared" si="76"/>
        <v>0</v>
      </c>
      <c r="AX117" s="124">
        <f t="shared" si="77"/>
        <v>0</v>
      </c>
      <c r="AY117" s="124">
        <f t="shared" si="62"/>
        <v>1</v>
      </c>
      <c r="AZ117" s="125">
        <f t="shared" si="63"/>
        <v>5.0999999999999996</v>
      </c>
      <c r="BA117" s="125">
        <f t="shared" si="64"/>
        <v>3.1000000000000005</v>
      </c>
      <c r="BB117" s="125">
        <f t="shared" si="65"/>
        <v>6.7</v>
      </c>
      <c r="BC117" s="7">
        <v>3.5750000000000002</v>
      </c>
      <c r="BD117" s="7">
        <v>7.6349999999999998</v>
      </c>
      <c r="BF117" s="8">
        <f t="shared" si="66"/>
        <v>81</v>
      </c>
      <c r="BG117" s="21">
        <f t="shared" si="67"/>
        <v>5.2</v>
      </c>
      <c r="BH117" s="124">
        <f t="shared" si="68"/>
        <v>0</v>
      </c>
      <c r="BI117" s="124">
        <f t="shared" si="78"/>
        <v>1</v>
      </c>
      <c r="BJ117" s="144">
        <f t="shared" si="69"/>
        <v>0.83333333333333337</v>
      </c>
      <c r="BL117" s="99"/>
    </row>
    <row r="118" spans="1:64" ht="12.75" x14ac:dyDescent="0.2">
      <c r="A118" s="8">
        <f t="shared" si="34"/>
        <v>6</v>
      </c>
      <c r="B118" s="125">
        <f t="shared" si="35"/>
        <v>2.2000000000000002</v>
      </c>
      <c r="C118" s="125">
        <f t="shared" si="36"/>
        <v>7.6</v>
      </c>
      <c r="D118" s="125">
        <f t="shared" si="70"/>
        <v>4.9000000000000004</v>
      </c>
      <c r="E118" s="125">
        <f t="shared" si="37"/>
        <v>5.3999999999999995</v>
      </c>
      <c r="F118" s="7">
        <v>2.6</v>
      </c>
      <c r="G118" s="7">
        <v>8.8000000000000007</v>
      </c>
      <c r="H118" s="7">
        <f t="shared" si="71"/>
        <v>5.7</v>
      </c>
      <c r="I118" s="7">
        <f t="shared" si="72"/>
        <v>6.2000000000000011</v>
      </c>
      <c r="K118" s="7">
        <f t="shared" si="38"/>
        <v>1.7000000000000002</v>
      </c>
      <c r="L118" s="7">
        <f t="shared" si="39"/>
        <v>3.85</v>
      </c>
      <c r="M118" s="370">
        <f t="shared" si="40"/>
        <v>6.0535714285714279</v>
      </c>
      <c r="N118" s="1">
        <f t="shared" si="41"/>
        <v>9.9999999999999992E-2</v>
      </c>
      <c r="O118" s="7">
        <f t="shared" si="42"/>
        <v>85.142857142857139</v>
      </c>
      <c r="P118" s="7">
        <f t="shared" si="43"/>
        <v>5.1857142857142859</v>
      </c>
      <c r="Q118" s="7">
        <f t="shared" si="44"/>
        <v>9.4892857142857157</v>
      </c>
      <c r="R118" s="7">
        <f t="shared" si="45"/>
        <v>7.3999999999999986</v>
      </c>
      <c r="S118" s="7">
        <f t="shared" si="46"/>
        <v>4.3035714285714288</v>
      </c>
      <c r="T118" s="1">
        <v>59</v>
      </c>
      <c r="U118" s="333">
        <f t="shared" si="47"/>
        <v>1.4285714285714286</v>
      </c>
      <c r="V118" s="4">
        <v>28</v>
      </c>
      <c r="W118" s="7">
        <f t="shared" si="48"/>
        <v>7.6440000000000001</v>
      </c>
      <c r="X118" s="7">
        <f t="shared" si="49"/>
        <v>16.107000000000003</v>
      </c>
      <c r="Y118" s="8">
        <f t="shared" si="50"/>
        <v>10</v>
      </c>
      <c r="Z118" s="7">
        <f>IF(ISBLANK(Z31),NA(),SUM($Z$4:Z31))</f>
        <v>44.2</v>
      </c>
      <c r="AA118" s="7">
        <f t="shared" si="73"/>
        <v>40</v>
      </c>
      <c r="AB118" s="26">
        <f>IF(ISBLANK(Z31),"",SUM($Z$4:Z31))</f>
        <v>44.2</v>
      </c>
      <c r="AC118" s="115">
        <f t="shared" si="74"/>
        <v>1.105</v>
      </c>
      <c r="AD118" s="8">
        <f t="shared" si="51"/>
        <v>1014.3928571428571</v>
      </c>
      <c r="AE118" s="610">
        <f t="shared" si="52"/>
        <v>0.53466666666666662</v>
      </c>
      <c r="AF118" s="141">
        <f t="shared" si="75"/>
        <v>0.34722222222222227</v>
      </c>
      <c r="AG118" s="22">
        <f>IF(ISBLANK(AP31),NA(),SUM($AP$4:AP31))</f>
        <v>40.099999999999994</v>
      </c>
      <c r="AH118" s="7">
        <f>SUM($AS$91:AS118)</f>
        <v>75</v>
      </c>
      <c r="AI118" s="115">
        <f t="shared" si="53"/>
        <v>0.53466666666666662</v>
      </c>
      <c r="AJ118" s="124">
        <f t="shared" si="54"/>
        <v>1</v>
      </c>
      <c r="AK118" s="8">
        <f t="shared" si="55"/>
        <v>1030</v>
      </c>
      <c r="AL118" s="124">
        <f t="shared" si="56"/>
        <v>0</v>
      </c>
      <c r="AM118" s="141">
        <f t="shared" si="57"/>
        <v>0.63541666666666663</v>
      </c>
      <c r="AO118" s="141">
        <f t="shared" si="58"/>
        <v>0.54513888888888895</v>
      </c>
      <c r="AR118" s="141">
        <f t="shared" si="59"/>
        <v>0.35416666666666669</v>
      </c>
      <c r="AS118" s="7">
        <f t="shared" si="60"/>
        <v>2.9136024937979177</v>
      </c>
      <c r="AT118" s="7">
        <v>9.6797523300930006</v>
      </c>
      <c r="AU118" s="4">
        <v>28</v>
      </c>
      <c r="AV118" s="127">
        <f t="shared" si="61"/>
        <v>0</v>
      </c>
      <c r="AW118" s="124">
        <f t="shared" si="76"/>
        <v>0</v>
      </c>
      <c r="AX118" s="124">
        <f t="shared" si="77"/>
        <v>0</v>
      </c>
      <c r="AY118" s="124">
        <f t="shared" si="62"/>
        <v>1</v>
      </c>
      <c r="AZ118" s="125">
        <f t="shared" si="63"/>
        <v>5.0999999999999996</v>
      </c>
      <c r="BA118" s="125">
        <f t="shared" si="64"/>
        <v>3.1000000000000005</v>
      </c>
      <c r="BB118" s="125">
        <f t="shared" si="65"/>
        <v>6.7</v>
      </c>
      <c r="BC118" s="7">
        <v>3.6333333333333342</v>
      </c>
      <c r="BD118" s="7">
        <v>7.7666666666666675</v>
      </c>
      <c r="BF118" s="8">
        <f t="shared" si="66"/>
        <v>87</v>
      </c>
      <c r="BG118" s="21">
        <f t="shared" si="67"/>
        <v>3.5</v>
      </c>
      <c r="BH118" s="124">
        <f t="shared" si="68"/>
        <v>0</v>
      </c>
      <c r="BI118" s="124">
        <f t="shared" si="78"/>
        <v>1</v>
      </c>
      <c r="BJ118" s="144">
        <f t="shared" si="69"/>
        <v>9.9999999999999992E-2</v>
      </c>
      <c r="BL118" s="99"/>
    </row>
    <row r="119" spans="1:64" ht="12.75" x14ac:dyDescent="0.2">
      <c r="A119" s="8" t="e">
        <f t="shared" si="34"/>
        <v>#N/A</v>
      </c>
      <c r="B119" s="125">
        <f t="shared" si="35"/>
        <v>2.2000000000000002</v>
      </c>
      <c r="C119" s="125">
        <f t="shared" si="36"/>
        <v>7.6</v>
      </c>
      <c r="D119" s="125">
        <f t="shared" si="70"/>
        <v>4.9000000000000004</v>
      </c>
      <c r="E119" s="125">
        <f t="shared" si="37"/>
        <v>5.3999999999999995</v>
      </c>
      <c r="F119" s="7"/>
      <c r="G119" s="7"/>
      <c r="H119" s="7"/>
      <c r="I119" s="7"/>
      <c r="K119" s="7" t="e">
        <f t="shared" si="38"/>
        <v>#N/A</v>
      </c>
      <c r="L119" s="7" t="e">
        <f t="shared" si="39"/>
        <v>#N/A</v>
      </c>
      <c r="M119" s="370" t="e">
        <f t="shared" si="40"/>
        <v>#N/A</v>
      </c>
      <c r="N119" s="1" t="e">
        <f t="shared" si="41"/>
        <v>#N/A</v>
      </c>
      <c r="O119" s="7" t="e">
        <f t="shared" si="42"/>
        <v>#N/A</v>
      </c>
      <c r="P119" s="7" t="e">
        <f t="shared" si="43"/>
        <v>#N/A</v>
      </c>
      <c r="Q119" s="7" t="e">
        <f t="shared" si="44"/>
        <v>#N/A</v>
      </c>
      <c r="R119" s="7" t="e">
        <f t="shared" si="45"/>
        <v>#N/A</v>
      </c>
      <c r="S119" s="7" t="e">
        <f t="shared" si="46"/>
        <v>#N/A</v>
      </c>
      <c r="T119" s="1">
        <v>60</v>
      </c>
      <c r="U119" s="333">
        <f t="shared" si="47"/>
        <v>1.4285714285714286</v>
      </c>
      <c r="V119" s="4">
        <v>29</v>
      </c>
      <c r="W119" s="7">
        <f t="shared" si="48"/>
        <v>7.9170000000000007</v>
      </c>
      <c r="X119" s="7">
        <f t="shared" si="49"/>
        <v>16.380000000000003</v>
      </c>
      <c r="Y119" s="8" t="e">
        <f t="shared" si="50"/>
        <v>#N/A</v>
      </c>
      <c r="Z119" s="7" t="e">
        <f>IF(ISBLANK(Z32),NA(),SUM($Z$4:Z32))</f>
        <v>#N/A</v>
      </c>
      <c r="AA119" s="7">
        <f t="shared" si="73"/>
        <v>40</v>
      </c>
      <c r="AB119" s="26" t="str">
        <f>IF(ISBLANK(Z32),"",SUM($Z$4:Z32))</f>
        <v/>
      </c>
      <c r="AC119" s="115" t="e">
        <f t="shared" si="74"/>
        <v>#N/A</v>
      </c>
      <c r="AD119" s="8" t="e">
        <f t="shared" si="51"/>
        <v>#N/A</v>
      </c>
      <c r="AE119" s="610" t="str">
        <f t="shared" si="52"/>
        <v/>
      </c>
      <c r="AF119" s="141" t="e">
        <f t="shared" si="75"/>
        <v>#N/A</v>
      </c>
      <c r="AG119" s="22" t="e">
        <f>IF(ISBLANK(AP32),NA(),SUM($AP$4:AP32))</f>
        <v>#N/A</v>
      </c>
      <c r="AH119" s="7">
        <f>SUM($AS$91:AS119)</f>
        <v>75</v>
      </c>
      <c r="AI119" s="115" t="e">
        <f t="shared" si="53"/>
        <v>#N/A</v>
      </c>
      <c r="AJ119" s="124" t="str">
        <f t="shared" si="54"/>
        <v/>
      </c>
      <c r="AK119" s="8" t="e">
        <f t="shared" si="55"/>
        <v>#N/A</v>
      </c>
      <c r="AL119" s="124" t="str">
        <f t="shared" si="56"/>
        <v/>
      </c>
      <c r="AM119" s="141" t="e">
        <f t="shared" si="57"/>
        <v>#N/A</v>
      </c>
      <c r="AO119" s="141" t="e">
        <f t="shared" si="58"/>
        <v>#N/A</v>
      </c>
      <c r="AR119" s="141" t="e">
        <f t="shared" si="59"/>
        <v>#N/A</v>
      </c>
      <c r="AS119" s="7">
        <f t="shared" si="60"/>
        <v>0</v>
      </c>
      <c r="AT119" s="7"/>
      <c r="AU119" s="4">
        <v>29</v>
      </c>
      <c r="AV119" s="127" t="str">
        <f t="shared" si="61"/>
        <v/>
      </c>
      <c r="AW119" s="124" t="str">
        <f t="shared" si="76"/>
        <v/>
      </c>
      <c r="AX119" s="124" t="str">
        <f t="shared" si="77"/>
        <v/>
      </c>
      <c r="AY119" s="124" t="str">
        <f t="shared" si="62"/>
        <v/>
      </c>
      <c r="AZ119" s="125">
        <f t="shared" si="63"/>
        <v>5.0999999999999996</v>
      </c>
      <c r="BA119" s="125">
        <f t="shared" si="64"/>
        <v>3.1000000000000005</v>
      </c>
      <c r="BB119" s="125">
        <f t="shared" si="65"/>
        <v>6.7</v>
      </c>
      <c r="BF119" s="8" t="e">
        <f t="shared" si="66"/>
        <v>#N/A</v>
      </c>
      <c r="BG119" s="21" t="e">
        <f t="shared" si="67"/>
        <v>#N/A</v>
      </c>
      <c r="BH119" s="124" t="str">
        <f t="shared" si="68"/>
        <v/>
      </c>
      <c r="BI119" s="124" t="str">
        <f t="shared" si="78"/>
        <v/>
      </c>
      <c r="BJ119" s="144" t="str">
        <f t="shared" si="69"/>
        <v/>
      </c>
      <c r="BL119" s="99"/>
    </row>
    <row r="120" spans="1:64" ht="12.75" x14ac:dyDescent="0.2">
      <c r="A120" s="8" t="e">
        <f t="shared" si="34"/>
        <v>#N/A</v>
      </c>
      <c r="B120" s="125">
        <f t="shared" si="35"/>
        <v>2.2000000000000002</v>
      </c>
      <c r="C120" s="125">
        <f t="shared" si="36"/>
        <v>7.6</v>
      </c>
      <c r="D120" s="125">
        <f t="shared" si="70"/>
        <v>4.9000000000000004</v>
      </c>
      <c r="E120" s="125">
        <f t="shared" si="37"/>
        <v>5.3999999999999995</v>
      </c>
      <c r="F120" s="7"/>
      <c r="G120" s="7"/>
      <c r="H120" s="7"/>
      <c r="I120" s="7"/>
      <c r="K120" s="7" t="e">
        <f t="shared" si="38"/>
        <v>#N/A</v>
      </c>
      <c r="L120" s="7" t="e">
        <f t="shared" si="39"/>
        <v>#N/A</v>
      </c>
      <c r="M120" s="370" t="e">
        <f t="shared" si="40"/>
        <v>#N/A</v>
      </c>
      <c r="N120" s="1" t="e">
        <f t="shared" si="41"/>
        <v>#N/A</v>
      </c>
      <c r="O120" s="7" t="e">
        <f t="shared" si="42"/>
        <v>#N/A</v>
      </c>
      <c r="P120" s="7" t="e">
        <f t="shared" si="43"/>
        <v>#N/A</v>
      </c>
      <c r="Q120" s="7" t="e">
        <f t="shared" si="44"/>
        <v>#N/A</v>
      </c>
      <c r="R120" s="7" t="e">
        <f t="shared" si="45"/>
        <v>#N/A</v>
      </c>
      <c r="S120" s="7" t="e">
        <f t="shared" si="46"/>
        <v>#N/A</v>
      </c>
      <c r="T120" s="1">
        <v>61</v>
      </c>
      <c r="U120" s="333">
        <f t="shared" si="47"/>
        <v>1.4285714285714286</v>
      </c>
      <c r="V120" s="4">
        <v>30</v>
      </c>
      <c r="W120" s="7">
        <f t="shared" si="48"/>
        <v>8.1900000000000013</v>
      </c>
      <c r="X120" s="7">
        <f t="shared" si="49"/>
        <v>16.653000000000002</v>
      </c>
      <c r="Y120" s="8" t="e">
        <f t="shared" si="50"/>
        <v>#N/A</v>
      </c>
      <c r="Z120" s="7" t="e">
        <f>IF(ISBLANK(Z33),NA(),SUM($Z$4:Z33))</f>
        <v>#N/A</v>
      </c>
      <c r="AA120" s="7">
        <f t="shared" si="73"/>
        <v>40</v>
      </c>
      <c r="AB120" s="26" t="str">
        <f>IF(ISBLANK(Z33),"",SUM($Z$4:Z33))</f>
        <v/>
      </c>
      <c r="AC120" s="115" t="e">
        <f t="shared" si="74"/>
        <v>#N/A</v>
      </c>
      <c r="AD120" s="8" t="e">
        <f t="shared" si="51"/>
        <v>#N/A</v>
      </c>
      <c r="AE120" s="610" t="str">
        <f t="shared" si="52"/>
        <v/>
      </c>
      <c r="AF120" s="141" t="e">
        <f t="shared" si="75"/>
        <v>#N/A</v>
      </c>
      <c r="AG120" s="22" t="e">
        <f>IF(ISBLANK(AP33),NA(),SUM($AP$4:AP33))</f>
        <v>#N/A</v>
      </c>
      <c r="AH120" s="7">
        <f>SUM($AS$91:AS120)</f>
        <v>75</v>
      </c>
      <c r="AI120" s="115" t="e">
        <f t="shared" si="53"/>
        <v>#N/A</v>
      </c>
      <c r="AJ120" s="124" t="str">
        <f t="shared" si="54"/>
        <v/>
      </c>
      <c r="AK120" s="8" t="e">
        <f t="shared" si="55"/>
        <v>#N/A</v>
      </c>
      <c r="AL120" s="124" t="str">
        <f t="shared" si="56"/>
        <v/>
      </c>
      <c r="AM120" s="141" t="e">
        <f t="shared" si="57"/>
        <v>#N/A</v>
      </c>
      <c r="AO120" s="141" t="e">
        <f t="shared" si="58"/>
        <v>#N/A</v>
      </c>
      <c r="AR120" s="141" t="e">
        <f t="shared" si="59"/>
        <v>#N/A</v>
      </c>
      <c r="AS120" s="7">
        <f t="shared" si="60"/>
        <v>0</v>
      </c>
      <c r="AT120" s="7"/>
      <c r="AU120" s="4">
        <v>30</v>
      </c>
      <c r="AV120" s="127" t="str">
        <f t="shared" si="61"/>
        <v/>
      </c>
      <c r="AW120" s="124" t="str">
        <f t="shared" si="76"/>
        <v/>
      </c>
      <c r="AX120" s="124" t="str">
        <f t="shared" si="77"/>
        <v/>
      </c>
      <c r="AY120" s="124" t="str">
        <f t="shared" si="62"/>
        <v/>
      </c>
      <c r="AZ120" s="125">
        <f t="shared" si="63"/>
        <v>5.0999999999999996</v>
      </c>
      <c r="BA120" s="125">
        <f t="shared" si="64"/>
        <v>3.1000000000000005</v>
      </c>
      <c r="BB120" s="125">
        <f t="shared" si="65"/>
        <v>6.7</v>
      </c>
      <c r="BF120" s="8" t="e">
        <f t="shared" si="66"/>
        <v>#N/A</v>
      </c>
      <c r="BG120" s="21" t="e">
        <f t="shared" si="67"/>
        <v>#N/A</v>
      </c>
      <c r="BH120" s="124" t="str">
        <f t="shared" si="68"/>
        <v/>
      </c>
      <c r="BI120" s="124" t="str">
        <f t="shared" si="78"/>
        <v/>
      </c>
      <c r="BJ120" s="144" t="str">
        <f t="shared" si="69"/>
        <v/>
      </c>
      <c r="BL120" s="99"/>
    </row>
    <row r="121" spans="1:64" ht="12.75" customHeight="1" x14ac:dyDescent="0.2">
      <c r="A121" s="8" t="e">
        <f t="shared" si="34"/>
        <v>#N/A</v>
      </c>
      <c r="B121" s="125">
        <f t="shared" si="35"/>
        <v>2.2000000000000002</v>
      </c>
      <c r="C121" s="125">
        <f t="shared" si="36"/>
        <v>7.6</v>
      </c>
      <c r="D121" s="125">
        <f t="shared" si="70"/>
        <v>4.9000000000000004</v>
      </c>
      <c r="E121" s="125">
        <f t="shared" si="37"/>
        <v>5.3999999999999995</v>
      </c>
      <c r="F121" s="7"/>
      <c r="G121" s="7"/>
      <c r="H121" s="7"/>
      <c r="I121" s="7"/>
      <c r="K121" s="7" t="e">
        <f t="shared" si="38"/>
        <v>#N/A</v>
      </c>
      <c r="L121" s="7" t="e">
        <f t="shared" si="39"/>
        <v>#N/A</v>
      </c>
      <c r="M121" s="370" t="e">
        <f t="shared" si="40"/>
        <v>#N/A</v>
      </c>
      <c r="N121" s="1" t="e">
        <f t="shared" si="41"/>
        <v>#N/A</v>
      </c>
      <c r="O121" s="7" t="e">
        <f t="shared" si="42"/>
        <v>#N/A</v>
      </c>
      <c r="P121" s="7" t="e">
        <f t="shared" si="43"/>
        <v>#N/A</v>
      </c>
      <c r="Q121" s="7" t="e">
        <f t="shared" si="44"/>
        <v>#N/A</v>
      </c>
      <c r="R121" s="7" t="e">
        <f t="shared" si="45"/>
        <v>#N/A</v>
      </c>
      <c r="S121" s="7" t="e">
        <f t="shared" si="46"/>
        <v>#N/A</v>
      </c>
      <c r="T121" s="1">
        <v>62</v>
      </c>
      <c r="U121" s="333">
        <f t="shared" si="47"/>
        <v>1.4285714285714286</v>
      </c>
      <c r="V121" s="4">
        <v>31</v>
      </c>
      <c r="W121" s="7">
        <f t="shared" si="48"/>
        <v>8.463000000000001</v>
      </c>
      <c r="X121" s="7">
        <f t="shared" si="49"/>
        <v>16.926000000000002</v>
      </c>
      <c r="Y121" s="8" t="e">
        <f t="shared" si="50"/>
        <v>#N/A</v>
      </c>
      <c r="Z121" s="7" t="e">
        <f>IF(ISBLANK(Z34),NA(),SUM($Z$4:Z34))</f>
        <v>#N/A</v>
      </c>
      <c r="AA121" s="7">
        <f t="shared" si="73"/>
        <v>40</v>
      </c>
      <c r="AB121" s="26">
        <f>IF(ISBLANK(Z6),"",SUM($Z$4:Z34))</f>
        <v>44.2</v>
      </c>
      <c r="AC121" s="115" t="e">
        <f t="shared" si="74"/>
        <v>#N/A</v>
      </c>
      <c r="AD121" s="8" t="e">
        <f t="shared" si="51"/>
        <v>#N/A</v>
      </c>
      <c r="AE121" s="610" t="str">
        <f t="shared" si="52"/>
        <v/>
      </c>
      <c r="AF121" s="141" t="e">
        <f t="shared" si="75"/>
        <v>#N/A</v>
      </c>
      <c r="AG121" s="22" t="e">
        <f>IF(ISBLANK(AP34),NA(),SUM($AP$4:AP34))</f>
        <v>#N/A</v>
      </c>
      <c r="AH121" s="7">
        <f>SUM($AS$91:AS121)</f>
        <v>75</v>
      </c>
      <c r="AI121" s="115" t="e">
        <f t="shared" si="53"/>
        <v>#N/A</v>
      </c>
      <c r="AJ121" s="124" t="str">
        <f t="shared" si="54"/>
        <v/>
      </c>
      <c r="AK121" s="8" t="e">
        <f t="shared" si="55"/>
        <v>#N/A</v>
      </c>
      <c r="AL121" s="124" t="str">
        <f t="shared" si="56"/>
        <v/>
      </c>
      <c r="AM121" s="141" t="e">
        <f t="shared" si="57"/>
        <v>#N/A</v>
      </c>
      <c r="AO121" s="141" t="e">
        <f t="shared" si="58"/>
        <v>#N/A</v>
      </c>
      <c r="AR121" s="141" t="e">
        <f t="shared" si="59"/>
        <v>#N/A</v>
      </c>
      <c r="AS121" s="7">
        <f t="shared" si="60"/>
        <v>0</v>
      </c>
      <c r="AT121" s="7"/>
      <c r="AU121" s="4">
        <v>31</v>
      </c>
      <c r="AV121" s="127" t="str">
        <f t="shared" si="61"/>
        <v/>
      </c>
      <c r="AW121" s="124" t="str">
        <f t="shared" si="76"/>
        <v/>
      </c>
      <c r="AX121" s="124" t="str">
        <f t="shared" si="77"/>
        <v/>
      </c>
      <c r="AY121" s="124" t="str">
        <f t="shared" si="62"/>
        <v/>
      </c>
      <c r="AZ121" s="125">
        <f t="shared" si="63"/>
        <v>5.0999999999999996</v>
      </c>
      <c r="BA121" s="125">
        <f t="shared" si="64"/>
        <v>3.1000000000000005</v>
      </c>
      <c r="BB121" s="125">
        <f t="shared" si="65"/>
        <v>6.7</v>
      </c>
      <c r="BF121" s="8" t="e">
        <f t="shared" si="66"/>
        <v>#N/A</v>
      </c>
      <c r="BG121" s="21" t="e">
        <f t="shared" si="67"/>
        <v>#N/A</v>
      </c>
      <c r="BH121" s="124" t="str">
        <f t="shared" si="68"/>
        <v/>
      </c>
      <c r="BI121" s="124" t="str">
        <f t="shared" si="78"/>
        <v/>
      </c>
      <c r="BJ121" s="144" t="str">
        <f t="shared" si="69"/>
        <v/>
      </c>
      <c r="BL121" s="99"/>
    </row>
    <row r="122" spans="1:64" ht="6" customHeight="1" x14ac:dyDescent="0.2">
      <c r="C122" s="1"/>
      <c r="D122" s="125"/>
      <c r="E122" s="125"/>
      <c r="F122" s="125"/>
      <c r="G122" s="125"/>
      <c r="H122" s="21"/>
      <c r="I122" s="7"/>
      <c r="K122" s="7"/>
      <c r="M122" s="8"/>
      <c r="N122" s="8"/>
      <c r="P122" s="125"/>
      <c r="R122" s="8"/>
      <c r="S122" s="8"/>
      <c r="U122" s="333"/>
      <c r="V122" s="4"/>
      <c r="W122" s="7"/>
      <c r="Z122" s="7"/>
      <c r="AA122" s="7"/>
      <c r="AB122" s="127"/>
      <c r="AC122" s="7"/>
      <c r="AD122" s="115"/>
      <c r="AE122" s="115"/>
      <c r="AG122" s="22"/>
      <c r="AH122" s="8"/>
      <c r="AI122" s="115"/>
      <c r="AJ122" s="124"/>
      <c r="AK122" s="67"/>
      <c r="AL122" s="124"/>
      <c r="AQ122" s="7"/>
      <c r="AS122" s="7"/>
      <c r="AT122" s="7"/>
      <c r="AU122" s="8"/>
      <c r="AV122" s="127"/>
      <c r="AW122" s="124"/>
      <c r="AX122" s="124"/>
      <c r="AY122" s="124"/>
      <c r="AZ122" s="127"/>
      <c r="BA122" s="125"/>
      <c r="BG122" s="127"/>
      <c r="BH122" s="124"/>
      <c r="BI122" s="124"/>
      <c r="BJ122" s="144"/>
      <c r="BL122" s="99"/>
    </row>
    <row r="123" spans="1:64" ht="12.75" x14ac:dyDescent="0.2">
      <c r="C123" s="1"/>
      <c r="R123" s="8"/>
      <c r="S123" s="8"/>
      <c r="V123" s="11" t="s">
        <v>4</v>
      </c>
      <c r="W123" s="7">
        <f>IF(Z38&lt;1,"",AVERAGE(AB4:AB33))</f>
        <v>0.46250000000000002</v>
      </c>
      <c r="X123" s="7">
        <f>MAX(AB4:AB34)</f>
        <v>0.8</v>
      </c>
      <c r="AH123" s="115">
        <f>MIN(AE95:AE121)</f>
        <v>0.40513781106633517</v>
      </c>
      <c r="AI123" s="115">
        <f>MAX(AE95:AE121)</f>
        <v>0.75415631786560888</v>
      </c>
      <c r="AJ123" s="117"/>
      <c r="AK123" s="240"/>
      <c r="AL123" s="117"/>
      <c r="AS123" s="7">
        <f>SUM(AS91:AS121)</f>
        <v>75</v>
      </c>
      <c r="AT123" s="7">
        <f>SUM(AT91:AT121)</f>
        <v>249.16968814460651</v>
      </c>
      <c r="AV123" s="124"/>
      <c r="AW123" s="124"/>
      <c r="AX123" s="124"/>
      <c r="AY123" s="124"/>
      <c r="AZ123" s="124"/>
      <c r="BA123" s="124"/>
      <c r="BE123" s="124"/>
      <c r="BG123" s="7"/>
      <c r="BH123" s="124"/>
      <c r="BL123" s="4"/>
    </row>
    <row r="124" spans="1:64" s="95" customFormat="1" ht="18.75" customHeight="1" x14ac:dyDescent="0.2">
      <c r="C124" s="116"/>
      <c r="R124" s="325"/>
      <c r="S124" s="325"/>
      <c r="AY124" s="326"/>
      <c r="AZ124" s="326"/>
      <c r="BA124" s="326"/>
      <c r="BB124" s="326"/>
      <c r="BC124" s="326"/>
      <c r="BD124" s="326"/>
      <c r="BE124" s="326"/>
      <c r="BF124" s="326"/>
      <c r="BH124" s="326"/>
      <c r="BL124" s="81"/>
    </row>
    <row r="125" spans="1:64" ht="12.75" hidden="1" x14ac:dyDescent="0.2">
      <c r="AY125" s="124"/>
      <c r="AZ125" s="124"/>
      <c r="BA125" s="124"/>
      <c r="BB125" s="124"/>
      <c r="BC125" s="124"/>
      <c r="BD125" s="124"/>
      <c r="BE125" s="124"/>
      <c r="BF125" s="124"/>
      <c r="BG125" s="124"/>
      <c r="BH125" s="124"/>
    </row>
    <row r="126" spans="1:64" ht="12.75" hidden="1" x14ac:dyDescent="0.2">
      <c r="AY126" s="124"/>
      <c r="AZ126" s="124"/>
      <c r="BA126" s="124"/>
      <c r="BB126" s="124"/>
      <c r="BC126" s="124"/>
      <c r="BD126" s="124"/>
      <c r="BE126" s="124"/>
      <c r="BF126" s="124"/>
      <c r="BG126" s="124"/>
      <c r="BH126" s="124"/>
    </row>
    <row r="127" spans="1:64" ht="12.75" hidden="1" x14ac:dyDescent="0.2">
      <c r="AY127" s="124"/>
      <c r="AZ127" s="124"/>
      <c r="BA127" s="124"/>
      <c r="BB127" s="124"/>
      <c r="BC127" s="124"/>
      <c r="BD127" s="124"/>
      <c r="BE127" s="124"/>
      <c r="BF127" s="124"/>
      <c r="BG127" s="124"/>
      <c r="BH127" s="124"/>
    </row>
    <row r="128" spans="1:64" ht="12.75" hidden="1" x14ac:dyDescent="0.2">
      <c r="AY128" s="124"/>
      <c r="AZ128" s="124"/>
      <c r="BA128" s="124"/>
      <c r="BB128" s="124"/>
      <c r="BC128" s="124"/>
      <c r="BD128" s="124"/>
      <c r="BE128" s="124"/>
      <c r="BF128" s="124"/>
      <c r="BG128" s="124"/>
      <c r="BH128" s="124"/>
    </row>
    <row r="129" spans="13:60" ht="12.75" hidden="1" x14ac:dyDescent="0.2">
      <c r="AY129" s="124"/>
      <c r="AZ129" s="124"/>
      <c r="BA129" s="124"/>
      <c r="BB129" s="124"/>
      <c r="BC129" s="124"/>
      <c r="BD129" s="124"/>
      <c r="BE129" s="124"/>
      <c r="BF129" s="124"/>
      <c r="BG129" s="124"/>
      <c r="BH129" s="124"/>
    </row>
    <row r="130" spans="13:60" ht="12.75" hidden="1" x14ac:dyDescent="0.2"/>
    <row r="131" spans="13:60" ht="12.75" hidden="1" x14ac:dyDescent="0.2"/>
    <row r="132" spans="13:60" ht="12.75" hidden="1" x14ac:dyDescent="0.2"/>
    <row r="133" spans="13:60" ht="12.75" hidden="1" x14ac:dyDescent="0.2"/>
    <row r="134" spans="13:60" ht="12.75" hidden="1" x14ac:dyDescent="0.2">
      <c r="M134" s="10"/>
    </row>
  </sheetData>
  <sheetCalcPr fullCalcOnLoad="1"/>
  <mergeCells count="173">
    <mergeCell ref="AP82:AQ84"/>
    <mergeCell ref="H51:I51"/>
    <mergeCell ref="AG1:AJ1"/>
    <mergeCell ref="Z1:AC1"/>
    <mergeCell ref="P1:S1"/>
    <mergeCell ref="AC50:AD50"/>
    <mergeCell ref="K48:N48"/>
    <mergeCell ref="AA46:AA47"/>
    <mergeCell ref="U1:X1"/>
    <mergeCell ref="AD1:AE1"/>
    <mergeCell ref="H50:I50"/>
    <mergeCell ref="Q52:R52"/>
    <mergeCell ref="Z46:Z47"/>
    <mergeCell ref="Q50:R50"/>
    <mergeCell ref="Z50:Z51"/>
    <mergeCell ref="Z49:AA49"/>
    <mergeCell ref="W90:X90"/>
    <mergeCell ref="AC57:AE57"/>
    <mergeCell ref="Q77:AB77"/>
    <mergeCell ref="Q74:AB75"/>
    <mergeCell ref="Q76:AB76"/>
    <mergeCell ref="U57:U58"/>
    <mergeCell ref="V57:V58"/>
    <mergeCell ref="Q73:AB73"/>
    <mergeCell ref="W57:W58"/>
    <mergeCell ref="X57:X58"/>
    <mergeCell ref="BF1:BJ1"/>
    <mergeCell ref="AL1:AL2"/>
    <mergeCell ref="AN1:AN2"/>
    <mergeCell ref="AP1:AP2"/>
    <mergeCell ref="AQ1:AQ2"/>
    <mergeCell ref="BA1:BD1"/>
    <mergeCell ref="AS1:AY1"/>
    <mergeCell ref="B1:B2"/>
    <mergeCell ref="C1:C2"/>
    <mergeCell ref="F1:I1"/>
    <mergeCell ref="K1:N1"/>
    <mergeCell ref="AS46:AX46"/>
    <mergeCell ref="B36:C36"/>
    <mergeCell ref="BA36:BB36"/>
    <mergeCell ref="B38:C38"/>
    <mergeCell ref="D4:D43"/>
    <mergeCell ref="BA37:BB37"/>
    <mergeCell ref="BA39:BB39"/>
    <mergeCell ref="BA40:BB40"/>
    <mergeCell ref="BA38:BB38"/>
    <mergeCell ref="AL38:AL43"/>
    <mergeCell ref="AG52:AJ52"/>
    <mergeCell ref="B42:C42"/>
    <mergeCell ref="B49:D49"/>
    <mergeCell ref="BF46:BJ46"/>
    <mergeCell ref="BF47:BJ47"/>
    <mergeCell ref="AY47:BD47"/>
    <mergeCell ref="B48:D48"/>
    <mergeCell ref="B46:E46"/>
    <mergeCell ref="B47:D47"/>
    <mergeCell ref="AS48:AU48"/>
    <mergeCell ref="AS49:AT49"/>
    <mergeCell ref="AG51:AJ51"/>
    <mergeCell ref="AG49:AJ49"/>
    <mergeCell ref="Q51:R51"/>
    <mergeCell ref="AH50:AI50"/>
    <mergeCell ref="AC51:AC52"/>
    <mergeCell ref="AD51:AD52"/>
    <mergeCell ref="Z52:Z53"/>
    <mergeCell ref="AS50:AT50"/>
    <mergeCell ref="AS52:AT52"/>
    <mergeCell ref="B53:D53"/>
    <mergeCell ref="AS57:AT57"/>
    <mergeCell ref="AS51:AT51"/>
    <mergeCell ref="AA50:AA51"/>
    <mergeCell ref="AA52:AA53"/>
    <mergeCell ref="B50:D50"/>
    <mergeCell ref="B51:D51"/>
    <mergeCell ref="B52:D52"/>
    <mergeCell ref="AP52:AQ52"/>
    <mergeCell ref="AP53:AQ53"/>
    <mergeCell ref="AS53:AT53"/>
    <mergeCell ref="AS54:AT54"/>
    <mergeCell ref="AS56:AT56"/>
    <mergeCell ref="AS55:AT55"/>
    <mergeCell ref="AS58:AT58"/>
    <mergeCell ref="AG58:AJ58"/>
    <mergeCell ref="B55:D55"/>
    <mergeCell ref="Z54:Z55"/>
    <mergeCell ref="B54:D54"/>
    <mergeCell ref="H57:I58"/>
    <mergeCell ref="K57:N57"/>
    <mergeCell ref="P57:S57"/>
    <mergeCell ref="B56:D56"/>
    <mergeCell ref="B61:D61"/>
    <mergeCell ref="B63:D63"/>
    <mergeCell ref="H63:I63"/>
    <mergeCell ref="B58:D58"/>
    <mergeCell ref="Z57:AB57"/>
    <mergeCell ref="AH57:AI57"/>
    <mergeCell ref="AS60:AT60"/>
    <mergeCell ref="B62:D62"/>
    <mergeCell ref="H62:I62"/>
    <mergeCell ref="AH60:AI60"/>
    <mergeCell ref="B57:D57"/>
    <mergeCell ref="B64:D64"/>
    <mergeCell ref="H64:I64"/>
    <mergeCell ref="AG59:AJ59"/>
    <mergeCell ref="B60:D60"/>
    <mergeCell ref="H60:I60"/>
    <mergeCell ref="AH65:AI65"/>
    <mergeCell ref="AH68:AI68"/>
    <mergeCell ref="AG66:AJ66"/>
    <mergeCell ref="AG64:AJ64"/>
    <mergeCell ref="B65:D65"/>
    <mergeCell ref="AS59:AT59"/>
    <mergeCell ref="AP59:AQ59"/>
    <mergeCell ref="B59:D59"/>
    <mergeCell ref="H59:I59"/>
    <mergeCell ref="AP60:AQ62"/>
    <mergeCell ref="B69:D69"/>
    <mergeCell ref="H69:I69"/>
    <mergeCell ref="B68:D68"/>
    <mergeCell ref="H68:I68"/>
    <mergeCell ref="B66:D66"/>
    <mergeCell ref="H66:I66"/>
    <mergeCell ref="B67:D67"/>
    <mergeCell ref="H67:I67"/>
    <mergeCell ref="B72:D72"/>
    <mergeCell ref="AG71:AJ71"/>
    <mergeCell ref="H70:I70"/>
    <mergeCell ref="B71:D71"/>
    <mergeCell ref="H71:I71"/>
    <mergeCell ref="AH72:AI72"/>
    <mergeCell ref="B74:D74"/>
    <mergeCell ref="B73:D73"/>
    <mergeCell ref="B76:D76"/>
    <mergeCell ref="H76:H77"/>
    <mergeCell ref="H74:H75"/>
    <mergeCell ref="B75:D75"/>
    <mergeCell ref="B77:D77"/>
    <mergeCell ref="B78:D78"/>
    <mergeCell ref="H78:H79"/>
    <mergeCell ref="AG78:AJ78"/>
    <mergeCell ref="B79:D79"/>
    <mergeCell ref="AH79:AI79"/>
    <mergeCell ref="Q79:AB79"/>
    <mergeCell ref="Q78:AB78"/>
    <mergeCell ref="B81:D81"/>
    <mergeCell ref="AG81:AJ81"/>
    <mergeCell ref="Q80:AB80"/>
    <mergeCell ref="Q81:AB81"/>
    <mergeCell ref="B80:D80"/>
    <mergeCell ref="H80:H81"/>
    <mergeCell ref="B82:D82"/>
    <mergeCell ref="H82:H83"/>
    <mergeCell ref="AH82:AI82"/>
    <mergeCell ref="B83:D83"/>
    <mergeCell ref="Q83:AB83"/>
    <mergeCell ref="Q82:AB82"/>
    <mergeCell ref="AP69:AQ72"/>
    <mergeCell ref="AP73:AQ75"/>
    <mergeCell ref="AP76:AQ78"/>
    <mergeCell ref="AP79:AQ81"/>
    <mergeCell ref="AS63:AT63"/>
    <mergeCell ref="AS62:AT62"/>
    <mergeCell ref="AP63:AQ68"/>
    <mergeCell ref="BF84:BJ84"/>
    <mergeCell ref="BB81:BC81"/>
    <mergeCell ref="Q53:R53"/>
    <mergeCell ref="AH75:AI75"/>
    <mergeCell ref="AG74:AJ74"/>
    <mergeCell ref="AG73:AJ73"/>
    <mergeCell ref="AG67:AJ67"/>
    <mergeCell ref="AH53:AI53"/>
    <mergeCell ref="AA54:AA55"/>
    <mergeCell ref="AG56:AJ56"/>
  </mergeCells>
  <phoneticPr fontId="4" type="noConversion"/>
  <conditionalFormatting sqref="C4:C34">
    <cfRule type="cellIs" dxfId="1510" priority="1" stopIfTrue="1" operator="notEqual">
      <formula>G4</formula>
    </cfRule>
  </conditionalFormatting>
  <conditionalFormatting sqref="AC4:AC34">
    <cfRule type="cellIs" dxfId="1509" priority="2" stopIfTrue="1" operator="equal">
      <formula>$AC$86</formula>
    </cfRule>
    <cfRule type="cellIs" dxfId="1508" priority="3" stopIfTrue="1" operator="equal">
      <formula>0</formula>
    </cfRule>
    <cfRule type="expression" dxfId="1507" priority="4" stopIfTrue="1">
      <formula>Z4=0.1</formula>
    </cfRule>
  </conditionalFormatting>
  <conditionalFormatting sqref="W46:W53">
    <cfRule type="expression" dxfId="1506" priority="5" stopIfTrue="1">
      <formula>X46=$X$55</formula>
    </cfRule>
  </conditionalFormatting>
  <conditionalFormatting sqref="B4:B34">
    <cfRule type="cellIs" dxfId="1505" priority="6" stopIfTrue="1" operator="notEqual">
      <formula>F4</formula>
    </cfRule>
  </conditionalFormatting>
  <conditionalFormatting sqref="AP92:AP107">
    <cfRule type="expression" dxfId="1504" priority="7" stopIfTrue="1">
      <formula>AQ92=$AQ$109</formula>
    </cfRule>
  </conditionalFormatting>
  <conditionalFormatting sqref="BG49:BG79">
    <cfRule type="expression" dxfId="1503" priority="8" stopIfTrue="1">
      <formula>IF(J4=1,1,0)</formula>
    </cfRule>
  </conditionalFormatting>
  <conditionalFormatting sqref="B72:D80 B48:B66 C57:D66 C48:C54 D48 D51:D52 D54">
    <cfRule type="expression" dxfId="1502" priority="9" stopIfTrue="1">
      <formula>IF(F48&gt;0.5,1,0)</formula>
    </cfRule>
    <cfRule type="expression" dxfId="1501" priority="10" stopIfTrue="1">
      <formula>IF(F48&lt;0.2,1,0)</formula>
    </cfRule>
  </conditionalFormatting>
  <conditionalFormatting sqref="AS50:AT60">
    <cfRule type="expression" dxfId="1500" priority="11" stopIfTrue="1">
      <formula>IF(AV50&gt;0.5,1,0)</formula>
    </cfRule>
    <cfRule type="expression" dxfId="1499" priority="12" stopIfTrue="1">
      <formula>IF(AV50&lt;0.2,1,0)</formula>
    </cfRule>
  </conditionalFormatting>
  <conditionalFormatting sqref="BD35">
    <cfRule type="cellIs" dxfId="1498" priority="13" stopIfTrue="1" operator="equal">
      <formula>#REF!</formula>
    </cfRule>
    <cfRule type="expression" dxfId="1497" priority="14" stopIfTrue="1">
      <formula>AY123=1</formula>
    </cfRule>
    <cfRule type="expression" dxfId="1496" priority="15" stopIfTrue="1">
      <formula>BH123=1</formula>
    </cfRule>
  </conditionalFormatting>
  <conditionalFormatting sqref="F4:F34">
    <cfRule type="cellIs" dxfId="1495" priority="16" stopIfTrue="1" operator="equal">
      <formula>$F$85</formula>
    </cfRule>
    <cfRule type="cellIs" dxfId="1494" priority="17" stopIfTrue="1" operator="equal">
      <formula>$F$86</formula>
    </cfRule>
    <cfRule type="expression" dxfId="1493" priority="18" stopIfTrue="1">
      <formula>IF(B4&lt;0,1,0)</formula>
    </cfRule>
  </conditionalFormatting>
  <conditionalFormatting sqref="BF49:BF79">
    <cfRule type="cellIs" dxfId="1492" priority="19" stopIfTrue="1" operator="greaterThan">
      <formula>0.9</formula>
    </cfRule>
    <cfRule type="expression" dxfId="1491" priority="20" stopIfTrue="1">
      <formula>IF(O4=1,1,0)</formula>
    </cfRule>
  </conditionalFormatting>
  <conditionalFormatting sqref="D55">
    <cfRule type="expression" dxfId="1490" priority="21" stopIfTrue="1">
      <formula>IF(H56&gt;0.5,1,0)</formula>
    </cfRule>
    <cfRule type="expression" dxfId="1489" priority="22" stopIfTrue="1">
      <formula>IF(H56&lt;0.2,1,0)</formula>
    </cfRule>
  </conditionalFormatting>
  <conditionalFormatting sqref="D56">
    <cfRule type="expression" dxfId="1488" priority="23" stopIfTrue="1">
      <formula>IF(K56&gt;0.5,1,0)</formula>
    </cfRule>
    <cfRule type="expression" dxfId="1487" priority="24" stopIfTrue="1">
      <formula>IF(K56&lt;0.2,1,0)</formula>
    </cfRule>
  </conditionalFormatting>
  <conditionalFormatting sqref="D53">
    <cfRule type="expression" dxfId="1486" priority="25" stopIfTrue="1">
      <formula>IF(H50&gt;0.5,1,0)</formula>
    </cfRule>
    <cfRule type="expression" dxfId="1485" priority="26" stopIfTrue="1">
      <formula>IF(H50&lt;0.2,1,0)</formula>
    </cfRule>
  </conditionalFormatting>
  <conditionalFormatting sqref="D49:D50">
    <cfRule type="expression" dxfId="1484" priority="27" stopIfTrue="1">
      <formula>IF(L53&gt;0.5,1,0)</formula>
    </cfRule>
    <cfRule type="expression" dxfId="1483" priority="28" stopIfTrue="1">
      <formula>IF(L53&lt;0.2,1,0)</formula>
    </cfRule>
  </conditionalFormatting>
  <conditionalFormatting sqref="BA49:BA79">
    <cfRule type="cellIs" dxfId="1482" priority="29" stopIfTrue="1" operator="equal">
      <formula>$BB$86</formula>
    </cfRule>
    <cfRule type="expression" dxfId="1481" priority="30" stopIfTrue="1">
      <formula>IF(AX91=1,1,0)</formula>
    </cfRule>
    <cfRule type="expression" dxfId="1480" priority="31" stopIfTrue="1">
      <formula>IF(AW91=1,1,0)</formula>
    </cfRule>
  </conditionalFormatting>
  <conditionalFormatting sqref="C55:C56">
    <cfRule type="expression" dxfId="1479" priority="32" stopIfTrue="1">
      <formula>IF(#REF!&gt;0.5,1,0)</formula>
    </cfRule>
    <cfRule type="expression" dxfId="1478" priority="33" stopIfTrue="1">
      <formula>IF(#REF!&lt;0.2,1,0)</formula>
    </cfRule>
  </conditionalFormatting>
  <conditionalFormatting sqref="AQ92:AQ107">
    <cfRule type="cellIs" dxfId="1477" priority="34" stopIfTrue="1" operator="equal">
      <formula>$AQ$109</formula>
    </cfRule>
  </conditionalFormatting>
  <conditionalFormatting sqref="AB91:AB121">
    <cfRule type="cellIs" dxfId="1476" priority="35" stopIfTrue="1" operator="equal">
      <formula>0</formula>
    </cfRule>
  </conditionalFormatting>
  <conditionalFormatting sqref="AM4:AM34">
    <cfRule type="cellIs" dxfId="1475" priority="36" stopIfTrue="1" operator="equal">
      <formula>$AH$86</formula>
    </cfRule>
    <cfRule type="cellIs" dxfId="1474" priority="37" stopIfTrue="1" operator="equal">
      <formula>$AH$85</formula>
    </cfRule>
  </conditionalFormatting>
  <conditionalFormatting sqref="AE4:AE34">
    <cfRule type="cellIs" dxfId="1473" priority="38" stopIfTrue="1" operator="equal">
      <formula>$AD$86</formula>
    </cfRule>
    <cfRule type="cellIs" dxfId="1472" priority="39" stopIfTrue="1" operator="equal">
      <formula>0</formula>
    </cfRule>
  </conditionalFormatting>
  <conditionalFormatting sqref="AY49:AZ79">
    <cfRule type="cellIs" dxfId="1471" priority="40" stopIfTrue="1" operator="equal">
      <formula>$BA$84</formula>
    </cfRule>
    <cfRule type="cellIs" dxfId="1470" priority="41" stopIfTrue="1" operator="equal">
      <formula>$BB$84</formula>
    </cfRule>
  </conditionalFormatting>
  <conditionalFormatting sqref="AW4:AW34 BI35">
    <cfRule type="cellIs" dxfId="1469" priority="42" stopIfTrue="1" operator="equal">
      <formula>$AW$85</formula>
    </cfRule>
    <cfRule type="cellIs" dxfId="1468" priority="43" stopIfTrue="1" operator="equal">
      <formula>$AW$86</formula>
    </cfRule>
  </conditionalFormatting>
  <conditionalFormatting sqref="BC35 BD4:BD34">
    <cfRule type="cellIs" dxfId="1467" priority="44" stopIfTrue="1" operator="equal">
      <formula>$BD$85</formula>
    </cfRule>
    <cfRule type="cellIs" dxfId="1466" priority="45" stopIfTrue="1" operator="equal">
      <formula>$BD$86</formula>
    </cfRule>
  </conditionalFormatting>
  <conditionalFormatting sqref="BC49:BC80">
    <cfRule type="cellIs" dxfId="1465" priority="46" stopIfTrue="1" operator="equal">
      <formula>$AU$85</formula>
    </cfRule>
    <cfRule type="cellIs" dxfId="1464" priority="47" stopIfTrue="1" operator="equal">
      <formula>$AU$86</formula>
    </cfRule>
  </conditionalFormatting>
  <conditionalFormatting sqref="BD49:BD80">
    <cfRule type="cellIs" dxfId="1463" priority="48" stopIfTrue="1" operator="equal">
      <formula>#REF!</formula>
    </cfRule>
    <cfRule type="cellIs" dxfId="1462" priority="49" stopIfTrue="1" operator="equal">
      <formula>#REF!</formula>
    </cfRule>
  </conditionalFormatting>
  <conditionalFormatting sqref="BF35 BF4:BG34">
    <cfRule type="cellIs" dxfId="1461" priority="50" stopIfTrue="1" operator="equal">
      <formula>$BF$85</formula>
    </cfRule>
    <cfRule type="cellIs" dxfId="1460" priority="51" stopIfTrue="1" operator="equal">
      <formula>$BF$86</formula>
    </cfRule>
  </conditionalFormatting>
  <conditionalFormatting sqref="BG35">
    <cfRule type="cellIs" dxfId="1459" priority="52" stopIfTrue="1" operator="equal">
      <formula>$BG$85</formula>
    </cfRule>
    <cfRule type="cellIs" dxfId="1458" priority="53" stopIfTrue="1" operator="equal">
      <formula>$BG$86</formula>
    </cfRule>
  </conditionalFormatting>
  <conditionalFormatting sqref="BH4:BH35">
    <cfRule type="cellIs" dxfId="1457" priority="54" stopIfTrue="1" operator="equal">
      <formula>$BH$85</formula>
    </cfRule>
    <cfRule type="cellIs" dxfId="1456" priority="55" stopIfTrue="1" operator="equal">
      <formula>$BH$86</formula>
    </cfRule>
  </conditionalFormatting>
  <conditionalFormatting sqref="BA4:BA35 BB4:BB34">
    <cfRule type="cellIs" dxfId="1455" priority="56" stopIfTrue="1" operator="equal">
      <formula>$BA$85</formula>
    </cfRule>
    <cfRule type="cellIs" dxfId="1454" priority="57" stopIfTrue="1" operator="equal">
      <formula>$BA$86</formula>
    </cfRule>
  </conditionalFormatting>
  <conditionalFormatting sqref="BF80">
    <cfRule type="cellIs" dxfId="1453" priority="58" stopIfTrue="1" operator="greaterThan">
      <formula>0.9</formula>
    </cfRule>
  </conditionalFormatting>
  <conditionalFormatting sqref="BG80">
    <cfRule type="cellIs" dxfId="1452" priority="59" stopIfTrue="1" operator="lessThan">
      <formula>0.3</formula>
    </cfRule>
  </conditionalFormatting>
  <conditionalFormatting sqref="BJ8:BJ35">
    <cfRule type="cellIs" dxfId="1451" priority="60" stopIfTrue="1" operator="equal">
      <formula>$BJ$85</formula>
    </cfRule>
    <cfRule type="cellIs" dxfId="1450" priority="61" stopIfTrue="1" operator="equal">
      <formula>$BJ$86</formula>
    </cfRule>
  </conditionalFormatting>
  <conditionalFormatting sqref="BI4:BI33">
    <cfRule type="cellIs" dxfId="1449" priority="62" stopIfTrue="1" operator="equal">
      <formula>$BI$86</formula>
    </cfRule>
    <cfRule type="cellIs" dxfId="1448" priority="63" stopIfTrue="1" operator="equal">
      <formula>$BI$85</formula>
    </cfRule>
  </conditionalFormatting>
  <conditionalFormatting sqref="AY35:AZ35">
    <cfRule type="cellIs" dxfId="1447" priority="64" stopIfTrue="1" operator="equal">
      <formula>$AY$85</formula>
    </cfRule>
    <cfRule type="cellIs" dxfId="1446" priority="65" stopIfTrue="1" operator="equal">
      <formula>$AY$86</formula>
    </cfRule>
  </conditionalFormatting>
  <conditionalFormatting sqref="AY4:AY34">
    <cfRule type="cellIs" dxfId="1445" priority="66" stopIfTrue="1" operator="equal">
      <formula>$AY$85</formula>
    </cfRule>
    <cfRule type="cellIs" dxfId="1444" priority="67" stopIfTrue="1" operator="equal">
      <formula>$AY$86</formula>
    </cfRule>
  </conditionalFormatting>
  <conditionalFormatting sqref="AR4:AR34">
    <cfRule type="cellIs" dxfId="1443" priority="68" stopIfTrue="1" operator="equal">
      <formula>$M$92</formula>
    </cfRule>
  </conditionalFormatting>
  <conditionalFormatting sqref="AV50:AV60 F72:F80 F48:F66">
    <cfRule type="cellIs" dxfId="1442" priority="69" stopIfTrue="1" operator="between">
      <formula>0.45</formula>
      <formula>0.55</formula>
    </cfRule>
  </conditionalFormatting>
  <conditionalFormatting sqref="AS8:AS34">
    <cfRule type="cellIs" dxfId="1441" priority="70" stopIfTrue="1" operator="equal">
      <formula>$AS$85</formula>
    </cfRule>
    <cfRule type="cellIs" dxfId="1440" priority="71" stopIfTrue="1" operator="equal">
      <formula>$AS$86</formula>
    </cfRule>
  </conditionalFormatting>
  <conditionalFormatting sqref="AI4:AI35">
    <cfRule type="cellIs" dxfId="1439" priority="72" stopIfTrue="1" operator="equal">
      <formula>$AI$85</formula>
    </cfRule>
    <cfRule type="cellIs" dxfId="1438" priority="73" stopIfTrue="1" operator="equal">
      <formula>$AI$86</formula>
    </cfRule>
  </conditionalFormatting>
  <conditionalFormatting sqref="AJ4:AJ35">
    <cfRule type="cellIs" dxfId="1437" priority="74" stopIfTrue="1" operator="equal">
      <formula>$AJ$85</formula>
    </cfRule>
    <cfRule type="cellIs" dxfId="1436" priority="75" stopIfTrue="1" operator="equal">
      <formula>$AJ$86</formula>
    </cfRule>
  </conditionalFormatting>
  <conditionalFormatting sqref="AT4:AT35">
    <cfRule type="cellIs" dxfId="1435" priority="76" stopIfTrue="1" operator="equal">
      <formula>$AT$85</formula>
    </cfRule>
    <cfRule type="cellIs" dxfId="1434" priority="77" stopIfTrue="1" operator="equal">
      <formula>$AT$86</formula>
    </cfRule>
  </conditionalFormatting>
  <conditionalFormatting sqref="AU4:AU35">
    <cfRule type="cellIs" dxfId="1433" priority="78" stopIfTrue="1" operator="equal">
      <formula>$AU$85</formula>
    </cfRule>
    <cfRule type="cellIs" dxfId="1432" priority="79" stopIfTrue="1" operator="equal">
      <formula>$AU$86</formula>
    </cfRule>
  </conditionalFormatting>
  <conditionalFormatting sqref="AV35:AW35 AV4:AV34">
    <cfRule type="cellIs" dxfId="1431" priority="80" stopIfTrue="1" operator="equal">
      <formula>$AV$85</formula>
    </cfRule>
    <cfRule type="cellIs" dxfId="1430" priority="81" stopIfTrue="1" operator="equal">
      <formula>$AV$86</formula>
    </cfRule>
  </conditionalFormatting>
  <conditionalFormatting sqref="AX4:AX35">
    <cfRule type="cellIs" dxfId="1429" priority="82" stopIfTrue="1" operator="equal">
      <formula>$AX$85</formula>
    </cfRule>
    <cfRule type="cellIs" dxfId="1428" priority="83" stopIfTrue="1" operator="equal">
      <formula>$AX$86</formula>
    </cfRule>
  </conditionalFormatting>
  <conditionalFormatting sqref="AG4:AG34">
    <cfRule type="cellIs" dxfId="1427" priority="84" stopIfTrue="1" operator="equal">
      <formula>$AG$85</formula>
    </cfRule>
    <cfRule type="cellIs" dxfId="1426" priority="85" stopIfTrue="1" operator="equal">
      <formula>$AG$86</formula>
    </cfRule>
  </conditionalFormatting>
  <conditionalFormatting sqref="AH4:AH35">
    <cfRule type="cellIs" dxfId="1425" priority="86" stopIfTrue="1" operator="equal">
      <formula>$AH$85</formula>
    </cfRule>
    <cfRule type="cellIs" dxfId="1424" priority="87" stopIfTrue="1" operator="equal">
      <formula>$AH$86</formula>
    </cfRule>
  </conditionalFormatting>
  <conditionalFormatting sqref="AP4:AP34">
    <cfRule type="cellIs" dxfId="1423" priority="88" stopIfTrue="1" operator="equal">
      <formula>$AP$86</formula>
    </cfRule>
    <cfRule type="cellIs" dxfId="1422" priority="89" stopIfTrue="1" operator="equal">
      <formula>0.001</formula>
    </cfRule>
  </conditionalFormatting>
  <conditionalFormatting sqref="AN26">
    <cfRule type="expression" dxfId="1421" priority="90" stopIfTrue="1">
      <formula>$AS$36</formula>
    </cfRule>
  </conditionalFormatting>
  <conditionalFormatting sqref="BH49:BH79">
    <cfRule type="cellIs" dxfId="1420" priority="91" stopIfTrue="1" operator="greaterThan">
      <formula>0.9</formula>
    </cfRule>
  </conditionalFormatting>
  <conditionalFormatting sqref="BI49:BI79">
    <cfRule type="cellIs" dxfId="1419" priority="92" stopIfTrue="1" operator="greaterThan">
      <formula>0.5</formula>
    </cfRule>
  </conditionalFormatting>
  <conditionalFormatting sqref="X46:X53">
    <cfRule type="cellIs" dxfId="1418" priority="93" stopIfTrue="1" operator="equal">
      <formula>$X$55</formula>
    </cfRule>
  </conditionalFormatting>
  <conditionalFormatting sqref="L4:L34">
    <cfRule type="cellIs" dxfId="1417" priority="94" stopIfTrue="1" operator="equal">
      <formula>98</formula>
    </cfRule>
    <cfRule type="cellIs" dxfId="1416" priority="95" stopIfTrue="1" operator="equal">
      <formula>$L$85</formula>
    </cfRule>
    <cfRule type="cellIs" dxfId="1415" priority="96" stopIfTrue="1" operator="equal">
      <formula>$L$86</formula>
    </cfRule>
  </conditionalFormatting>
  <conditionalFormatting sqref="K4:K34">
    <cfRule type="cellIs" dxfId="1414" priority="97" stopIfTrue="1" operator="equal">
      <formula>$K$85</formula>
    </cfRule>
    <cfRule type="cellIs" dxfId="1413" priority="98" stopIfTrue="1" operator="equal">
      <formula>$K$86</formula>
    </cfRule>
  </conditionalFormatting>
  <conditionalFormatting sqref="X6:X22 X4 X31:X34">
    <cfRule type="cellIs" dxfId="1412" priority="99" stopIfTrue="1" operator="equal">
      <formula>10</formula>
    </cfRule>
    <cfRule type="cellIs" priority="100" stopIfTrue="1" operator="equal">
      <formula>0</formula>
    </cfRule>
  </conditionalFormatting>
  <conditionalFormatting sqref="X30">
    <cfRule type="cellIs" dxfId="1411" priority="101" stopIfTrue="1" operator="equal">
      <formula>$AW$85</formula>
    </cfRule>
    <cfRule type="cellIs" dxfId="1410" priority="102" stopIfTrue="1" operator="equal">
      <formula>$AW$86</formula>
    </cfRule>
  </conditionalFormatting>
  <conditionalFormatting sqref="I4:I34">
    <cfRule type="cellIs" dxfId="1409" priority="103" stopIfTrue="1" operator="equal">
      <formula>$I$85</formula>
    </cfRule>
    <cfRule type="cellIs" dxfId="1408" priority="104" stopIfTrue="1" operator="equal">
      <formula>$I$86</formula>
    </cfRule>
  </conditionalFormatting>
  <conditionalFormatting sqref="N4:N34">
    <cfRule type="cellIs" dxfId="1407" priority="105" stopIfTrue="1" operator="equal">
      <formula>$N$85</formula>
    </cfRule>
    <cfRule type="cellIs" dxfId="1406" priority="106" stopIfTrue="1" operator="equal">
      <formula>$N$86</formula>
    </cfRule>
  </conditionalFormatting>
  <conditionalFormatting sqref="AA4:AA33 AA34:AB34">
    <cfRule type="cellIs" dxfId="1405" priority="107" stopIfTrue="1" operator="equal">
      <formula>$AA$86</formula>
    </cfRule>
  </conditionalFormatting>
  <conditionalFormatting sqref="P4:P34">
    <cfRule type="cellIs" dxfId="1404" priority="108" stopIfTrue="1" operator="equal">
      <formula>$P$85</formula>
    </cfRule>
    <cfRule type="cellIs" dxfId="1403" priority="109" stopIfTrue="1" operator="equal">
      <formula>$P$86</formula>
    </cfRule>
  </conditionalFormatting>
  <conditionalFormatting sqref="S4:S34">
    <cfRule type="cellIs" dxfId="1402" priority="110" stopIfTrue="1" operator="equal">
      <formula>$S$85</formula>
    </cfRule>
    <cfRule type="cellIs" dxfId="1401" priority="111" stopIfTrue="1" operator="equal">
      <formula>$S$86</formula>
    </cfRule>
  </conditionalFormatting>
  <conditionalFormatting sqref="R4:R34">
    <cfRule type="cellIs" dxfId="1400" priority="112" stopIfTrue="1" operator="equal">
      <formula>$R$85</formula>
    </cfRule>
    <cfRule type="cellIs" dxfId="1399" priority="113" stopIfTrue="1" operator="equal">
      <formula>$R$86</formula>
    </cfRule>
  </conditionalFormatting>
  <conditionalFormatting sqref="Q4:Q34">
    <cfRule type="cellIs" dxfId="1398" priority="114" stopIfTrue="1" operator="equal">
      <formula>$Q$85</formula>
    </cfRule>
    <cfRule type="cellIs" dxfId="1397" priority="115" stopIfTrue="1" operator="equal">
      <formula>$Q$86</formula>
    </cfRule>
  </conditionalFormatting>
  <conditionalFormatting sqref="U47 U49:U50 U54:U56">
    <cfRule type="cellIs" dxfId="1396" priority="116" stopIfTrue="1" operator="equal">
      <formula>$W$86</formula>
    </cfRule>
    <cfRule type="cellIs" dxfId="1395" priority="117" stopIfTrue="1" operator="equal">
      <formula>$W$85</formula>
    </cfRule>
  </conditionalFormatting>
  <conditionalFormatting sqref="H4:H35">
    <cfRule type="cellIs" dxfId="1394" priority="118" stopIfTrue="1" operator="equal">
      <formula>$H$85</formula>
    </cfRule>
    <cfRule type="cellIs" dxfId="1393" priority="119" stopIfTrue="1" operator="equal">
      <formula>$H$86</formula>
    </cfRule>
  </conditionalFormatting>
  <conditionalFormatting sqref="M4:M34">
    <cfRule type="cellIs" dxfId="1392" priority="120" stopIfTrue="1" operator="equal">
      <formula>$M$85</formula>
    </cfRule>
    <cfRule type="cellIs" dxfId="1391" priority="121" stopIfTrue="1" operator="equal">
      <formula>$M$86</formula>
    </cfRule>
  </conditionalFormatting>
  <conditionalFormatting sqref="AB4:AB33">
    <cfRule type="cellIs" dxfId="1390" priority="122" stopIfTrue="1" operator="equal">
      <formula>$X$123</formula>
    </cfRule>
  </conditionalFormatting>
  <conditionalFormatting sqref="G4:G34">
    <cfRule type="cellIs" dxfId="1389" priority="123" stopIfTrue="1" operator="equal">
      <formula>$G$86</formula>
    </cfRule>
    <cfRule type="cellIs" dxfId="1388" priority="124" stopIfTrue="1" operator="equal">
      <formula>$G$85</formula>
    </cfRule>
    <cfRule type="cellIs" dxfId="1387" priority="125" stopIfTrue="1" operator="greaterThan">
      <formula>25</formula>
    </cfRule>
  </conditionalFormatting>
  <conditionalFormatting sqref="AD4:AD34">
    <cfRule type="cellIs" dxfId="1386" priority="126" stopIfTrue="1" operator="equal">
      <formula>$AE$86</formula>
    </cfRule>
    <cfRule type="cellIs" dxfId="1385" priority="127" stopIfTrue="1" operator="equal">
      <formula>$AE$85</formula>
    </cfRule>
  </conditionalFormatting>
  <conditionalFormatting sqref="AQ4:AQ34">
    <cfRule type="cellIs" dxfId="1384" priority="128" stopIfTrue="1" operator="equal">
      <formula>0</formula>
    </cfRule>
    <cfRule type="cellIs" dxfId="1383" priority="129" stopIfTrue="1" operator="equal">
      <formula>$AQ$86</formula>
    </cfRule>
    <cfRule type="cellIs" dxfId="1382" priority="130" stopIfTrue="1" operator="between">
      <formula>0.1</formula>
      <formula>0.4</formula>
    </cfRule>
  </conditionalFormatting>
  <conditionalFormatting sqref="U4:U34">
    <cfRule type="cellIs" dxfId="1381" priority="131" stopIfTrue="1" operator="equal">
      <formula>$U$86</formula>
    </cfRule>
    <cfRule type="cellIs" dxfId="1380" priority="132" stopIfTrue="1" operator="equal">
      <formula>$U$85</formula>
    </cfRule>
  </conditionalFormatting>
  <conditionalFormatting sqref="V4:V34">
    <cfRule type="cellIs" dxfId="1379" priority="133" stopIfTrue="1" operator="equal">
      <formula>$V$86</formula>
    </cfRule>
    <cfRule type="cellIs" dxfId="1378" priority="134" stopIfTrue="1" operator="equal">
      <formula>$V$85</formula>
    </cfRule>
  </conditionalFormatting>
  <conditionalFormatting sqref="W4:W34">
    <cfRule type="cellIs" dxfId="1377" priority="135" stopIfTrue="1" operator="equal">
      <formula>$W$86</formula>
    </cfRule>
    <cfRule type="cellIs" dxfId="1376" priority="136" stopIfTrue="1" operator="equal">
      <formula>$W$85</formula>
    </cfRule>
  </conditionalFormatting>
  <conditionalFormatting sqref="Z4:Z34">
    <cfRule type="cellIs" dxfId="1375" priority="137" stopIfTrue="1" operator="equal">
      <formula>0</formula>
    </cfRule>
    <cfRule type="cellIs" dxfId="1374" priority="138" stopIfTrue="1" operator="equal">
      <formula>$Z$86</formula>
    </cfRule>
    <cfRule type="cellIs" dxfId="1373" priority="139" stopIfTrue="1" operator="lessThan">
      <formula>0.2</formula>
    </cfRule>
  </conditionalFormatting>
  <conditionalFormatting sqref="E48:E66 AU50:AU60">
    <cfRule type="cellIs" dxfId="1372" priority="140" stopIfTrue="1" operator="notBetween">
      <formula>-0.5</formula>
      <formula>0.5</formula>
    </cfRule>
    <cfRule type="cellIs" dxfId="1371" priority="141" stopIfTrue="1" operator="between">
      <formula>-0.2</formula>
      <formula>0.2</formula>
    </cfRule>
  </conditionalFormatting>
  <conditionalFormatting sqref="E72:E80">
    <cfRule type="cellIs" dxfId="1370" priority="142" stopIfTrue="1" operator="notBetween">
      <formula>-0.5</formula>
      <formula>0.5</formula>
    </cfRule>
    <cfRule type="cellIs" dxfId="1369" priority="143" stopIfTrue="1" operator="between">
      <formula>-0.2</formula>
      <formula>0.2</formula>
    </cfRule>
  </conditionalFormatting>
  <conditionalFormatting sqref="BC4:BC34">
    <cfRule type="cellIs" dxfId="1368" priority="144" stopIfTrue="1" operator="equal">
      <formula>$BC$85</formula>
    </cfRule>
    <cfRule type="cellIs" dxfId="1367" priority="145" stopIfTrue="1" operator="equal">
      <formula>$BC$86</formula>
    </cfRule>
  </conditionalFormatting>
  <pageMargins left="0.75" right="0.75" top="1" bottom="1" header="0.5" footer="0.5"/>
  <pageSetup paperSize="9" orientation="portrait" horizontalDpi="4294967293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tabColor indexed="43"/>
  </sheetPr>
  <dimension ref="A1"/>
  <sheetViews>
    <sheetView zoomScale="74" workbookViewId="0">
      <selection activeCell="X864" sqref="X864"/>
    </sheetView>
  </sheetViews>
  <sheetFormatPr defaultRowHeight="12.75" x14ac:dyDescent="0.2"/>
  <sheetData/>
  <phoneticPr fontId="4" type="noConversion"/>
  <pageMargins left="0.75" right="0.75" top="1" bottom="1" header="0.5" footer="0.5"/>
  <headerFooter alignWithMargins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>
    <tabColor indexed="13"/>
  </sheetPr>
  <dimension ref="A1:CK134"/>
  <sheetViews>
    <sheetView zoomScale="90" workbookViewId="0">
      <pane xSplit="1" topLeftCell="B1" activePane="topRight" state="frozen"/>
      <selection activeCell="AN72" sqref="AN72"/>
      <selection pane="topRight"/>
    </sheetView>
  </sheetViews>
  <sheetFormatPr defaultRowHeight="0" customHeight="1" zeroHeight="1" x14ac:dyDescent="0.2"/>
  <cols>
    <col min="1" max="1" width="2.85546875" style="1" customWidth="1"/>
    <col min="2" max="2" width="5.140625" style="1" customWidth="1"/>
    <col min="3" max="3" width="5.140625" style="7" customWidth="1"/>
    <col min="4" max="4" width="10.5703125" style="1" customWidth="1"/>
    <col min="5" max="5" width="8.85546875" style="1" customWidth="1"/>
    <col min="6" max="9" width="9.28515625" style="1" customWidth="1"/>
    <col min="10" max="10" width="0.7109375" style="1" customWidth="1"/>
    <col min="11" max="13" width="8.5703125" style="1" customWidth="1"/>
    <col min="14" max="14" width="7.85546875" style="1" customWidth="1"/>
    <col min="15" max="15" width="1" style="1" customWidth="1"/>
    <col min="16" max="17" width="7.28515625" style="1" customWidth="1"/>
    <col min="18" max="18" width="8.5703125" style="1" customWidth="1"/>
    <col min="19" max="19" width="7.140625" style="1" customWidth="1"/>
    <col min="20" max="20" width="0.7109375" style="1" customWidth="1"/>
    <col min="21" max="22" width="9.28515625" style="1" customWidth="1"/>
    <col min="23" max="23" width="9.7109375" style="1" customWidth="1"/>
    <col min="24" max="24" width="9.28515625" style="1" customWidth="1"/>
    <col min="25" max="25" width="0.85546875" style="1" customWidth="1"/>
    <col min="26" max="26" width="10.42578125" style="1" customWidth="1"/>
    <col min="27" max="27" width="9.42578125" style="1" customWidth="1"/>
    <col min="28" max="28" width="10.5703125" style="1" customWidth="1"/>
    <col min="29" max="29" width="9.28515625" style="1" customWidth="1"/>
    <col min="30" max="30" width="9.85546875" style="1" customWidth="1"/>
    <col min="31" max="31" width="10.140625" style="1" customWidth="1"/>
    <col min="32" max="32" width="0.85546875" style="1" customWidth="1"/>
    <col min="33" max="34" width="8.42578125" style="1" customWidth="1"/>
    <col min="35" max="35" width="8.85546875" style="1" customWidth="1"/>
    <col min="36" max="36" width="8.42578125" style="1" customWidth="1"/>
    <col min="37" max="37" width="0.5703125" style="1" customWidth="1"/>
    <col min="38" max="38" width="8.28515625" style="1" customWidth="1"/>
    <col min="39" max="39" width="0.42578125" style="1" customWidth="1"/>
    <col min="40" max="40" width="43.42578125" style="1" customWidth="1"/>
    <col min="41" max="41" width="0.7109375" style="1" customWidth="1"/>
    <col min="42" max="43" width="7.85546875" style="1" customWidth="1"/>
    <col min="44" max="44" width="0.7109375" style="1" customWidth="1"/>
    <col min="45" max="48" width="8.85546875" style="1" customWidth="1"/>
    <col min="49" max="49" width="8.5703125" style="1" customWidth="1"/>
    <col min="50" max="51" width="9.140625" style="1" customWidth="1"/>
    <col min="52" max="52" width="0.5703125" style="1" customWidth="1"/>
    <col min="53" max="53" width="8.28515625" style="1" customWidth="1"/>
    <col min="54" max="54" width="7.7109375" style="1" customWidth="1"/>
    <col min="55" max="55" width="8.5703125" style="1" customWidth="1"/>
    <col min="56" max="56" width="8.85546875" style="1" customWidth="1"/>
    <col min="57" max="57" width="0.5703125" style="1" customWidth="1"/>
    <col min="58" max="62" width="8.85546875" style="1" customWidth="1"/>
    <col min="63" max="63" width="1" style="1" customWidth="1"/>
    <col min="64" max="64" width="2.140625" style="1" customWidth="1"/>
    <col min="65" max="89" width="1.140625" style="1" hidden="1" customWidth="1"/>
    <col min="90" max="91" width="0" style="1" hidden="1" customWidth="1"/>
    <col min="92" max="16384" width="9.140625" style="1"/>
  </cols>
  <sheetData>
    <row r="1" spans="1:64" ht="13.5" customHeight="1" x14ac:dyDescent="0.2">
      <c r="A1" s="88">
        <v>1</v>
      </c>
      <c r="B1" s="676" t="s">
        <v>100</v>
      </c>
      <c r="C1" s="677" t="s">
        <v>99</v>
      </c>
      <c r="D1" s="109">
        <f ca="1">D2/E1</f>
        <v>77.612622101528785</v>
      </c>
      <c r="E1" s="98">
        <f ca="1">COUNT(A3:BL88)</f>
        <v>2506</v>
      </c>
      <c r="F1" s="678" t="s">
        <v>186</v>
      </c>
      <c r="G1" s="678"/>
      <c r="H1" s="678"/>
      <c r="I1" s="678"/>
      <c r="J1" s="6"/>
      <c r="K1" s="679" t="s">
        <v>147</v>
      </c>
      <c r="L1" s="679"/>
      <c r="M1" s="679"/>
      <c r="N1" s="680"/>
      <c r="O1" s="2"/>
      <c r="P1" s="664" t="s">
        <v>0</v>
      </c>
      <c r="Q1" s="664"/>
      <c r="R1" s="664"/>
      <c r="S1" s="665"/>
      <c r="T1" s="3"/>
      <c r="U1" s="666" t="s">
        <v>139</v>
      </c>
      <c r="V1" s="666"/>
      <c r="W1" s="666"/>
      <c r="X1" s="666"/>
      <c r="Y1" s="86"/>
      <c r="Z1" s="674" t="s">
        <v>107</v>
      </c>
      <c r="AA1" s="674"/>
      <c r="AB1" s="674"/>
      <c r="AC1" s="675"/>
      <c r="AD1" s="673" t="s">
        <v>198</v>
      </c>
      <c r="AE1" s="673"/>
      <c r="AF1" s="137"/>
      <c r="AG1" s="672" t="s">
        <v>157</v>
      </c>
      <c r="AH1" s="672"/>
      <c r="AI1" s="672"/>
      <c r="AJ1" s="672"/>
      <c r="AK1" s="6"/>
      <c r="AL1" s="690" t="s">
        <v>252</v>
      </c>
      <c r="AM1" s="86"/>
      <c r="AN1" s="667" t="s">
        <v>1</v>
      </c>
      <c r="AO1" s="399"/>
      <c r="AP1" s="691" t="s">
        <v>122</v>
      </c>
      <c r="AQ1" s="671" t="s">
        <v>192</v>
      </c>
      <c r="AR1" s="86"/>
      <c r="AS1" s="670" t="s">
        <v>12</v>
      </c>
      <c r="AT1" s="670"/>
      <c r="AU1" s="670"/>
      <c r="AV1" s="670"/>
      <c r="AW1" s="670"/>
      <c r="AX1" s="670"/>
      <c r="AY1" s="670"/>
      <c r="AZ1" s="6"/>
      <c r="BA1" s="667" t="s">
        <v>366</v>
      </c>
      <c r="BB1" s="667"/>
      <c r="BC1" s="667"/>
      <c r="BD1" s="667"/>
      <c r="BE1" s="67"/>
      <c r="BF1" s="667" t="s">
        <v>20</v>
      </c>
      <c r="BG1" s="667"/>
      <c r="BH1" s="667"/>
      <c r="BI1" s="667"/>
      <c r="BJ1" s="667"/>
      <c r="BK1" s="88"/>
      <c r="BL1" s="78"/>
    </row>
    <row r="2" spans="1:64" ht="12.75" customHeight="1" x14ac:dyDescent="0.2">
      <c r="A2" s="67"/>
      <c r="B2" s="676"/>
      <c r="C2" s="677"/>
      <c r="D2" s="104">
        <f ca="1">SUM(A3:BL88)</f>
        <v>194497.23098643112</v>
      </c>
      <c r="E2" s="292" t="s">
        <v>150</v>
      </c>
      <c r="F2" s="468" t="s">
        <v>101</v>
      </c>
      <c r="G2" s="469" t="s">
        <v>102</v>
      </c>
      <c r="H2" s="470" t="s">
        <v>156</v>
      </c>
      <c r="I2" s="471" t="s">
        <v>5</v>
      </c>
      <c r="J2" s="6"/>
      <c r="K2" s="212" t="s">
        <v>2</v>
      </c>
      <c r="L2" s="213" t="s">
        <v>3</v>
      </c>
      <c r="M2" s="395" t="s">
        <v>156</v>
      </c>
      <c r="N2" s="398" t="s">
        <v>5</v>
      </c>
      <c r="O2" s="20"/>
      <c r="P2" s="264" t="s">
        <v>2</v>
      </c>
      <c r="Q2" s="258" t="s">
        <v>3</v>
      </c>
      <c r="R2" s="265" t="s">
        <v>4</v>
      </c>
      <c r="S2" s="4" t="s">
        <v>5</v>
      </c>
      <c r="T2" s="67"/>
      <c r="U2" s="217" t="s">
        <v>156</v>
      </c>
      <c r="V2" s="97" t="s">
        <v>3</v>
      </c>
      <c r="W2" s="97" t="s">
        <v>154</v>
      </c>
      <c r="X2" s="217" t="s">
        <v>104</v>
      </c>
      <c r="Y2" s="133"/>
      <c r="Z2" s="424" t="s">
        <v>152</v>
      </c>
      <c r="AA2" s="458" t="s">
        <v>108</v>
      </c>
      <c r="AB2" s="458" t="s">
        <v>197</v>
      </c>
      <c r="AC2" s="508" t="s">
        <v>141</v>
      </c>
      <c r="AD2" s="179" t="s">
        <v>4</v>
      </c>
      <c r="AE2" s="179" t="s">
        <v>3</v>
      </c>
      <c r="AF2" s="68"/>
      <c r="AG2" s="299" t="s">
        <v>2</v>
      </c>
      <c r="AH2" s="309" t="s">
        <v>3</v>
      </c>
      <c r="AI2" s="308" t="s">
        <v>156</v>
      </c>
      <c r="AJ2" s="99" t="s">
        <v>5</v>
      </c>
      <c r="AK2" s="310"/>
      <c r="AL2" s="690"/>
      <c r="AM2" s="86"/>
      <c r="AN2" s="667"/>
      <c r="AO2" s="399"/>
      <c r="AP2" s="692"/>
      <c r="AQ2" s="671"/>
      <c r="AR2" s="86"/>
      <c r="AS2" s="181" t="s">
        <v>21</v>
      </c>
      <c r="AT2" s="294" t="s">
        <v>22</v>
      </c>
      <c r="AU2" s="295" t="s">
        <v>23</v>
      </c>
      <c r="AV2" s="365" t="s">
        <v>24</v>
      </c>
      <c r="AW2" s="263" t="s">
        <v>187</v>
      </c>
      <c r="AX2" s="374" t="s">
        <v>188</v>
      </c>
      <c r="AY2" s="371" t="s">
        <v>124</v>
      </c>
      <c r="AZ2" s="6"/>
      <c r="BA2" s="181" t="s">
        <v>21</v>
      </c>
      <c r="BB2" s="294" t="s">
        <v>22</v>
      </c>
      <c r="BC2" s="295" t="s">
        <v>23</v>
      </c>
      <c r="BD2" s="365" t="s">
        <v>24</v>
      </c>
      <c r="BE2" s="67"/>
      <c r="BF2" s="181" t="s">
        <v>21</v>
      </c>
      <c r="BG2" s="294" t="s">
        <v>25</v>
      </c>
      <c r="BH2" s="365" t="s">
        <v>24</v>
      </c>
      <c r="BI2" s="179" t="s">
        <v>7</v>
      </c>
      <c r="BJ2" s="419" t="s">
        <v>196</v>
      </c>
      <c r="BK2" s="88"/>
      <c r="BL2" s="78"/>
    </row>
    <row r="3" spans="1:64" ht="1.5" customHeight="1" x14ac:dyDescent="0.2">
      <c r="A3" s="67"/>
      <c r="B3" s="128"/>
      <c r="C3" s="283"/>
      <c r="D3" s="67"/>
      <c r="E3" s="68"/>
      <c r="F3" s="68"/>
      <c r="G3" s="68"/>
      <c r="H3" s="68"/>
      <c r="I3" s="68"/>
      <c r="J3" s="6"/>
      <c r="K3" s="68"/>
      <c r="L3" s="68"/>
      <c r="M3" s="68"/>
      <c r="N3" s="84"/>
      <c r="O3" s="20"/>
      <c r="P3" s="257"/>
      <c r="Q3" s="68"/>
      <c r="R3" s="68"/>
      <c r="S3" s="68"/>
      <c r="T3" s="67"/>
      <c r="U3" s="63"/>
      <c r="V3" s="63"/>
      <c r="W3" s="63"/>
      <c r="X3" s="63"/>
      <c r="Y3" s="67"/>
      <c r="Z3" s="425"/>
      <c r="AA3" s="500"/>
      <c r="AB3" s="500"/>
      <c r="AC3" s="509"/>
      <c r="AD3" s="63"/>
      <c r="AE3" s="63"/>
      <c r="AF3" s="67"/>
      <c r="AG3" s="63"/>
      <c r="AH3" s="63"/>
      <c r="AI3" s="63"/>
      <c r="AJ3" s="63"/>
      <c r="AK3" s="67"/>
      <c r="AL3" s="132"/>
      <c r="AM3" s="6"/>
      <c r="AN3" s="67"/>
      <c r="AO3" s="88"/>
      <c r="AP3" s="63"/>
      <c r="AQ3" s="63"/>
      <c r="AR3" s="67"/>
      <c r="AS3" s="67"/>
      <c r="AT3" s="67"/>
      <c r="AU3" s="67"/>
      <c r="AV3" s="366"/>
      <c r="AW3" s="67"/>
      <c r="AX3" s="375"/>
      <c r="AY3" s="372"/>
      <c r="AZ3" s="6"/>
      <c r="BA3" s="67"/>
      <c r="BB3" s="67"/>
      <c r="BC3" s="6"/>
      <c r="BD3" s="366"/>
      <c r="BE3" s="67"/>
      <c r="BF3" s="67"/>
      <c r="BG3" s="67"/>
      <c r="BH3" s="366"/>
      <c r="BI3" s="6"/>
      <c r="BJ3" s="87"/>
      <c r="BK3" s="88"/>
      <c r="BL3" s="78"/>
    </row>
    <row r="4" spans="1:64" ht="12.75" customHeight="1" x14ac:dyDescent="0.2">
      <c r="A4" s="433">
        <v>1</v>
      </c>
      <c r="B4" s="131">
        <v>3.1</v>
      </c>
      <c r="C4" s="282">
        <f>IF(ISBLANK(G4),"",G4)</f>
        <v>4.4000000000000004</v>
      </c>
      <c r="D4" s="824" t="s">
        <v>220</v>
      </c>
      <c r="E4" s="121">
        <v>1</v>
      </c>
      <c r="F4" s="23">
        <v>2.5</v>
      </c>
      <c r="G4" s="23">
        <v>4.4000000000000004</v>
      </c>
      <c r="H4" s="553">
        <v>3.4</v>
      </c>
      <c r="I4" s="23">
        <f t="shared" ref="I4:I34" si="0">IF(ISBLANK(G4),"",G4-F4)</f>
        <v>1.9000000000000004</v>
      </c>
      <c r="J4" s="6">
        <f t="shared" ref="J4:J34" si="1">IF(C4=G4,0,1)</f>
        <v>0</v>
      </c>
      <c r="K4" s="24">
        <v>75</v>
      </c>
      <c r="L4" s="24">
        <v>88</v>
      </c>
      <c r="M4" s="554">
        <v>82</v>
      </c>
      <c r="N4" s="24">
        <f t="shared" ref="N4:N34" si="2">IF(ISBLANK(K4),"",L4-K4)</f>
        <v>13</v>
      </c>
      <c r="O4" s="50">
        <f t="shared" ref="O4:O34" si="3">IF(B4=F4,0,1)</f>
        <v>1</v>
      </c>
      <c r="P4" s="24">
        <v>1035</v>
      </c>
      <c r="Q4" s="24">
        <v>1039</v>
      </c>
      <c r="R4" s="24">
        <f>IF(ISBLANK(P4),"",AVERAGE(P4:Q4))</f>
        <v>1037</v>
      </c>
      <c r="S4" s="24">
        <f t="shared" ref="S4:S34" si="4">IF(ISBLANK(P4),"",Q4-P4)</f>
        <v>4</v>
      </c>
      <c r="T4" s="50">
        <v>0</v>
      </c>
      <c r="U4" s="553">
        <v>6.5</v>
      </c>
      <c r="V4" s="553">
        <v>16.600000000000001</v>
      </c>
      <c r="W4" s="553">
        <v>25.5</v>
      </c>
      <c r="X4" s="485" t="s">
        <v>105</v>
      </c>
      <c r="Y4" s="72">
        <f>IF(ISBLANK(Z4),"",IF(AQ4&lt;0.5,0,IF(Z4=0,0,IF(Z4&lt;1,1,2))))</f>
        <v>0</v>
      </c>
      <c r="Z4" s="539">
        <v>0</v>
      </c>
      <c r="AA4" s="23"/>
      <c r="AB4" s="23"/>
      <c r="AC4" s="510" t="str">
        <f t="shared" ref="AC4:AC34" si="5">IF(Z4=0,"",Z4/$Z$38)</f>
        <v/>
      </c>
      <c r="AD4" s="7" t="str">
        <f t="shared" ref="AD4:AD34" si="6">IF(Z4&lt;0.3,"",Z4/AQ4)</f>
        <v/>
      </c>
      <c r="AE4" s="485"/>
      <c r="AF4" s="54"/>
      <c r="AG4" s="553">
        <v>-0.5</v>
      </c>
      <c r="AH4" s="553">
        <v>1.3</v>
      </c>
      <c r="AI4" s="553">
        <v>0.6</v>
      </c>
      <c r="AJ4" s="7">
        <f t="shared" ref="AJ4:AJ22" si="7">IF(ISBLANK(AH4),"",AH4-AG4)</f>
        <v>1.8</v>
      </c>
      <c r="AK4" s="6"/>
      <c r="AL4" s="554" t="s">
        <v>239</v>
      </c>
      <c r="AM4" s="54"/>
      <c r="AN4" s="23" t="s">
        <v>8</v>
      </c>
      <c r="AO4" s="400"/>
      <c r="AP4" s="485">
        <v>0</v>
      </c>
      <c r="AQ4" s="485">
        <v>0</v>
      </c>
      <c r="AR4" s="134"/>
      <c r="AS4" s="26">
        <f>IF(ISBLANK(F4),"",(AVERAGE($F$4:F4)))</f>
        <v>2.5</v>
      </c>
      <c r="AT4" s="25">
        <f>IF(ISBLANK(G4),"",(AVERAGE($G$4:G4)))</f>
        <v>4.4000000000000004</v>
      </c>
      <c r="AU4" s="25">
        <f>IF(ISBLANK(H4),"",(AVERAGE($H$4:H4)))</f>
        <v>3.4</v>
      </c>
      <c r="AV4" s="367">
        <f>IF(ISBLANK(G4),"",(AVERAGE($I$4:I4)))</f>
        <v>1.9000000000000004</v>
      </c>
      <c r="AW4" s="22">
        <f>IF(ISBLANK(M4),"",AVERAGE($M$4:M4))</f>
        <v>82</v>
      </c>
      <c r="AX4" s="376">
        <f>IF(ISBLANK(P4),"",(AVERAGE($R$4:R4)))</f>
        <v>1037</v>
      </c>
      <c r="AY4" s="368">
        <f>IF(ISBLANK(U4),"",(AVERAGE($U$4:U4)))</f>
        <v>6.5</v>
      </c>
      <c r="AZ4" s="6"/>
      <c r="BA4" s="25">
        <f>IF(ISBLANK(F4),"",F4-F91)</f>
        <v>-0.125</v>
      </c>
      <c r="BB4" s="25">
        <f>IF(ISBLANK(G4),"",G4-G91)</f>
        <v>-4.4937500000000004</v>
      </c>
      <c r="BC4" s="25">
        <f>IF(ISBLANK(G4),"",AVERAGE(BA4:BB4))</f>
        <v>-2.3093750000000002</v>
      </c>
      <c r="BD4" s="367">
        <f>IF(ISBLANK(G4),"",BB4-BA4)</f>
        <v>-4.3687500000000004</v>
      </c>
      <c r="BE4" s="67"/>
      <c r="BF4" s="25">
        <f>IF(ISBLANK(F4),"",AS4-AVERAGE($F$91:F91))</f>
        <v>-0.125</v>
      </c>
      <c r="BG4" s="25">
        <f>IF(ISBLANK(G4),"",AT4-AVERAGE($G$91:G91))</f>
        <v>-4.4937500000000004</v>
      </c>
      <c r="BH4" s="367">
        <f>IF(ISBLANK(G4),"",BG4-BF4)</f>
        <v>-4.3687500000000004</v>
      </c>
      <c r="BI4" s="115">
        <f t="shared" ref="BI4:BI33" si="8">IF(ISBLANK(Z4),"",AB91/AA91)</f>
        <v>0</v>
      </c>
      <c r="BJ4" s="115">
        <f t="shared" ref="BJ4:BJ34" si="9">IF(ISBLANK(AP4),"",AG91/AH91)</f>
        <v>0</v>
      </c>
      <c r="BK4" s="402"/>
      <c r="BL4" s="572">
        <v>1</v>
      </c>
    </row>
    <row r="5" spans="1:64" ht="12.75" customHeight="1" x14ac:dyDescent="0.2">
      <c r="A5" s="394">
        <f t="shared" ref="A5:A33" si="10">SUM(A4+1)</f>
        <v>2</v>
      </c>
      <c r="B5" s="131">
        <v>2.2000000000000002</v>
      </c>
      <c r="C5" s="282">
        <f t="shared" ref="C5:C34" si="11">IF(ISBLANK(G5),"",G5)</f>
        <v>6.6</v>
      </c>
      <c r="D5" s="824"/>
      <c r="E5" s="97">
        <f t="shared" ref="E5:E33" si="12">SUM(E4+1)</f>
        <v>2</v>
      </c>
      <c r="F5" s="23">
        <v>0.1</v>
      </c>
      <c r="G5" s="23">
        <v>6.6</v>
      </c>
      <c r="H5" s="553">
        <v>3.4</v>
      </c>
      <c r="I5" s="23">
        <f t="shared" si="0"/>
        <v>6.5</v>
      </c>
      <c r="J5" s="6">
        <f t="shared" si="1"/>
        <v>0</v>
      </c>
      <c r="K5" s="24">
        <v>69</v>
      </c>
      <c r="L5" s="24">
        <v>87</v>
      </c>
      <c r="M5" s="554">
        <v>80</v>
      </c>
      <c r="N5" s="24">
        <f t="shared" si="2"/>
        <v>18</v>
      </c>
      <c r="O5" s="50">
        <f t="shared" si="3"/>
        <v>1</v>
      </c>
      <c r="P5" s="24">
        <v>1035</v>
      </c>
      <c r="Q5" s="24">
        <v>1038</v>
      </c>
      <c r="R5" s="24">
        <f t="shared" ref="R5:R34" si="13">IF(ISBLANK(P5),"",AVERAGE(P5:Q5))</f>
        <v>1036.5</v>
      </c>
      <c r="S5" s="24">
        <f t="shared" si="4"/>
        <v>3</v>
      </c>
      <c r="T5" s="50">
        <v>0</v>
      </c>
      <c r="U5" s="553">
        <v>7.2</v>
      </c>
      <c r="V5" s="553">
        <v>14.7</v>
      </c>
      <c r="W5" s="553">
        <v>19.7</v>
      </c>
      <c r="X5" s="555" t="s">
        <v>105</v>
      </c>
      <c r="Y5" s="72">
        <f t="shared" ref="Y5:Y34" si="14">IF(ISBLANK(Z5),"",IF(AQ5&lt;0.5,0,IF(Z5=0,0,IF(Z5&lt;1,1,2))))</f>
        <v>0</v>
      </c>
      <c r="Z5" s="539">
        <v>0</v>
      </c>
      <c r="AA5" s="23"/>
      <c r="AB5" s="23"/>
      <c r="AC5" s="510" t="str">
        <f t="shared" si="5"/>
        <v/>
      </c>
      <c r="AD5" s="7" t="str">
        <f t="shared" si="6"/>
        <v/>
      </c>
      <c r="AE5" s="485"/>
      <c r="AF5" s="72"/>
      <c r="AG5" s="553">
        <v>-1.9</v>
      </c>
      <c r="AH5" s="553">
        <v>1.7</v>
      </c>
      <c r="AI5" s="553">
        <v>0.2</v>
      </c>
      <c r="AJ5" s="7">
        <f t="shared" si="7"/>
        <v>3.5999999999999996</v>
      </c>
      <c r="AK5" s="6"/>
      <c r="AL5" s="485" t="s">
        <v>416</v>
      </c>
      <c r="AM5" s="54"/>
      <c r="AN5" s="23" t="s">
        <v>8</v>
      </c>
      <c r="AO5" s="400"/>
      <c r="AP5" s="485">
        <v>4</v>
      </c>
      <c r="AQ5" s="485">
        <v>0</v>
      </c>
      <c r="AR5" s="134"/>
      <c r="AS5" s="26">
        <f>IF(ISBLANK(F5),"",(AVERAGE($F$4:F5)))</f>
        <v>1.3</v>
      </c>
      <c r="AT5" s="26">
        <f>IF(ISBLANK(G5),"",(AVERAGE($G$4:G5)))</f>
        <v>5.5</v>
      </c>
      <c r="AU5" s="25">
        <f>IF(ISBLANK(H5),"",(AVERAGE($H$4:H5)))</f>
        <v>3.4</v>
      </c>
      <c r="AV5" s="368">
        <f>IF(ISBLANK(G5),"",(AVERAGE($I$4:I5)))</f>
        <v>4.2</v>
      </c>
      <c r="AW5" s="22">
        <f>IF(ISBLANK(M5),"",AVERAGE($M$4:M5))</f>
        <v>81</v>
      </c>
      <c r="AX5" s="376">
        <f>IF(ISBLANK(P5),"",(AVERAGE($R$4:R5)))</f>
        <v>1036.75</v>
      </c>
      <c r="AY5" s="368">
        <f>IF(ISBLANK(U5),"",(AVERAGE($U$4:U5)))</f>
        <v>6.85</v>
      </c>
      <c r="AZ5" s="6"/>
      <c r="BA5" s="25">
        <f t="shared" ref="BA5:BA34" si="15">IF(ISBLANK(F5),"",F5-F92)</f>
        <v>-2.5499999999999998</v>
      </c>
      <c r="BB5" s="25">
        <f t="shared" ref="BB5:BB34" si="16">IF(ISBLANK(G5),"",G5-G92)</f>
        <v>-2.3875000000000011</v>
      </c>
      <c r="BC5" s="25">
        <f>IF(ISBLANK(G5),"",AVERAGE(BA5:BB5))</f>
        <v>-2.4687500000000004</v>
      </c>
      <c r="BD5" s="367">
        <f>IF(ISBLANK(G5),"",BB5-BA5)</f>
        <v>0.16249999999999876</v>
      </c>
      <c r="BE5" s="72"/>
      <c r="BF5" s="25">
        <f>IF(ISBLANK(F5),"",AS5-AVERAGE($F$91:F92))</f>
        <v>-1.3375000000000001</v>
      </c>
      <c r="BG5" s="25">
        <f>IF(ISBLANK(G5),"",AT5-AVERAGE($G$91:G92))</f>
        <v>-3.4406250000000007</v>
      </c>
      <c r="BH5" s="367">
        <f t="shared" ref="BH5:BH10" si="17">IF(ISBLANK(G5),"",BG5-BF5)</f>
        <v>-2.1031250000000004</v>
      </c>
      <c r="BI5" s="115">
        <f t="shared" si="8"/>
        <v>0</v>
      </c>
      <c r="BJ5" s="115">
        <f t="shared" si="9"/>
        <v>0.64467779210086951</v>
      </c>
      <c r="BK5" s="420"/>
      <c r="BL5" s="572">
        <v>2</v>
      </c>
    </row>
    <row r="6" spans="1:64" ht="12.75" customHeight="1" x14ac:dyDescent="0.2">
      <c r="A6" s="394">
        <f t="shared" si="10"/>
        <v>3</v>
      </c>
      <c r="B6" s="131">
        <f t="shared" ref="B6:B34" si="18">IF(ISBLANK(F6),"",F6)</f>
        <v>-0.1</v>
      </c>
      <c r="C6" s="282">
        <f t="shared" si="11"/>
        <v>4</v>
      </c>
      <c r="D6" s="824"/>
      <c r="E6" s="97">
        <f t="shared" si="12"/>
        <v>3</v>
      </c>
      <c r="F6" s="23">
        <v>-0.1</v>
      </c>
      <c r="G6" s="23">
        <v>4</v>
      </c>
      <c r="H6" s="553">
        <v>1.8</v>
      </c>
      <c r="I6" s="23">
        <f t="shared" si="0"/>
        <v>4.0999999999999996</v>
      </c>
      <c r="J6" s="6">
        <f t="shared" si="1"/>
        <v>0</v>
      </c>
      <c r="K6" s="24">
        <v>73</v>
      </c>
      <c r="L6" s="24">
        <v>91</v>
      </c>
      <c r="M6" s="554">
        <v>83</v>
      </c>
      <c r="N6" s="24">
        <f t="shared" si="2"/>
        <v>18</v>
      </c>
      <c r="O6" s="50">
        <f t="shared" si="3"/>
        <v>0</v>
      </c>
      <c r="P6" s="24">
        <v>1034</v>
      </c>
      <c r="Q6" s="24">
        <v>1035</v>
      </c>
      <c r="R6" s="24">
        <f t="shared" si="13"/>
        <v>1034.5</v>
      </c>
      <c r="S6" s="24">
        <f t="shared" si="4"/>
        <v>1</v>
      </c>
      <c r="T6" s="50">
        <v>0</v>
      </c>
      <c r="U6" s="553">
        <v>7</v>
      </c>
      <c r="V6" s="553">
        <v>14.7</v>
      </c>
      <c r="W6" s="553">
        <v>23.7</v>
      </c>
      <c r="X6" s="485" t="s">
        <v>105</v>
      </c>
      <c r="Y6" s="72">
        <f t="shared" si="14"/>
        <v>0</v>
      </c>
      <c r="Z6" s="539">
        <v>0</v>
      </c>
      <c r="AA6" s="23"/>
      <c r="AB6" s="23"/>
      <c r="AC6" s="510" t="str">
        <f t="shared" si="5"/>
        <v/>
      </c>
      <c r="AD6" s="7" t="str">
        <f t="shared" si="6"/>
        <v/>
      </c>
      <c r="AE6" s="485"/>
      <c r="AF6" s="72"/>
      <c r="AG6" s="553">
        <v>-2</v>
      </c>
      <c r="AH6" s="553">
        <v>0.9</v>
      </c>
      <c r="AI6" s="553">
        <v>-0.8</v>
      </c>
      <c r="AJ6" s="7">
        <f t="shared" si="7"/>
        <v>2.9</v>
      </c>
      <c r="AK6" s="6"/>
      <c r="AL6" s="485" t="s">
        <v>335</v>
      </c>
      <c r="AM6" s="54"/>
      <c r="AN6" s="47" t="s">
        <v>214</v>
      </c>
      <c r="AO6" s="400"/>
      <c r="AP6" s="485">
        <v>2</v>
      </c>
      <c r="AQ6" s="485">
        <v>0</v>
      </c>
      <c r="AR6" s="134"/>
      <c r="AS6" s="26">
        <f>IF(ISBLANK(F6),"",(AVERAGE($F$4:F6)))</f>
        <v>0.83333333333333337</v>
      </c>
      <c r="AT6" s="26">
        <f>IF(ISBLANK(G6),"",(AVERAGE($G$4:G6)))</f>
        <v>5</v>
      </c>
      <c r="AU6" s="25">
        <f>IF(ISBLANK(H6),"",(AVERAGE($H$4:H6)))</f>
        <v>2.8666666666666667</v>
      </c>
      <c r="AV6" s="368">
        <f>IF(ISBLANK(G6),"",(AVERAGE($I$4:I6)))</f>
        <v>4.166666666666667</v>
      </c>
      <c r="AW6" s="22">
        <f>IF(ISBLANK(M6),"",AVERAGE($M$4:M6))</f>
        <v>81.666666666666671</v>
      </c>
      <c r="AX6" s="376">
        <f>IF(ISBLANK(P6),"",(AVERAGE($R$4:R6)))</f>
        <v>1036</v>
      </c>
      <c r="AY6" s="368">
        <f>IF(ISBLANK(U6),"",(AVERAGE($U$4:U6)))</f>
        <v>6.8999999999999995</v>
      </c>
      <c r="AZ6" s="6"/>
      <c r="BA6" s="25">
        <f t="shared" si="15"/>
        <v>-2.7749999999999999</v>
      </c>
      <c r="BB6" s="25">
        <f t="shared" si="16"/>
        <v>-5.0812500000000007</v>
      </c>
      <c r="BC6" s="25">
        <f>IF(ISBLANK(G6),"",AVERAGE(BA6:BB6))</f>
        <v>-3.9281250000000005</v>
      </c>
      <c r="BD6" s="367">
        <f t="shared" ref="BD6:BD34" si="19">IF(ISBLANK(G6),"",BB6-BA6)</f>
        <v>-2.3062500000000008</v>
      </c>
      <c r="BE6" s="72"/>
      <c r="BF6" s="25">
        <f>IF(ISBLANK(F6),"",AS6-AVERAGE($F$91:F93))</f>
        <v>-1.8166666666666664</v>
      </c>
      <c r="BG6" s="25">
        <f>IF(ISBLANK(G6),"",AT6-AVERAGE($G$91:G93))</f>
        <v>-3.9875000000000007</v>
      </c>
      <c r="BH6" s="367">
        <f t="shared" si="17"/>
        <v>-2.1708333333333343</v>
      </c>
      <c r="BI6" s="115">
        <f t="shared" si="8"/>
        <v>0</v>
      </c>
      <c r="BJ6" s="115">
        <f t="shared" si="9"/>
        <v>0.64267527219883192</v>
      </c>
      <c r="BK6" s="402"/>
      <c r="BL6" s="572">
        <v>3</v>
      </c>
    </row>
    <row r="7" spans="1:64" ht="12.75" customHeight="1" x14ac:dyDescent="0.2">
      <c r="A7" s="394">
        <f t="shared" si="10"/>
        <v>4</v>
      </c>
      <c r="B7" s="131">
        <f t="shared" si="18"/>
        <v>0.6</v>
      </c>
      <c r="C7" s="282">
        <f t="shared" si="11"/>
        <v>6.5</v>
      </c>
      <c r="D7" s="824"/>
      <c r="E7" s="97">
        <f t="shared" si="12"/>
        <v>4</v>
      </c>
      <c r="F7" s="23">
        <v>0.6</v>
      </c>
      <c r="G7" s="23">
        <v>6.5</v>
      </c>
      <c r="H7" s="553">
        <v>2.9</v>
      </c>
      <c r="I7" s="23">
        <f t="shared" si="0"/>
        <v>5.9</v>
      </c>
      <c r="J7" s="6">
        <f t="shared" si="1"/>
        <v>0</v>
      </c>
      <c r="K7" s="24">
        <v>64</v>
      </c>
      <c r="L7" s="24">
        <v>82</v>
      </c>
      <c r="M7" s="554">
        <v>76</v>
      </c>
      <c r="N7" s="24">
        <f t="shared" si="2"/>
        <v>18</v>
      </c>
      <c r="O7" s="50">
        <f t="shared" si="3"/>
        <v>0</v>
      </c>
      <c r="P7" s="24">
        <v>1031</v>
      </c>
      <c r="Q7" s="24">
        <v>1035</v>
      </c>
      <c r="R7" s="24">
        <f t="shared" si="13"/>
        <v>1033</v>
      </c>
      <c r="S7" s="24">
        <f t="shared" si="4"/>
        <v>4</v>
      </c>
      <c r="T7" s="50">
        <v>0</v>
      </c>
      <c r="U7" s="553">
        <v>4.4000000000000004</v>
      </c>
      <c r="V7" s="553">
        <v>12.3</v>
      </c>
      <c r="W7" s="553">
        <v>16.8</v>
      </c>
      <c r="X7" s="485" t="s">
        <v>105</v>
      </c>
      <c r="Y7" s="72">
        <f t="shared" si="14"/>
        <v>0</v>
      </c>
      <c r="Z7" s="539">
        <v>0</v>
      </c>
      <c r="AA7" s="23"/>
      <c r="AB7" s="23"/>
      <c r="AC7" s="510" t="str">
        <f t="shared" si="5"/>
        <v/>
      </c>
      <c r="AD7" s="7" t="str">
        <f t="shared" si="6"/>
        <v/>
      </c>
      <c r="AE7" s="485"/>
      <c r="AF7" s="72"/>
      <c r="AG7" s="553">
        <v>-2.4</v>
      </c>
      <c r="AH7" s="553">
        <v>0.6</v>
      </c>
      <c r="AI7" s="553">
        <v>-1.1000000000000001</v>
      </c>
      <c r="AJ7" s="7">
        <f t="shared" si="7"/>
        <v>3</v>
      </c>
      <c r="AK7" s="6"/>
      <c r="AL7" s="485" t="s">
        <v>336</v>
      </c>
      <c r="AM7" s="54"/>
      <c r="AN7" s="23" t="s">
        <v>8</v>
      </c>
      <c r="AO7" s="400"/>
      <c r="AP7" s="485">
        <v>5.5</v>
      </c>
      <c r="AQ7" s="485">
        <v>0</v>
      </c>
      <c r="AR7" s="134"/>
      <c r="AS7" s="26">
        <f>IF(ISBLANK(F7),"",(AVERAGE($F$4:F7)))</f>
        <v>0.77500000000000002</v>
      </c>
      <c r="AT7" s="26">
        <f>IF(ISBLANK(G7),"",(AVERAGE($G$4:G7)))</f>
        <v>5.375</v>
      </c>
      <c r="AU7" s="25">
        <f>IF(ISBLANK(H7),"",(AVERAGE($H$4:H7)))</f>
        <v>2.875</v>
      </c>
      <c r="AV7" s="368">
        <f>IF(ISBLANK(G7),"",(AVERAGE($I$4:I7)))</f>
        <v>4.5999999999999996</v>
      </c>
      <c r="AW7" s="22">
        <f>IF(ISBLANK(M7),"",AVERAGE($M$4:M7))</f>
        <v>80.25</v>
      </c>
      <c r="AX7" s="376">
        <f>IF(ISBLANK(P7),"",(AVERAGE($R$4:R7)))</f>
        <v>1035.25</v>
      </c>
      <c r="AY7" s="368">
        <f>IF(ISBLANK(U7),"",(AVERAGE($U$4:U7)))</f>
        <v>6.2750000000000004</v>
      </c>
      <c r="AZ7" s="6"/>
      <c r="BA7" s="25">
        <f t="shared" si="15"/>
        <v>-2.1</v>
      </c>
      <c r="BB7" s="25">
        <f t="shared" si="16"/>
        <v>-2.6750000000000007</v>
      </c>
      <c r="BC7" s="25">
        <f t="shared" ref="BC7:BC34" si="20">IF(ISBLANK(G7),"",AVERAGE(BA7:BB7))</f>
        <v>-2.3875000000000002</v>
      </c>
      <c r="BD7" s="367">
        <f t="shared" si="19"/>
        <v>-0.57500000000000062</v>
      </c>
      <c r="BE7" s="72"/>
      <c r="BF7" s="25">
        <f>IF(ISBLANK(F7),"",AS7-AVERAGE($F$91:F94))</f>
        <v>-1.8875000000000002</v>
      </c>
      <c r="BG7" s="25">
        <f>IF(ISBLANK(G7),"",AT7-AVERAGE($G$91:G94))</f>
        <v>-3.6593750000000007</v>
      </c>
      <c r="BH7" s="367">
        <f t="shared" si="17"/>
        <v>-1.7718750000000005</v>
      </c>
      <c r="BI7" s="115">
        <f t="shared" si="8"/>
        <v>0</v>
      </c>
      <c r="BJ7" s="115">
        <f t="shared" si="9"/>
        <v>0.92097975631934337</v>
      </c>
      <c r="BK7" s="402"/>
      <c r="BL7" s="572">
        <v>4</v>
      </c>
    </row>
    <row r="8" spans="1:64" ht="12.75" customHeight="1" x14ac:dyDescent="0.2">
      <c r="A8" s="394">
        <f t="shared" si="10"/>
        <v>5</v>
      </c>
      <c r="B8" s="131">
        <f t="shared" si="18"/>
        <v>0.7</v>
      </c>
      <c r="C8" s="282">
        <f t="shared" si="11"/>
        <v>7.3</v>
      </c>
      <c r="D8" s="824"/>
      <c r="E8" s="97">
        <f t="shared" si="12"/>
        <v>5</v>
      </c>
      <c r="F8" s="23">
        <v>0.7</v>
      </c>
      <c r="G8" s="23">
        <v>7.3</v>
      </c>
      <c r="H8" s="553">
        <v>3.8</v>
      </c>
      <c r="I8" s="23">
        <f t="shared" si="0"/>
        <v>6.6</v>
      </c>
      <c r="J8" s="6">
        <f t="shared" si="1"/>
        <v>0</v>
      </c>
      <c r="K8" s="24">
        <v>69</v>
      </c>
      <c r="L8" s="24">
        <v>90</v>
      </c>
      <c r="M8" s="554">
        <v>81</v>
      </c>
      <c r="N8" s="24">
        <f t="shared" si="2"/>
        <v>21</v>
      </c>
      <c r="O8" s="50">
        <f t="shared" si="3"/>
        <v>0</v>
      </c>
      <c r="P8" s="24">
        <v>1029</v>
      </c>
      <c r="Q8" s="24">
        <v>1032</v>
      </c>
      <c r="R8" s="24">
        <f t="shared" si="13"/>
        <v>1030.5</v>
      </c>
      <c r="S8" s="24">
        <f t="shared" si="4"/>
        <v>3</v>
      </c>
      <c r="T8" s="50">
        <v>0</v>
      </c>
      <c r="U8" s="553">
        <v>5.2</v>
      </c>
      <c r="V8" s="553">
        <v>13.8</v>
      </c>
      <c r="W8" s="553">
        <v>20.399999999999999</v>
      </c>
      <c r="X8" s="485" t="s">
        <v>105</v>
      </c>
      <c r="Y8" s="72">
        <f t="shared" si="14"/>
        <v>0</v>
      </c>
      <c r="Z8" s="539">
        <v>0.1</v>
      </c>
      <c r="AA8" s="23"/>
      <c r="AB8" s="23"/>
      <c r="AC8" s="510">
        <f t="shared" si="5"/>
        <v>9.0090090090090089E-3</v>
      </c>
      <c r="AD8" s="7" t="str">
        <f t="shared" si="6"/>
        <v/>
      </c>
      <c r="AE8" s="485"/>
      <c r="AF8" s="72"/>
      <c r="AG8" s="553">
        <v>-1.4</v>
      </c>
      <c r="AH8" s="553">
        <v>4.0999999999999996</v>
      </c>
      <c r="AI8" s="553">
        <v>0.9</v>
      </c>
      <c r="AJ8" s="7">
        <f t="shared" si="7"/>
        <v>5.5</v>
      </c>
      <c r="AK8" s="6"/>
      <c r="AL8" s="485" t="s">
        <v>419</v>
      </c>
      <c r="AM8" s="54"/>
      <c r="AN8" s="302" t="s">
        <v>420</v>
      </c>
      <c r="AO8" s="400"/>
      <c r="AP8" s="485">
        <v>1</v>
      </c>
      <c r="AQ8" s="485">
        <v>0.3</v>
      </c>
      <c r="AR8" s="134"/>
      <c r="AS8" s="26">
        <f>IF(ISBLANK(F8),"",(AVERAGE($F$4:F8)))</f>
        <v>0.76</v>
      </c>
      <c r="AT8" s="26">
        <f>IF(ISBLANK(G8),"",(AVERAGE($G$4:G8)))</f>
        <v>5.76</v>
      </c>
      <c r="AU8" s="25">
        <f>IF(ISBLANK(H8),"",(AVERAGE($H$4:H8)))</f>
        <v>3.06</v>
      </c>
      <c r="AV8" s="368">
        <f>IF(ISBLANK(G8),"",(AVERAGE($I$4:I8)))</f>
        <v>5</v>
      </c>
      <c r="AW8" s="22">
        <f>IF(ISBLANK(M8),"",AVERAGE($M$4:M8))</f>
        <v>80.400000000000006</v>
      </c>
      <c r="AX8" s="376">
        <f>IF(ISBLANK(P8),"",(AVERAGE($R$4:R8)))</f>
        <v>1034.3</v>
      </c>
      <c r="AY8" s="368">
        <f>IF(ISBLANK(U8),"",(AVERAGE($U$4:U8)))</f>
        <v>6.0600000000000005</v>
      </c>
      <c r="AZ8" s="6"/>
      <c r="BA8" s="25">
        <f t="shared" si="15"/>
        <v>-2.0499999999999998</v>
      </c>
      <c r="BB8" s="25">
        <f t="shared" si="16"/>
        <v>-2.0625000000000009</v>
      </c>
      <c r="BC8" s="25">
        <f t="shared" si="20"/>
        <v>-2.0562500000000004</v>
      </c>
      <c r="BD8" s="367">
        <f t="shared" si="19"/>
        <v>-1.2500000000001066E-2</v>
      </c>
      <c r="BE8" s="72"/>
      <c r="BF8" s="25">
        <f>IF(ISBLANK(F8),"",AS8-AVERAGE($F$91:F95))</f>
        <v>-1.9200000000000002</v>
      </c>
      <c r="BG8" s="25">
        <f>IF(ISBLANK(G8),"",AT8-AVERAGE($G$91:G95))</f>
        <v>-3.34</v>
      </c>
      <c r="BH8" s="367">
        <f t="shared" si="17"/>
        <v>-1.4199999999999997</v>
      </c>
      <c r="BI8" s="115">
        <f t="shared" si="8"/>
        <v>1.215686274509804E-2</v>
      </c>
      <c r="BJ8" s="115">
        <f t="shared" si="9"/>
        <v>0.79837100447393239</v>
      </c>
      <c r="BK8" s="420"/>
      <c r="BL8" s="572">
        <v>5</v>
      </c>
    </row>
    <row r="9" spans="1:64" ht="12.75" customHeight="1" x14ac:dyDescent="0.2">
      <c r="A9" s="394">
        <f t="shared" si="10"/>
        <v>6</v>
      </c>
      <c r="B9" s="131">
        <v>3.5</v>
      </c>
      <c r="C9" s="282">
        <f t="shared" si="11"/>
        <v>6</v>
      </c>
      <c r="D9" s="824"/>
      <c r="E9" s="97">
        <f t="shared" si="12"/>
        <v>6</v>
      </c>
      <c r="F9" s="23">
        <v>2.8</v>
      </c>
      <c r="G9" s="23">
        <v>6</v>
      </c>
      <c r="H9" s="553">
        <v>4.0999999999999996</v>
      </c>
      <c r="I9" s="23">
        <f t="shared" si="0"/>
        <v>3.2</v>
      </c>
      <c r="J9" s="6">
        <f t="shared" si="1"/>
        <v>0</v>
      </c>
      <c r="K9" s="24">
        <v>59</v>
      </c>
      <c r="L9" s="24">
        <v>79</v>
      </c>
      <c r="M9" s="554">
        <v>68</v>
      </c>
      <c r="N9" s="24">
        <f t="shared" si="2"/>
        <v>20</v>
      </c>
      <c r="O9" s="50">
        <f t="shared" si="3"/>
        <v>1</v>
      </c>
      <c r="P9" s="24">
        <v>1031</v>
      </c>
      <c r="Q9" s="24">
        <v>1033</v>
      </c>
      <c r="R9" s="24">
        <f t="shared" si="13"/>
        <v>1032</v>
      </c>
      <c r="S9" s="24">
        <f t="shared" si="4"/>
        <v>2</v>
      </c>
      <c r="T9" s="50">
        <v>0</v>
      </c>
      <c r="U9" s="553">
        <v>7.7</v>
      </c>
      <c r="V9" s="553">
        <v>14.5</v>
      </c>
      <c r="W9" s="553">
        <v>20.6</v>
      </c>
      <c r="X9" s="485" t="s">
        <v>106</v>
      </c>
      <c r="Y9" s="72">
        <f t="shared" si="14"/>
        <v>0</v>
      </c>
      <c r="Z9" s="539">
        <v>0</v>
      </c>
      <c r="AA9" s="23"/>
      <c r="AB9" s="23"/>
      <c r="AC9" s="510" t="str">
        <f t="shared" si="5"/>
        <v/>
      </c>
      <c r="AD9" s="7" t="str">
        <f t="shared" si="6"/>
        <v/>
      </c>
      <c r="AE9" s="485"/>
      <c r="AF9" s="72"/>
      <c r="AG9" s="553">
        <v>-2.8</v>
      </c>
      <c r="AH9" s="553">
        <v>0.8</v>
      </c>
      <c r="AI9" s="553">
        <v>-1.3</v>
      </c>
      <c r="AJ9" s="7">
        <f t="shared" si="7"/>
        <v>3.5999999999999996</v>
      </c>
      <c r="AK9" s="6"/>
      <c r="AL9" s="485" t="s">
        <v>421</v>
      </c>
      <c r="AM9" s="54"/>
      <c r="AN9" s="23" t="s">
        <v>8</v>
      </c>
      <c r="AO9" s="400"/>
      <c r="AP9" s="485">
        <v>1.5</v>
      </c>
      <c r="AQ9" s="485">
        <v>0</v>
      </c>
      <c r="AR9" s="134"/>
      <c r="AS9" s="26">
        <f>IF(ISBLANK(F9),"",(AVERAGE($F$4:F9)))</f>
        <v>1.0999999999999999</v>
      </c>
      <c r="AT9" s="26">
        <f>IF(ISBLANK(G9),"",(AVERAGE($G$4:G9)))</f>
        <v>5.8</v>
      </c>
      <c r="AU9" s="25">
        <f>IF(ISBLANK(H9),"",(AVERAGE($H$4:H9)))</f>
        <v>3.2333333333333329</v>
      </c>
      <c r="AV9" s="368">
        <f>IF(ISBLANK(G9),"",(AVERAGE($I$4:I9)))</f>
        <v>4.7</v>
      </c>
      <c r="AW9" s="22">
        <f>IF(ISBLANK(M9),"",AVERAGE($M$4:M9))</f>
        <v>78.333333333333329</v>
      </c>
      <c r="AX9" s="376">
        <f>IF(ISBLANK(P9),"",(AVERAGE($R$4:R9)))</f>
        <v>1033.9166666666667</v>
      </c>
      <c r="AY9" s="368">
        <f>IF(ISBLANK(U9),"",(AVERAGE($U$4:U9)))</f>
        <v>6.333333333333333</v>
      </c>
      <c r="AZ9" s="6"/>
      <c r="BA9" s="25">
        <f t="shared" si="15"/>
        <v>-3.8461538461539213E-2</v>
      </c>
      <c r="BB9" s="25">
        <f t="shared" si="16"/>
        <v>-3.4576923076923087</v>
      </c>
      <c r="BC9" s="25">
        <f t="shared" si="20"/>
        <v>-1.748076923076924</v>
      </c>
      <c r="BD9" s="367">
        <f t="shared" si="19"/>
        <v>-3.4192307692307695</v>
      </c>
      <c r="BE9" s="72"/>
      <c r="BF9" s="25">
        <f>IF(ISBLANK(F9),"",AS9-AVERAGE($F$91:F96))</f>
        <v>-1.6064102564102567</v>
      </c>
      <c r="BG9" s="25">
        <f>IF(ISBLANK(G9),"",AT9-AVERAGE($G$91:G96))</f>
        <v>-3.3596153846153856</v>
      </c>
      <c r="BH9" s="367">
        <f t="shared" si="17"/>
        <v>-1.7532051282051289</v>
      </c>
      <c r="BI9" s="115">
        <f t="shared" si="8"/>
        <v>1.0130718954248366E-2</v>
      </c>
      <c r="BJ9" s="115">
        <f t="shared" si="9"/>
        <v>0.74284126655510208</v>
      </c>
      <c r="BK9" s="402"/>
      <c r="BL9" s="572">
        <v>6</v>
      </c>
    </row>
    <row r="10" spans="1:64" ht="12.75" customHeight="1" x14ac:dyDescent="0.2">
      <c r="A10" s="394">
        <f t="shared" si="10"/>
        <v>7</v>
      </c>
      <c r="B10" s="131">
        <f t="shared" si="18"/>
        <v>0.7</v>
      </c>
      <c r="C10" s="282">
        <f t="shared" si="11"/>
        <v>8.6</v>
      </c>
      <c r="D10" s="824"/>
      <c r="E10" s="97">
        <f t="shared" si="12"/>
        <v>7</v>
      </c>
      <c r="F10" s="23">
        <v>0.7</v>
      </c>
      <c r="G10" s="23">
        <v>8.6</v>
      </c>
      <c r="H10" s="553">
        <v>4.3</v>
      </c>
      <c r="I10" s="23">
        <f t="shared" si="0"/>
        <v>7.8999999999999995</v>
      </c>
      <c r="J10" s="6">
        <f t="shared" si="1"/>
        <v>0</v>
      </c>
      <c r="K10" s="24">
        <v>41</v>
      </c>
      <c r="L10" s="24">
        <v>85</v>
      </c>
      <c r="M10" s="554">
        <v>63</v>
      </c>
      <c r="N10" s="24">
        <f t="shared" si="2"/>
        <v>44</v>
      </c>
      <c r="O10" s="50">
        <f t="shared" si="3"/>
        <v>0</v>
      </c>
      <c r="P10" s="24">
        <v>1025</v>
      </c>
      <c r="Q10" s="24">
        <v>1032</v>
      </c>
      <c r="R10" s="24">
        <f t="shared" si="13"/>
        <v>1028.5</v>
      </c>
      <c r="S10" s="24">
        <f t="shared" si="4"/>
        <v>7</v>
      </c>
      <c r="T10" s="50">
        <v>0</v>
      </c>
      <c r="U10" s="553">
        <v>4.5999999999999996</v>
      </c>
      <c r="V10" s="553">
        <v>11.4</v>
      </c>
      <c r="W10" s="59">
        <v>14.3</v>
      </c>
      <c r="X10" s="485" t="s">
        <v>106</v>
      </c>
      <c r="Y10" s="72">
        <f t="shared" si="14"/>
        <v>0</v>
      </c>
      <c r="Z10" s="539">
        <v>0</v>
      </c>
      <c r="AA10" s="23"/>
      <c r="AB10" s="23"/>
      <c r="AC10" s="510" t="str">
        <f t="shared" si="5"/>
        <v/>
      </c>
      <c r="AD10" s="7" t="str">
        <f t="shared" si="6"/>
        <v/>
      </c>
      <c r="AE10" s="485"/>
      <c r="AF10" s="72"/>
      <c r="AG10" s="553">
        <v>-5.9</v>
      </c>
      <c r="AH10" s="553">
        <v>1.2</v>
      </c>
      <c r="AI10" s="553">
        <v>-2.5</v>
      </c>
      <c r="AJ10" s="7">
        <f t="shared" si="7"/>
        <v>7.1000000000000005</v>
      </c>
      <c r="AK10" s="6"/>
      <c r="AL10" s="485" t="s">
        <v>238</v>
      </c>
      <c r="AM10" s="54"/>
      <c r="AN10" s="47" t="s">
        <v>253</v>
      </c>
      <c r="AO10" s="400"/>
      <c r="AP10" s="485">
        <v>10.1</v>
      </c>
      <c r="AQ10" s="485">
        <v>0</v>
      </c>
      <c r="AR10" s="134"/>
      <c r="AS10" s="26">
        <f>IF(ISBLANK(F10),"",(AVERAGE($F$4:F10)))</f>
        <v>1.0428571428571429</v>
      </c>
      <c r="AT10" s="26">
        <f>IF(ISBLANK(G10),"",(AVERAGE($G$4:G10)))</f>
        <v>6.2</v>
      </c>
      <c r="AU10" s="25">
        <f>IF(ISBLANK(H10),"",(AVERAGE($H$4:H10)))</f>
        <v>3.3857142857142857</v>
      </c>
      <c r="AV10" s="368">
        <f>IF(ISBLANK(G10),"",(AVERAGE($I$4:I10)))</f>
        <v>5.1571428571428575</v>
      </c>
      <c r="AW10" s="22">
        <f>IF(ISBLANK(M10),"",AVERAGE($M$4:M10))</f>
        <v>76.142857142857139</v>
      </c>
      <c r="AX10" s="376">
        <f>IF(ISBLANK(P10),"",(AVERAGE($R$4:R10)))</f>
        <v>1033.1428571428571</v>
      </c>
      <c r="AY10" s="368">
        <f>IF(ISBLANK(U10),"",(AVERAGE($U$4:U10)))</f>
        <v>6.0857142857142863</v>
      </c>
      <c r="AZ10" s="6"/>
      <c r="BA10" s="25">
        <f t="shared" si="15"/>
        <v>-2.2269230769230779</v>
      </c>
      <c r="BB10" s="25">
        <f t="shared" si="16"/>
        <v>-0.95288461538461711</v>
      </c>
      <c r="BC10" s="25">
        <f t="shared" si="20"/>
        <v>-1.5899038461538475</v>
      </c>
      <c r="BD10" s="367">
        <f t="shared" si="19"/>
        <v>1.2740384615384608</v>
      </c>
      <c r="BE10" s="72"/>
      <c r="BF10" s="25">
        <f>IF(ISBLANK(F10),"",AS10-AVERAGE($F$91:F97))</f>
        <v>-1.6950549450549455</v>
      </c>
      <c r="BG10" s="25">
        <f>IF(ISBLANK(G10),"",AT10-AVERAGE($G$91:G97))</f>
        <v>-3.0157967032967035</v>
      </c>
      <c r="BH10" s="367">
        <f t="shared" si="17"/>
        <v>-1.320741758241758</v>
      </c>
      <c r="BI10" s="115">
        <f t="shared" si="8"/>
        <v>8.6834733893557409E-3</v>
      </c>
      <c r="BJ10" s="115">
        <f t="shared" si="9"/>
        <v>1.092684566407079</v>
      </c>
      <c r="BK10" s="402"/>
      <c r="BL10" s="572">
        <v>7</v>
      </c>
    </row>
    <row r="11" spans="1:64" ht="12.75" customHeight="1" x14ac:dyDescent="0.2">
      <c r="A11" s="394">
        <f t="shared" si="10"/>
        <v>8</v>
      </c>
      <c r="B11" s="131">
        <f t="shared" si="18"/>
        <v>-2.6</v>
      </c>
      <c r="C11" s="282">
        <f t="shared" si="11"/>
        <v>11.4</v>
      </c>
      <c r="D11" s="824"/>
      <c r="E11" s="97">
        <f t="shared" si="12"/>
        <v>8</v>
      </c>
      <c r="F11" s="23">
        <v>-2.6</v>
      </c>
      <c r="G11" s="23">
        <v>11.4</v>
      </c>
      <c r="H11" s="553">
        <v>4.9000000000000004</v>
      </c>
      <c r="I11" s="439">
        <f t="shared" si="0"/>
        <v>14</v>
      </c>
      <c r="J11" s="442">
        <f t="shared" si="1"/>
        <v>0</v>
      </c>
      <c r="K11" s="24">
        <v>47</v>
      </c>
      <c r="L11" s="24">
        <v>89</v>
      </c>
      <c r="M11" s="554">
        <v>68</v>
      </c>
      <c r="N11" s="24">
        <f t="shared" si="2"/>
        <v>42</v>
      </c>
      <c r="O11" s="489">
        <f t="shared" si="3"/>
        <v>0</v>
      </c>
      <c r="P11" s="24">
        <v>1015</v>
      </c>
      <c r="Q11" s="24">
        <v>1025</v>
      </c>
      <c r="R11" s="24">
        <f t="shared" si="13"/>
        <v>1020</v>
      </c>
      <c r="S11" s="441">
        <f t="shared" si="4"/>
        <v>10</v>
      </c>
      <c r="T11" s="489">
        <v>0</v>
      </c>
      <c r="U11" s="553">
        <v>4.4000000000000004</v>
      </c>
      <c r="V11" s="553">
        <v>13.2</v>
      </c>
      <c r="W11" s="23">
        <v>19</v>
      </c>
      <c r="X11" s="485" t="s">
        <v>110</v>
      </c>
      <c r="Y11" s="72">
        <f t="shared" si="14"/>
        <v>0</v>
      </c>
      <c r="Z11" s="539">
        <v>0</v>
      </c>
      <c r="AA11" s="23"/>
      <c r="AB11" s="23"/>
      <c r="AC11" s="602" t="str">
        <f t="shared" si="5"/>
        <v/>
      </c>
      <c r="AD11" s="440" t="str">
        <f t="shared" si="6"/>
        <v/>
      </c>
      <c r="AE11" s="485"/>
      <c r="AF11" s="72"/>
      <c r="AG11" s="553">
        <v>-4.8</v>
      </c>
      <c r="AH11" s="553">
        <v>2.5</v>
      </c>
      <c r="AI11" s="553">
        <v>-0.8</v>
      </c>
      <c r="AJ11" s="440">
        <f t="shared" si="7"/>
        <v>7.3</v>
      </c>
      <c r="AK11" s="6"/>
      <c r="AL11" s="485" t="s">
        <v>238</v>
      </c>
      <c r="AM11" s="54"/>
      <c r="AN11" s="47" t="s">
        <v>428</v>
      </c>
      <c r="AO11" s="400"/>
      <c r="AP11" s="485">
        <v>10</v>
      </c>
      <c r="AQ11" s="485">
        <v>0</v>
      </c>
      <c r="AR11" s="134"/>
      <c r="AS11" s="26">
        <f>IF(ISBLANK(F11),"",(AVERAGE($F$4:F11)))</f>
        <v>0.58749999999999991</v>
      </c>
      <c r="AT11" s="26">
        <f>IF(ISBLANK(G11),"",(AVERAGE($G$4:G11)))</f>
        <v>6.85</v>
      </c>
      <c r="AU11" s="25">
        <f>IF(ISBLANK(H11),"",(AVERAGE($H$4:H11)))</f>
        <v>3.5750000000000002</v>
      </c>
      <c r="AV11" s="368">
        <f>IF(ISBLANK(G11),"",(AVERAGE($I$4:I11)))</f>
        <v>6.2625000000000002</v>
      </c>
      <c r="AW11" s="22">
        <f>IF(ISBLANK(M11),"",AVERAGE($M$4:M11))</f>
        <v>75.125</v>
      </c>
      <c r="AX11" s="376">
        <f>IF(ISBLANK(P11),"",(AVERAGE($R$4:R11)))</f>
        <v>1031.5</v>
      </c>
      <c r="AY11" s="368">
        <f>IF(ISBLANK(U11),"",(AVERAGE($U$4:U11)))</f>
        <v>5.875</v>
      </c>
      <c r="AZ11" s="6"/>
      <c r="BA11" s="25">
        <f t="shared" si="15"/>
        <v>-5.6153846153846168</v>
      </c>
      <c r="BB11" s="25">
        <f t="shared" si="16"/>
        <v>1.7519230769230756</v>
      </c>
      <c r="BC11" s="25">
        <f t="shared" si="20"/>
        <v>-1.9317307692307706</v>
      </c>
      <c r="BD11" s="367">
        <f t="shared" si="19"/>
        <v>7.3673076923076923</v>
      </c>
      <c r="BE11" s="72"/>
      <c r="BF11" s="25">
        <f>IF(ISBLANK(F11),"",AS11-AVERAGE($F$91:F98))</f>
        <v>-2.1850961538461542</v>
      </c>
      <c r="BG11" s="25">
        <f>IF(ISBLANK(G11),"",AT11-AVERAGE($G$91:G98))</f>
        <v>-2.4198317307692321</v>
      </c>
      <c r="BH11" s="367">
        <f t="shared" ref="BH11:BH20" si="21">IF(ISBLANK(G11),"",BG11-BF11)</f>
        <v>-0.23473557692307789</v>
      </c>
      <c r="BI11" s="115">
        <f t="shared" si="8"/>
        <v>7.5980392156862744E-3</v>
      </c>
      <c r="BJ11" s="115">
        <f t="shared" si="9"/>
        <v>1.3486490401993187</v>
      </c>
      <c r="BK11" s="420"/>
      <c r="BL11" s="572">
        <v>8</v>
      </c>
    </row>
    <row r="12" spans="1:64" ht="12.75" customHeight="1" x14ac:dyDescent="0.2">
      <c r="A12" s="394">
        <f t="shared" si="10"/>
        <v>9</v>
      </c>
      <c r="B12" s="131">
        <f t="shared" si="18"/>
        <v>4.4000000000000004</v>
      </c>
      <c r="C12" s="282">
        <f t="shared" si="11"/>
        <v>10.5</v>
      </c>
      <c r="D12" s="824"/>
      <c r="E12" s="97">
        <f t="shared" si="12"/>
        <v>9</v>
      </c>
      <c r="F12" s="23">
        <v>4.4000000000000004</v>
      </c>
      <c r="G12" s="23">
        <v>10.5</v>
      </c>
      <c r="H12" s="553">
        <v>7.7</v>
      </c>
      <c r="I12" s="23">
        <f t="shared" si="0"/>
        <v>6.1</v>
      </c>
      <c r="J12" s="6">
        <f t="shared" si="1"/>
        <v>0</v>
      </c>
      <c r="K12" s="24">
        <v>48</v>
      </c>
      <c r="L12" s="24">
        <v>81</v>
      </c>
      <c r="M12" s="554">
        <v>66</v>
      </c>
      <c r="N12" s="24">
        <f t="shared" si="2"/>
        <v>33</v>
      </c>
      <c r="O12" s="50">
        <f t="shared" si="3"/>
        <v>0</v>
      </c>
      <c r="P12" s="24">
        <v>1014</v>
      </c>
      <c r="Q12" s="24">
        <v>1017</v>
      </c>
      <c r="R12" s="24">
        <f t="shared" si="13"/>
        <v>1015.5</v>
      </c>
      <c r="S12" s="24">
        <f t="shared" si="4"/>
        <v>3</v>
      </c>
      <c r="T12" s="50">
        <v>0</v>
      </c>
      <c r="U12" s="553">
        <v>6.8</v>
      </c>
      <c r="V12" s="553">
        <v>14.5</v>
      </c>
      <c r="W12" s="59">
        <v>19.899999999999999</v>
      </c>
      <c r="X12" s="485" t="s">
        <v>114</v>
      </c>
      <c r="Y12" s="72">
        <f t="shared" si="14"/>
        <v>0</v>
      </c>
      <c r="Z12" s="539">
        <v>0</v>
      </c>
      <c r="AA12" s="23"/>
      <c r="AB12" s="23"/>
      <c r="AC12" s="510" t="str">
        <f t="shared" si="5"/>
        <v/>
      </c>
      <c r="AD12" s="7" t="str">
        <f t="shared" si="6"/>
        <v/>
      </c>
      <c r="AE12" s="485"/>
      <c r="AF12" s="72"/>
      <c r="AG12" s="553">
        <v>-0.7</v>
      </c>
      <c r="AH12" s="553">
        <v>4.7</v>
      </c>
      <c r="AI12" s="553">
        <v>1.4</v>
      </c>
      <c r="AJ12" s="7">
        <f t="shared" si="7"/>
        <v>5.4</v>
      </c>
      <c r="AK12" s="6"/>
      <c r="AL12" s="485" t="s">
        <v>429</v>
      </c>
      <c r="AM12" s="54"/>
      <c r="AN12" s="555" t="s">
        <v>8</v>
      </c>
      <c r="AO12" s="400"/>
      <c r="AP12" s="485">
        <v>3</v>
      </c>
      <c r="AQ12" s="485">
        <v>0</v>
      </c>
      <c r="AR12" s="134"/>
      <c r="AS12" s="26">
        <f>IF(ISBLANK(F12),"",(AVERAGE($F$4:F12)))</f>
        <v>1.0111111111111111</v>
      </c>
      <c r="AT12" s="26">
        <f>IF(ISBLANK(G12),"",(AVERAGE($G$4:G12)))</f>
        <v>7.2555555555555555</v>
      </c>
      <c r="AU12" s="25">
        <f>IF(ISBLANK(H12),"",(AVERAGE($H$4:H12)))</f>
        <v>4.0333333333333341</v>
      </c>
      <c r="AV12" s="368">
        <f>IF(ISBLANK(G12),"",(AVERAGE($I$4:I12)))</f>
        <v>6.2444444444444445</v>
      </c>
      <c r="AW12" s="22">
        <f>IF(ISBLANK(M12),"",AVERAGE($M$4:M12))</f>
        <v>74.111111111111114</v>
      </c>
      <c r="AX12" s="376">
        <f>IF(ISBLANK(P12),"",(AVERAGE($R$4:R12)))</f>
        <v>1029.7222222222222</v>
      </c>
      <c r="AY12" s="368">
        <f>IF(ISBLANK(U12),"",(AVERAGE($U$4:U12)))</f>
        <v>5.9777777777777779</v>
      </c>
      <c r="AZ12" s="6"/>
      <c r="BA12" s="25">
        <f t="shared" si="15"/>
        <v>1.2961538461538455</v>
      </c>
      <c r="BB12" s="25">
        <f t="shared" si="16"/>
        <v>0.75673076923076721</v>
      </c>
      <c r="BC12" s="25">
        <f t="shared" si="20"/>
        <v>1.0264423076923064</v>
      </c>
      <c r="BD12" s="367">
        <f t="shared" si="19"/>
        <v>-0.53942307692307834</v>
      </c>
      <c r="BE12" s="72"/>
      <c r="BF12" s="25">
        <f>IF(ISBLANK(F12),"",AS12-AVERAGE($F$91:F99))</f>
        <v>-1.798290598290599</v>
      </c>
      <c r="BG12" s="25">
        <f>IF(ISBLANK(G12),"",AT12-AVERAGE($G$91:G99))</f>
        <v>-2.066880341880343</v>
      </c>
      <c r="BH12" s="367">
        <f t="shared" si="21"/>
        <v>-0.26858974358974397</v>
      </c>
      <c r="BI12" s="115">
        <f t="shared" si="8"/>
        <v>6.7538126361655773E-3</v>
      </c>
      <c r="BJ12" s="115">
        <f t="shared" si="9"/>
        <v>1.30025035175689</v>
      </c>
      <c r="BK12" s="402"/>
      <c r="BL12" s="572">
        <v>9</v>
      </c>
    </row>
    <row r="13" spans="1:64" ht="12.75" customHeight="1" x14ac:dyDescent="0.2">
      <c r="A13" s="394">
        <f t="shared" si="10"/>
        <v>10</v>
      </c>
      <c r="B13" s="131">
        <f t="shared" si="18"/>
        <v>5.7</v>
      </c>
      <c r="C13" s="282">
        <f t="shared" si="11"/>
        <v>12.7</v>
      </c>
      <c r="D13" s="824"/>
      <c r="E13" s="97">
        <f t="shared" si="12"/>
        <v>10</v>
      </c>
      <c r="F13" s="23">
        <v>5.7</v>
      </c>
      <c r="G13" s="23">
        <v>12.7</v>
      </c>
      <c r="H13" s="553">
        <v>9.3000000000000007</v>
      </c>
      <c r="I13" s="23">
        <f t="shared" si="0"/>
        <v>6.9999999999999991</v>
      </c>
      <c r="J13" s="6">
        <f t="shared" si="1"/>
        <v>0</v>
      </c>
      <c r="K13" s="24">
        <v>52</v>
      </c>
      <c r="L13" s="24">
        <v>78</v>
      </c>
      <c r="M13" s="554">
        <v>68</v>
      </c>
      <c r="N13" s="24">
        <f t="shared" si="2"/>
        <v>26</v>
      </c>
      <c r="O13" s="50">
        <f t="shared" si="3"/>
        <v>0</v>
      </c>
      <c r="P13" s="24">
        <v>1009</v>
      </c>
      <c r="Q13" s="24">
        <v>1015</v>
      </c>
      <c r="R13" s="24">
        <f t="shared" si="13"/>
        <v>1012</v>
      </c>
      <c r="S13" s="24">
        <f t="shared" si="4"/>
        <v>6</v>
      </c>
      <c r="T13" s="50">
        <v>0</v>
      </c>
      <c r="U13" s="553">
        <v>9.3000000000000007</v>
      </c>
      <c r="V13" s="553">
        <v>21.9</v>
      </c>
      <c r="W13" s="59">
        <v>33.4</v>
      </c>
      <c r="X13" s="485" t="s">
        <v>114</v>
      </c>
      <c r="Y13" s="72">
        <f t="shared" si="14"/>
        <v>0</v>
      </c>
      <c r="Z13" s="539">
        <v>0</v>
      </c>
      <c r="AA13" s="23"/>
      <c r="AB13" s="23"/>
      <c r="AC13" s="510" t="str">
        <f t="shared" si="5"/>
        <v/>
      </c>
      <c r="AD13" s="7" t="str">
        <f t="shared" si="6"/>
        <v/>
      </c>
      <c r="AE13" s="485"/>
      <c r="AF13" s="72"/>
      <c r="AG13" s="553">
        <v>0.8</v>
      </c>
      <c r="AH13" s="553">
        <v>6</v>
      </c>
      <c r="AI13" s="553">
        <v>3.6</v>
      </c>
      <c r="AJ13" s="7">
        <f t="shared" si="7"/>
        <v>5.2</v>
      </c>
      <c r="AK13" s="6"/>
      <c r="AL13" s="485" t="s">
        <v>395</v>
      </c>
      <c r="AM13" s="54"/>
      <c r="AN13" s="555" t="s">
        <v>8</v>
      </c>
      <c r="AO13" s="400"/>
      <c r="AP13" s="485">
        <v>1.5</v>
      </c>
      <c r="AQ13" s="485">
        <v>0</v>
      </c>
      <c r="AR13" s="134"/>
      <c r="AS13" s="26">
        <f>IF(ISBLANK(F13),"",(AVERAGE($F$4:F13)))</f>
        <v>1.48</v>
      </c>
      <c r="AT13" s="26">
        <f>IF(ISBLANK(G13),"",(AVERAGE($G$4:G13)))</f>
        <v>7.8</v>
      </c>
      <c r="AU13" s="25">
        <f>IF(ISBLANK(H13),"",(AVERAGE($H$4:H13)))</f>
        <v>4.5600000000000005</v>
      </c>
      <c r="AV13" s="368">
        <f>IF(ISBLANK(G13),"",(AVERAGE($I$4:I13)))</f>
        <v>6.32</v>
      </c>
      <c r="AW13" s="22">
        <f>IF(ISBLANK(M13),"",AVERAGE($M$4:M13))</f>
        <v>73.5</v>
      </c>
      <c r="AX13" s="376">
        <f>IF(ISBLANK(P13),"",(AVERAGE($R$4:R13)))</f>
        <v>1027.95</v>
      </c>
      <c r="AY13" s="368">
        <f>IF(ISBLANK(U13),"",(AVERAGE($U$4:U13)))</f>
        <v>6.31</v>
      </c>
      <c r="AZ13" s="6"/>
      <c r="BA13" s="25">
        <f t="shared" si="15"/>
        <v>2.5076923076923068</v>
      </c>
      <c r="BB13" s="25">
        <f t="shared" si="16"/>
        <v>2.8615384615384585</v>
      </c>
      <c r="BC13" s="25">
        <f t="shared" si="20"/>
        <v>2.6846153846153826</v>
      </c>
      <c r="BD13" s="367">
        <f t="shared" si="19"/>
        <v>0.3538461538461517</v>
      </c>
      <c r="BE13" s="72"/>
      <c r="BF13" s="25">
        <f>IF(ISBLANK(F13),"",AS13-AVERAGE($F$91:F100))</f>
        <v>-1.3676923076923084</v>
      </c>
      <c r="BG13" s="25">
        <f>IF(ISBLANK(G13),"",AT13-AVERAGE($G$91:G100))</f>
        <v>-1.5740384615384633</v>
      </c>
      <c r="BH13" s="367">
        <f t="shared" si="21"/>
        <v>-0.20634615384615485</v>
      </c>
      <c r="BI13" s="115">
        <f t="shared" si="8"/>
        <v>6.0784313725490199E-3</v>
      </c>
      <c r="BJ13" s="115">
        <f t="shared" si="9"/>
        <v>1.2137976029048219</v>
      </c>
      <c r="BK13" s="402"/>
      <c r="BL13" s="572">
        <v>10</v>
      </c>
    </row>
    <row r="14" spans="1:64" ht="12.75" customHeight="1" x14ac:dyDescent="0.2">
      <c r="A14" s="394">
        <f t="shared" si="10"/>
        <v>11</v>
      </c>
      <c r="B14" s="131">
        <f t="shared" si="18"/>
        <v>4.5999999999999996</v>
      </c>
      <c r="C14" s="282">
        <f t="shared" si="11"/>
        <v>11.6</v>
      </c>
      <c r="D14" s="824"/>
      <c r="E14" s="97">
        <f t="shared" si="12"/>
        <v>11</v>
      </c>
      <c r="F14" s="23">
        <v>4.5999999999999996</v>
      </c>
      <c r="G14" s="23">
        <v>11.6</v>
      </c>
      <c r="H14" s="553">
        <v>8.3000000000000007</v>
      </c>
      <c r="I14" s="23">
        <f t="shared" si="0"/>
        <v>7</v>
      </c>
      <c r="J14" s="6">
        <f t="shared" si="1"/>
        <v>0</v>
      </c>
      <c r="K14" s="24">
        <v>52</v>
      </c>
      <c r="L14" s="24">
        <v>84</v>
      </c>
      <c r="M14" s="554">
        <v>69</v>
      </c>
      <c r="N14" s="24">
        <f t="shared" si="2"/>
        <v>32</v>
      </c>
      <c r="O14" s="50">
        <f t="shared" si="3"/>
        <v>0</v>
      </c>
      <c r="P14" s="24">
        <v>1010</v>
      </c>
      <c r="Q14" s="24">
        <v>1016</v>
      </c>
      <c r="R14" s="24">
        <f t="shared" si="13"/>
        <v>1013</v>
      </c>
      <c r="S14" s="24">
        <f t="shared" si="4"/>
        <v>6</v>
      </c>
      <c r="T14" s="50">
        <v>0</v>
      </c>
      <c r="U14" s="553">
        <v>6.1</v>
      </c>
      <c r="V14" s="553">
        <v>14</v>
      </c>
      <c r="W14" s="59">
        <v>19.7</v>
      </c>
      <c r="X14" s="485" t="s">
        <v>110</v>
      </c>
      <c r="Y14" s="72">
        <f t="shared" si="14"/>
        <v>0</v>
      </c>
      <c r="Z14" s="539">
        <v>0</v>
      </c>
      <c r="AA14" s="23"/>
      <c r="AB14" s="23"/>
      <c r="AC14" s="510" t="str">
        <f t="shared" si="5"/>
        <v/>
      </c>
      <c r="AD14" s="7" t="str">
        <f t="shared" si="6"/>
        <v/>
      </c>
      <c r="AE14" s="485"/>
      <c r="AF14" s="72"/>
      <c r="AG14" s="553">
        <v>1.8</v>
      </c>
      <c r="AH14" s="553">
        <v>4.2</v>
      </c>
      <c r="AI14" s="553">
        <v>2.8</v>
      </c>
      <c r="AJ14" s="7">
        <f t="shared" si="7"/>
        <v>2.4000000000000004</v>
      </c>
      <c r="AK14" s="6"/>
      <c r="AL14" s="485" t="s">
        <v>430</v>
      </c>
      <c r="AM14" s="54"/>
      <c r="AN14" s="555" t="s">
        <v>8</v>
      </c>
      <c r="AO14" s="400"/>
      <c r="AP14" s="485">
        <v>2.5</v>
      </c>
      <c r="AQ14" s="485">
        <v>0</v>
      </c>
      <c r="AR14" s="134"/>
      <c r="AS14" s="26">
        <f>IF(ISBLANK(F14),"",(AVERAGE($F$4:F14)))</f>
        <v>1.7636363636363634</v>
      </c>
      <c r="AT14" s="26">
        <f>IF(ISBLANK(G14),"",(AVERAGE($G$4:G14)))</f>
        <v>8.1454545454545446</v>
      </c>
      <c r="AU14" s="25">
        <f>IF(ISBLANK(H14),"",(AVERAGE($H$4:H14)))</f>
        <v>4.9000000000000004</v>
      </c>
      <c r="AV14" s="368">
        <f>IF(ISBLANK(G14),"",(AVERAGE($I$4:I14)))</f>
        <v>6.3818181818181818</v>
      </c>
      <c r="AW14" s="22">
        <f>IF(ISBLANK(M14),"",AVERAGE($M$4:M14))</f>
        <v>73.090909090909093</v>
      </c>
      <c r="AX14" s="376">
        <f>IF(ISBLANK(P14),"",(AVERAGE($R$4:R14)))</f>
        <v>1026.590909090909</v>
      </c>
      <c r="AY14" s="368">
        <f>IF(ISBLANK(U14),"",(AVERAGE($U$4:U14)))</f>
        <v>6.2909090909090901</v>
      </c>
      <c r="AZ14" s="6"/>
      <c r="BA14" s="25">
        <f t="shared" si="15"/>
        <v>1.3192307692307677</v>
      </c>
      <c r="BB14" s="25">
        <f t="shared" si="16"/>
        <v>1.6663461538461508</v>
      </c>
      <c r="BC14" s="25">
        <f t="shared" si="20"/>
        <v>1.4927884615384592</v>
      </c>
      <c r="BD14" s="367">
        <f t="shared" si="19"/>
        <v>0.34711538461538316</v>
      </c>
      <c r="BE14" s="72"/>
      <c r="BF14" s="25">
        <f>IF(ISBLANK(F14),"",AS14-AVERAGE($F$91:F101))</f>
        <v>-1.1234265734265743</v>
      </c>
      <c r="BG14" s="25">
        <f>IF(ISBLANK(G14),"",AT14-AVERAGE($G$91:G101))</f>
        <v>-1.2794580419580441</v>
      </c>
      <c r="BH14" s="367">
        <f t="shared" si="21"/>
        <v>-0.15603146853146987</v>
      </c>
      <c r="BI14" s="115">
        <f t="shared" si="8"/>
        <v>5.5258467023172903E-3</v>
      </c>
      <c r="BJ14" s="115">
        <f t="shared" si="9"/>
        <v>1.1713156726772607</v>
      </c>
      <c r="BK14" s="402"/>
      <c r="BL14" s="572">
        <v>11</v>
      </c>
    </row>
    <row r="15" spans="1:64" ht="12.75" customHeight="1" x14ac:dyDescent="0.2">
      <c r="A15" s="394">
        <f t="shared" si="10"/>
        <v>12</v>
      </c>
      <c r="B15" s="131">
        <f t="shared" si="18"/>
        <v>7.9</v>
      </c>
      <c r="C15" s="282">
        <f t="shared" si="11"/>
        <v>13.9</v>
      </c>
      <c r="D15" s="824"/>
      <c r="E15" s="97">
        <f t="shared" si="12"/>
        <v>12</v>
      </c>
      <c r="F15" s="23">
        <v>7.9</v>
      </c>
      <c r="G15" s="23">
        <v>13.9</v>
      </c>
      <c r="H15" s="553">
        <v>10.3</v>
      </c>
      <c r="I15" s="23">
        <f t="shared" si="0"/>
        <v>6</v>
      </c>
      <c r="J15" s="6">
        <f t="shared" si="1"/>
        <v>0</v>
      </c>
      <c r="K15" s="24">
        <v>51</v>
      </c>
      <c r="L15" s="24">
        <v>84</v>
      </c>
      <c r="M15" s="554">
        <v>66</v>
      </c>
      <c r="N15" s="24">
        <f t="shared" si="2"/>
        <v>33</v>
      </c>
      <c r="O15" s="50">
        <f t="shared" si="3"/>
        <v>0</v>
      </c>
      <c r="P15" s="24">
        <v>998</v>
      </c>
      <c r="Q15" s="24">
        <v>1010</v>
      </c>
      <c r="R15" s="24">
        <f t="shared" si="13"/>
        <v>1004</v>
      </c>
      <c r="S15" s="24">
        <f t="shared" si="4"/>
        <v>12</v>
      </c>
      <c r="T15" s="50">
        <v>0</v>
      </c>
      <c r="U15" s="553">
        <v>5</v>
      </c>
      <c r="V15" s="553">
        <v>11.8</v>
      </c>
      <c r="W15" s="59">
        <v>19.2</v>
      </c>
      <c r="X15" s="485" t="s">
        <v>111</v>
      </c>
      <c r="Y15" s="72">
        <f t="shared" si="14"/>
        <v>0</v>
      </c>
      <c r="Z15" s="539">
        <v>0.1</v>
      </c>
      <c r="AA15" s="23"/>
      <c r="AB15" s="23"/>
      <c r="AC15" s="510">
        <f t="shared" si="5"/>
        <v>9.0090090090090089E-3</v>
      </c>
      <c r="AD15" s="7" t="str">
        <f t="shared" si="6"/>
        <v/>
      </c>
      <c r="AE15" s="485"/>
      <c r="AF15" s="72"/>
      <c r="AG15" s="553">
        <v>2.9</v>
      </c>
      <c r="AH15" s="553">
        <v>6.8</v>
      </c>
      <c r="AI15" s="553">
        <v>4.0999999999999996</v>
      </c>
      <c r="AJ15" s="7">
        <f t="shared" si="7"/>
        <v>3.9</v>
      </c>
      <c r="AK15" s="6"/>
      <c r="AL15" s="485" t="s">
        <v>431</v>
      </c>
      <c r="AM15" s="54"/>
      <c r="AN15" s="566" t="s">
        <v>432</v>
      </c>
      <c r="AO15" s="400"/>
      <c r="AP15" s="485">
        <v>4</v>
      </c>
      <c r="AQ15" s="485">
        <v>0.3</v>
      </c>
      <c r="AR15" s="134"/>
      <c r="AS15" s="26">
        <f>IF(ISBLANK(F15),"",(AVERAGE($F$4:F15)))</f>
        <v>2.2749999999999999</v>
      </c>
      <c r="AT15" s="26">
        <f>IF(ISBLANK(G15),"",(AVERAGE($G$4:G15)))</f>
        <v>8.625</v>
      </c>
      <c r="AU15" s="25">
        <f>IF(ISBLANK(H15),"",(AVERAGE($H$4:H15)))</f>
        <v>5.3500000000000005</v>
      </c>
      <c r="AV15" s="368">
        <f>IF(ISBLANK(G15),"",(AVERAGE($I$4:I15)))</f>
        <v>6.3500000000000005</v>
      </c>
      <c r="AW15" s="22">
        <f>IF(ISBLANK(M15),"",AVERAGE($M$4:M15))</f>
        <v>72.5</v>
      </c>
      <c r="AX15" s="376">
        <f>IF(ISBLANK(P15),"",(AVERAGE($R$4:R15)))</f>
        <v>1024.7083333333333</v>
      </c>
      <c r="AY15" s="368">
        <f>IF(ISBLANK(U15),"",(AVERAGE($U$4:U15)))</f>
        <v>6.1833333333333327</v>
      </c>
      <c r="AZ15" s="6"/>
      <c r="BA15" s="25">
        <f t="shared" si="15"/>
        <v>4.5307692307692298</v>
      </c>
      <c r="BB15" s="25">
        <f t="shared" si="16"/>
        <v>3.8711538461538435</v>
      </c>
      <c r="BC15" s="25">
        <f t="shared" si="20"/>
        <v>4.2009615384615362</v>
      </c>
      <c r="BD15" s="367">
        <f t="shared" si="19"/>
        <v>-0.65961538461538627</v>
      </c>
      <c r="BE15" s="72"/>
      <c r="BF15" s="25">
        <f>IF(ISBLANK(F15),"",AS15-AVERAGE($F$91:F102))</f>
        <v>-0.65224358974359031</v>
      </c>
      <c r="BG15" s="25">
        <f>IF(ISBLANK(G15),"",AT15-AVERAGE($G$91:G102))</f>
        <v>-0.85024038461538609</v>
      </c>
      <c r="BH15" s="367">
        <f t="shared" si="21"/>
        <v>-0.19799679487179578</v>
      </c>
      <c r="BI15" s="115">
        <f t="shared" si="8"/>
        <v>1.0130718954248366E-2</v>
      </c>
      <c r="BJ15" s="115">
        <f t="shared" si="9"/>
        <v>1.1745959576687894</v>
      </c>
      <c r="BK15" s="402"/>
      <c r="BL15" s="572">
        <v>12</v>
      </c>
    </row>
    <row r="16" spans="1:64" ht="12.75" customHeight="1" x14ac:dyDescent="0.2">
      <c r="A16" s="394">
        <f t="shared" si="10"/>
        <v>13</v>
      </c>
      <c r="B16" s="131">
        <v>9.3000000000000007</v>
      </c>
      <c r="C16" s="282">
        <f t="shared" si="11"/>
        <v>10.6</v>
      </c>
      <c r="D16" s="824"/>
      <c r="E16" s="97">
        <f t="shared" si="12"/>
        <v>13</v>
      </c>
      <c r="F16" s="23">
        <v>1.9</v>
      </c>
      <c r="G16" s="23">
        <v>10.6</v>
      </c>
      <c r="H16" s="553">
        <v>8.6</v>
      </c>
      <c r="I16" s="23">
        <f t="shared" si="0"/>
        <v>8.6999999999999993</v>
      </c>
      <c r="J16" s="6">
        <f t="shared" si="1"/>
        <v>0</v>
      </c>
      <c r="K16" s="24">
        <v>73</v>
      </c>
      <c r="L16" s="24">
        <v>89</v>
      </c>
      <c r="M16" s="554">
        <v>83</v>
      </c>
      <c r="N16" s="24">
        <f t="shared" si="2"/>
        <v>16</v>
      </c>
      <c r="O16" s="50">
        <f t="shared" si="3"/>
        <v>1</v>
      </c>
      <c r="P16" s="24">
        <v>997</v>
      </c>
      <c r="Q16" s="24">
        <v>1010</v>
      </c>
      <c r="R16" s="24">
        <f t="shared" si="13"/>
        <v>1003.5</v>
      </c>
      <c r="S16" s="24">
        <f t="shared" si="4"/>
        <v>13</v>
      </c>
      <c r="T16" s="50">
        <v>0</v>
      </c>
      <c r="U16" s="553">
        <v>2.7</v>
      </c>
      <c r="V16" s="553">
        <v>9.8000000000000007</v>
      </c>
      <c r="W16" s="59">
        <v>13.2</v>
      </c>
      <c r="X16" s="485" t="s">
        <v>111</v>
      </c>
      <c r="Y16" s="72">
        <f t="shared" si="14"/>
        <v>1</v>
      </c>
      <c r="Z16" s="539">
        <v>0.8</v>
      </c>
      <c r="AA16" s="23">
        <v>0.8</v>
      </c>
      <c r="AB16" s="23">
        <v>0.3</v>
      </c>
      <c r="AC16" s="510">
        <f t="shared" si="5"/>
        <v>7.2072072072072071E-2</v>
      </c>
      <c r="AD16" s="7">
        <f t="shared" si="6"/>
        <v>0.8</v>
      </c>
      <c r="AE16" s="485">
        <v>2.5</v>
      </c>
      <c r="AF16" s="72"/>
      <c r="AG16" s="553">
        <v>-0.4</v>
      </c>
      <c r="AH16" s="553">
        <v>8.6</v>
      </c>
      <c r="AI16" s="553">
        <v>5.8</v>
      </c>
      <c r="AJ16" s="7">
        <f t="shared" si="7"/>
        <v>9</v>
      </c>
      <c r="AK16" s="6"/>
      <c r="AL16" s="485" t="s">
        <v>411</v>
      </c>
      <c r="AM16" s="54"/>
      <c r="AN16" s="609" t="s">
        <v>433</v>
      </c>
      <c r="AO16" s="400"/>
      <c r="AP16" s="485">
        <v>1</v>
      </c>
      <c r="AQ16" s="485">
        <v>1</v>
      </c>
      <c r="AR16" s="134"/>
      <c r="AS16" s="26">
        <f>IF(ISBLANK(F16),"",(AVERAGE($F$4:F16)))</f>
        <v>2.2461538461538457</v>
      </c>
      <c r="AT16" s="26">
        <f>IF(ISBLANK(G16),"",(AVERAGE($G$4:G16)))</f>
        <v>8.7769230769230759</v>
      </c>
      <c r="AU16" s="25">
        <f>IF(ISBLANK(H16),"",(AVERAGE($H$4:H16)))</f>
        <v>5.6</v>
      </c>
      <c r="AV16" s="368">
        <f>IF(ISBLANK(G16),"",(AVERAGE($I$4:I16)))</f>
        <v>6.5307692307692315</v>
      </c>
      <c r="AW16" s="22">
        <f>IF(ISBLANK(M16),"",AVERAGE($M$4:M16))</f>
        <v>73.307692307692307</v>
      </c>
      <c r="AX16" s="376">
        <f>IF(ISBLANK(P16),"",(AVERAGE($R$4:R16)))</f>
        <v>1023.0769230769231</v>
      </c>
      <c r="AY16" s="368">
        <f>IF(ISBLANK(U16),"",(AVERAGE($U$4:U16)))</f>
        <v>5.9153846153846148</v>
      </c>
      <c r="AZ16" s="6"/>
      <c r="BA16" s="25">
        <f t="shared" si="15"/>
        <v>-1.5576923076923093</v>
      </c>
      <c r="BB16" s="25">
        <f t="shared" si="16"/>
        <v>0.47596153846153477</v>
      </c>
      <c r="BC16" s="25">
        <f t="shared" si="20"/>
        <v>-0.54086538461538725</v>
      </c>
      <c r="BD16" s="367">
        <f t="shared" si="19"/>
        <v>2.033653846153844</v>
      </c>
      <c r="BE16" s="72"/>
      <c r="BF16" s="25">
        <f>IF(ISBLANK(F16),"",AS16-AVERAGE($F$91:F103))</f>
        <v>-0.72189349112426182</v>
      </c>
      <c r="BG16" s="25">
        <f>IF(ISBLANK(G16),"",AT16-AVERAGE($G$91:G103))</f>
        <v>-0.74822485207100797</v>
      </c>
      <c r="BH16" s="367">
        <f t="shared" si="21"/>
        <v>-2.6331360946746152E-2</v>
      </c>
      <c r="BI16" s="115">
        <f t="shared" si="8"/>
        <v>4.6757164404223228E-2</v>
      </c>
      <c r="BJ16" s="115">
        <f t="shared" si="9"/>
        <v>1.104896994126882</v>
      </c>
      <c r="BK16" s="402"/>
      <c r="BL16" s="572">
        <v>13</v>
      </c>
    </row>
    <row r="17" spans="1:64" ht="12.75" customHeight="1" x14ac:dyDescent="0.2">
      <c r="A17" s="394">
        <f t="shared" si="10"/>
        <v>14</v>
      </c>
      <c r="B17" s="131">
        <f t="shared" si="18"/>
        <v>0.8</v>
      </c>
      <c r="C17" s="282">
        <f t="shared" si="11"/>
        <v>11.6</v>
      </c>
      <c r="D17" s="824"/>
      <c r="E17" s="97">
        <f t="shared" si="12"/>
        <v>14</v>
      </c>
      <c r="F17" s="23">
        <v>0.8</v>
      </c>
      <c r="G17" s="23">
        <v>11.6</v>
      </c>
      <c r="H17" s="553">
        <v>6.4</v>
      </c>
      <c r="I17" s="23">
        <f t="shared" si="0"/>
        <v>10.799999999999999</v>
      </c>
      <c r="J17" s="6">
        <f t="shared" si="1"/>
        <v>0</v>
      </c>
      <c r="K17" s="24">
        <v>49</v>
      </c>
      <c r="L17" s="24">
        <v>92</v>
      </c>
      <c r="M17" s="554">
        <v>77</v>
      </c>
      <c r="N17" s="24">
        <f t="shared" si="2"/>
        <v>43</v>
      </c>
      <c r="O17" s="50">
        <f t="shared" si="3"/>
        <v>0</v>
      </c>
      <c r="P17" s="24">
        <v>1010</v>
      </c>
      <c r="Q17" s="24">
        <v>1017</v>
      </c>
      <c r="R17" s="24">
        <f t="shared" si="13"/>
        <v>1013.5</v>
      </c>
      <c r="S17" s="24">
        <f t="shared" si="4"/>
        <v>7</v>
      </c>
      <c r="T17" s="50">
        <v>0</v>
      </c>
      <c r="U17" s="553">
        <v>5.0999999999999996</v>
      </c>
      <c r="V17" s="553">
        <v>13</v>
      </c>
      <c r="W17" s="553">
        <v>19.399999999999999</v>
      </c>
      <c r="X17" s="485" t="s">
        <v>106</v>
      </c>
      <c r="Y17" s="72">
        <f t="shared" si="14"/>
        <v>0</v>
      </c>
      <c r="Z17" s="539">
        <v>0</v>
      </c>
      <c r="AA17" s="23"/>
      <c r="AB17" s="23"/>
      <c r="AC17" s="510" t="str">
        <f t="shared" si="5"/>
        <v/>
      </c>
      <c r="AD17" s="7" t="str">
        <f t="shared" si="6"/>
        <v/>
      </c>
      <c r="AE17" s="485"/>
      <c r="AF17" s="72"/>
      <c r="AG17" s="553">
        <v>-2.2000000000000002</v>
      </c>
      <c r="AH17" s="553">
        <v>5.5</v>
      </c>
      <c r="AI17" s="553">
        <v>2.2999999999999998</v>
      </c>
      <c r="AJ17" s="26">
        <f t="shared" si="7"/>
        <v>7.7</v>
      </c>
      <c r="AK17" s="6"/>
      <c r="AL17" s="485" t="s">
        <v>434</v>
      </c>
      <c r="AM17" s="54">
        <v>1013.25</v>
      </c>
      <c r="AN17" s="555" t="s">
        <v>8</v>
      </c>
      <c r="AO17" s="400"/>
      <c r="AP17" s="485">
        <v>6</v>
      </c>
      <c r="AQ17" s="485">
        <v>0</v>
      </c>
      <c r="AR17" s="134"/>
      <c r="AS17" s="26">
        <f>IF(ISBLANK(F17),"",(AVERAGE($F$4:F17)))</f>
        <v>2.1428571428571428</v>
      </c>
      <c r="AT17" s="26">
        <f>IF(ISBLANK(G17),"",(AVERAGE($G$4:G17)))</f>
        <v>8.9785714285714278</v>
      </c>
      <c r="AU17" s="25">
        <f>IF(ISBLANK(H17),"",(AVERAGE($H$4:H17)))</f>
        <v>5.6571428571428575</v>
      </c>
      <c r="AV17" s="368">
        <f>IF(ISBLANK(G17),"",(AVERAGE($I$4:I17)))</f>
        <v>6.8357142857142863</v>
      </c>
      <c r="AW17" s="22">
        <f>IF(ISBLANK(M17),"",AVERAGE($M$4:M17))</f>
        <v>73.571428571428569</v>
      </c>
      <c r="AX17" s="376">
        <f>IF(ISBLANK(P17),"",(AVERAGE($R$4:R17)))</f>
        <v>1022.3928571428571</v>
      </c>
      <c r="AY17" s="368">
        <f>IF(ISBLANK(U17),"",(AVERAGE($U$4:U17)))</f>
        <v>5.8571428571428559</v>
      </c>
      <c r="AZ17" s="6"/>
      <c r="BA17" s="25">
        <f t="shared" si="15"/>
        <v>-2.7461538461538479</v>
      </c>
      <c r="BB17" s="25">
        <f t="shared" si="16"/>
        <v>1.3807692307692268</v>
      </c>
      <c r="BC17" s="25">
        <f t="shared" si="20"/>
        <v>-0.6826923076923106</v>
      </c>
      <c r="BD17" s="367">
        <f t="shared" si="19"/>
        <v>4.1269230769230747</v>
      </c>
      <c r="BE17" s="72"/>
      <c r="BF17" s="25">
        <f>IF(ISBLANK(F17),"",AS17-AVERAGE($F$91:F104))</f>
        <v>-0.86648351648351785</v>
      </c>
      <c r="BG17" s="25">
        <f>IF(ISBLANK(G17),"",AT17-AVERAGE($G$91:G104))</f>
        <v>-0.59615384615384848</v>
      </c>
      <c r="BH17" s="367">
        <f t="shared" si="21"/>
        <v>0.27032967032966937</v>
      </c>
      <c r="BI17" s="115">
        <f t="shared" si="8"/>
        <v>4.341736694677871E-2</v>
      </c>
      <c r="BJ17" s="115">
        <f t="shared" si="9"/>
        <v>1.1559728237828406</v>
      </c>
      <c r="BK17" s="402"/>
      <c r="BL17" s="572">
        <v>14</v>
      </c>
    </row>
    <row r="18" spans="1:64" ht="12.75" customHeight="1" x14ac:dyDescent="0.2">
      <c r="A18" s="394">
        <f t="shared" si="10"/>
        <v>15</v>
      </c>
      <c r="B18" s="131">
        <f t="shared" si="18"/>
        <v>6.2</v>
      </c>
      <c r="C18" s="282">
        <f t="shared" si="11"/>
        <v>11.7</v>
      </c>
      <c r="D18" s="824"/>
      <c r="E18" s="97">
        <f t="shared" si="12"/>
        <v>15</v>
      </c>
      <c r="F18" s="23">
        <v>6.2</v>
      </c>
      <c r="G18" s="23">
        <v>11.7</v>
      </c>
      <c r="H18" s="553">
        <v>8.6</v>
      </c>
      <c r="I18" s="23">
        <f t="shared" si="0"/>
        <v>5.4999999999999991</v>
      </c>
      <c r="J18" s="6">
        <f t="shared" si="1"/>
        <v>0</v>
      </c>
      <c r="K18" s="24">
        <v>77</v>
      </c>
      <c r="L18" s="24">
        <v>98</v>
      </c>
      <c r="M18" s="554">
        <v>91</v>
      </c>
      <c r="N18" s="24">
        <f t="shared" si="2"/>
        <v>21</v>
      </c>
      <c r="O18" s="50">
        <f t="shared" si="3"/>
        <v>0</v>
      </c>
      <c r="P18" s="24">
        <v>1013</v>
      </c>
      <c r="Q18" s="24">
        <v>1017</v>
      </c>
      <c r="R18" s="24">
        <f t="shared" si="13"/>
        <v>1015</v>
      </c>
      <c r="S18" s="24">
        <f t="shared" si="4"/>
        <v>4</v>
      </c>
      <c r="T18" s="50">
        <v>0</v>
      </c>
      <c r="U18" s="553">
        <v>6.1</v>
      </c>
      <c r="V18" s="553">
        <v>12.1</v>
      </c>
      <c r="W18" s="553">
        <v>17.3</v>
      </c>
      <c r="X18" s="485" t="s">
        <v>106</v>
      </c>
      <c r="Y18" s="72">
        <f t="shared" si="14"/>
        <v>0</v>
      </c>
      <c r="Z18" s="539">
        <v>0</v>
      </c>
      <c r="AA18" s="23"/>
      <c r="AB18" s="23"/>
      <c r="AC18" s="510" t="str">
        <f t="shared" si="5"/>
        <v/>
      </c>
      <c r="AD18" s="7" t="str">
        <f t="shared" si="6"/>
        <v/>
      </c>
      <c r="AE18" s="485"/>
      <c r="AF18" s="72"/>
      <c r="AG18" s="553">
        <v>5.3</v>
      </c>
      <c r="AH18" s="553">
        <v>9.8000000000000007</v>
      </c>
      <c r="AI18" s="553">
        <v>7.2</v>
      </c>
      <c r="AJ18" s="26">
        <f t="shared" si="7"/>
        <v>4.5000000000000009</v>
      </c>
      <c r="AK18" s="6"/>
      <c r="AL18" s="485" t="s">
        <v>435</v>
      </c>
      <c r="AM18" s="54">
        <v>1013.25</v>
      </c>
      <c r="AN18" s="555" t="s">
        <v>436</v>
      </c>
      <c r="AO18" s="400"/>
      <c r="AP18" s="485">
        <v>3</v>
      </c>
      <c r="AQ18" s="485">
        <v>0</v>
      </c>
      <c r="AR18" s="134"/>
      <c r="AS18" s="26">
        <f>IF(ISBLANK(F18),"",(AVERAGE($F$4:F18)))</f>
        <v>2.4133333333333331</v>
      </c>
      <c r="AT18" s="26">
        <f>IF(ISBLANK(G18),"",(AVERAGE($G$4:G18)))</f>
        <v>9.1599999999999984</v>
      </c>
      <c r="AU18" s="25">
        <f>IF(ISBLANK(H18),"",(AVERAGE($H$4:H18)))</f>
        <v>5.8533333333333335</v>
      </c>
      <c r="AV18" s="368">
        <f>IF(ISBLANK(G18),"",(AVERAGE($I$4:I18)))</f>
        <v>6.746666666666667</v>
      </c>
      <c r="AW18" s="22">
        <f>IF(ISBLANK(M18),"",AVERAGE($M$4:M18))</f>
        <v>74.733333333333334</v>
      </c>
      <c r="AX18" s="376">
        <f>IF(ISBLANK(P18),"",(AVERAGE($R$4:R18)))</f>
        <v>1021.9</v>
      </c>
      <c r="AY18" s="368">
        <f>IF(ISBLANK(U18),"",(AVERAGE($U$4:U18)))</f>
        <v>5.8733333333333322</v>
      </c>
      <c r="AZ18" s="6"/>
      <c r="BA18" s="25">
        <f t="shared" si="15"/>
        <v>2.5653846153846138</v>
      </c>
      <c r="BB18" s="25">
        <f t="shared" si="16"/>
        <v>1.3855769230769184</v>
      </c>
      <c r="BC18" s="25">
        <f t="shared" si="20"/>
        <v>1.9754807692307661</v>
      </c>
      <c r="BD18" s="367">
        <f t="shared" si="19"/>
        <v>-1.1798076923076954</v>
      </c>
      <c r="BE18" s="72"/>
      <c r="BF18" s="25">
        <f>IF(ISBLANK(F18),"",AS18-AVERAGE($F$91:F105))</f>
        <v>-0.63769230769230889</v>
      </c>
      <c r="BG18" s="25">
        <f>IF(ISBLANK(G18),"",AT18-AVERAGE($G$91:G105))</f>
        <v>-0.46403846153846473</v>
      </c>
      <c r="BH18" s="367">
        <f t="shared" si="21"/>
        <v>0.17365384615384416</v>
      </c>
      <c r="BI18" s="115">
        <f t="shared" si="8"/>
        <v>4.0522875816993459E-2</v>
      </c>
      <c r="BJ18" s="115">
        <f t="shared" si="9"/>
        <v>1.1375612144536746</v>
      </c>
      <c r="BK18" s="402"/>
      <c r="BL18" s="572">
        <v>15</v>
      </c>
    </row>
    <row r="19" spans="1:64" ht="12.75" customHeight="1" x14ac:dyDescent="0.2">
      <c r="A19" s="394">
        <f t="shared" si="10"/>
        <v>16</v>
      </c>
      <c r="B19" s="131">
        <v>7.3</v>
      </c>
      <c r="C19" s="282">
        <v>9.3000000000000007</v>
      </c>
      <c r="D19" s="824"/>
      <c r="E19" s="97">
        <f t="shared" si="12"/>
        <v>16</v>
      </c>
      <c r="F19" s="23">
        <v>4.0999999999999996</v>
      </c>
      <c r="G19" s="23">
        <v>9.3000000000000007</v>
      </c>
      <c r="H19" s="553">
        <v>7.7</v>
      </c>
      <c r="I19" s="23">
        <f t="shared" si="0"/>
        <v>5.2000000000000011</v>
      </c>
      <c r="J19" s="6">
        <f t="shared" si="1"/>
        <v>0</v>
      </c>
      <c r="K19" s="24">
        <v>82</v>
      </c>
      <c r="L19" s="24">
        <v>98</v>
      </c>
      <c r="M19" s="554">
        <v>92</v>
      </c>
      <c r="N19" s="24">
        <f t="shared" si="2"/>
        <v>16</v>
      </c>
      <c r="O19" s="50">
        <f t="shared" si="3"/>
        <v>1</v>
      </c>
      <c r="P19" s="24">
        <v>1011</v>
      </c>
      <c r="Q19" s="24">
        <v>1014</v>
      </c>
      <c r="R19" s="24">
        <f t="shared" si="13"/>
        <v>1012.5</v>
      </c>
      <c r="S19" s="24">
        <f t="shared" si="4"/>
        <v>3</v>
      </c>
      <c r="T19" s="50">
        <v>0</v>
      </c>
      <c r="U19" s="553">
        <v>5.5</v>
      </c>
      <c r="V19" s="553">
        <v>12.1</v>
      </c>
      <c r="W19" s="553">
        <v>14.5</v>
      </c>
      <c r="X19" s="485" t="s">
        <v>105</v>
      </c>
      <c r="Y19" s="72">
        <f t="shared" si="14"/>
        <v>0</v>
      </c>
      <c r="Z19" s="539">
        <v>0</v>
      </c>
      <c r="AA19" s="23"/>
      <c r="AB19" s="23"/>
      <c r="AC19" s="510" t="str">
        <f t="shared" si="5"/>
        <v/>
      </c>
      <c r="AD19" s="7" t="str">
        <f t="shared" si="6"/>
        <v/>
      </c>
      <c r="AE19" s="485"/>
      <c r="AF19" s="72"/>
      <c r="AG19" s="553">
        <v>2.9</v>
      </c>
      <c r="AH19" s="553">
        <v>8.1</v>
      </c>
      <c r="AI19" s="553">
        <v>6.4</v>
      </c>
      <c r="AJ19" s="26">
        <f t="shared" si="7"/>
        <v>5.1999999999999993</v>
      </c>
      <c r="AK19" s="6"/>
      <c r="AL19" s="485" t="s">
        <v>239</v>
      </c>
      <c r="AM19" s="54">
        <v>1013.25</v>
      </c>
      <c r="AN19" s="555" t="s">
        <v>437</v>
      </c>
      <c r="AO19" s="400"/>
      <c r="AP19" s="485">
        <v>0</v>
      </c>
      <c r="AQ19" s="485">
        <v>0</v>
      </c>
      <c r="AR19" s="134"/>
      <c r="AS19" s="26">
        <f>IF(ISBLANK(F19),"",(AVERAGE($F$4:F19)))</f>
        <v>2.5187499999999998</v>
      </c>
      <c r="AT19" s="26">
        <f>IF(ISBLANK(G19),"",(AVERAGE($G$4:G19)))</f>
        <v>9.1687499999999993</v>
      </c>
      <c r="AU19" s="25">
        <f>IF(ISBLANK(H19),"",(AVERAGE($H$4:H19)))</f>
        <v>5.96875</v>
      </c>
      <c r="AV19" s="368">
        <f>IF(ISBLANK(G19),"",(AVERAGE($I$4:I19)))</f>
        <v>6.65</v>
      </c>
      <c r="AW19" s="22">
        <f>IF(ISBLANK(M19),"",AVERAGE($M$4:M19))</f>
        <v>75.8125</v>
      </c>
      <c r="AX19" s="376">
        <f>IF(ISBLANK(P19),"",(AVERAGE($R$4:R19)))</f>
        <v>1021.3125</v>
      </c>
      <c r="AY19" s="368">
        <f>IF(ISBLANK(U19),"",(AVERAGE($U$4:U19)))</f>
        <v>5.8499999999999988</v>
      </c>
      <c r="AZ19" s="6"/>
      <c r="BA19" s="25">
        <f t="shared" si="15"/>
        <v>0.3769230769230747</v>
      </c>
      <c r="BB19" s="25">
        <f t="shared" si="16"/>
        <v>-1.1096153846153882</v>
      </c>
      <c r="BC19" s="25">
        <f t="shared" si="20"/>
        <v>-0.36634615384615676</v>
      </c>
      <c r="BD19" s="367">
        <f t="shared" si="19"/>
        <v>-1.4865384615384629</v>
      </c>
      <c r="BE19" s="72"/>
      <c r="BF19" s="25">
        <f>IF(ISBLANK(F19),"",AS19-AVERAGE($F$91:F106))</f>
        <v>-0.5742788461538475</v>
      </c>
      <c r="BG19" s="25">
        <f>IF(ISBLANK(G19),"",AT19-AVERAGE($G$91:G106))</f>
        <v>-0.50438701923077112</v>
      </c>
      <c r="BH19" s="367">
        <f t="shared" si="21"/>
        <v>6.9891826923076383E-2</v>
      </c>
      <c r="BI19" s="115">
        <f t="shared" si="8"/>
        <v>3.7990196078431369E-2</v>
      </c>
      <c r="BJ19" s="115">
        <f t="shared" si="9"/>
        <v>1.0632255632443681</v>
      </c>
      <c r="BK19" s="402"/>
      <c r="BL19" s="572">
        <v>16</v>
      </c>
    </row>
    <row r="20" spans="1:64" ht="12.75" customHeight="1" x14ac:dyDescent="0.2">
      <c r="A20" s="394">
        <f t="shared" si="10"/>
        <v>17</v>
      </c>
      <c r="B20" s="131">
        <f t="shared" si="18"/>
        <v>3.1</v>
      </c>
      <c r="C20" s="282">
        <f t="shared" si="11"/>
        <v>9.1</v>
      </c>
      <c r="D20" s="824"/>
      <c r="E20" s="97">
        <f t="shared" si="12"/>
        <v>17</v>
      </c>
      <c r="F20" s="23">
        <v>3.1</v>
      </c>
      <c r="G20" s="23">
        <v>9.1</v>
      </c>
      <c r="H20" s="553">
        <v>5.4</v>
      </c>
      <c r="I20" s="23">
        <f t="shared" si="0"/>
        <v>6</v>
      </c>
      <c r="J20" s="6">
        <f t="shared" si="1"/>
        <v>0</v>
      </c>
      <c r="K20" s="24">
        <v>73</v>
      </c>
      <c r="L20" s="24">
        <v>98</v>
      </c>
      <c r="M20" s="554">
        <v>89</v>
      </c>
      <c r="N20" s="24">
        <f t="shared" si="2"/>
        <v>25</v>
      </c>
      <c r="O20" s="50">
        <f t="shared" si="3"/>
        <v>0</v>
      </c>
      <c r="P20" s="24">
        <v>1012</v>
      </c>
      <c r="Q20" s="24">
        <v>1019</v>
      </c>
      <c r="R20" s="24">
        <f t="shared" si="13"/>
        <v>1015.5</v>
      </c>
      <c r="S20" s="24">
        <f t="shared" si="4"/>
        <v>7</v>
      </c>
      <c r="T20" s="50">
        <v>0</v>
      </c>
      <c r="U20" s="553">
        <v>2.2999999999999998</v>
      </c>
      <c r="V20" s="553">
        <v>7.8</v>
      </c>
      <c r="W20" s="553">
        <v>10.7</v>
      </c>
      <c r="X20" s="485" t="s">
        <v>128</v>
      </c>
      <c r="Y20" s="72">
        <f t="shared" si="14"/>
        <v>0</v>
      </c>
      <c r="Z20" s="539">
        <v>0</v>
      </c>
      <c r="AA20" s="23"/>
      <c r="AB20" s="23"/>
      <c r="AC20" s="510" t="str">
        <f t="shared" si="5"/>
        <v/>
      </c>
      <c r="AD20" s="7" t="str">
        <f t="shared" si="6"/>
        <v/>
      </c>
      <c r="AE20" s="485"/>
      <c r="AF20" s="72"/>
      <c r="AG20" s="553">
        <v>2.2000000000000002</v>
      </c>
      <c r="AH20" s="553">
        <v>5.8</v>
      </c>
      <c r="AI20" s="553">
        <v>3.7</v>
      </c>
      <c r="AJ20" s="26">
        <f t="shared" si="7"/>
        <v>3.5999999999999996</v>
      </c>
      <c r="AK20" s="6"/>
      <c r="AL20" s="485" t="s">
        <v>262</v>
      </c>
      <c r="AM20" s="54">
        <v>1013.25</v>
      </c>
      <c r="AN20" s="555" t="s">
        <v>8</v>
      </c>
      <c r="AO20" s="400"/>
      <c r="AP20" s="485">
        <v>1</v>
      </c>
      <c r="AQ20" s="485">
        <v>0</v>
      </c>
      <c r="AR20" s="134"/>
      <c r="AS20" s="26">
        <f>IF(ISBLANK(F20),"",(AVERAGE($F$4:F20)))</f>
        <v>2.552941176470588</v>
      </c>
      <c r="AT20" s="26">
        <f>IF(ISBLANK(G20),"",(AVERAGE($G$4:G20)))</f>
        <v>9.1647058823529406</v>
      </c>
      <c r="AU20" s="25">
        <f>IF(ISBLANK(H20),"",(AVERAGE($H$4:H20)))</f>
        <v>5.9352941176470591</v>
      </c>
      <c r="AV20" s="368">
        <f>IF(ISBLANK(G20),"",(AVERAGE($I$4:I20)))</f>
        <v>6.6117647058823534</v>
      </c>
      <c r="AW20" s="22">
        <f>IF(ISBLANK(M20),"",AVERAGE($M$4:M20))</f>
        <v>76.588235294117652</v>
      </c>
      <c r="AX20" s="376">
        <f>IF(ISBLANK(P20),"",(AVERAGE($R$4:R20)))</f>
        <v>1020.9705882352941</v>
      </c>
      <c r="AY20" s="368">
        <f>IF(ISBLANK(U20),"",(AVERAGE($U$4:U20)))</f>
        <v>5.6411764705882339</v>
      </c>
      <c r="AZ20" s="6"/>
      <c r="BA20" s="25">
        <f t="shared" si="15"/>
        <v>-0.71153846153846345</v>
      </c>
      <c r="BB20" s="25">
        <f t="shared" si="16"/>
        <v>-1.4048076923076973</v>
      </c>
      <c r="BC20" s="25">
        <f t="shared" si="20"/>
        <v>-1.0581730769230804</v>
      </c>
      <c r="BD20" s="367">
        <f t="shared" si="19"/>
        <v>-0.69326923076923386</v>
      </c>
      <c r="BE20" s="72"/>
      <c r="BF20" s="25">
        <f>IF(ISBLANK(F20),"",AS20-AVERAGE($F$91:F107))</f>
        <v>-0.58235294117647207</v>
      </c>
      <c r="BG20" s="25">
        <f>IF(ISBLANK(G20),"",AT20-AVERAGE($G$91:G107))</f>
        <v>-0.55735294117647349</v>
      </c>
      <c r="BH20" s="367">
        <f t="shared" si="21"/>
        <v>2.4999999999998579E-2</v>
      </c>
      <c r="BI20" s="115">
        <f t="shared" si="8"/>
        <v>3.5755478662053058E-2</v>
      </c>
      <c r="BJ20" s="115">
        <f t="shared" si="9"/>
        <v>1.0157574610311728</v>
      </c>
      <c r="BK20" s="402"/>
      <c r="BL20" s="572">
        <v>17</v>
      </c>
    </row>
    <row r="21" spans="1:64" ht="12.75" customHeight="1" x14ac:dyDescent="0.2">
      <c r="A21" s="394">
        <f t="shared" si="10"/>
        <v>18</v>
      </c>
      <c r="B21" s="131">
        <v>5.5</v>
      </c>
      <c r="C21" s="282">
        <v>6.3</v>
      </c>
      <c r="D21" s="824"/>
      <c r="E21" s="97">
        <f t="shared" si="12"/>
        <v>18</v>
      </c>
      <c r="F21" s="23">
        <v>1.3</v>
      </c>
      <c r="G21" s="23">
        <v>7.4</v>
      </c>
      <c r="H21" s="553">
        <v>5.4</v>
      </c>
      <c r="I21" s="23">
        <f t="shared" si="0"/>
        <v>6.1000000000000005</v>
      </c>
      <c r="J21" s="6">
        <f t="shared" si="1"/>
        <v>1</v>
      </c>
      <c r="K21" s="24">
        <v>64</v>
      </c>
      <c r="L21" s="24">
        <v>88</v>
      </c>
      <c r="M21" s="554">
        <v>82</v>
      </c>
      <c r="N21" s="24">
        <f t="shared" si="2"/>
        <v>24</v>
      </c>
      <c r="O21" s="50">
        <f t="shared" si="3"/>
        <v>1</v>
      </c>
      <c r="P21" s="24">
        <v>1019</v>
      </c>
      <c r="Q21" s="24">
        <v>1029</v>
      </c>
      <c r="R21" s="24">
        <f t="shared" si="13"/>
        <v>1024</v>
      </c>
      <c r="S21" s="24">
        <f t="shared" si="4"/>
        <v>10</v>
      </c>
      <c r="T21" s="50">
        <v>0</v>
      </c>
      <c r="U21" s="553">
        <v>3.1</v>
      </c>
      <c r="V21" s="553">
        <v>9.8000000000000007</v>
      </c>
      <c r="W21" s="553">
        <v>13.2</v>
      </c>
      <c r="X21" s="485" t="s">
        <v>113</v>
      </c>
      <c r="Y21" s="72">
        <f t="shared" si="14"/>
        <v>2</v>
      </c>
      <c r="Z21" s="539">
        <v>4.4000000000000004</v>
      </c>
      <c r="AA21" s="23">
        <v>1.4</v>
      </c>
      <c r="AB21" s="23">
        <v>0.3</v>
      </c>
      <c r="AC21" s="510">
        <f t="shared" si="5"/>
        <v>0.3963963963963964</v>
      </c>
      <c r="AD21" s="7">
        <f t="shared" si="6"/>
        <v>0.8</v>
      </c>
      <c r="AE21" s="485">
        <v>2.2999999999999998</v>
      </c>
      <c r="AF21" s="72"/>
      <c r="AG21" s="553">
        <v>-2.5</v>
      </c>
      <c r="AH21" s="553">
        <v>4.9000000000000004</v>
      </c>
      <c r="AI21" s="553">
        <v>2.5</v>
      </c>
      <c r="AJ21" s="26">
        <f t="shared" si="7"/>
        <v>7.4</v>
      </c>
      <c r="AK21" s="6"/>
      <c r="AL21" s="485" t="s">
        <v>239</v>
      </c>
      <c r="AM21" s="54">
        <v>1013.25</v>
      </c>
      <c r="AN21" s="555" t="s">
        <v>438</v>
      </c>
      <c r="AO21" s="400"/>
      <c r="AP21" s="485">
        <v>0.3</v>
      </c>
      <c r="AQ21" s="485">
        <v>5.5</v>
      </c>
      <c r="AR21" s="134"/>
      <c r="AS21" s="26">
        <f>IF(ISBLANK(F21),"",(AVERAGE($F$4:F21)))</f>
        <v>2.4833333333333329</v>
      </c>
      <c r="AT21" s="26">
        <f>IF(ISBLANK(G21),"",(AVERAGE($G$4:G21)))</f>
        <v>9.0666666666666664</v>
      </c>
      <c r="AU21" s="25">
        <f>IF(ISBLANK(H21),"",(AVERAGE($H$4:H21)))</f>
        <v>5.9055555555555559</v>
      </c>
      <c r="AV21" s="368">
        <f>IF(ISBLANK(G21),"",(AVERAGE($I$4:I21)))</f>
        <v>6.583333333333333</v>
      </c>
      <c r="AW21" s="22">
        <f>IF(ISBLANK(M21),"",AVERAGE($M$4:M21))</f>
        <v>76.888888888888886</v>
      </c>
      <c r="AX21" s="376">
        <f>IF(ISBLANK(P21),"",(AVERAGE($R$4:R21)))</f>
        <v>1021.1388888888889</v>
      </c>
      <c r="AY21" s="368">
        <f>IF(ISBLANK(U21),"",(AVERAGE($U$4:U21)))</f>
        <v>5.4999999999999982</v>
      </c>
      <c r="AZ21" s="6"/>
      <c r="BA21" s="25">
        <f t="shared" si="15"/>
        <v>-2.5999999999999996</v>
      </c>
      <c r="BB21" s="25">
        <f t="shared" si="16"/>
        <v>-3.1999999999999993</v>
      </c>
      <c r="BC21" s="25">
        <f t="shared" si="20"/>
        <v>-2.8999999999999995</v>
      </c>
      <c r="BD21" s="367">
        <f t="shared" si="19"/>
        <v>-0.59999999999999964</v>
      </c>
      <c r="BE21" s="72"/>
      <c r="BF21" s="25">
        <f>IF(ISBLANK(F21),"",AS21-AVERAGE($F$91:F108))</f>
        <v>-0.69444444444444597</v>
      </c>
      <c r="BG21" s="25">
        <f>IF(ISBLANK(G21),"",AT21-AVERAGE($G$91:G108))</f>
        <v>-0.70416666666666927</v>
      </c>
      <c r="BH21" s="367">
        <f t="shared" ref="BH21:BH29" si="22">IF(ISBLANK(G21),"",BG21-BF21)</f>
        <v>-9.7222222222232979E-3</v>
      </c>
      <c r="BI21" s="115">
        <f t="shared" si="8"/>
        <v>0.18235294117647061</v>
      </c>
      <c r="BJ21" s="115">
        <f t="shared" si="9"/>
        <v>0.96154135711021582</v>
      </c>
      <c r="BK21" s="402"/>
      <c r="BL21" s="572">
        <v>18</v>
      </c>
    </row>
    <row r="22" spans="1:64" ht="12.75" customHeight="1" x14ac:dyDescent="0.2">
      <c r="A22" s="394">
        <f t="shared" si="10"/>
        <v>19</v>
      </c>
      <c r="B22" s="131">
        <f t="shared" si="18"/>
        <v>-1.6</v>
      </c>
      <c r="C22" s="282">
        <f t="shared" si="11"/>
        <v>11.1</v>
      </c>
      <c r="D22" s="824"/>
      <c r="E22" s="97">
        <f t="shared" si="12"/>
        <v>19</v>
      </c>
      <c r="F22" s="23">
        <v>-1.6</v>
      </c>
      <c r="G22" s="23">
        <v>11.1</v>
      </c>
      <c r="H22" s="553">
        <v>5.3</v>
      </c>
      <c r="I22" s="23">
        <f t="shared" si="0"/>
        <v>12.7</v>
      </c>
      <c r="J22" s="6">
        <f t="shared" si="1"/>
        <v>0</v>
      </c>
      <c r="K22" s="24">
        <v>39</v>
      </c>
      <c r="L22" s="24">
        <v>94</v>
      </c>
      <c r="M22" s="554">
        <v>65</v>
      </c>
      <c r="N22" s="24">
        <f t="shared" si="2"/>
        <v>55</v>
      </c>
      <c r="O22" s="50">
        <f t="shared" si="3"/>
        <v>0</v>
      </c>
      <c r="P22" s="24">
        <v>1030</v>
      </c>
      <c r="Q22" s="24">
        <v>1035</v>
      </c>
      <c r="R22" s="24">
        <f t="shared" si="13"/>
        <v>1032.5</v>
      </c>
      <c r="S22" s="24">
        <f t="shared" si="4"/>
        <v>5</v>
      </c>
      <c r="T22" s="50">
        <v>0</v>
      </c>
      <c r="U22" s="553">
        <v>1.6</v>
      </c>
      <c r="V22" s="553">
        <v>6.2</v>
      </c>
      <c r="W22" s="553">
        <v>8.5</v>
      </c>
      <c r="X22" s="485" t="s">
        <v>112</v>
      </c>
      <c r="Y22" s="72">
        <f t="shared" si="14"/>
        <v>0</v>
      </c>
      <c r="Z22" s="539">
        <v>0</v>
      </c>
      <c r="AA22" s="23"/>
      <c r="AB22" s="23"/>
      <c r="AC22" s="510" t="str">
        <f t="shared" si="5"/>
        <v/>
      </c>
      <c r="AD22" s="7" t="str">
        <f t="shared" si="6"/>
        <v/>
      </c>
      <c r="AE22" s="485"/>
      <c r="AF22" s="72"/>
      <c r="AG22" s="553">
        <v>-3.7</v>
      </c>
      <c r="AH22" s="553">
        <v>4.2</v>
      </c>
      <c r="AI22" s="553">
        <v>-1.4</v>
      </c>
      <c r="AJ22" s="26">
        <f t="shared" si="7"/>
        <v>7.9</v>
      </c>
      <c r="AK22" s="6"/>
      <c r="AL22" s="485" t="s">
        <v>238</v>
      </c>
      <c r="AM22" s="54">
        <v>1013.25</v>
      </c>
      <c r="AN22" s="47" t="s">
        <v>439</v>
      </c>
      <c r="AO22" s="400"/>
      <c r="AP22" s="485">
        <v>10.9</v>
      </c>
      <c r="AQ22" s="485">
        <v>0</v>
      </c>
      <c r="AR22" s="134"/>
      <c r="AS22" s="26">
        <f>IF(ISBLANK(F22),"",(AVERAGE($F$4:F22)))</f>
        <v>2.2684210526315787</v>
      </c>
      <c r="AT22" s="26">
        <f>IF(ISBLANK(G22),"",(AVERAGE($G$4:G22)))</f>
        <v>9.1736842105263143</v>
      </c>
      <c r="AU22" s="25">
        <f>IF(ISBLANK(H22),"",(AVERAGE($H$4:H22)))</f>
        <v>5.8736842105263163</v>
      </c>
      <c r="AV22" s="368">
        <f>IF(ISBLANK(G22),"",(AVERAGE($I$4:I22)))</f>
        <v>6.9052631578947361</v>
      </c>
      <c r="AW22" s="22">
        <f>IF(ISBLANK(M22),"",AVERAGE($M$4:M22))</f>
        <v>76.263157894736835</v>
      </c>
      <c r="AX22" s="376">
        <f>IF(ISBLANK(P22),"",(AVERAGE($R$4:R22)))</f>
        <v>1021.7368421052631</v>
      </c>
      <c r="AY22" s="368">
        <f>IF(ISBLANK(U22),"",(AVERAGE($U$4:U22)))</f>
        <v>5.2947368421052614</v>
      </c>
      <c r="AZ22" s="6"/>
      <c r="BA22" s="25">
        <f t="shared" si="15"/>
        <v>-5.546153846153846</v>
      </c>
      <c r="BB22" s="25">
        <f t="shared" si="16"/>
        <v>0.41923076923076863</v>
      </c>
      <c r="BC22" s="25">
        <f t="shared" si="20"/>
        <v>-2.5634615384615387</v>
      </c>
      <c r="BD22" s="367">
        <f t="shared" si="19"/>
        <v>5.9653846153846146</v>
      </c>
      <c r="BE22" s="72"/>
      <c r="BF22" s="25">
        <f>IF(ISBLANK(F22),"",AS22-AVERAGE($F$91:F109))</f>
        <v>-0.94979757085020378</v>
      </c>
      <c r="BG22" s="25">
        <f>IF(ISBLANK(G22),"",AT22-AVERAGE($G$91:G109))</f>
        <v>-0.64504048582996276</v>
      </c>
      <c r="BH22" s="367">
        <f t="shared" si="22"/>
        <v>0.30475708502024101</v>
      </c>
      <c r="BI22" s="115">
        <f t="shared" si="8"/>
        <v>0.17275541795665633</v>
      </c>
      <c r="BJ22" s="115">
        <f t="shared" si="9"/>
        <v>1.0837052846081929</v>
      </c>
      <c r="BK22" s="402"/>
      <c r="BL22" s="572">
        <v>19</v>
      </c>
    </row>
    <row r="23" spans="1:64" ht="12.75" customHeight="1" x14ac:dyDescent="0.2">
      <c r="A23" s="278">
        <f t="shared" si="10"/>
        <v>20</v>
      </c>
      <c r="B23" s="131">
        <f t="shared" si="18"/>
        <v>1.6</v>
      </c>
      <c r="C23" s="282">
        <f t="shared" si="11"/>
        <v>12.9</v>
      </c>
      <c r="D23" s="824"/>
      <c r="E23" s="99">
        <f t="shared" si="12"/>
        <v>20</v>
      </c>
      <c r="F23" s="23">
        <v>1.6</v>
      </c>
      <c r="G23" s="23">
        <v>12.9</v>
      </c>
      <c r="H23" s="553">
        <v>7.9</v>
      </c>
      <c r="I23" s="23">
        <f t="shared" si="0"/>
        <v>11.3</v>
      </c>
      <c r="J23" s="6">
        <f t="shared" si="1"/>
        <v>0</v>
      </c>
      <c r="K23" s="24">
        <v>53</v>
      </c>
      <c r="L23" s="24">
        <v>79</v>
      </c>
      <c r="M23" s="554">
        <v>68</v>
      </c>
      <c r="N23" s="24">
        <f t="shared" si="2"/>
        <v>26</v>
      </c>
      <c r="O23" s="50">
        <f t="shared" si="3"/>
        <v>0</v>
      </c>
      <c r="P23" s="24">
        <v>1031</v>
      </c>
      <c r="Q23" s="24">
        <v>1033</v>
      </c>
      <c r="R23" s="24">
        <f t="shared" si="13"/>
        <v>1032</v>
      </c>
      <c r="S23" s="24">
        <f t="shared" si="4"/>
        <v>2</v>
      </c>
      <c r="T23" s="50">
        <v>0</v>
      </c>
      <c r="U23" s="553">
        <v>4.0999999999999996</v>
      </c>
      <c r="V23" s="553">
        <v>10.9</v>
      </c>
      <c r="W23" s="553">
        <v>13.2</v>
      </c>
      <c r="X23" s="555" t="s">
        <v>110</v>
      </c>
      <c r="Y23" s="72">
        <f t="shared" si="14"/>
        <v>0</v>
      </c>
      <c r="Z23" s="539">
        <v>0</v>
      </c>
      <c r="AA23" s="23"/>
      <c r="AB23" s="23"/>
      <c r="AC23" s="510" t="str">
        <f t="shared" si="5"/>
        <v/>
      </c>
      <c r="AD23" s="7" t="str">
        <f t="shared" si="6"/>
        <v/>
      </c>
      <c r="AE23" s="485"/>
      <c r="AF23" s="72"/>
      <c r="AG23" s="553">
        <v>-2.9</v>
      </c>
      <c r="AH23" s="553">
        <v>4.9000000000000004</v>
      </c>
      <c r="AI23" s="553">
        <v>2.1</v>
      </c>
      <c r="AJ23" s="26">
        <f t="shared" ref="AJ23:AJ28" si="23">IF(ISBLANK(AG23),"",AH23-AG23)</f>
        <v>7.8000000000000007</v>
      </c>
      <c r="AK23" s="6"/>
      <c r="AL23" s="485" t="s">
        <v>448</v>
      </c>
      <c r="AM23" s="54">
        <v>1013.25</v>
      </c>
      <c r="AN23" s="23" t="s">
        <v>8</v>
      </c>
      <c r="AO23" s="400"/>
      <c r="AP23" s="485">
        <v>5</v>
      </c>
      <c r="AQ23" s="485">
        <v>0</v>
      </c>
      <c r="AR23" s="134"/>
      <c r="AS23" s="26">
        <f>IF(ISBLANK(F23),"",(AVERAGE($F$4:F23)))</f>
        <v>2.2349999999999999</v>
      </c>
      <c r="AT23" s="26">
        <f>IF(ISBLANK(G23),"",(AVERAGE($G$4:G23)))</f>
        <v>9.36</v>
      </c>
      <c r="AU23" s="25">
        <f>IF(ISBLANK(H23),"",(AVERAGE($H$4:H23)))</f>
        <v>5.9750000000000005</v>
      </c>
      <c r="AV23" s="368">
        <f>IF(ISBLANK(G23),"",(AVERAGE($I$4:I23)))</f>
        <v>7.125</v>
      </c>
      <c r="AW23" s="22">
        <f>IF(ISBLANK(M23),"",AVERAGE($M$4:M23))</f>
        <v>75.849999999999994</v>
      </c>
      <c r="AX23" s="376">
        <f>IF(ISBLANK(P23),"",(AVERAGE($R$4:R23)))</f>
        <v>1022.25</v>
      </c>
      <c r="AY23" s="368">
        <f>IF(ISBLANK(U23),"",(AVERAGE($U$4:U23)))</f>
        <v>5.2349999999999977</v>
      </c>
      <c r="AZ23" s="6"/>
      <c r="BA23" s="25">
        <f t="shared" si="15"/>
        <v>-2.3923076923076918</v>
      </c>
      <c r="BB23" s="25">
        <f t="shared" si="16"/>
        <v>2.138461538461538</v>
      </c>
      <c r="BC23" s="25">
        <f t="shared" si="20"/>
        <v>-0.12692307692307692</v>
      </c>
      <c r="BD23" s="367">
        <f t="shared" si="19"/>
        <v>4.5307692307692298</v>
      </c>
      <c r="BE23" s="72"/>
      <c r="BF23" s="25">
        <f>IF(ISBLANK(F23),"",AS23-AVERAGE($F$91:F110))</f>
        <v>-1.0219230769230778</v>
      </c>
      <c r="BG23" s="25">
        <f>IF(ISBLANK(G23),"",AT23-AVERAGE($G$91:G110))</f>
        <v>-0.50586538461538666</v>
      </c>
      <c r="BH23" s="367">
        <f t="shared" si="22"/>
        <v>0.51605769230769116</v>
      </c>
      <c r="BI23" s="115">
        <f t="shared" si="8"/>
        <v>0.16411764705882353</v>
      </c>
      <c r="BJ23" s="115">
        <f t="shared" si="9"/>
        <v>1.1026800682547921</v>
      </c>
      <c r="BK23" s="88"/>
      <c r="BL23" s="572">
        <v>20</v>
      </c>
    </row>
    <row r="24" spans="1:64" ht="12.75" customHeight="1" x14ac:dyDescent="0.2">
      <c r="A24" s="278">
        <f t="shared" si="10"/>
        <v>21</v>
      </c>
      <c r="B24" s="131">
        <f t="shared" si="18"/>
        <v>4.5</v>
      </c>
      <c r="C24" s="282">
        <f t="shared" si="11"/>
        <v>14.6</v>
      </c>
      <c r="D24" s="824"/>
      <c r="E24" s="99">
        <f t="shared" si="12"/>
        <v>21</v>
      </c>
      <c r="F24" s="23">
        <v>4.5</v>
      </c>
      <c r="G24" s="23">
        <v>14.6</v>
      </c>
      <c r="H24" s="553">
        <v>9.6</v>
      </c>
      <c r="I24" s="23">
        <f t="shared" si="0"/>
        <v>10.1</v>
      </c>
      <c r="J24" s="6">
        <f t="shared" si="1"/>
        <v>0</v>
      </c>
      <c r="K24" s="24">
        <v>57</v>
      </c>
      <c r="L24" s="24">
        <v>87</v>
      </c>
      <c r="M24" s="554">
        <v>72</v>
      </c>
      <c r="N24" s="24">
        <f t="shared" si="2"/>
        <v>30</v>
      </c>
      <c r="O24" s="50">
        <f t="shared" si="3"/>
        <v>0</v>
      </c>
      <c r="P24" s="24">
        <v>1033</v>
      </c>
      <c r="Q24" s="24">
        <v>1036</v>
      </c>
      <c r="R24" s="24">
        <f t="shared" si="13"/>
        <v>1034.5</v>
      </c>
      <c r="S24" s="24">
        <f t="shared" si="4"/>
        <v>3</v>
      </c>
      <c r="T24" s="50">
        <v>0</v>
      </c>
      <c r="U24" s="553">
        <v>2.5</v>
      </c>
      <c r="V24" s="553">
        <v>8.1</v>
      </c>
      <c r="W24" s="553">
        <v>10.7</v>
      </c>
      <c r="X24" s="555" t="s">
        <v>110</v>
      </c>
      <c r="Y24" s="72">
        <f t="shared" si="14"/>
        <v>0</v>
      </c>
      <c r="Z24" s="539">
        <v>0</v>
      </c>
      <c r="AA24" s="23"/>
      <c r="AB24" s="23"/>
      <c r="AC24" s="510" t="str">
        <f t="shared" si="5"/>
        <v/>
      </c>
      <c r="AD24" s="7" t="str">
        <f t="shared" si="6"/>
        <v/>
      </c>
      <c r="AE24" s="485"/>
      <c r="AF24" s="72"/>
      <c r="AG24" s="553">
        <v>1.8</v>
      </c>
      <c r="AH24" s="553">
        <v>7.3</v>
      </c>
      <c r="AI24" s="553">
        <v>4.5999999999999996</v>
      </c>
      <c r="AJ24" s="26">
        <f t="shared" si="23"/>
        <v>5.5</v>
      </c>
      <c r="AK24" s="6"/>
      <c r="AL24" s="485" t="s">
        <v>449</v>
      </c>
      <c r="AM24" s="54">
        <v>1013.25</v>
      </c>
      <c r="AN24" s="23" t="s">
        <v>8</v>
      </c>
      <c r="AO24" s="400"/>
      <c r="AP24" s="485">
        <v>2.5</v>
      </c>
      <c r="AQ24" s="485">
        <v>0</v>
      </c>
      <c r="AR24" s="134"/>
      <c r="AS24" s="26">
        <f>IF(ISBLANK(F24),"",(AVERAGE($F$4:F24)))</f>
        <v>2.3428571428571425</v>
      </c>
      <c r="AT24" s="26">
        <f>IF(ISBLANK(G24),"",(AVERAGE($G$4:G24)))</f>
        <v>9.6095238095238091</v>
      </c>
      <c r="AU24" s="25">
        <f>IF(ISBLANK(H24),"",(AVERAGE($H$4:H24)))</f>
        <v>6.1476190476190489</v>
      </c>
      <c r="AV24" s="368">
        <f>IF(ISBLANK(G24),"",(AVERAGE($I$4:I24)))</f>
        <v>7.2666666666666666</v>
      </c>
      <c r="AW24" s="22">
        <f>IF(ISBLANK(M24),"",AVERAGE($M$4:M24))</f>
        <v>75.666666666666671</v>
      </c>
      <c r="AX24" s="376">
        <f>IF(ISBLANK(P24),"",(AVERAGE($R$4:R24)))</f>
        <v>1022.8333333333334</v>
      </c>
      <c r="AY24" s="368">
        <f>IF(ISBLANK(U24),"",(AVERAGE($U$4:U24)))</f>
        <v>5.1047619047619026</v>
      </c>
      <c r="AZ24" s="6"/>
      <c r="BA24" s="25">
        <f t="shared" si="15"/>
        <v>0.46153846153846168</v>
      </c>
      <c r="BB24" s="25">
        <f t="shared" si="16"/>
        <v>3.7576923076923059</v>
      </c>
      <c r="BC24" s="25">
        <f t="shared" si="20"/>
        <v>2.1096153846153838</v>
      </c>
      <c r="BD24" s="367">
        <f t="shared" si="19"/>
        <v>3.2961538461538442</v>
      </c>
      <c r="BE24" s="72"/>
      <c r="BF24" s="25">
        <f>IF(ISBLANK(F24),"",AS24-AVERAGE($F$91:F111))</f>
        <v>-0.95128205128205234</v>
      </c>
      <c r="BG24" s="25">
        <f>IF(ISBLANK(G24),"",AT24-AVERAGE($G$91:G111))</f>
        <v>-0.30283882783882987</v>
      </c>
      <c r="BH24" s="367">
        <f t="shared" si="22"/>
        <v>0.64844322344322247</v>
      </c>
      <c r="BI24" s="115">
        <f t="shared" si="8"/>
        <v>0.15630252100840339</v>
      </c>
      <c r="BJ24" s="115">
        <f t="shared" si="9"/>
        <v>1.0832238728887782</v>
      </c>
      <c r="BK24" s="88"/>
      <c r="BL24" s="572">
        <v>21</v>
      </c>
    </row>
    <row r="25" spans="1:64" ht="12.75" customHeight="1" x14ac:dyDescent="0.2">
      <c r="A25" s="278">
        <f t="shared" si="10"/>
        <v>22</v>
      </c>
      <c r="B25" s="131">
        <f t="shared" si="18"/>
        <v>6.5</v>
      </c>
      <c r="C25" s="282">
        <f t="shared" si="11"/>
        <v>15.9</v>
      </c>
      <c r="D25" s="824"/>
      <c r="E25" s="99">
        <f t="shared" si="12"/>
        <v>22</v>
      </c>
      <c r="F25" s="23">
        <v>6.5</v>
      </c>
      <c r="G25" s="23">
        <v>15.9</v>
      </c>
      <c r="H25" s="553">
        <v>11.2</v>
      </c>
      <c r="I25" s="23">
        <f t="shared" si="0"/>
        <v>9.4</v>
      </c>
      <c r="J25" s="6">
        <f t="shared" si="1"/>
        <v>0</v>
      </c>
      <c r="K25" s="24">
        <v>47</v>
      </c>
      <c r="L25" s="24">
        <v>85</v>
      </c>
      <c r="M25" s="554">
        <v>67</v>
      </c>
      <c r="N25" s="24">
        <f t="shared" si="2"/>
        <v>38</v>
      </c>
      <c r="O25" s="50">
        <f t="shared" si="3"/>
        <v>0</v>
      </c>
      <c r="P25" s="24">
        <v>1036</v>
      </c>
      <c r="Q25" s="24">
        <v>1040</v>
      </c>
      <c r="R25" s="24">
        <f t="shared" si="13"/>
        <v>1038</v>
      </c>
      <c r="S25" s="24">
        <f t="shared" si="4"/>
        <v>4</v>
      </c>
      <c r="T25" s="50">
        <v>0</v>
      </c>
      <c r="U25" s="553">
        <v>1.9</v>
      </c>
      <c r="V25" s="553">
        <v>7.6</v>
      </c>
      <c r="W25" s="553">
        <v>11.2</v>
      </c>
      <c r="X25" s="555" t="s">
        <v>105</v>
      </c>
      <c r="Y25" s="72">
        <f t="shared" si="14"/>
        <v>0</v>
      </c>
      <c r="Z25" s="539">
        <v>0</v>
      </c>
      <c r="AA25" s="23"/>
      <c r="AB25" s="23"/>
      <c r="AC25" s="510" t="str">
        <f t="shared" si="5"/>
        <v/>
      </c>
      <c r="AD25" s="7" t="str">
        <f t="shared" si="6"/>
        <v/>
      </c>
      <c r="AE25" s="485"/>
      <c r="AF25" s="72"/>
      <c r="AG25" s="553">
        <v>3.1</v>
      </c>
      <c r="AH25" s="553">
        <v>8.9</v>
      </c>
      <c r="AI25" s="553">
        <v>5</v>
      </c>
      <c r="AJ25" s="26">
        <f t="shared" si="23"/>
        <v>5.8000000000000007</v>
      </c>
      <c r="AK25" s="6"/>
      <c r="AL25" s="485" t="s">
        <v>243</v>
      </c>
      <c r="AM25" s="54">
        <v>1013.25</v>
      </c>
      <c r="AN25" s="23" t="s">
        <v>8</v>
      </c>
      <c r="AO25" s="400"/>
      <c r="AP25" s="485">
        <v>1.5</v>
      </c>
      <c r="AQ25" s="485">
        <v>0</v>
      </c>
      <c r="AR25" s="134"/>
      <c r="AS25" s="26">
        <f>IF(ISBLANK(F25),"",(AVERAGE($F$4:F25)))</f>
        <v>2.5318181818181817</v>
      </c>
      <c r="AT25" s="26">
        <f>IF(ISBLANK(G25),"",(AVERAGE($G$4:G25)))</f>
        <v>9.8954545454545446</v>
      </c>
      <c r="AU25" s="25">
        <f>IF(ISBLANK(H25),"",(AVERAGE($H$4:H25)))</f>
        <v>6.3772727272727279</v>
      </c>
      <c r="AV25" s="368">
        <f>IF(ISBLANK(G25),"",(AVERAGE($I$4:I25)))</f>
        <v>7.3636363636363633</v>
      </c>
      <c r="AW25" s="22">
        <f>IF(ISBLANK(M25),"",AVERAGE($M$4:M25))</f>
        <v>75.272727272727266</v>
      </c>
      <c r="AX25" s="376">
        <f>IF(ISBLANK(P25),"",(AVERAGE($R$4:R25)))</f>
        <v>1023.5227272727273</v>
      </c>
      <c r="AY25" s="368">
        <f>IF(ISBLANK(U25),"",(AVERAGE($U$4:U25)))</f>
        <v>4.9590909090909072</v>
      </c>
      <c r="AZ25" s="6"/>
      <c r="BA25" s="25">
        <f t="shared" si="15"/>
        <v>2.4153846153846157</v>
      </c>
      <c r="BB25" s="25">
        <f t="shared" si="16"/>
        <v>4.9769230769230752</v>
      </c>
      <c r="BC25" s="25">
        <f t="shared" si="20"/>
        <v>3.6961538461538455</v>
      </c>
      <c r="BD25" s="367">
        <f t="shared" si="19"/>
        <v>2.5615384615384595</v>
      </c>
      <c r="BE25" s="72"/>
      <c r="BF25" s="25">
        <f>IF(ISBLANK(F25),"",AS25-AVERAGE($F$91:F112))</f>
        <v>-0.79825174825174905</v>
      </c>
      <c r="BG25" s="25">
        <f>IF(ISBLANK(G25),"",AT25-AVERAGE($G$91:G112))</f>
        <v>-6.2849650349653174E-2</v>
      </c>
      <c r="BH25" s="367">
        <f t="shared" si="22"/>
        <v>0.73540209790209587</v>
      </c>
      <c r="BI25" s="115">
        <f t="shared" si="8"/>
        <v>0.14919786096256685</v>
      </c>
      <c r="BJ25" s="115">
        <f t="shared" si="9"/>
        <v>1.0515640710186367</v>
      </c>
      <c r="BK25" s="88"/>
      <c r="BL25" s="572">
        <v>22</v>
      </c>
    </row>
    <row r="26" spans="1:64" ht="12.75" customHeight="1" x14ac:dyDescent="0.2">
      <c r="A26" s="278">
        <f t="shared" si="10"/>
        <v>23</v>
      </c>
      <c r="B26" s="131">
        <f t="shared" si="18"/>
        <v>4.3</v>
      </c>
      <c r="C26" s="282">
        <f t="shared" si="11"/>
        <v>16.100000000000001</v>
      </c>
      <c r="D26" s="824"/>
      <c r="E26" s="99">
        <f t="shared" si="12"/>
        <v>23</v>
      </c>
      <c r="F26" s="23">
        <v>4.3</v>
      </c>
      <c r="G26" s="23">
        <v>16.100000000000001</v>
      </c>
      <c r="H26" s="553">
        <v>10.6</v>
      </c>
      <c r="I26" s="23">
        <f t="shared" si="0"/>
        <v>11.8</v>
      </c>
      <c r="J26" s="6">
        <f t="shared" si="1"/>
        <v>0</v>
      </c>
      <c r="K26" s="24">
        <v>49</v>
      </c>
      <c r="L26" s="24">
        <v>91</v>
      </c>
      <c r="M26" s="554">
        <v>71</v>
      </c>
      <c r="N26" s="24">
        <f t="shared" si="2"/>
        <v>42</v>
      </c>
      <c r="O26" s="50">
        <f t="shared" si="3"/>
        <v>0</v>
      </c>
      <c r="P26" s="24">
        <v>1038</v>
      </c>
      <c r="Q26" s="24">
        <v>1042</v>
      </c>
      <c r="R26" s="24">
        <f t="shared" si="13"/>
        <v>1040</v>
      </c>
      <c r="S26" s="24">
        <f t="shared" si="4"/>
        <v>4</v>
      </c>
      <c r="T26" s="50">
        <v>0</v>
      </c>
      <c r="U26" s="553">
        <v>3.1</v>
      </c>
      <c r="V26" s="553">
        <v>9.8000000000000007</v>
      </c>
      <c r="W26" s="553">
        <v>12.8</v>
      </c>
      <c r="X26" s="555" t="s">
        <v>106</v>
      </c>
      <c r="Y26" s="72">
        <f t="shared" si="14"/>
        <v>0</v>
      </c>
      <c r="Z26" s="539">
        <v>0</v>
      </c>
      <c r="AA26" s="23"/>
      <c r="AB26" s="23"/>
      <c r="AC26" s="510" t="str">
        <f t="shared" si="5"/>
        <v/>
      </c>
      <c r="AD26" s="7" t="str">
        <f t="shared" si="6"/>
        <v/>
      </c>
      <c r="AE26" s="485"/>
      <c r="AF26" s="72"/>
      <c r="AG26" s="553">
        <v>1.7</v>
      </c>
      <c r="AH26" s="553">
        <v>8</v>
      </c>
      <c r="AI26" s="553">
        <v>5.2</v>
      </c>
      <c r="AJ26" s="26">
        <f t="shared" si="23"/>
        <v>6.3</v>
      </c>
      <c r="AK26" s="6"/>
      <c r="AL26" s="485" t="s">
        <v>450</v>
      </c>
      <c r="AM26" s="54">
        <v>1013.25</v>
      </c>
      <c r="AN26" s="47" t="s">
        <v>253</v>
      </c>
      <c r="AO26" s="400"/>
      <c r="AP26" s="485">
        <v>10.7</v>
      </c>
      <c r="AQ26" s="485">
        <v>0</v>
      </c>
      <c r="AR26" s="134"/>
      <c r="AS26" s="26">
        <f>IF(ISBLANK(F26),"",(AVERAGE($F$4:F26)))</f>
        <v>2.6086956521739126</v>
      </c>
      <c r="AT26" s="26">
        <f>IF(ISBLANK(G26),"",(AVERAGE($G$4:G26)))</f>
        <v>10.165217391304347</v>
      </c>
      <c r="AU26" s="25">
        <f>IF(ISBLANK(H26),"",(AVERAGE($H$4:H26)))</f>
        <v>6.5608695652173914</v>
      </c>
      <c r="AV26" s="368">
        <f>IF(ISBLANK(G26),"",(AVERAGE($I$4:I26)))</f>
        <v>7.5565217391304351</v>
      </c>
      <c r="AW26" s="22">
        <f>IF(ISBLANK(M26),"",AVERAGE($M$4:M26))</f>
        <v>75.086956521739125</v>
      </c>
      <c r="AX26" s="376">
        <f>IF(ISBLANK(P26),"",(AVERAGE($R$4:R26)))</f>
        <v>1024.2391304347825</v>
      </c>
      <c r="AY26" s="368">
        <f>IF(ISBLANK(U26),"",(AVERAGE($U$4:U26)))</f>
        <v>4.8782608695652154</v>
      </c>
      <c r="AZ26" s="6"/>
      <c r="BA26" s="25">
        <f t="shared" si="15"/>
        <v>0.16923076923076952</v>
      </c>
      <c r="BB26" s="25">
        <f t="shared" si="16"/>
        <v>5.0961538461538449</v>
      </c>
      <c r="BC26" s="25">
        <f t="shared" si="20"/>
        <v>2.6326923076923072</v>
      </c>
      <c r="BD26" s="367">
        <f t="shared" si="19"/>
        <v>4.9269230769230754</v>
      </c>
      <c r="BE26" s="72"/>
      <c r="BF26" s="25">
        <f>IF(ISBLANK(F26),"",AS26-AVERAGE($F$91:F113))</f>
        <v>-0.75618729096990078</v>
      </c>
      <c r="BG26" s="25">
        <f>IF(ISBLANK(G26),"",AT26-AVERAGE($G$91:G113))</f>
        <v>0.161454849498325</v>
      </c>
      <c r="BH26" s="367">
        <f t="shared" si="22"/>
        <v>0.91764214046822579</v>
      </c>
      <c r="BI26" s="115">
        <f t="shared" si="8"/>
        <v>0.14271099744245525</v>
      </c>
      <c r="BJ26" s="115">
        <f t="shared" si="9"/>
        <v>1.1434747751955108</v>
      </c>
      <c r="BK26" s="88"/>
      <c r="BL26" s="572">
        <v>23</v>
      </c>
    </row>
    <row r="27" spans="1:64" ht="12.75" customHeight="1" x14ac:dyDescent="0.2">
      <c r="A27" s="278">
        <f t="shared" si="10"/>
        <v>24</v>
      </c>
      <c r="B27" s="131">
        <f t="shared" si="18"/>
        <v>4.8</v>
      </c>
      <c r="C27" s="282">
        <f t="shared" si="11"/>
        <v>15.8</v>
      </c>
      <c r="D27" s="824"/>
      <c r="E27" s="99">
        <f t="shared" si="12"/>
        <v>24</v>
      </c>
      <c r="F27" s="23">
        <v>4.8</v>
      </c>
      <c r="G27" s="23">
        <v>15.8</v>
      </c>
      <c r="H27" s="553">
        <v>9.8000000000000007</v>
      </c>
      <c r="I27" s="23">
        <f t="shared" si="0"/>
        <v>11</v>
      </c>
      <c r="J27" s="6">
        <f t="shared" si="1"/>
        <v>0</v>
      </c>
      <c r="K27" s="24">
        <v>36</v>
      </c>
      <c r="L27" s="24">
        <v>95</v>
      </c>
      <c r="M27" s="555">
        <v>70</v>
      </c>
      <c r="N27" s="24">
        <f t="shared" si="2"/>
        <v>59</v>
      </c>
      <c r="O27" s="50">
        <f t="shared" si="3"/>
        <v>0</v>
      </c>
      <c r="P27" s="24">
        <v>1027</v>
      </c>
      <c r="Q27" s="24">
        <v>1038</v>
      </c>
      <c r="R27" s="24">
        <f t="shared" si="13"/>
        <v>1032.5</v>
      </c>
      <c r="S27" s="24">
        <f t="shared" si="4"/>
        <v>11</v>
      </c>
      <c r="T27" s="50">
        <v>0</v>
      </c>
      <c r="U27" s="553">
        <v>4.3</v>
      </c>
      <c r="V27" s="553">
        <v>11.5</v>
      </c>
      <c r="W27" s="553">
        <v>15.4</v>
      </c>
      <c r="X27" s="555" t="s">
        <v>106</v>
      </c>
      <c r="Y27" s="72">
        <f t="shared" si="14"/>
        <v>0</v>
      </c>
      <c r="Z27" s="539">
        <v>0</v>
      </c>
      <c r="AA27" s="23"/>
      <c r="AB27" s="23"/>
      <c r="AC27" s="510" t="str">
        <f t="shared" si="5"/>
        <v/>
      </c>
      <c r="AD27" s="7" t="str">
        <f t="shared" si="6"/>
        <v/>
      </c>
      <c r="AE27" s="485"/>
      <c r="AF27" s="72"/>
      <c r="AG27" s="553">
        <v>0.1</v>
      </c>
      <c r="AH27" s="553">
        <v>7.9</v>
      </c>
      <c r="AI27" s="553">
        <v>4</v>
      </c>
      <c r="AJ27" s="26">
        <f t="shared" si="23"/>
        <v>7.8000000000000007</v>
      </c>
      <c r="AK27" s="6"/>
      <c r="AL27" s="485" t="s">
        <v>451</v>
      </c>
      <c r="AM27" s="54">
        <v>1013.25</v>
      </c>
      <c r="AN27" s="391" t="s">
        <v>452</v>
      </c>
      <c r="AO27" s="400"/>
      <c r="AP27" s="485">
        <v>10</v>
      </c>
      <c r="AQ27" s="485">
        <v>0</v>
      </c>
      <c r="AR27" s="134"/>
      <c r="AS27" s="26">
        <f>IF(ISBLANK(F27),"",(AVERAGE($F$4:F27)))</f>
        <v>2.6999999999999997</v>
      </c>
      <c r="AT27" s="26">
        <f>IF(ISBLANK(G27),"",(AVERAGE($G$4:G27)))</f>
        <v>10.4</v>
      </c>
      <c r="AU27" s="25">
        <f>IF(ISBLANK(H27),"",(AVERAGE($H$4:H27)))</f>
        <v>6.6958333333333337</v>
      </c>
      <c r="AV27" s="368">
        <f>IF(ISBLANK(G27),"",(AVERAGE($I$4:I27)))</f>
        <v>7.7</v>
      </c>
      <c r="AW27" s="22">
        <f>IF(ISBLANK(M27),"",AVERAGE($M$4:M27))</f>
        <v>74.875</v>
      </c>
      <c r="AX27" s="376">
        <f>IF(ISBLANK(P27),"",(AVERAGE($R$4:R27)))</f>
        <v>1024.5833333333333</v>
      </c>
      <c r="AY27" s="368">
        <f>IF(ISBLANK(U27),"",(AVERAGE($U$4:U27)))</f>
        <v>4.8541666666666652</v>
      </c>
      <c r="AZ27" s="6"/>
      <c r="BA27" s="25">
        <f t="shared" si="15"/>
        <v>0.62307692307692353</v>
      </c>
      <c r="BB27" s="25">
        <f t="shared" si="16"/>
        <v>4.7153846153846128</v>
      </c>
      <c r="BC27" s="25">
        <f t="shared" si="20"/>
        <v>2.6692307692307682</v>
      </c>
      <c r="BD27" s="367">
        <f t="shared" si="19"/>
        <v>4.0923076923076893</v>
      </c>
      <c r="BE27" s="72"/>
      <c r="BF27" s="25">
        <f>IF(ISBLANK(F27),"",AS27-AVERAGE($F$91:F114))</f>
        <v>-0.69871794871794979</v>
      </c>
      <c r="BG27" s="25">
        <f>IF(ISBLANK(G27),"",AT27-AVERAGE($G$91:G114))</f>
        <v>0.35120192307692122</v>
      </c>
      <c r="BH27" s="367">
        <f t="shared" si="22"/>
        <v>1.049919871794871</v>
      </c>
      <c r="BI27" s="115">
        <f t="shared" si="8"/>
        <v>0.13676470588235295</v>
      </c>
      <c r="BJ27" s="115">
        <f t="shared" si="9"/>
        <v>1.2181488044888245</v>
      </c>
      <c r="BK27" s="88"/>
      <c r="BL27" s="572">
        <v>24</v>
      </c>
    </row>
    <row r="28" spans="1:64" ht="12.75" customHeight="1" x14ac:dyDescent="0.2">
      <c r="A28" s="278">
        <f t="shared" si="10"/>
        <v>25</v>
      </c>
      <c r="B28" s="131">
        <f t="shared" si="18"/>
        <v>3.6</v>
      </c>
      <c r="C28" s="282">
        <f t="shared" si="11"/>
        <v>17.2</v>
      </c>
      <c r="D28" s="824"/>
      <c r="E28" s="99">
        <f t="shared" si="12"/>
        <v>25</v>
      </c>
      <c r="F28" s="23">
        <v>3.6</v>
      </c>
      <c r="G28" s="23">
        <v>17.2</v>
      </c>
      <c r="H28" s="553">
        <v>10.6</v>
      </c>
      <c r="I28" s="23">
        <f t="shared" si="0"/>
        <v>13.6</v>
      </c>
      <c r="J28" s="6">
        <f t="shared" si="1"/>
        <v>0</v>
      </c>
      <c r="K28" s="24">
        <v>45</v>
      </c>
      <c r="L28" s="24">
        <v>87</v>
      </c>
      <c r="M28" s="555">
        <v>68</v>
      </c>
      <c r="N28" s="24">
        <f t="shared" si="2"/>
        <v>42</v>
      </c>
      <c r="O28" s="50">
        <f t="shared" si="3"/>
        <v>0</v>
      </c>
      <c r="P28" s="24">
        <v>1017</v>
      </c>
      <c r="Q28" s="24">
        <v>1027</v>
      </c>
      <c r="R28" s="24">
        <f t="shared" si="13"/>
        <v>1022</v>
      </c>
      <c r="S28" s="24">
        <f t="shared" si="4"/>
        <v>10</v>
      </c>
      <c r="T28" s="50">
        <v>0</v>
      </c>
      <c r="U28" s="553">
        <v>1.6</v>
      </c>
      <c r="V28" s="553">
        <v>7.1</v>
      </c>
      <c r="W28" s="553">
        <v>8.6999999999999993</v>
      </c>
      <c r="X28" s="555" t="s">
        <v>106</v>
      </c>
      <c r="Y28" s="72">
        <f t="shared" si="14"/>
        <v>0</v>
      </c>
      <c r="Z28" s="539">
        <v>0</v>
      </c>
      <c r="AA28" s="23"/>
      <c r="AB28" s="23"/>
      <c r="AC28" s="510" t="str">
        <f t="shared" si="5"/>
        <v/>
      </c>
      <c r="AD28" s="7" t="str">
        <f t="shared" si="6"/>
        <v/>
      </c>
      <c r="AE28" s="485"/>
      <c r="AF28" s="72"/>
      <c r="AG28" s="553">
        <v>0.8</v>
      </c>
      <c r="AH28" s="553">
        <v>8</v>
      </c>
      <c r="AI28" s="553">
        <v>4.5999999999999996</v>
      </c>
      <c r="AJ28" s="26">
        <f t="shared" si="23"/>
        <v>7.2</v>
      </c>
      <c r="AK28" s="6"/>
      <c r="AL28" s="485" t="s">
        <v>451</v>
      </c>
      <c r="AM28" s="54">
        <v>1013.25</v>
      </c>
      <c r="AN28" s="23" t="s">
        <v>8</v>
      </c>
      <c r="AO28" s="400"/>
      <c r="AP28" s="485">
        <v>10</v>
      </c>
      <c r="AQ28" s="485">
        <v>0</v>
      </c>
      <c r="AR28" s="134"/>
      <c r="AS28" s="26">
        <f>IF(ISBLANK(F28),"",(AVERAGE($F$4:F28)))</f>
        <v>2.7359999999999998</v>
      </c>
      <c r="AT28" s="26">
        <f>IF(ISBLANK(G28),"",(AVERAGE($G$4:G28)))</f>
        <v>10.672000000000001</v>
      </c>
      <c r="AU28" s="25">
        <f>IF(ISBLANK(H28),"",(AVERAGE($H$4:H28)))</f>
        <v>6.8520000000000003</v>
      </c>
      <c r="AV28" s="368">
        <f>IF(ISBLANK(G28),"",(AVERAGE($I$4:I28)))</f>
        <v>7.9359999999999999</v>
      </c>
      <c r="AW28" s="22">
        <f>IF(ISBLANK(M28),"",AVERAGE($M$4:M28))</f>
        <v>74.599999999999994</v>
      </c>
      <c r="AX28" s="376">
        <f>IF(ISBLANK(P28),"",(AVERAGE($R$4:R28)))</f>
        <v>1024.48</v>
      </c>
      <c r="AY28" s="368">
        <f>IF(ISBLANK(U28),"",(AVERAGE($U$4:U28)))</f>
        <v>4.7239999999999984</v>
      </c>
      <c r="AZ28" s="6"/>
      <c r="BA28" s="25">
        <f t="shared" si="15"/>
        <v>-0.6230769230769222</v>
      </c>
      <c r="BB28" s="25">
        <f t="shared" si="16"/>
        <v>6.0346153846153801</v>
      </c>
      <c r="BC28" s="25">
        <f t="shared" si="20"/>
        <v>2.7057692307692287</v>
      </c>
      <c r="BD28" s="367">
        <f t="shared" si="19"/>
        <v>6.6576923076923027</v>
      </c>
      <c r="BE28" s="72"/>
      <c r="BF28" s="25">
        <f>IF(ISBLANK(F28),"",AS28-AVERAGE($F$91:F115))</f>
        <v>-0.69569230769230828</v>
      </c>
      <c r="BG28" s="25">
        <f>IF(ISBLANK(G28),"",AT28-AVERAGE($G$91:G115))</f>
        <v>0.57853846153846078</v>
      </c>
      <c r="BH28" s="367">
        <f t="shared" si="22"/>
        <v>1.2742307692307691</v>
      </c>
      <c r="BI28" s="115">
        <f t="shared" si="8"/>
        <v>0.13129411764705881</v>
      </c>
      <c r="BJ28" s="115">
        <f t="shared" si="9"/>
        <v>1.2861503700523795</v>
      </c>
      <c r="BK28" s="88"/>
      <c r="BL28" s="572">
        <v>25</v>
      </c>
    </row>
    <row r="29" spans="1:64" ht="12.75" customHeight="1" x14ac:dyDescent="0.2">
      <c r="A29" s="278">
        <f t="shared" si="10"/>
        <v>26</v>
      </c>
      <c r="B29" s="131">
        <f t="shared" si="18"/>
        <v>5.0999999999999996</v>
      </c>
      <c r="C29" s="282">
        <f t="shared" si="11"/>
        <v>13.4</v>
      </c>
      <c r="D29" s="824"/>
      <c r="E29" s="99">
        <f t="shared" si="12"/>
        <v>26</v>
      </c>
      <c r="F29" s="23">
        <v>5.0999999999999996</v>
      </c>
      <c r="G29" s="23">
        <v>13.4</v>
      </c>
      <c r="H29" s="553">
        <v>8.6</v>
      </c>
      <c r="I29" s="23">
        <f t="shared" si="0"/>
        <v>8.3000000000000007</v>
      </c>
      <c r="J29" s="6">
        <f t="shared" si="1"/>
        <v>0</v>
      </c>
      <c r="K29" s="24">
        <v>67</v>
      </c>
      <c r="L29" s="24">
        <v>92</v>
      </c>
      <c r="M29" s="555">
        <v>79</v>
      </c>
      <c r="N29" s="24">
        <f t="shared" si="2"/>
        <v>25</v>
      </c>
      <c r="O29" s="50">
        <f t="shared" si="3"/>
        <v>0</v>
      </c>
      <c r="P29" s="24">
        <v>1015</v>
      </c>
      <c r="Q29" s="24">
        <v>1016</v>
      </c>
      <c r="R29" s="24">
        <f t="shared" si="13"/>
        <v>1015.5</v>
      </c>
      <c r="S29" s="24">
        <f t="shared" si="4"/>
        <v>1</v>
      </c>
      <c r="T29" s="50">
        <v>0</v>
      </c>
      <c r="U29" s="553">
        <v>4.5</v>
      </c>
      <c r="V29" s="553">
        <v>13.5</v>
      </c>
      <c r="W29" s="553">
        <v>17.899999999999999</v>
      </c>
      <c r="X29" s="555" t="s">
        <v>106</v>
      </c>
      <c r="Y29" s="72">
        <f t="shared" si="14"/>
        <v>0</v>
      </c>
      <c r="Z29" s="539">
        <v>0</v>
      </c>
      <c r="AA29" s="23"/>
      <c r="AB29" s="23"/>
      <c r="AC29" s="510" t="str">
        <f t="shared" si="5"/>
        <v/>
      </c>
      <c r="AD29" s="7" t="str">
        <f t="shared" si="6"/>
        <v/>
      </c>
      <c r="AE29" s="485"/>
      <c r="AF29" s="72"/>
      <c r="AG29" s="553">
        <v>3.2</v>
      </c>
      <c r="AH29" s="553">
        <v>8.4</v>
      </c>
      <c r="AI29" s="553">
        <v>5.2</v>
      </c>
      <c r="AJ29" s="7">
        <f t="shared" ref="AJ29:AJ34" si="24">IF(ISBLANK(AH29),"",AH29-AG29)</f>
        <v>5.2</v>
      </c>
      <c r="AK29" s="6"/>
      <c r="AL29" s="485" t="s">
        <v>453</v>
      </c>
      <c r="AM29" s="54">
        <v>1013.25</v>
      </c>
      <c r="AN29" s="302" t="s">
        <v>454</v>
      </c>
      <c r="AO29" s="400"/>
      <c r="AP29" s="485">
        <v>1</v>
      </c>
      <c r="AQ29" s="485">
        <v>0.1</v>
      </c>
      <c r="AR29" s="134"/>
      <c r="AS29" s="26">
        <f>IF(ISBLANK(F29),"",(AVERAGE($F$4:F29)))</f>
        <v>2.8269230769230762</v>
      </c>
      <c r="AT29" s="26">
        <f>IF(ISBLANK(G29),"",(AVERAGE($G$4:G29)))</f>
        <v>10.776923076923076</v>
      </c>
      <c r="AU29" s="25">
        <f>IF(ISBLANK(H29),"",(AVERAGE($H$4:H29)))</f>
        <v>6.9192307692307695</v>
      </c>
      <c r="AV29" s="368">
        <f>IF(ISBLANK(G29),"",(AVERAGE($I$4:I29)))</f>
        <v>7.9500000000000011</v>
      </c>
      <c r="AW29" s="22">
        <f>IF(ISBLANK(M29),"",AVERAGE($M$4:M29))</f>
        <v>74.769230769230774</v>
      </c>
      <c r="AX29" s="376">
        <f>IF(ISBLANK(P29),"",(AVERAGE($R$4:R29)))</f>
        <v>1024.1346153846155</v>
      </c>
      <c r="AY29" s="368">
        <f>IF(ISBLANK(U29),"",(AVERAGE($U$4:U29)))</f>
        <v>4.7153846153846137</v>
      </c>
      <c r="AZ29" s="6"/>
      <c r="BA29" s="25">
        <f t="shared" si="15"/>
        <v>0.83076923076923137</v>
      </c>
      <c r="BB29" s="25">
        <f t="shared" si="16"/>
        <v>2.1538461538461497</v>
      </c>
      <c r="BC29" s="25">
        <f t="shared" si="20"/>
        <v>1.4923076923076906</v>
      </c>
      <c r="BD29" s="367">
        <f t="shared" si="19"/>
        <v>1.3230769230769184</v>
      </c>
      <c r="BE29" s="72"/>
      <c r="BF29" s="25">
        <f>IF(ISBLANK(F29),"",AS29-AVERAGE($F$91:F116))</f>
        <v>-0.63698224852071128</v>
      </c>
      <c r="BG29" s="25">
        <f>IF(ISBLANK(G29),"",AT29-AVERAGE($G$91:G116))</f>
        <v>0.63912721893490776</v>
      </c>
      <c r="BH29" s="367">
        <f t="shared" si="22"/>
        <v>1.276109467455619</v>
      </c>
      <c r="BI29" s="115">
        <f t="shared" si="8"/>
        <v>0.12624434389140274</v>
      </c>
      <c r="BJ29" s="115">
        <f t="shared" si="9"/>
        <v>1.2445433254517584</v>
      </c>
      <c r="BK29" s="88"/>
      <c r="BL29" s="572">
        <v>26</v>
      </c>
    </row>
    <row r="30" spans="1:64" ht="12.75" customHeight="1" x14ac:dyDescent="0.2">
      <c r="A30" s="394">
        <f t="shared" si="10"/>
        <v>27</v>
      </c>
      <c r="B30" s="131">
        <f t="shared" si="18"/>
        <v>6.2</v>
      </c>
      <c r="C30" s="282">
        <f t="shared" si="11"/>
        <v>14</v>
      </c>
      <c r="D30" s="824"/>
      <c r="E30" s="97">
        <f t="shared" si="12"/>
        <v>27</v>
      </c>
      <c r="F30" s="23">
        <v>6.2</v>
      </c>
      <c r="G30" s="23">
        <v>14</v>
      </c>
      <c r="H30" s="553">
        <v>9.4</v>
      </c>
      <c r="I30" s="23">
        <f t="shared" si="0"/>
        <v>7.8</v>
      </c>
      <c r="J30" s="6">
        <f t="shared" si="1"/>
        <v>0</v>
      </c>
      <c r="K30" s="24">
        <v>54</v>
      </c>
      <c r="L30" s="24">
        <v>87</v>
      </c>
      <c r="M30" s="554">
        <v>73</v>
      </c>
      <c r="N30" s="24">
        <f t="shared" si="2"/>
        <v>33</v>
      </c>
      <c r="O30" s="50">
        <f t="shared" si="3"/>
        <v>0</v>
      </c>
      <c r="P30" s="24">
        <v>1013</v>
      </c>
      <c r="Q30" s="24">
        <v>1015</v>
      </c>
      <c r="R30" s="24">
        <f t="shared" si="13"/>
        <v>1014</v>
      </c>
      <c r="S30" s="24">
        <f t="shared" si="4"/>
        <v>2</v>
      </c>
      <c r="T30" s="50">
        <v>0</v>
      </c>
      <c r="U30" s="553">
        <v>4.9000000000000004</v>
      </c>
      <c r="V30" s="553">
        <v>11.5</v>
      </c>
      <c r="W30" s="553">
        <v>15.4</v>
      </c>
      <c r="X30" s="553" t="s">
        <v>106</v>
      </c>
      <c r="Y30" s="72">
        <f t="shared" si="14"/>
        <v>0</v>
      </c>
      <c r="Z30" s="539">
        <v>0</v>
      </c>
      <c r="AA30" s="23"/>
      <c r="AB30" s="23"/>
      <c r="AC30" s="510" t="str">
        <f t="shared" si="5"/>
        <v/>
      </c>
      <c r="AD30" s="7" t="str">
        <f t="shared" si="6"/>
        <v/>
      </c>
      <c r="AE30" s="485"/>
      <c r="AF30" s="72"/>
      <c r="AG30" s="553">
        <v>1.9</v>
      </c>
      <c r="AH30" s="553">
        <v>6.5</v>
      </c>
      <c r="AI30" s="553">
        <v>4.5999999999999996</v>
      </c>
      <c r="AJ30" s="26">
        <f t="shared" si="24"/>
        <v>4.5999999999999996</v>
      </c>
      <c r="AK30" s="6"/>
      <c r="AL30" s="485" t="s">
        <v>455</v>
      </c>
      <c r="AM30" s="54">
        <v>1013.25</v>
      </c>
      <c r="AN30" s="23" t="s">
        <v>8</v>
      </c>
      <c r="AO30" s="400"/>
      <c r="AP30" s="485">
        <v>7</v>
      </c>
      <c r="AQ30" s="485">
        <v>0</v>
      </c>
      <c r="AR30" s="134"/>
      <c r="AS30" s="26">
        <f>IF(ISBLANK(F30),"",(AVERAGE($F$4:F30)))</f>
        <v>2.9518518518518513</v>
      </c>
      <c r="AT30" s="26">
        <f>IF(ISBLANK(G30),"",(AVERAGE($G$4:G30)))</f>
        <v>10.896296296296295</v>
      </c>
      <c r="AU30" s="25">
        <f>IF(ISBLANK(H30),"",(AVERAGE($H$4:H30)))</f>
        <v>7.011111111111112</v>
      </c>
      <c r="AV30" s="368">
        <f>IF(ISBLANK(G30),"",(AVERAGE($I$4:I30)))</f>
        <v>7.9444444444444455</v>
      </c>
      <c r="AW30" s="22">
        <f>IF(ISBLANK(M30),"",AVERAGE($M$4:M30))</f>
        <v>74.703703703703709</v>
      </c>
      <c r="AX30" s="376">
        <f>IF(ISBLANK(P30),"",(AVERAGE($R$4:R30)))</f>
        <v>1023.7592592592592</v>
      </c>
      <c r="AY30" s="368">
        <f>IF(ISBLANK(U30),"",(AVERAGE($U$4:U30)))</f>
        <v>4.7222222222222205</v>
      </c>
      <c r="AZ30" s="6"/>
      <c r="BA30" s="25">
        <f t="shared" si="15"/>
        <v>1.8846153846153859</v>
      </c>
      <c r="BB30" s="25">
        <f t="shared" si="16"/>
        <v>2.673076923076918</v>
      </c>
      <c r="BC30" s="25">
        <f t="shared" si="20"/>
        <v>2.278846153846152</v>
      </c>
      <c r="BD30" s="367">
        <f t="shared" si="19"/>
        <v>0.78846153846153211</v>
      </c>
      <c r="BE30" s="72"/>
      <c r="BF30" s="25">
        <f>IF(ISBLANK(F30),"",AS30-AVERAGE($F$91:F117))</f>
        <v>-0.54358974358974477</v>
      </c>
      <c r="BG30" s="25">
        <f>IF(ISBLANK(G30),"",AT30-AVERAGE($G$91:G117))</f>
        <v>0.71445868945868618</v>
      </c>
      <c r="BH30" s="367">
        <f>IF(ISBLANK(G30),"",BG30-BF30)</f>
        <v>1.2580484330484309</v>
      </c>
      <c r="BI30" s="115">
        <f t="shared" si="8"/>
        <v>0.12156862745098039</v>
      </c>
      <c r="BJ30" s="115">
        <f t="shared" si="9"/>
        <v>1.2723567211587841</v>
      </c>
      <c r="BK30" s="421"/>
      <c r="BL30" s="572">
        <v>27</v>
      </c>
    </row>
    <row r="31" spans="1:64" ht="12.75" customHeight="1" x14ac:dyDescent="0.2">
      <c r="A31" s="394">
        <f t="shared" si="10"/>
        <v>28</v>
      </c>
      <c r="B31" s="131">
        <f t="shared" si="18"/>
        <v>5.2</v>
      </c>
      <c r="C31" s="282">
        <f t="shared" si="11"/>
        <v>13.6</v>
      </c>
      <c r="D31" s="824"/>
      <c r="E31" s="97">
        <f t="shared" si="12"/>
        <v>28</v>
      </c>
      <c r="F31" s="23">
        <v>5.2</v>
      </c>
      <c r="G31" s="23">
        <v>13.6</v>
      </c>
      <c r="H31" s="553">
        <v>9.3000000000000007</v>
      </c>
      <c r="I31" s="23">
        <f t="shared" si="0"/>
        <v>8.3999999999999986</v>
      </c>
      <c r="J31" s="6">
        <f t="shared" si="1"/>
        <v>0</v>
      </c>
      <c r="K31" s="24">
        <v>51</v>
      </c>
      <c r="L31" s="24">
        <v>78</v>
      </c>
      <c r="M31" s="554">
        <v>64</v>
      </c>
      <c r="N31" s="24">
        <f t="shared" si="2"/>
        <v>27</v>
      </c>
      <c r="O31" s="50">
        <f t="shared" si="3"/>
        <v>0</v>
      </c>
      <c r="P31" s="24">
        <v>1015</v>
      </c>
      <c r="Q31" s="24">
        <v>1018</v>
      </c>
      <c r="R31" s="24">
        <f t="shared" si="13"/>
        <v>1016.5</v>
      </c>
      <c r="S31" s="24">
        <f t="shared" si="4"/>
        <v>3</v>
      </c>
      <c r="T31" s="50">
        <v>0</v>
      </c>
      <c r="U31" s="553">
        <v>2.1</v>
      </c>
      <c r="V31" s="553">
        <v>8.5</v>
      </c>
      <c r="W31" s="553">
        <v>10.5</v>
      </c>
      <c r="X31" s="485" t="s">
        <v>106</v>
      </c>
      <c r="Y31" s="72">
        <f t="shared" si="14"/>
        <v>0</v>
      </c>
      <c r="Z31" s="539">
        <v>0</v>
      </c>
      <c r="AA31" s="23"/>
      <c r="AB31" s="23"/>
      <c r="AC31" s="510" t="str">
        <f t="shared" si="5"/>
        <v/>
      </c>
      <c r="AD31" s="7" t="str">
        <f t="shared" si="6"/>
        <v/>
      </c>
      <c r="AE31" s="485"/>
      <c r="AF31" s="72"/>
      <c r="AG31" s="553">
        <v>-0.1</v>
      </c>
      <c r="AH31" s="553">
        <v>4.5999999999999996</v>
      </c>
      <c r="AI31" s="553">
        <v>2.7</v>
      </c>
      <c r="AJ31" s="26">
        <f t="shared" si="24"/>
        <v>4.6999999999999993</v>
      </c>
      <c r="AK31" s="6"/>
      <c r="AL31" s="485" t="s">
        <v>456</v>
      </c>
      <c r="AM31" s="54">
        <v>1013.25</v>
      </c>
      <c r="AN31" s="23" t="s">
        <v>8</v>
      </c>
      <c r="AO31" s="400"/>
      <c r="AP31" s="485">
        <v>5</v>
      </c>
      <c r="AQ31" s="485">
        <v>0</v>
      </c>
      <c r="AR31" s="134"/>
      <c r="AS31" s="26">
        <f>IF(ISBLANK(F31),"",(AVERAGE($F$4:F31)))</f>
        <v>3.032142857142857</v>
      </c>
      <c r="AT31" s="26">
        <f>IF(ISBLANK(G31),"",(AVERAGE($G$4:G31)))</f>
        <v>10.992857142857144</v>
      </c>
      <c r="AU31" s="25">
        <f>IF(ISBLANK(H31),"",(AVERAGE($H$4:H31)))</f>
        <v>7.0928571428571434</v>
      </c>
      <c r="AV31" s="368">
        <f>IF(ISBLANK(G31),"",(AVERAGE($I$4:I31)))</f>
        <v>7.9607142857142872</v>
      </c>
      <c r="AW31" s="22">
        <f>IF(ISBLANK(M31),"",AVERAGE($M$4:M31))</f>
        <v>74.321428571428569</v>
      </c>
      <c r="AX31" s="376">
        <f>IF(ISBLANK(P31),"",(AVERAGE($R$4:R31)))</f>
        <v>1023.5</v>
      </c>
      <c r="AY31" s="368">
        <f>IF(ISBLANK(U31),"",(AVERAGE($U$4:U31)))</f>
        <v>4.6285714285714272</v>
      </c>
      <c r="AZ31" s="6"/>
      <c r="BA31" s="25">
        <f t="shared" si="15"/>
        <v>0.83846153846153992</v>
      </c>
      <c r="BB31" s="25">
        <f t="shared" si="16"/>
        <v>2.1923076923076863</v>
      </c>
      <c r="BC31" s="25">
        <f t="shared" si="20"/>
        <v>1.5153846153846131</v>
      </c>
      <c r="BD31" s="367">
        <f t="shared" si="19"/>
        <v>1.3538461538461464</v>
      </c>
      <c r="BE31" s="72"/>
      <c r="BF31" s="25">
        <f>IF(ISBLANK(F31),"",AS31-AVERAGE($F$91:F118))</f>
        <v>-0.4942307692307697</v>
      </c>
      <c r="BG31" s="25">
        <f>IF(ISBLANK(G31),"",AT31-AVERAGE($G$91:G118))</f>
        <v>0.76723901098901059</v>
      </c>
      <c r="BH31" s="367">
        <f>IF(ISBLANK(G31),"",BG31-BF31)</f>
        <v>1.2614697802197803</v>
      </c>
      <c r="BI31" s="115">
        <f t="shared" si="8"/>
        <v>0.11722689075630252</v>
      </c>
      <c r="BJ31" s="115">
        <f t="shared" si="9"/>
        <v>1.2764883296787233</v>
      </c>
      <c r="BK31" s="421"/>
      <c r="BL31" s="572">
        <v>28</v>
      </c>
    </row>
    <row r="32" spans="1:64" ht="12.75" customHeight="1" x14ac:dyDescent="0.2">
      <c r="A32" s="394">
        <f t="shared" si="10"/>
        <v>29</v>
      </c>
      <c r="B32" s="131">
        <f t="shared" si="18"/>
        <v>2.7</v>
      </c>
      <c r="C32" s="282">
        <f t="shared" si="11"/>
        <v>15.2</v>
      </c>
      <c r="D32" s="824"/>
      <c r="E32" s="97">
        <f t="shared" si="12"/>
        <v>29</v>
      </c>
      <c r="F32" s="23">
        <v>2.7</v>
      </c>
      <c r="G32" s="23">
        <v>15.2</v>
      </c>
      <c r="H32" s="553">
        <v>9</v>
      </c>
      <c r="I32" s="23">
        <f t="shared" si="0"/>
        <v>12.5</v>
      </c>
      <c r="J32" s="6">
        <f t="shared" si="1"/>
        <v>0</v>
      </c>
      <c r="K32" s="24">
        <v>57</v>
      </c>
      <c r="L32" s="24">
        <v>80</v>
      </c>
      <c r="M32" s="554">
        <v>69</v>
      </c>
      <c r="N32" s="24">
        <f t="shared" si="2"/>
        <v>23</v>
      </c>
      <c r="O32" s="50">
        <f t="shared" si="3"/>
        <v>0</v>
      </c>
      <c r="P32" s="24">
        <v>1011</v>
      </c>
      <c r="Q32" s="24">
        <v>1016</v>
      </c>
      <c r="R32" s="24">
        <f t="shared" si="13"/>
        <v>1013.5</v>
      </c>
      <c r="S32" s="24">
        <f t="shared" si="4"/>
        <v>5</v>
      </c>
      <c r="T32" s="50">
        <v>0</v>
      </c>
      <c r="U32" s="553">
        <v>1.2</v>
      </c>
      <c r="V32" s="553">
        <v>6.4</v>
      </c>
      <c r="W32" s="553">
        <v>9.1999999999999993</v>
      </c>
      <c r="X32" s="485" t="s">
        <v>106</v>
      </c>
      <c r="Y32" s="72">
        <f t="shared" si="14"/>
        <v>1</v>
      </c>
      <c r="Z32" s="557">
        <v>0.5</v>
      </c>
      <c r="AA32" s="558" t="s">
        <v>8</v>
      </c>
      <c r="AB32" s="23">
        <v>0.5</v>
      </c>
      <c r="AC32" s="510">
        <f t="shared" si="5"/>
        <v>4.5045045045045036E-2</v>
      </c>
      <c r="AD32" s="7">
        <f t="shared" si="6"/>
        <v>1</v>
      </c>
      <c r="AE32" s="559">
        <v>5</v>
      </c>
      <c r="AF32" s="72"/>
      <c r="AG32" s="553">
        <v>-1.5</v>
      </c>
      <c r="AH32" s="553">
        <v>7.7</v>
      </c>
      <c r="AI32" s="553">
        <v>3.6</v>
      </c>
      <c r="AJ32" s="26">
        <f t="shared" si="24"/>
        <v>9.1999999999999993</v>
      </c>
      <c r="AK32" s="6"/>
      <c r="AL32" s="485" t="s">
        <v>457</v>
      </c>
      <c r="AM32" s="54">
        <v>1013.25</v>
      </c>
      <c r="AN32" s="391" t="s">
        <v>458</v>
      </c>
      <c r="AO32" s="400"/>
      <c r="AP32" s="485">
        <v>2</v>
      </c>
      <c r="AQ32" s="485">
        <v>0.5</v>
      </c>
      <c r="AR32" s="134"/>
      <c r="AS32" s="26">
        <f>IF(ISBLANK(F32),"",(AVERAGE($F$4:F32)))</f>
        <v>3.0206896551724136</v>
      </c>
      <c r="AT32" s="26">
        <f>IF(ISBLANK(G32),"",(AVERAGE($G$4:G32)))</f>
        <v>11.137931034482758</v>
      </c>
      <c r="AU32" s="25">
        <f>IF(ISBLANK(H32),"",(AVERAGE($H$4:H32)))</f>
        <v>7.158620689655173</v>
      </c>
      <c r="AV32" s="368">
        <f>IF(ISBLANK(G32),"",(AVERAGE($I$4:I32)))</f>
        <v>8.1172413793103466</v>
      </c>
      <c r="AW32" s="22">
        <f>IF(ISBLANK(M32),"",AVERAGE($M$4:M32))</f>
        <v>74.137931034482762</v>
      </c>
      <c r="AX32" s="376">
        <f>IF(ISBLANK(P32),"",(AVERAGE($R$4:R32)))</f>
        <v>1023.1551724137931</v>
      </c>
      <c r="AY32" s="368">
        <f>IF(ISBLANK(U32),"",(AVERAGE($U$4:U32)))</f>
        <v>4.5103448275862057</v>
      </c>
      <c r="AZ32" s="6"/>
      <c r="BA32" s="25">
        <f t="shared" si="15"/>
        <v>-1.7076923076923061</v>
      </c>
      <c r="BB32" s="25">
        <f t="shared" si="16"/>
        <v>3.7115384615384546</v>
      </c>
      <c r="BC32" s="25">
        <f t="shared" si="20"/>
        <v>1.0019230769230743</v>
      </c>
      <c r="BD32" s="367">
        <f t="shared" si="19"/>
        <v>5.4192307692307606</v>
      </c>
      <c r="BE32" s="72"/>
      <c r="BF32" s="25">
        <f>IF(ISBLANK(F32),"",AS32-AVERAGE($F$91:F119))</f>
        <v>-0.53607427055702939</v>
      </c>
      <c r="BG32" s="25">
        <f>IF(ISBLANK(G32),"",AT32-AVERAGE($G$91:G119))</f>
        <v>0.86876657824933545</v>
      </c>
      <c r="BH32" s="367">
        <f>IF(ISBLANK(G32),"",BG32-BF32)</f>
        <v>1.4048408488063648</v>
      </c>
      <c r="BI32" s="115">
        <f t="shared" si="8"/>
        <v>0.12366463826910075</v>
      </c>
      <c r="BJ32" s="115">
        <f t="shared" si="9"/>
        <v>1.2493322967926632</v>
      </c>
      <c r="BK32" s="88"/>
      <c r="BL32" s="572">
        <v>29</v>
      </c>
    </row>
    <row r="33" spans="1:64" ht="12.75" customHeight="1" x14ac:dyDescent="0.2">
      <c r="A33" s="394">
        <f t="shared" si="10"/>
        <v>30</v>
      </c>
      <c r="B33" s="131">
        <v>10.1</v>
      </c>
      <c r="C33" s="282">
        <f t="shared" si="11"/>
        <v>11.7</v>
      </c>
      <c r="D33" s="824"/>
      <c r="E33" s="97">
        <f t="shared" si="12"/>
        <v>30</v>
      </c>
      <c r="F33" s="23">
        <v>9.6999999999999993</v>
      </c>
      <c r="G33" s="23">
        <v>11.7</v>
      </c>
      <c r="H33" s="553">
        <v>10.5</v>
      </c>
      <c r="I33" s="23">
        <f t="shared" si="0"/>
        <v>2</v>
      </c>
      <c r="J33" s="6">
        <f t="shared" si="1"/>
        <v>0</v>
      </c>
      <c r="K33" s="24">
        <v>74</v>
      </c>
      <c r="L33" s="24">
        <v>91</v>
      </c>
      <c r="M33" s="554">
        <v>82</v>
      </c>
      <c r="N33" s="24">
        <f t="shared" si="2"/>
        <v>17</v>
      </c>
      <c r="O33" s="50">
        <f t="shared" si="3"/>
        <v>1</v>
      </c>
      <c r="P33" s="24">
        <v>1010</v>
      </c>
      <c r="Q33" s="24">
        <v>1012</v>
      </c>
      <c r="R33" s="24">
        <f t="shared" si="13"/>
        <v>1011</v>
      </c>
      <c r="S33" s="24">
        <f t="shared" si="4"/>
        <v>2</v>
      </c>
      <c r="T33" s="50">
        <v>0</v>
      </c>
      <c r="U33" s="553">
        <v>5.8</v>
      </c>
      <c r="V33" s="553">
        <v>14.7</v>
      </c>
      <c r="W33" s="553">
        <v>19.899999999999999</v>
      </c>
      <c r="X33" s="485" t="s">
        <v>110</v>
      </c>
      <c r="Y33" s="72">
        <f t="shared" si="14"/>
        <v>2</v>
      </c>
      <c r="Z33" s="557">
        <v>2.2000000000000002</v>
      </c>
      <c r="AA33" s="558">
        <v>1.4</v>
      </c>
      <c r="AB33" s="23">
        <v>0.5</v>
      </c>
      <c r="AC33" s="510">
        <f t="shared" si="5"/>
        <v>0.1981981981981982</v>
      </c>
      <c r="AD33" s="7">
        <f t="shared" si="6"/>
        <v>1.1000000000000001</v>
      </c>
      <c r="AE33" s="611">
        <v>2.0099999999999998</v>
      </c>
      <c r="AF33" s="72"/>
      <c r="AG33" s="553">
        <v>6.1</v>
      </c>
      <c r="AH33" s="553">
        <v>8.8000000000000007</v>
      </c>
      <c r="AI33" s="553">
        <v>7.6</v>
      </c>
      <c r="AJ33" s="26">
        <f t="shared" si="24"/>
        <v>2.7000000000000011</v>
      </c>
      <c r="AK33" s="6"/>
      <c r="AL33" s="485" t="s">
        <v>239</v>
      </c>
      <c r="AM33" s="54">
        <v>1013.25</v>
      </c>
      <c r="AN33" s="23" t="s">
        <v>459</v>
      </c>
      <c r="AO33" s="400"/>
      <c r="AP33" s="565">
        <v>0</v>
      </c>
      <c r="AQ33" s="485">
        <v>2</v>
      </c>
      <c r="AR33" s="134"/>
      <c r="AS33" s="26">
        <f>IF(ISBLANK(F33),"",(AVERAGE($F$4:F33)))</f>
        <v>3.2433333333333332</v>
      </c>
      <c r="AT33" s="26">
        <f>IF(ISBLANK(G33),"",(AVERAGE($G$4:G33)))</f>
        <v>11.156666666666666</v>
      </c>
      <c r="AU33" s="25">
        <f>IF(ISBLANK(H33),"",(AVERAGE($H$4:H33)))</f>
        <v>7.2700000000000005</v>
      </c>
      <c r="AV33" s="368">
        <f>IF(ISBLANK(G33),"",(AVERAGE($I$4:I33)))</f>
        <v>7.9133333333333349</v>
      </c>
      <c r="AW33" s="22">
        <f>IF(ISBLANK(M33),"",AVERAGE($M$4:M33))</f>
        <v>74.400000000000006</v>
      </c>
      <c r="AX33" s="376">
        <f>IF(ISBLANK(P33),"",(AVERAGE($R$4:R33)))</f>
        <v>1022.75</v>
      </c>
      <c r="AY33" s="368">
        <f>IF(ISBLANK(U33),"",(AVERAGE($U$4:U33)))</f>
        <v>4.5533333333333319</v>
      </c>
      <c r="AZ33" s="6"/>
      <c r="BA33" s="25">
        <f t="shared" si="15"/>
        <v>5.2461538461538471</v>
      </c>
      <c r="BB33" s="25">
        <f t="shared" si="16"/>
        <v>0.1307692307692232</v>
      </c>
      <c r="BC33" s="25">
        <f t="shared" si="20"/>
        <v>2.6884615384615351</v>
      </c>
      <c r="BD33" s="367">
        <f t="shared" si="19"/>
        <v>-5.1153846153846239</v>
      </c>
      <c r="BE33" s="72"/>
      <c r="BF33" s="25">
        <f>IF(ISBLANK(F33),"",AS33-AVERAGE($F$91:F120))</f>
        <v>-0.34333333333333371</v>
      </c>
      <c r="BG33" s="25">
        <f>IF(ISBLANK(G33),"",AT33-AVERAGE($G$91:G120))</f>
        <v>0.84416666666666451</v>
      </c>
      <c r="BH33" s="367">
        <f>IF(ISBLANK(G33),"",BG33-BF33)</f>
        <v>1.1874999999999982</v>
      </c>
      <c r="BI33" s="115">
        <f t="shared" si="8"/>
        <v>0.16411764705882353</v>
      </c>
      <c r="BJ33" s="115">
        <f t="shared" si="9"/>
        <v>1.2041509855438164</v>
      </c>
      <c r="BK33" s="88"/>
      <c r="BL33" s="572">
        <v>30</v>
      </c>
    </row>
    <row r="34" spans="1:64" ht="12.75" customHeight="1" x14ac:dyDescent="0.2">
      <c r="A34" s="394">
        <v>31</v>
      </c>
      <c r="B34" s="131">
        <f t="shared" si="18"/>
        <v>9.4</v>
      </c>
      <c r="C34" s="282">
        <f t="shared" si="11"/>
        <v>17.7</v>
      </c>
      <c r="D34" s="824"/>
      <c r="E34" s="97">
        <v>31</v>
      </c>
      <c r="F34" s="23">
        <v>9.4</v>
      </c>
      <c r="G34" s="23">
        <v>17.7</v>
      </c>
      <c r="H34" s="553">
        <v>13.1</v>
      </c>
      <c r="I34" s="23">
        <f t="shared" si="0"/>
        <v>8.2999999999999989</v>
      </c>
      <c r="J34" s="6">
        <f t="shared" si="1"/>
        <v>0</v>
      </c>
      <c r="K34" s="24">
        <v>56</v>
      </c>
      <c r="L34" s="24">
        <v>97</v>
      </c>
      <c r="M34" s="554">
        <v>81</v>
      </c>
      <c r="N34" s="24">
        <f t="shared" si="2"/>
        <v>41</v>
      </c>
      <c r="O34" s="50">
        <f t="shared" si="3"/>
        <v>0</v>
      </c>
      <c r="P34" s="24">
        <v>1007</v>
      </c>
      <c r="Q34" s="24">
        <v>1017</v>
      </c>
      <c r="R34" s="24">
        <f t="shared" si="13"/>
        <v>1012</v>
      </c>
      <c r="S34" s="24">
        <f t="shared" si="4"/>
        <v>10</v>
      </c>
      <c r="T34" s="50">
        <v>0</v>
      </c>
      <c r="U34" s="553">
        <v>8.6</v>
      </c>
      <c r="V34" s="553">
        <v>23.9</v>
      </c>
      <c r="W34" s="553">
        <v>30.6</v>
      </c>
      <c r="X34" s="485" t="s">
        <v>110</v>
      </c>
      <c r="Y34" s="72">
        <f t="shared" si="14"/>
        <v>2</v>
      </c>
      <c r="Z34" s="557">
        <v>3</v>
      </c>
      <c r="AA34" s="558">
        <v>1.4</v>
      </c>
      <c r="AB34" s="558">
        <v>0.3</v>
      </c>
      <c r="AC34" s="510">
        <f t="shared" si="5"/>
        <v>0.27027027027027023</v>
      </c>
      <c r="AD34" s="7">
        <f t="shared" si="6"/>
        <v>0.75</v>
      </c>
      <c r="AE34" s="559">
        <v>1.6</v>
      </c>
      <c r="AF34" s="72"/>
      <c r="AG34" s="553">
        <v>8</v>
      </c>
      <c r="AH34" s="553">
        <v>12.6</v>
      </c>
      <c r="AI34" s="553">
        <v>9.6</v>
      </c>
      <c r="AJ34" s="26">
        <f t="shared" si="24"/>
        <v>4.5999999999999996</v>
      </c>
      <c r="AK34" s="6"/>
      <c r="AL34" s="485" t="s">
        <v>460</v>
      </c>
      <c r="AM34" s="54">
        <v>1013.25</v>
      </c>
      <c r="AN34" s="23" t="s">
        <v>461</v>
      </c>
      <c r="AO34" s="400"/>
      <c r="AP34" s="485">
        <v>3</v>
      </c>
      <c r="AQ34" s="485">
        <v>4</v>
      </c>
      <c r="AR34" s="134"/>
      <c r="AS34" s="26">
        <f>IF(ISBLANK(F6),"",(AVERAGE($F$4:F34)))</f>
        <v>3.4419354838709677</v>
      </c>
      <c r="AT34" s="26">
        <f>IF(ISBLANK(G6),"",(AVERAGE($G$4:G34)))</f>
        <v>11.36774193548387</v>
      </c>
      <c r="AU34" s="25">
        <f>IF(ISBLANK(H5),"",(AVERAGE($H$4:H34)))</f>
        <v>7.4580645161290331</v>
      </c>
      <c r="AV34" s="368">
        <f>IF(ISBLANK(G6),"",(AVERAGE($I$4:I34)))</f>
        <v>7.925806451612905</v>
      </c>
      <c r="AW34" s="22">
        <f>IF(ISBLANK(M5),"",AVERAGE($M$4:M34))</f>
        <v>74.612903225806448</v>
      </c>
      <c r="AX34" s="376">
        <f>IF(ISBLANK(P6),"",(AVERAGE($R$4:R34)))</f>
        <v>1022.4032258064516</v>
      </c>
      <c r="AY34" s="368">
        <f>IF(ISBLANK(U6),"",(AVERAGE($U$4:U34)))</f>
        <v>4.6838709677419343</v>
      </c>
      <c r="AZ34" s="6"/>
      <c r="BA34" s="25">
        <f t="shared" si="15"/>
        <v>4.9000000000000004</v>
      </c>
      <c r="BB34" s="25">
        <f t="shared" si="16"/>
        <v>6.0499999999999989</v>
      </c>
      <c r="BC34" s="25">
        <f t="shared" si="20"/>
        <v>5.4749999999999996</v>
      </c>
      <c r="BD34" s="367">
        <f t="shared" si="19"/>
        <v>1.1499999999999986</v>
      </c>
      <c r="BE34" s="72"/>
      <c r="BF34" s="25">
        <f>IF(ISBLANK(F34),"",AS34-AVERAGE($F$91:F121))</f>
        <v>-0.17419354838709689</v>
      </c>
      <c r="BG34" s="25">
        <f>IF(ISBLANK(G34),"",AT34-AVERAGE($G$91:G121))</f>
        <v>1.0120967741935463</v>
      </c>
      <c r="BH34" s="367">
        <f>IF(ISBLANK(G34),"",BG34-BF34)</f>
        <v>1.1862903225806432</v>
      </c>
      <c r="BI34" s="138">
        <f>IF(ISBLANK(Z6),"",AB121/AA121)</f>
        <v>0.21764705882352944</v>
      </c>
      <c r="BJ34" s="115">
        <f t="shared" si="9"/>
        <v>1.1904761904761898</v>
      </c>
      <c r="BK34" s="88"/>
      <c r="BL34" s="572">
        <v>31</v>
      </c>
    </row>
    <row r="35" spans="1:64" s="10" customFormat="1" ht="3" customHeight="1" x14ac:dyDescent="0.2">
      <c r="A35" s="67"/>
      <c r="B35" s="284"/>
      <c r="C35" s="285"/>
      <c r="D35" s="824"/>
      <c r="E35" s="15"/>
      <c r="F35" s="29"/>
      <c r="G35" s="29"/>
      <c r="H35" s="28"/>
      <c r="I35" s="29"/>
      <c r="J35" s="6"/>
      <c r="K35" s="30"/>
      <c r="L35" s="30"/>
      <c r="M35" s="30"/>
      <c r="N35" s="30"/>
      <c r="O35" s="17"/>
      <c r="P35" s="30"/>
      <c r="Q35" s="30"/>
      <c r="R35" s="30"/>
      <c r="S35" s="30"/>
      <c r="T35" s="50"/>
      <c r="U35" s="28"/>
      <c r="V35" s="28"/>
      <c r="W35" s="32"/>
      <c r="X35" s="28"/>
      <c r="Y35" s="67"/>
      <c r="Z35" s="501"/>
      <c r="AA35" s="501"/>
      <c r="AB35" s="501"/>
      <c r="AC35" s="511"/>
      <c r="AD35" s="28"/>
      <c r="AE35" s="28"/>
      <c r="AF35" s="6"/>
      <c r="AG35" s="28"/>
      <c r="AH35" s="28"/>
      <c r="AI35" s="28"/>
      <c r="AJ35" s="28"/>
      <c r="AK35" s="67"/>
      <c r="AL35" s="95">
        <v>0</v>
      </c>
      <c r="AM35" s="6"/>
      <c r="AN35" s="29"/>
      <c r="AO35" s="400"/>
      <c r="AP35" s="28"/>
      <c r="AQ35" s="28"/>
      <c r="AR35" s="67"/>
      <c r="AS35" s="31"/>
      <c r="AT35" s="32"/>
      <c r="AU35" s="83"/>
      <c r="AV35" s="33"/>
      <c r="AW35" s="33"/>
      <c r="AX35" s="32"/>
      <c r="AY35" s="112"/>
      <c r="AZ35" s="54"/>
      <c r="BA35" s="112"/>
      <c r="BB35" s="112"/>
      <c r="BC35" s="112"/>
      <c r="BD35" s="82"/>
      <c r="BE35" s="402"/>
      <c r="BF35" s="32"/>
      <c r="BG35" s="32"/>
      <c r="BH35" s="32"/>
      <c r="BI35" s="28"/>
      <c r="BJ35" s="584"/>
      <c r="BK35" s="88"/>
      <c r="BL35" s="78"/>
    </row>
    <row r="36" spans="1:64" ht="12.75" customHeight="1" x14ac:dyDescent="0.2">
      <c r="A36" s="67"/>
      <c r="B36" s="697"/>
      <c r="C36" s="698"/>
      <c r="D36" s="824"/>
      <c r="E36" s="4"/>
      <c r="F36" s="25"/>
      <c r="G36" s="25"/>
      <c r="H36" s="21"/>
      <c r="I36" s="25"/>
      <c r="J36" s="18"/>
      <c r="K36" s="22"/>
      <c r="L36" s="22"/>
      <c r="M36" s="22"/>
      <c r="N36" s="22"/>
      <c r="O36" s="18"/>
      <c r="P36" s="48"/>
      <c r="Q36" s="48"/>
      <c r="R36" s="48"/>
      <c r="S36" s="48"/>
      <c r="T36" s="67"/>
      <c r="U36" s="21"/>
      <c r="V36" s="21"/>
      <c r="W36" s="21"/>
      <c r="X36" s="21"/>
      <c r="Y36" s="67"/>
      <c r="Z36" s="458" t="s">
        <v>34</v>
      </c>
      <c r="AA36" s="502"/>
      <c r="AB36" s="502"/>
      <c r="AC36" s="512"/>
      <c r="AD36" s="430" t="s">
        <v>202</v>
      </c>
      <c r="AE36" s="111"/>
      <c r="AF36" s="6"/>
      <c r="AG36" s="21"/>
      <c r="AJ36" s="21"/>
      <c r="AK36" s="67"/>
      <c r="AM36" s="6"/>
      <c r="AN36" s="182" t="s">
        <v>121</v>
      </c>
      <c r="AO36" s="402"/>
      <c r="AP36" s="185" t="s">
        <v>34</v>
      </c>
      <c r="AQ36" s="520" t="s">
        <v>34</v>
      </c>
      <c r="AR36" s="67"/>
      <c r="AS36" s="271" t="s">
        <v>16</v>
      </c>
      <c r="AT36" s="152" t="s">
        <v>26</v>
      </c>
      <c r="AU36" s="11" t="s">
        <v>41</v>
      </c>
      <c r="AV36" s="416" t="s">
        <v>81</v>
      </c>
      <c r="AW36" s="11" t="s">
        <v>6</v>
      </c>
      <c r="AX36" s="296" t="s">
        <v>79</v>
      </c>
      <c r="AY36" s="182" t="s">
        <v>201</v>
      </c>
      <c r="AZ36" s="71"/>
      <c r="BA36" s="699" t="s">
        <v>78</v>
      </c>
      <c r="BB36" s="699"/>
      <c r="BC36" s="569" t="s">
        <v>200</v>
      </c>
      <c r="BD36" s="417" t="s">
        <v>253</v>
      </c>
      <c r="BE36" s="402"/>
      <c r="BH36" s="21"/>
      <c r="BK36" s="88"/>
      <c r="BL36" s="78"/>
    </row>
    <row r="37" spans="1:64" ht="3" customHeight="1" x14ac:dyDescent="0.2">
      <c r="A37" s="73"/>
      <c r="B37" s="284"/>
      <c r="C37" s="286"/>
      <c r="D37" s="824"/>
      <c r="E37" s="35"/>
      <c r="F37" s="36"/>
      <c r="G37" s="36"/>
      <c r="H37" s="34"/>
      <c r="I37" s="36"/>
      <c r="J37" s="60"/>
      <c r="K37" s="37"/>
      <c r="L37" s="37"/>
      <c r="M37" s="37"/>
      <c r="N37" s="37"/>
      <c r="O37" s="18"/>
      <c r="P37" s="37"/>
      <c r="Q37" s="37"/>
      <c r="R37" s="37"/>
      <c r="S37" s="37"/>
      <c r="T37" s="73"/>
      <c r="U37" s="34"/>
      <c r="V37" s="34"/>
      <c r="W37" s="34"/>
      <c r="X37" s="34"/>
      <c r="Y37" s="73"/>
      <c r="Z37" s="503"/>
      <c r="AA37" s="503"/>
      <c r="AB37" s="503"/>
      <c r="AC37" s="513"/>
      <c r="AD37" s="261"/>
      <c r="AE37" s="261"/>
      <c r="AF37" s="6"/>
      <c r="AG37" s="34"/>
      <c r="AH37" s="34"/>
      <c r="AI37" s="34"/>
      <c r="AJ37" s="34"/>
      <c r="AK37" s="73"/>
      <c r="AL37" s="95"/>
      <c r="AM37" s="6"/>
      <c r="AN37" s="34"/>
      <c r="AO37" s="403"/>
      <c r="AP37" s="34"/>
      <c r="AQ37" s="34"/>
      <c r="AR37" s="73"/>
      <c r="AS37" s="272"/>
      <c r="AT37" s="270"/>
      <c r="AU37" s="36"/>
      <c r="AV37" s="269"/>
      <c r="AW37" s="36"/>
      <c r="AX37" s="297"/>
      <c r="AY37" s="269"/>
      <c r="AZ37" s="76"/>
      <c r="BA37" s="687"/>
      <c r="BB37" s="687"/>
      <c r="BC37" s="36"/>
      <c r="BD37" s="34"/>
      <c r="BE37" s="522"/>
      <c r="BF37" s="95"/>
      <c r="BG37" s="34"/>
      <c r="BH37" s="34"/>
      <c r="BI37" s="364"/>
      <c r="BJ37" s="364"/>
      <c r="BK37" s="403"/>
      <c r="BL37" s="79"/>
    </row>
    <row r="38" spans="1:64" ht="12.75" customHeight="1" x14ac:dyDescent="0.2">
      <c r="A38" s="67"/>
      <c r="B38" s="700" t="s">
        <v>4</v>
      </c>
      <c r="C38" s="701"/>
      <c r="D38" s="824"/>
      <c r="E38" s="4" t="s">
        <v>4</v>
      </c>
      <c r="F38" s="152">
        <f>IF(ISBLANK(F4),"",AVERAGE(F4:F34))</f>
        <v>3.4419354838709677</v>
      </c>
      <c r="G38" s="151">
        <f>IF(ISBLANK(G4),"",AVERAGE(G4:G34))</f>
        <v>11.36774193548387</v>
      </c>
      <c r="H38" s="14">
        <f>IF(ISBLANK(H4),"",AVERAGE(H4:H34))</f>
        <v>7.4580645161290331</v>
      </c>
      <c r="I38" s="129">
        <f>IF(ISBLANK(F4),"",AVERAGE(I4:I34))</f>
        <v>7.925806451612905</v>
      </c>
      <c r="J38" s="19"/>
      <c r="K38" s="156">
        <f>IF(ISBLANK(K4),"",AVERAGE(K4:K34))</f>
        <v>58.161290322580648</v>
      </c>
      <c r="L38" s="153">
        <f>IF(ISBLANK(K4),"",AVERAGE(L4:L34))</f>
        <v>87.870967741935488</v>
      </c>
      <c r="M38" s="9">
        <f>IF(ISBLANK(M4),"",AVERAGE(M4:M34))</f>
        <v>74.612903225806448</v>
      </c>
      <c r="N38" s="398">
        <f>IF(ISBLANK(K4),"",AVERAGE(N4:N34))</f>
        <v>29.70967741935484</v>
      </c>
      <c r="O38" s="18"/>
      <c r="P38" s="154">
        <f>IF(ISBLANK(P4),"",AVERAGE(P4:P34))</f>
        <v>1019.7096774193549</v>
      </c>
      <c r="Q38" s="155">
        <f>IF(ISBLANK(P4),"",AVERAGE(Q4:Q34))</f>
        <v>1025.0967741935483</v>
      </c>
      <c r="R38" s="378">
        <f>IF(ISBLANK(P4),"",AVERAGE(P4:Q34))</f>
        <v>1022.4032258064516</v>
      </c>
      <c r="S38" s="130">
        <f>IF(ISBLANK(P4),"",AVERAGE(S4:S34))</f>
        <v>5.387096774193548</v>
      </c>
      <c r="T38" s="70"/>
      <c r="U38" s="266">
        <f>IF(ISBLANK(U4),"",AVERAGE(U4:U34))</f>
        <v>4.6838709677419343</v>
      </c>
      <c r="V38" s="266">
        <f>IF(ISBLANK(V4),"",AVERAGE(V4:V34))</f>
        <v>12.183870967741937</v>
      </c>
      <c r="W38" s="266">
        <f>IF(ISBLANK(U4),"",AVERAGE(W4:W34))</f>
        <v>16.919354838709669</v>
      </c>
      <c r="X38" s="266" t="s">
        <v>105</v>
      </c>
      <c r="Y38" s="56"/>
      <c r="Z38" s="466">
        <f>SUM(Z4:Z34)</f>
        <v>11.100000000000001</v>
      </c>
      <c r="AA38" s="466">
        <f>IF($AN$38=0,"",AVERAGE(AA4:AA34))</f>
        <v>1.25</v>
      </c>
      <c r="AB38" s="466">
        <f>IF($AN$38=0,"",AVERAGE(AB4:AB34))</f>
        <v>0.38</v>
      </c>
      <c r="AC38" s="514">
        <f>IF($AN$38=0,"",AVERAGE(AC4:AC34))</f>
        <v>0.14285714285714285</v>
      </c>
      <c r="AD38" s="182">
        <f>IF(Z38=0,"",Z38/AQ38)</f>
        <v>0.8102189781021899</v>
      </c>
      <c r="AE38" s="182">
        <f>IF($AN$38=0,"",AVERAGE(AE4:AE34))</f>
        <v>2.6819999999999999</v>
      </c>
      <c r="AF38" s="6"/>
      <c r="AG38" s="263">
        <f>IF(ISBLANK(AG4),"",AVERAGE(AG4:AG34))</f>
        <v>0.22258064516129056</v>
      </c>
      <c r="AH38" s="321">
        <f>IF(ISBLANK(AH4),"",AVERAGE(AH4:AH34))</f>
        <v>5.6548387096774198</v>
      </c>
      <c r="AI38" s="301">
        <f>IF(ISBLANK(AI4),"",AVERAGE(AI4:AI34))</f>
        <v>2.9806451612903224</v>
      </c>
      <c r="AJ38" s="46">
        <f>IF(ISBLANK(AG4),"",AVERAGE(AJ4:AJ34))</f>
        <v>5.4322580645161267</v>
      </c>
      <c r="AK38" s="311"/>
      <c r="AL38" s="669" t="s">
        <v>417</v>
      </c>
      <c r="AM38" s="6"/>
      <c r="AN38" s="254">
        <f>COUNTIF(AL91:AL121,1)</f>
        <v>3</v>
      </c>
      <c r="AO38" s="224"/>
      <c r="AP38" s="528">
        <f>SUM(AP4:AP34)</f>
        <v>125</v>
      </c>
      <c r="AQ38" s="432">
        <f>SUM(AQ4:AQ34)</f>
        <v>13.7</v>
      </c>
      <c r="AR38" s="56"/>
      <c r="AS38" s="358">
        <f>COUNTIF(G4:G34, "&gt;25")</f>
        <v>0</v>
      </c>
      <c r="AT38" s="357">
        <f>COUNTIF(B4:B34,"&lt;0")</f>
        <v>3</v>
      </c>
      <c r="AU38" s="145">
        <f>SUM(COUNTIF(AN4:AN34,"Thunder"),COUNTIF(AN4:AN34,"*Thunder*"),COUNTIF(AN4:AN34,"*Storm*"))</f>
        <v>0</v>
      </c>
      <c r="AV38" s="396">
        <f xml:space="preserve"> SUM(COUNTIF(AN4:AN34,"*Slt*"),COUNTIF(AN4:AN34,"*Snw*"))</f>
        <v>0</v>
      </c>
      <c r="AW38" s="145">
        <f>COUNTIF(W4:W34, "&gt;38")</f>
        <v>0</v>
      </c>
      <c r="AX38" s="359">
        <f xml:space="preserve"> SUM(COUNTIF(AN4:AN34,"Hail"),COUNTIF(AN4:AN34,"*Hail*"))</f>
        <v>0</v>
      </c>
      <c r="AY38" s="396">
        <f>COUNTIF(Z4:Z34,"&gt;19.9")</f>
        <v>0</v>
      </c>
      <c r="AZ38" s="360"/>
      <c r="BA38" s="689">
        <f xml:space="preserve"> SUM(COUNTIF(AN4:AN34,"cm"),COUNTIF(AN4:AN34,"*cm*"))</f>
        <v>0</v>
      </c>
      <c r="BB38" s="689"/>
      <c r="BC38" s="568">
        <f xml:space="preserve"> SUM(COUNTIF(AN4:AN34,"Dense"),COUNTIF(AN4:AN34,"*Dense*"))</f>
        <v>1</v>
      </c>
      <c r="BD38" s="417">
        <f t="array" ref="BD38">SUM(IF(AP4:AP34&gt;0.95*AT91:AT121,1,0))</f>
        <v>4</v>
      </c>
      <c r="BE38" s="523"/>
      <c r="BH38" s="25"/>
      <c r="BK38" s="88"/>
      <c r="BL38" s="78"/>
    </row>
    <row r="39" spans="1:64" ht="12.75" customHeight="1" x14ac:dyDescent="0.2">
      <c r="A39" s="67"/>
      <c r="B39" s="214">
        <f>IF(ISBLANK(F4),"",AVERAGE(B4:B34))</f>
        <v>4.0419354838709678</v>
      </c>
      <c r="C39" s="287">
        <f>IF(ISBLANK(P4),"",AVERAGE(C4:C34))</f>
        <v>11.332258064516127</v>
      </c>
      <c r="D39" s="825"/>
      <c r="E39" s="4" t="s">
        <v>9</v>
      </c>
      <c r="F39" s="163">
        <v>3.6</v>
      </c>
      <c r="G39" s="94">
        <v>10.4</v>
      </c>
      <c r="H39" s="390" t="s">
        <v>4</v>
      </c>
      <c r="I39" s="162">
        <f>G39-F39</f>
        <v>6.8000000000000007</v>
      </c>
      <c r="J39" s="19"/>
      <c r="K39" s="22"/>
      <c r="L39" s="22"/>
      <c r="M39" s="538" t="s">
        <v>4</v>
      </c>
      <c r="N39" s="22"/>
      <c r="O39" s="18"/>
      <c r="P39" s="22"/>
      <c r="Q39" s="22"/>
      <c r="R39" s="380">
        <v>1013.25</v>
      </c>
      <c r="S39" s="22"/>
      <c r="T39" s="70"/>
      <c r="U39" s="259">
        <v>5.2</v>
      </c>
      <c r="V39" s="259"/>
      <c r="X39" s="260"/>
      <c r="Y39" s="70"/>
      <c r="Z39" s="504">
        <v>51</v>
      </c>
      <c r="AA39" s="105"/>
      <c r="AB39" s="505"/>
      <c r="AC39" s="515"/>
      <c r="AD39" s="490">
        <f>Z39/AQ39</f>
        <v>1.0625</v>
      </c>
      <c r="AF39" s="6"/>
      <c r="AG39" s="25"/>
      <c r="AI39" s="25"/>
      <c r="AJ39" s="25"/>
      <c r="AK39" s="56"/>
      <c r="AL39" s="669"/>
      <c r="AM39" s="6"/>
      <c r="AN39" s="253">
        <v>10</v>
      </c>
      <c r="AO39" s="224"/>
      <c r="AP39" s="529">
        <v>105</v>
      </c>
      <c r="AQ39" s="460">
        <v>48</v>
      </c>
      <c r="AR39" s="67"/>
      <c r="AT39" s="357">
        <v>3</v>
      </c>
      <c r="AU39" s="22">
        <v>0.6</v>
      </c>
      <c r="AV39" s="396">
        <v>4</v>
      </c>
      <c r="AW39" s="145"/>
      <c r="AX39" s="359"/>
      <c r="AZ39" s="360"/>
      <c r="BA39" s="688">
        <v>0.4</v>
      </c>
      <c r="BB39" s="688"/>
      <c r="BC39" s="145"/>
      <c r="BD39" s="145"/>
      <c r="BE39" s="360"/>
      <c r="BF39" s="147"/>
      <c r="BG39" s="147"/>
      <c r="BH39" s="147"/>
      <c r="BI39" s="147"/>
      <c r="BK39" s="88"/>
      <c r="BL39" s="78"/>
    </row>
    <row r="40" spans="1:64" ht="12.75" customHeight="1" x14ac:dyDescent="0.2">
      <c r="A40" s="67"/>
      <c r="B40" s="215">
        <f>IF(ISBLANK(F4),"",B39-F38)</f>
        <v>0.60000000000000009</v>
      </c>
      <c r="C40" s="288">
        <f>IF(ISBLANK(P4),"",C39-G38)</f>
        <v>-3.5483870967743414E-2</v>
      </c>
      <c r="D40" s="825"/>
      <c r="E40" s="4" t="s">
        <v>10</v>
      </c>
      <c r="F40" s="152">
        <f>IF(ISBLANK(F4),"",F38-F39)</f>
        <v>-0.15806451612903238</v>
      </c>
      <c r="G40" s="151">
        <f>IF(ISBLANK(G4),"",G38-G39)</f>
        <v>0.96774193548387011</v>
      </c>
      <c r="H40" s="383">
        <f>IF(M53&lt;1,"",AVERAGE(F4:G34))</f>
        <v>7.4048387096774189</v>
      </c>
      <c r="I40" s="129">
        <f>IF(ISBLANK(F4),"",SUM(I38-I39))</f>
        <v>1.1258064516129043</v>
      </c>
      <c r="J40" s="19"/>
      <c r="K40" s="22"/>
      <c r="L40" s="22"/>
      <c r="M40" s="537">
        <f>IF(M53&lt;1,"",AVERAGE(K4:L34))</f>
        <v>73.016129032258064</v>
      </c>
      <c r="N40" s="25"/>
      <c r="O40" s="18"/>
      <c r="P40" s="102"/>
      <c r="Q40" s="22"/>
      <c r="R40" s="378">
        <f>IF(ISBLANK(P4),"",R38-R39)</f>
        <v>9.1532258064515872</v>
      </c>
      <c r="S40" s="22"/>
      <c r="T40" s="70"/>
      <c r="U40" s="266">
        <f>IF(ISBLANK(U4),"",U38-U39)</f>
        <v>-0.51612903225806583</v>
      </c>
      <c r="V40" s="435"/>
      <c r="W40" s="435"/>
      <c r="X40" s="435"/>
      <c r="Y40" s="70"/>
      <c r="Z40" s="465">
        <f>IF(ISBLANK(Z4),"",AB47/AB48)</f>
        <v>0.21764705882352942</v>
      </c>
      <c r="AA40" s="506">
        <f>Z38/Z39</f>
        <v>0.21764705882352944</v>
      </c>
      <c r="AB40" s="506"/>
      <c r="AC40" s="516"/>
      <c r="AD40" s="262">
        <f>IF(Z38&lt;0.3,"",AD38/(Z39/AQ39))</f>
        <v>0.76255903821382576</v>
      </c>
      <c r="AE40" s="527">
        <f>IF($AN$38=0,"",AVERAGE(AD4:AD34))</f>
        <v>0.89</v>
      </c>
      <c r="AF40" s="6"/>
      <c r="AI40" s="25"/>
      <c r="AJ40" s="25"/>
      <c r="AK40" s="56"/>
      <c r="AL40" s="669"/>
      <c r="AM40" s="6"/>
      <c r="AN40" s="254">
        <f>SUM(AN38-AN39)</f>
        <v>-7</v>
      </c>
      <c r="AO40" s="224"/>
      <c r="AP40" s="530">
        <f>IF(ISBLANK(AP4),"",AP47/AP54)</f>
        <v>1.1904761904761905</v>
      </c>
      <c r="AQ40" s="427">
        <f>IF(ISBLANK(AQ4),"",AQ47/(AQ39/E34))</f>
        <v>0.28541666666666665</v>
      </c>
      <c r="AR40" s="418"/>
      <c r="AT40" s="357">
        <f>SUM(AT38-AT39)</f>
        <v>0</v>
      </c>
      <c r="AU40" s="145">
        <f>SUM(AU38-AU39)</f>
        <v>-0.6</v>
      </c>
      <c r="AV40" s="396">
        <f>AV38-AV39</f>
        <v>-4</v>
      </c>
      <c r="AW40" s="145"/>
      <c r="AX40" s="359"/>
      <c r="AZ40" s="360"/>
      <c r="BA40" s="689">
        <f>BA38-BA39</f>
        <v>-0.4</v>
      </c>
      <c r="BB40" s="689"/>
      <c r="BC40" s="145"/>
      <c r="BD40" s="145"/>
      <c r="BE40" s="360"/>
      <c r="BI40" s="25"/>
      <c r="BK40" s="88"/>
      <c r="BL40" s="78"/>
    </row>
    <row r="41" spans="1:64" ht="4.5" customHeight="1" x14ac:dyDescent="0.2">
      <c r="A41" s="74"/>
      <c r="B41" s="289"/>
      <c r="C41" s="290"/>
      <c r="D41" s="825"/>
      <c r="E41" s="40"/>
      <c r="F41" s="41"/>
      <c r="G41" s="41"/>
      <c r="H41" s="42"/>
      <c r="I41" s="41"/>
      <c r="J41" s="61"/>
      <c r="K41" s="43"/>
      <c r="L41" s="43"/>
      <c r="M41" s="44"/>
      <c r="N41" s="43"/>
      <c r="O41" s="18"/>
      <c r="P41" s="43"/>
      <c r="Q41" s="43"/>
      <c r="R41" s="44"/>
      <c r="S41" s="43"/>
      <c r="T41" s="74"/>
      <c r="U41" s="41"/>
      <c r="V41" s="41"/>
      <c r="W41" s="41"/>
      <c r="X41" s="41"/>
      <c r="Y41" s="77"/>
      <c r="Z41" s="507"/>
      <c r="AA41" s="507"/>
      <c r="AB41" s="507"/>
      <c r="AC41" s="517"/>
      <c r="AD41" s="41"/>
      <c r="AE41" s="41"/>
      <c r="AF41" s="6"/>
      <c r="AG41" s="41"/>
      <c r="AH41" s="41"/>
      <c r="AI41" s="41"/>
      <c r="AJ41" s="41"/>
      <c r="AK41" s="77"/>
      <c r="AL41" s="669"/>
      <c r="AM41" s="6"/>
      <c r="AN41" s="39"/>
      <c r="AO41" s="39"/>
      <c r="AP41" s="39"/>
      <c r="AQ41" s="39"/>
      <c r="AR41" s="39"/>
      <c r="AS41" s="41"/>
      <c r="AT41" s="43"/>
      <c r="AU41" s="41"/>
      <c r="AV41" s="41"/>
      <c r="AW41" s="41"/>
      <c r="AX41" s="41"/>
      <c r="AY41" s="41"/>
      <c r="AZ41" s="77"/>
      <c r="BA41" s="41"/>
      <c r="BB41" s="41"/>
      <c r="BC41" s="41"/>
      <c r="BD41" s="41"/>
      <c r="BE41" s="77"/>
      <c r="BF41" s="41"/>
      <c r="BG41" s="41"/>
      <c r="BH41" s="39"/>
      <c r="BI41" s="41"/>
      <c r="BJ41" s="41"/>
      <c r="BK41" s="39"/>
      <c r="BL41" s="80"/>
    </row>
    <row r="42" spans="1:64" ht="12.75" customHeight="1" x14ac:dyDescent="0.2">
      <c r="A42" s="67"/>
      <c r="B42" s="705" t="s">
        <v>98</v>
      </c>
      <c r="C42" s="706"/>
      <c r="D42" s="825"/>
      <c r="E42" s="4" t="s">
        <v>5</v>
      </c>
      <c r="F42" s="25">
        <f>F86-F85</f>
        <v>12.299999999999999</v>
      </c>
      <c r="G42" s="25">
        <f>G86-G85</f>
        <v>13.7</v>
      </c>
      <c r="H42" s="25">
        <f>H86-H85</f>
        <v>11.299999999999999</v>
      </c>
      <c r="I42" s="25">
        <f>I86-I85</f>
        <v>12.1</v>
      </c>
      <c r="J42" s="20"/>
      <c r="K42" s="22">
        <f>K86-K85</f>
        <v>46</v>
      </c>
      <c r="L42" s="22">
        <f>L86-L85</f>
        <v>20</v>
      </c>
      <c r="M42" s="22">
        <f>M86-M85</f>
        <v>29</v>
      </c>
      <c r="N42" s="22">
        <f>N86-N85</f>
        <v>46</v>
      </c>
      <c r="O42" s="20"/>
      <c r="P42" s="22">
        <f>P86-P85</f>
        <v>41</v>
      </c>
      <c r="Q42" s="22">
        <f>Q86-Q85</f>
        <v>32</v>
      </c>
      <c r="R42" s="22">
        <f>R86-R85</f>
        <v>36.5</v>
      </c>
      <c r="S42" s="22">
        <f>S86-S85</f>
        <v>12</v>
      </c>
      <c r="T42" s="75"/>
      <c r="U42" s="25">
        <f>U86-U85</f>
        <v>8.1000000000000014</v>
      </c>
      <c r="V42" s="25">
        <f>V86-V85</f>
        <v>17.7</v>
      </c>
      <c r="W42" s="25">
        <f>W86-W85</f>
        <v>24.9</v>
      </c>
      <c r="X42" s="25"/>
      <c r="Y42" s="135"/>
      <c r="Z42" s="38">
        <f>Z86-Z85</f>
        <v>4.4000000000000004</v>
      </c>
      <c r="AA42" s="38">
        <f>AA86-AA85</f>
        <v>0.59999999999999987</v>
      </c>
      <c r="AB42" s="38">
        <f>AB86-AB85</f>
        <v>0.2</v>
      </c>
      <c r="AC42" s="510">
        <f>AC86-AC85</f>
        <v>0.38738738738738737</v>
      </c>
      <c r="AD42" s="25">
        <f>AE86-AE85</f>
        <v>0.35000000000000009</v>
      </c>
      <c r="AE42" s="22">
        <f>AD86-AD85</f>
        <v>3.4</v>
      </c>
      <c r="AF42" s="6"/>
      <c r="AG42" s="25">
        <f>AG86-AG85</f>
        <v>13.9</v>
      </c>
      <c r="AH42" s="25">
        <f>AH86-AH85</f>
        <v>12</v>
      </c>
      <c r="AI42" s="25">
        <f>AI86-AI85</f>
        <v>12.1</v>
      </c>
      <c r="AJ42" s="25">
        <f>AJ86-AJ85</f>
        <v>7.3999999999999995</v>
      </c>
      <c r="AK42" s="56"/>
      <c r="AL42" s="669"/>
      <c r="AM42" s="6"/>
      <c r="AN42" s="4" t="s">
        <v>80</v>
      </c>
      <c r="AO42" s="223"/>
      <c r="AP42" s="25">
        <f>AP86-AP85</f>
        <v>10.9</v>
      </c>
      <c r="AQ42" s="22">
        <f>AQ86-AQ85</f>
        <v>5.5</v>
      </c>
      <c r="AR42" s="70"/>
      <c r="AS42" s="25">
        <f t="shared" ref="AS42:AY42" si="25">AS86-AS85</f>
        <v>2.8544354838709678</v>
      </c>
      <c r="AT42" s="25">
        <f t="shared" si="25"/>
        <v>5.6077419354838707</v>
      </c>
      <c r="AU42" s="25">
        <f t="shared" si="25"/>
        <v>4.3980645161290326</v>
      </c>
      <c r="AV42" s="25">
        <f t="shared" si="25"/>
        <v>3.4172413793103464</v>
      </c>
      <c r="AW42" s="25">
        <f t="shared" si="25"/>
        <v>7.9000000000000057</v>
      </c>
      <c r="AX42" s="25">
        <f t="shared" si="25"/>
        <v>13.32941176470581</v>
      </c>
      <c r="AY42" s="25">
        <f t="shared" si="25"/>
        <v>1.8229885057471273</v>
      </c>
      <c r="AZ42" s="56"/>
      <c r="BA42" s="25">
        <f>G42</f>
        <v>13.7</v>
      </c>
      <c r="BB42" s="25">
        <f>H42</f>
        <v>11.299999999999999</v>
      </c>
      <c r="BC42" s="25">
        <f>I42</f>
        <v>12.1</v>
      </c>
      <c r="BD42" s="22"/>
      <c r="BE42" s="67"/>
      <c r="BF42" s="13">
        <f>AS42</f>
        <v>2.8544354838709678</v>
      </c>
      <c r="BG42" s="13">
        <f>AT42</f>
        <v>5.6077419354838707</v>
      </c>
      <c r="BH42" s="13">
        <f>BH86-BH85</f>
        <v>3.1580459770114935</v>
      </c>
      <c r="BI42" s="93">
        <f>BI86-BI85</f>
        <v>0.21212121212121215</v>
      </c>
      <c r="BJ42" s="93">
        <f>BJ86-BJ85</f>
        <v>0.60580777364421667</v>
      </c>
      <c r="BK42" s="88"/>
      <c r="BL42" s="78"/>
    </row>
    <row r="43" spans="1:64" ht="12.75" customHeight="1" x14ac:dyDescent="0.2">
      <c r="A43" s="67"/>
      <c r="B43" s="216">
        <f>COUNTIF(O4:O34,1)</f>
        <v>7</v>
      </c>
      <c r="C43" s="291">
        <f>COUNTIF(J4:J34,1)</f>
        <v>1</v>
      </c>
      <c r="D43" s="825"/>
      <c r="E43" s="12" t="s">
        <v>174</v>
      </c>
      <c r="F43" s="25">
        <f>IF(ISBLANK($G$6),"",STDEV(F4:F34))</f>
        <v>2.9693741420876769</v>
      </c>
      <c r="G43" s="25">
        <f>IF(ISBLANK($G$6),"",STDEV(G4:G34))</f>
        <v>3.7308968623977634</v>
      </c>
      <c r="H43" s="25">
        <f>IF(ISBLANK($H$6),"",STDEV(H4:H34))</f>
        <v>2.8982493789123063</v>
      </c>
      <c r="I43" s="25">
        <f>IF(ISBLANK($G$6),"",STDEV(I4:I34))</f>
        <v>3.2163092452825941</v>
      </c>
      <c r="J43" s="56"/>
      <c r="K43" s="25">
        <f>IF(ISBLANK($G$6),"",STDEV(K4:K34))</f>
        <v>12.350699775568847</v>
      </c>
      <c r="L43" s="25">
        <f>IF(ISBLANK($G$6),"",STDEV(L4:L34))</f>
        <v>6.0428576875728304</v>
      </c>
      <c r="M43" s="25">
        <f>IF(ISBLANK($H$6),"",STDEV(M4:M34))</f>
        <v>8.3493609310526811</v>
      </c>
      <c r="N43" s="25">
        <f>IF(ISBLANK($G$6),"",STDEV(N4:N34))</f>
        <v>11.827069370409269</v>
      </c>
      <c r="O43" s="56"/>
      <c r="P43" s="25">
        <f>IF(ISBLANK($G$6),"",STDEV(P4:P34))</f>
        <v>11.630974589107877</v>
      </c>
      <c r="Q43" s="25">
        <f>IF(ISBLANK($G$6),"",STDEV(Q4:Q34))</f>
        <v>10.39023528353963</v>
      </c>
      <c r="R43" s="25">
        <f>IF(ISBLANK($G$6),"",STDEV(R4:R34))</f>
        <v>10.89297889685424</v>
      </c>
      <c r="S43" s="25">
        <f>IF(ISBLANK($G$6),"",STDEV(S4:S34))</f>
        <v>3.4416800098676492</v>
      </c>
      <c r="T43" s="75"/>
      <c r="U43" s="25">
        <f>IF(ISBLANK($G$6),"",STDEV(U4:U34))</f>
        <v>2.140108529053852</v>
      </c>
      <c r="V43" s="25">
        <f>IF(ISBLANK($G$6),"",STDEV(V4:V34))</f>
        <v>3.9843106283014227</v>
      </c>
      <c r="W43" s="25">
        <f>IF(ISBLANK($G$6),"",STDEV(W4:W34))</f>
        <v>5.9977450959972716</v>
      </c>
      <c r="X43" s="25"/>
      <c r="Y43" s="135"/>
      <c r="Z43" s="38">
        <f>IF(ISBLANK($G$6),"",STDEV(Z4:Z34))</f>
        <v>1.0022555208290238</v>
      </c>
      <c r="AA43" s="38">
        <f>IF(AA86-AA85=0,"",STDEV(AA4:AA34))</f>
        <v>0.29999999999999977</v>
      </c>
      <c r="AB43" s="38">
        <f>IF(AB86-AB85=0,"",STDEV(AB4:AB34))</f>
        <v>0.10954451150103302</v>
      </c>
      <c r="AC43" s="510">
        <f>IF(AC86-AC85=0,"",STDEV(AC4:AC34))</f>
        <v>0.14943631258968054</v>
      </c>
      <c r="AD43" s="25">
        <f>IF(AE86-AE85=0,"",STDEV(AD4:AD34))</f>
        <v>0.15165750888103072</v>
      </c>
      <c r="AE43" s="25">
        <f>IF(AD86-AD85=0,"",STDEV(AE4:AE34))</f>
        <v>1.3392609902479802</v>
      </c>
      <c r="AF43" s="6"/>
      <c r="AG43" s="25">
        <f>IF(ISBLANK($AG$6),"",STDEV(AG4:AG34))</f>
        <v>3.1670922181520966</v>
      </c>
      <c r="AH43" s="25">
        <f>IF(ISBLANK($AH$6),"",STDEV(AH4:AH34))</f>
        <v>3.0501189823434123</v>
      </c>
      <c r="AI43" s="25">
        <f>IF(ISBLANK($AI$6),"",STDEV(AI4:AI34))</f>
        <v>2.9584251840958347</v>
      </c>
      <c r="AJ43" s="25">
        <f>IF(ISBLANK($AH$6),"",STDEV(AJ4:AJ34))</f>
        <v>2.0090440673405241</v>
      </c>
      <c r="AK43" s="56"/>
      <c r="AL43" s="669"/>
      <c r="AM43" s="6"/>
      <c r="AN43" s="22">
        <f>M53-AN91</f>
        <v>9</v>
      </c>
      <c r="AO43" s="224"/>
      <c r="AP43" s="25">
        <f>IF(ISBLANK($AP$6),"",STDEV(AP4:AP34))</f>
        <v>3.5910432185995007</v>
      </c>
      <c r="AQ43" s="25">
        <f>IF(ISBLANK($AQ$6),"",STDEV(AQ4:AQ34))</f>
        <v>1.233362394310336</v>
      </c>
      <c r="AR43" s="56"/>
      <c r="AS43" s="25">
        <f>IF(ISBLANK($G$6),"",STDEV(AS4:AS34))</f>
        <v>0.81863429602325366</v>
      </c>
      <c r="AT43" s="25">
        <f>IF(ISBLANK($G$6),"",STDEV(AT4:AT34))</f>
        <v>2.0760920057570202</v>
      </c>
      <c r="AU43" s="25">
        <f>IF(ISBLANK($G$6),"",STDEV(AU4:AU34))</f>
        <v>1.507170916833495</v>
      </c>
      <c r="AV43" s="25">
        <f>IF(ISBLANK($G$6),"",STDEV(AV4:AV34))</f>
        <v>1.4453220339107244</v>
      </c>
      <c r="AW43" s="25">
        <f>IF(ISBLANK($M$6),"",STDEV(AW4:AW34))</f>
        <v>2.5934760931668035</v>
      </c>
      <c r="AX43" s="25">
        <f>IF(ISBLANK($G$6),"",STDEV(AX4:AX34))</f>
        <v>5.3504862263651667</v>
      </c>
      <c r="AY43" s="25">
        <f>IF(ISBLANK($G$6),"",STDEV(BA4:BA34))</f>
        <v>2.6789697899844445</v>
      </c>
      <c r="AZ43" s="56"/>
      <c r="BA43" s="25">
        <f>IF(ISBLANK($G$6),"",STDEV(BB4:BB34))</f>
        <v>3.0906786477185881</v>
      </c>
      <c r="BB43" s="25">
        <f>IF(ISBLANK($G$6),"",STDEV(BD4:BD34))</f>
        <v>3.1371859663690183</v>
      </c>
      <c r="BC43" s="25">
        <f>IF(ISBLANK($G$6),"",STDEV(BD4:BD34))</f>
        <v>3.1371859663690183</v>
      </c>
      <c r="BD43" s="25"/>
      <c r="BE43" s="56"/>
      <c r="BF43" s="25">
        <f>IF(ISBLANK($G$6),"",STDEV(BF4:BF34))</f>
        <v>0.55413781291734809</v>
      </c>
      <c r="BG43" s="25">
        <f>IF(ISBLANK($G$6),"",STDEV(BG4:BG34))</f>
        <v>1.6421461735415026</v>
      </c>
      <c r="BH43" s="25">
        <f>IF(ISBLANK($G$6),"",STDEV(BH4:BH34))</f>
        <v>1.3269909559975466</v>
      </c>
      <c r="BI43" s="93">
        <f>IF(ISBLANK($Z$6),"",STDEV(BI4:BI34))</f>
        <v>7.1598045477962086E-2</v>
      </c>
      <c r="BJ43" s="93">
        <f>IF(ISBLANK($Z$6),"",STDEV(BJ4:BJ34))</f>
        <v>0.26861066831534341</v>
      </c>
      <c r="BK43" s="402"/>
      <c r="BL43" s="78"/>
    </row>
    <row r="44" spans="1:64" ht="4.5" customHeight="1" x14ac:dyDescent="0.2">
      <c r="A44" s="67"/>
      <c r="B44" s="63"/>
      <c r="C44" s="66"/>
      <c r="D44" s="63"/>
      <c r="E44" s="64"/>
      <c r="F44" s="66"/>
      <c r="G44" s="66"/>
      <c r="H44" s="66"/>
      <c r="I44" s="66"/>
      <c r="J44" s="62"/>
      <c r="K44" s="66"/>
      <c r="L44" s="66"/>
      <c r="M44" s="66"/>
      <c r="N44" s="65"/>
      <c r="O44" s="62"/>
      <c r="P44" s="66"/>
      <c r="Q44" s="66"/>
      <c r="R44" s="66"/>
      <c r="S44" s="66"/>
      <c r="T44" s="66"/>
      <c r="U44" s="66"/>
      <c r="V44" s="66"/>
      <c r="W44" s="66"/>
      <c r="X44" s="66"/>
      <c r="Y44" s="135"/>
      <c r="Z44" s="66"/>
      <c r="AA44" s="66"/>
      <c r="AB44" s="66"/>
      <c r="AC44" s="66"/>
      <c r="AD44" s="66"/>
      <c r="AE44" s="66"/>
      <c r="AF44" s="6"/>
      <c r="AG44" s="66"/>
      <c r="AH44" s="66"/>
      <c r="AI44" s="132"/>
      <c r="AJ44" s="132"/>
      <c r="AK44" s="6"/>
      <c r="AL44" s="132"/>
      <c r="AM44" s="6"/>
      <c r="AN44" s="66"/>
      <c r="AO44" s="402"/>
      <c r="AP44" s="63"/>
      <c r="AQ44" s="63"/>
      <c r="AR44" s="67"/>
      <c r="AS44" s="66"/>
      <c r="AT44" s="65"/>
      <c r="AU44" s="66"/>
      <c r="AV44" s="66"/>
      <c r="AW44" s="66"/>
      <c r="AX44" s="66"/>
      <c r="AY44" s="66"/>
      <c r="AZ44" s="56"/>
      <c r="BA44" s="66"/>
      <c r="BB44" s="66"/>
      <c r="BC44" s="66"/>
      <c r="BD44" s="66"/>
      <c r="BE44" s="56"/>
      <c r="BF44" s="66"/>
      <c r="BG44" s="66"/>
      <c r="BH44" s="63"/>
      <c r="BI44" s="63"/>
      <c r="BJ44" s="66"/>
      <c r="BK44" s="88"/>
      <c r="BL44" s="78"/>
    </row>
    <row r="45" spans="1:64" ht="5.25" customHeight="1" thickBot="1" x14ac:dyDescent="0.25">
      <c r="A45" s="67"/>
      <c r="B45" s="21"/>
      <c r="C45" s="25"/>
      <c r="D45" s="21"/>
      <c r="E45" s="4"/>
      <c r="F45" s="25"/>
      <c r="G45" s="25"/>
      <c r="H45" s="25"/>
      <c r="I45" s="25"/>
      <c r="J45" s="18"/>
      <c r="K45" s="25"/>
      <c r="L45" s="25"/>
      <c r="M45" s="25"/>
      <c r="N45" s="22"/>
      <c r="O45" s="18"/>
      <c r="P45" s="25"/>
      <c r="Q45" s="25"/>
      <c r="R45" s="25"/>
      <c r="S45" s="25"/>
      <c r="T45" s="56"/>
      <c r="U45" s="25"/>
      <c r="V45" s="25"/>
      <c r="W45" s="25"/>
      <c r="X45" s="25"/>
      <c r="Y45" s="135"/>
      <c r="AF45" s="56"/>
      <c r="AG45" s="25"/>
      <c r="AH45" s="25"/>
      <c r="AK45" s="6"/>
      <c r="AM45" s="6"/>
      <c r="AN45" s="25"/>
      <c r="AO45" s="402"/>
      <c r="AP45" s="21"/>
      <c r="AQ45" s="21"/>
      <c r="AR45" s="67"/>
      <c r="AS45" s="25"/>
      <c r="AT45" s="22"/>
      <c r="AU45" s="25"/>
      <c r="AV45" s="25"/>
      <c r="AW45" s="25"/>
      <c r="AX45" s="25"/>
      <c r="AY45" s="25"/>
      <c r="AZ45" s="56"/>
      <c r="BA45" s="25"/>
      <c r="BB45" s="25"/>
      <c r="BC45" s="25"/>
      <c r="BD45" s="25"/>
      <c r="BE45" s="56"/>
      <c r="BF45" s="25"/>
      <c r="BG45" s="25"/>
      <c r="BH45" s="21"/>
      <c r="BI45" s="21"/>
      <c r="BJ45" s="25"/>
      <c r="BK45" s="67"/>
      <c r="BL45" s="78"/>
    </row>
    <row r="46" spans="1:64" ht="15" customHeight="1" x14ac:dyDescent="0.2">
      <c r="A46" s="67"/>
      <c r="B46" s="702" t="s">
        <v>132</v>
      </c>
      <c r="C46" s="703"/>
      <c r="D46" s="703"/>
      <c r="E46" s="704"/>
      <c r="F46" s="349">
        <f>F40</f>
        <v>-0.15806451612903238</v>
      </c>
      <c r="G46" s="350">
        <f>G40</f>
        <v>0.96774193548387011</v>
      </c>
      <c r="H46" s="382">
        <f>AY82</f>
        <v>0.40483870967741886</v>
      </c>
      <c r="I46" s="352">
        <f>I40</f>
        <v>1.1258064516129043</v>
      </c>
      <c r="J46" s="18"/>
      <c r="K46" s="353">
        <f>K38</f>
        <v>58.161290322580648</v>
      </c>
      <c r="L46" s="298">
        <f>L38</f>
        <v>87.870967741935488</v>
      </c>
      <c r="M46" s="354">
        <f>M38</f>
        <v>74.612903225806448</v>
      </c>
      <c r="N46" s="25">
        <f>N38</f>
        <v>29.70967741935484</v>
      </c>
      <c r="O46" s="18"/>
      <c r="P46" s="25"/>
      <c r="Q46" s="25"/>
      <c r="R46" s="381">
        <f>R40</f>
        <v>9.1532258064515872</v>
      </c>
      <c r="S46" s="162">
        <f>S38</f>
        <v>5.387096774193548</v>
      </c>
      <c r="T46" s="56"/>
      <c r="U46" s="355">
        <f>U38</f>
        <v>4.6838709677419343</v>
      </c>
      <c r="W46" s="304" t="s">
        <v>113</v>
      </c>
      <c r="X46" s="22">
        <f>COUNTIF(X4:X34,"N")</f>
        <v>1</v>
      </c>
      <c r="Y46" s="135"/>
      <c r="Z46" s="681" t="s">
        <v>151</v>
      </c>
      <c r="AA46" s="668">
        <f>IF(AN48=0,"n/a",Z38/AN48)</f>
        <v>2.2200000000000002</v>
      </c>
      <c r="AB46" s="385" t="s">
        <v>189</v>
      </c>
      <c r="AC46" s="268" t="s">
        <v>282</v>
      </c>
      <c r="AF46" s="135"/>
      <c r="AG46" s="392">
        <f>AG38</f>
        <v>0.22258064516129056</v>
      </c>
      <c r="AH46" s="393">
        <f>AH38</f>
        <v>5.6548387096774198</v>
      </c>
      <c r="AI46" s="348">
        <f>AI38</f>
        <v>2.9806451612903224</v>
      </c>
      <c r="AJ46" s="49">
        <f>AJ38</f>
        <v>5.4322580645161267</v>
      </c>
      <c r="AK46" s="126"/>
      <c r="AL46" s="356"/>
      <c r="AM46" s="6"/>
      <c r="AO46" s="404"/>
      <c r="AP46" s="445">
        <f>AP38/AP39</f>
        <v>1.1904761904761905</v>
      </c>
      <c r="AQ46" s="446">
        <f>AQ38/AQ39</f>
        <v>0.28541666666666665</v>
      </c>
      <c r="AR46" s="6"/>
      <c r="AS46" s="696" t="s">
        <v>131</v>
      </c>
      <c r="AT46" s="650"/>
      <c r="AU46" s="650"/>
      <c r="AV46" s="650"/>
      <c r="AW46" s="650"/>
      <c r="AX46" s="650"/>
      <c r="AY46" s="25"/>
      <c r="AZ46" s="56"/>
      <c r="BC46" s="25"/>
      <c r="BD46" s="25"/>
      <c r="BE46" s="56"/>
      <c r="BF46" s="693" t="s">
        <v>232</v>
      </c>
      <c r="BG46" s="693"/>
      <c r="BH46" s="693"/>
      <c r="BI46" s="693"/>
      <c r="BJ46" s="693"/>
      <c r="BK46" s="67"/>
      <c r="BL46" s="78"/>
    </row>
    <row r="47" spans="1:64" ht="12.75" customHeight="1" x14ac:dyDescent="0.2">
      <c r="A47" s="67"/>
      <c r="B47" s="682" t="s">
        <v>17</v>
      </c>
      <c r="C47" s="683"/>
      <c r="D47" s="684"/>
      <c r="E47" s="581" t="s">
        <v>15</v>
      </c>
      <c r="F47" s="349">
        <f>F38</f>
        <v>3.4419354838709677</v>
      </c>
      <c r="G47" s="350">
        <f>G38</f>
        <v>11.36774193548387</v>
      </c>
      <c r="H47" s="351">
        <f>H38</f>
        <v>7.4580645161290331</v>
      </c>
      <c r="I47" s="352">
        <f>I38</f>
        <v>7.925806451612905</v>
      </c>
      <c r="J47" s="18"/>
      <c r="K47" s="21"/>
      <c r="L47" s="170"/>
      <c r="M47" s="52"/>
      <c r="N47" s="118"/>
      <c r="O47" s="18"/>
      <c r="P47" s="21"/>
      <c r="Q47" s="21"/>
      <c r="R47" s="381">
        <f>R38</f>
        <v>1022.4032258064516</v>
      </c>
      <c r="S47" s="21"/>
      <c r="T47" s="56"/>
      <c r="U47" s="7"/>
      <c r="W47" s="143" t="s">
        <v>105</v>
      </c>
      <c r="X47" s="22">
        <f>COUNTIF(X4:X34,"NE")</f>
        <v>7</v>
      </c>
      <c r="Y47" s="56"/>
      <c r="Z47" s="681"/>
      <c r="AA47" s="668"/>
      <c r="AB47" s="384">
        <f>IF(M53=0,"",AVERAGE(Z4:Z34))</f>
        <v>0.35806451612903228</v>
      </c>
      <c r="AC47" s="323" t="str">
        <f>IF(M54&gt;0,IF(Z38&gt;Z39,"",AC48/M54/AB48),"n/a")</f>
        <v>n/a</v>
      </c>
      <c r="AE47" s="548"/>
      <c r="AF47" s="56"/>
      <c r="AH47" s="124"/>
      <c r="AI47" s="124"/>
      <c r="AJ47" s="124"/>
      <c r="AK47" s="126"/>
      <c r="AL47" s="124"/>
      <c r="AM47" s="6"/>
      <c r="AN47" s="179" t="s">
        <v>67</v>
      </c>
      <c r="AO47" s="405"/>
      <c r="AP47" s="456">
        <f>IF(ISBLANK(AP4),"",AVERAGE(AP4:AP34))</f>
        <v>4.032258064516129</v>
      </c>
      <c r="AQ47" s="443">
        <f>IF(ISBLANK(AQ4),"",AVERAGE(AQ4:AQ34))</f>
        <v>0.4419354838709677</v>
      </c>
      <c r="AR47" s="6"/>
      <c r="AS47" s="25"/>
      <c r="AT47" s="22"/>
      <c r="AU47" s="25"/>
      <c r="AV47" s="25"/>
      <c r="AW47" s="25"/>
      <c r="AX47" s="25"/>
      <c r="AY47" s="695" t="s">
        <v>35</v>
      </c>
      <c r="AZ47" s="695"/>
      <c r="BA47" s="695"/>
      <c r="BB47" s="695"/>
      <c r="BC47" s="695"/>
      <c r="BD47" s="695"/>
      <c r="BE47" s="67"/>
      <c r="BF47" s="694" t="s">
        <v>169</v>
      </c>
      <c r="BG47" s="694"/>
      <c r="BH47" s="694"/>
      <c r="BI47" s="694"/>
      <c r="BJ47" s="694"/>
      <c r="BK47" s="2"/>
      <c r="BL47" s="78"/>
    </row>
    <row r="48" spans="1:64" ht="12.75" customHeight="1" x14ac:dyDescent="0.2">
      <c r="A48" s="67"/>
      <c r="B48" s="707" t="s">
        <v>51</v>
      </c>
      <c r="C48" s="708"/>
      <c r="D48" s="709"/>
      <c r="E48" s="142">
        <f>IF(ISBLANK(H5),"",CORREL(H4:H34,R4:R34))</f>
        <v>-0.42135847301045654</v>
      </c>
      <c r="F48" s="576">
        <f>IF(ISBLANK(H5),"",ABS(E48))</f>
        <v>0.42135847301045654</v>
      </c>
      <c r="J48" s="18"/>
      <c r="K48" s="826" t="s">
        <v>426</v>
      </c>
      <c r="L48" s="826"/>
      <c r="M48" s="826"/>
      <c r="N48" s="826"/>
      <c r="O48" s="17"/>
      <c r="R48" s="25"/>
      <c r="S48" s="25"/>
      <c r="T48" s="56"/>
      <c r="U48" s="266"/>
      <c r="W48" s="304" t="s">
        <v>106</v>
      </c>
      <c r="X48" s="22">
        <f>COUNTIF(X4:X34,"E")</f>
        <v>11</v>
      </c>
      <c r="Y48" s="6"/>
      <c r="AB48" s="438">
        <f>Z39/E34</f>
        <v>1.6451612903225807</v>
      </c>
      <c r="AC48" s="579">
        <f>ABS(Z39-Z38)</f>
        <v>39.9</v>
      </c>
      <c r="AD48" s="578" t="str">
        <f>IF(Z38&gt;Z39,"Excess","Deficit")</f>
        <v>Deficit</v>
      </c>
      <c r="AE48" s="547"/>
      <c r="AF48" s="6"/>
      <c r="AK48" s="6"/>
      <c r="AL48" s="124"/>
      <c r="AM48" s="6"/>
      <c r="AN48" s="5">
        <f>SUM(AJ91:AJ121)</f>
        <v>5</v>
      </c>
      <c r="AO48" s="406"/>
      <c r="AR48" s="6"/>
      <c r="AS48" s="641" t="s">
        <v>447</v>
      </c>
      <c r="AT48" s="642"/>
      <c r="AU48" s="643"/>
      <c r="AV48" s="139"/>
      <c r="AY48" s="4" t="s">
        <v>164</v>
      </c>
      <c r="AZ48" s="68"/>
      <c r="BA48" s="4" t="s">
        <v>199</v>
      </c>
      <c r="BB48" s="329" t="s">
        <v>166</v>
      </c>
      <c r="BC48" s="147" t="s">
        <v>326</v>
      </c>
      <c r="BD48" s="147" t="s">
        <v>10</v>
      </c>
      <c r="BE48" s="67"/>
      <c r="BF48" s="181" t="s">
        <v>21</v>
      </c>
      <c r="BG48" s="294" t="s">
        <v>22</v>
      </c>
      <c r="BH48" s="335" t="s">
        <v>171</v>
      </c>
      <c r="BI48" s="336" t="s">
        <v>170</v>
      </c>
      <c r="BJ48" s="97" t="s">
        <v>172</v>
      </c>
      <c r="BK48" s="16"/>
      <c r="BL48" s="78"/>
    </row>
    <row r="49" spans="1:64" ht="12.75" customHeight="1" x14ac:dyDescent="0.2">
      <c r="A49" s="67"/>
      <c r="B49" s="707" t="s">
        <v>50</v>
      </c>
      <c r="C49" s="708"/>
      <c r="D49" s="709"/>
      <c r="E49" s="89">
        <f>IF(ISBLANK(H5),"",CORREL(H4:H34,M4:M34))</f>
        <v>-0.19078738122619907</v>
      </c>
      <c r="F49" s="576">
        <f>IF(ISBLANK(H5),"",ABS(E49))</f>
        <v>0.19078738122619907</v>
      </c>
      <c r="H49" s="4"/>
      <c r="I49" s="4"/>
      <c r="J49" s="18"/>
      <c r="K49" s="152">
        <f ca="1">IF(ISBLANK(F4),"",F38-AVERAGE(OFFSET(F91,0,0,M53)))</f>
        <v>-0.17419354838709689</v>
      </c>
      <c r="L49" s="151">
        <f ca="1">IF(ISBLANK(G4),"",G38-AVERAGE(OFFSET(G91,0,0,M53)))</f>
        <v>1.0120967741935463</v>
      </c>
      <c r="M49" s="14">
        <f ca="1">IF(ISBLANK(G4),"",AVERAGE(K49:L49))</f>
        <v>0.41895161290322469</v>
      </c>
      <c r="N49" s="129">
        <f ca="1">IF(ISBLANK(H4),"",I38-AVERAGE(OFFSET(I91,0,0,M53)))</f>
        <v>1.1862903225806445</v>
      </c>
      <c r="O49" s="18"/>
      <c r="R49" s="21"/>
      <c r="S49" s="21"/>
      <c r="T49" s="56"/>
      <c r="U49" s="300"/>
      <c r="W49" s="304" t="s">
        <v>112</v>
      </c>
      <c r="X49" s="22">
        <f>COUNTIF(X4:X34,"SE")</f>
        <v>1</v>
      </c>
      <c r="Y49" s="67"/>
      <c r="Z49" s="648" t="s">
        <v>115</v>
      </c>
      <c r="AA49" s="648"/>
      <c r="AE49" s="547"/>
      <c r="AF49" s="67"/>
      <c r="AG49" s="710" t="s">
        <v>179</v>
      </c>
      <c r="AH49" s="710"/>
      <c r="AI49" s="710"/>
      <c r="AJ49" s="710"/>
      <c r="AK49" s="313"/>
      <c r="AL49" s="124"/>
      <c r="AM49" s="67"/>
      <c r="AO49" s="224"/>
      <c r="AP49" s="457" t="s">
        <v>215</v>
      </c>
      <c r="AR49" s="6"/>
      <c r="AS49" s="644" t="s">
        <v>17</v>
      </c>
      <c r="AT49" s="645"/>
      <c r="AU49" s="280" t="s">
        <v>15</v>
      </c>
      <c r="AX49" s="361">
        <v>1</v>
      </c>
      <c r="AY49" s="23">
        <f t="shared" ref="AY49:AY79" si="26">IF(ISBLANK(G4),"",AVERAGE(F4:G4))</f>
        <v>3.45</v>
      </c>
      <c r="AZ49" s="50"/>
      <c r="BA49" s="26">
        <f>BC4</f>
        <v>-2.3093750000000002</v>
      </c>
      <c r="BB49" s="7">
        <f t="shared" ref="BB49:BB79" si="27">IF(ISBLANK(H4),"",AY49-H4)</f>
        <v>5.0000000000000266E-2</v>
      </c>
      <c r="BC49" s="25">
        <f>IF(ISBLANK(G4),"",(AVERAGE($AY$49:AY49)))</f>
        <v>3.45</v>
      </c>
      <c r="BD49" s="13">
        <f>IF(ISBLANK(G4),"",AVERAGE(BF4:BG4))</f>
        <v>-2.3093750000000002</v>
      </c>
      <c r="BE49" s="67"/>
      <c r="BF49" s="556">
        <v>0.20833333333333334</v>
      </c>
      <c r="BG49" s="556">
        <v>0.57291666666666663</v>
      </c>
      <c r="BH49" s="556">
        <v>0.63541666666666663</v>
      </c>
      <c r="BI49" s="556">
        <v>0.2638888888888889</v>
      </c>
      <c r="BJ49" s="556">
        <v>0.81805555555555554</v>
      </c>
      <c r="BK49" s="20"/>
      <c r="BL49" s="78"/>
    </row>
    <row r="50" spans="1:64" ht="12.75" customHeight="1" x14ac:dyDescent="0.2">
      <c r="A50" s="67"/>
      <c r="B50" s="707" t="s">
        <v>56</v>
      </c>
      <c r="C50" s="708"/>
      <c r="D50" s="709"/>
      <c r="E50" s="89">
        <f>IF(ISBLANK(H5),"",CORREL(M4:M34,R4:R34))</f>
        <v>-0.16901750765644818</v>
      </c>
      <c r="F50" s="576">
        <f>IF(ISBLANK(H5),"",ABS(E50))</f>
        <v>0.16901750765644818</v>
      </c>
      <c r="G50" s="607" t="s">
        <v>427</v>
      </c>
      <c r="H50" s="820" t="s">
        <v>423</v>
      </c>
      <c r="I50" s="821"/>
      <c r="J50" s="18"/>
      <c r="K50" s="8"/>
      <c r="L50" s="305"/>
      <c r="M50" s="118"/>
      <c r="N50" s="118"/>
      <c r="O50" s="18"/>
      <c r="Q50" s="662" t="s">
        <v>132</v>
      </c>
      <c r="R50" s="662"/>
      <c r="T50" s="68"/>
      <c r="U50" s="300"/>
      <c r="W50" s="305" t="s">
        <v>111</v>
      </c>
      <c r="X50" s="22">
        <f>COUNTIF(X4:X34,"S")</f>
        <v>2</v>
      </c>
      <c r="Y50" s="84"/>
      <c r="Z50" s="661" t="s">
        <v>120</v>
      </c>
      <c r="AA50" s="660">
        <v>20</v>
      </c>
      <c r="AB50" s="322"/>
      <c r="AC50" s="646" t="s">
        <v>285</v>
      </c>
      <c r="AD50" s="647"/>
      <c r="AF50" s="67"/>
      <c r="AH50" s="713">
        <f>SUM(AW91:AW121)</f>
        <v>6</v>
      </c>
      <c r="AI50" s="713"/>
      <c r="AJ50" s="93">
        <f>IF(M53=0,"",AH50/M53)</f>
        <v>0.19354838709677419</v>
      </c>
      <c r="AK50" s="68"/>
      <c r="AM50" s="67"/>
      <c r="AN50" s="180" t="s">
        <v>68</v>
      </c>
      <c r="AO50" s="87"/>
      <c r="AP50" s="397">
        <f>IF(M53=0,"",AP38/SUM(AT91:AT121))</f>
        <v>0.37799060321827277</v>
      </c>
      <c r="AR50" s="6"/>
      <c r="AS50" s="637" t="s">
        <v>44</v>
      </c>
      <c r="AT50" s="638"/>
      <c r="AU50" s="92">
        <f>IF(AP4=AP5,"",IF(AP42=0,"",CORREL(G4:G34,AP4:AP34)))</f>
        <v>0.34613178963267327</v>
      </c>
      <c r="AV50" s="577">
        <f>IF(AP4=AP5,"",IF(AP42=0,"",ABS(AU50)))</f>
        <v>0.34613178963267327</v>
      </c>
      <c r="AX50" s="361">
        <v>2</v>
      </c>
      <c r="AY50" s="23">
        <f t="shared" si="26"/>
        <v>3.3499999999999996</v>
      </c>
      <c r="AZ50" s="50"/>
      <c r="BA50" s="26">
        <f t="shared" ref="BA50:BA79" si="28">BC5</f>
        <v>-2.4687500000000004</v>
      </c>
      <c r="BB50" s="7">
        <f t="shared" si="27"/>
        <v>-5.0000000000000266E-2</v>
      </c>
      <c r="BC50" s="25">
        <f>IF(ISBLANK(G5),"",(AVERAGE($AY$49:AY50)))</f>
        <v>3.4</v>
      </c>
      <c r="BD50" s="13">
        <f t="shared" ref="BD50:BD79" si="29">IF(ISBLANK(G5),"",AVERAGE(BF5:BG5))</f>
        <v>-2.3890625000000005</v>
      </c>
      <c r="BE50" s="67"/>
      <c r="BF50" s="556">
        <v>0.16666666666666666</v>
      </c>
      <c r="BG50" s="556">
        <v>0.66666666666666663</v>
      </c>
      <c r="BH50" s="556">
        <v>0.64930555555555558</v>
      </c>
      <c r="BI50" s="556">
        <v>0.33333333333333331</v>
      </c>
      <c r="BJ50" s="556">
        <v>0.10277777777777779</v>
      </c>
      <c r="BK50" s="55"/>
      <c r="BL50" s="78"/>
    </row>
    <row r="51" spans="1:64" ht="12.75" customHeight="1" x14ac:dyDescent="0.2">
      <c r="A51" s="67"/>
      <c r="B51" s="707" t="s">
        <v>11</v>
      </c>
      <c r="C51" s="708"/>
      <c r="D51" s="709"/>
      <c r="E51" s="89">
        <f>IF(ISBLANK(H5),"",CORREL(F4:F34,G4:G34))</f>
        <v>0.55929091576929013</v>
      </c>
      <c r="F51" s="576">
        <f>IF(ISBLANK(H5),"",ABS(E51))</f>
        <v>0.55929091576929013</v>
      </c>
      <c r="H51" s="821" t="s">
        <v>424</v>
      </c>
      <c r="I51" s="821"/>
      <c r="J51" s="18"/>
      <c r="K51" s="8"/>
      <c r="N51" s="118"/>
      <c r="O51" s="18"/>
      <c r="P51" s="21"/>
      <c r="Q51" s="649" t="s">
        <v>143</v>
      </c>
      <c r="R51" s="649"/>
      <c r="S51" s="21"/>
      <c r="T51" s="68"/>
      <c r="W51" s="304" t="s">
        <v>110</v>
      </c>
      <c r="X51" s="22">
        <f>COUNTIF(X4:X34,"SW")</f>
        <v>6</v>
      </c>
      <c r="Y51" s="67"/>
      <c r="Z51" s="661"/>
      <c r="AA51" s="660"/>
      <c r="AC51" s="714" t="s">
        <v>286</v>
      </c>
      <c r="AD51" s="717">
        <v>0</v>
      </c>
      <c r="AF51" s="67"/>
      <c r="AG51" s="650"/>
      <c r="AH51" s="650"/>
      <c r="AI51" s="650"/>
      <c r="AJ51" s="650"/>
      <c r="AK51" s="6"/>
      <c r="AM51" s="67"/>
      <c r="AN51" s="5">
        <f>M53-AN48</f>
        <v>26</v>
      </c>
      <c r="AO51" s="406"/>
      <c r="AR51" s="6"/>
      <c r="AS51" s="637" t="s">
        <v>39</v>
      </c>
      <c r="AT51" s="638"/>
      <c r="AU51" s="92">
        <f>IF(AP4=AP5,"",IF(AP42=0,"",CORREL(AP4:AP34,I4:I34)))</f>
        <v>0.68278825156488954</v>
      </c>
      <c r="AV51" s="577">
        <f>IF(AP4=AP5,"",IF(AP42=0,"",ABS(AU51)))</f>
        <v>0.68278825156488954</v>
      </c>
      <c r="AX51" s="361">
        <v>3</v>
      </c>
      <c r="AY51" s="23">
        <f t="shared" si="26"/>
        <v>1.95</v>
      </c>
      <c r="AZ51" s="50"/>
      <c r="BA51" s="26">
        <f t="shared" si="28"/>
        <v>-3.9281250000000005</v>
      </c>
      <c r="BB51" s="7">
        <f t="shared" si="27"/>
        <v>0.14999999999999991</v>
      </c>
      <c r="BC51" s="25">
        <f>IF(ISBLANK(G6),"",(AVERAGE($AY$49:AY51)))</f>
        <v>2.9166666666666665</v>
      </c>
      <c r="BD51" s="13">
        <f t="shared" si="29"/>
        <v>-2.9020833333333336</v>
      </c>
      <c r="BE51" s="67"/>
      <c r="BF51" s="556">
        <v>2.0833333333333332E-2</v>
      </c>
      <c r="BG51" s="556">
        <v>0.62847222222222221</v>
      </c>
      <c r="BH51" s="556">
        <v>0.70833333333333337</v>
      </c>
      <c r="BI51" s="556">
        <v>0.40972222222222227</v>
      </c>
      <c r="BJ51" s="556">
        <v>0.93125000000000002</v>
      </c>
      <c r="BK51" s="18"/>
      <c r="BL51" s="78"/>
    </row>
    <row r="52" spans="1:64" ht="12.75" customHeight="1" x14ac:dyDescent="0.2">
      <c r="A52" s="67"/>
      <c r="B52" s="707" t="s">
        <v>92</v>
      </c>
      <c r="C52" s="708"/>
      <c r="D52" s="709"/>
      <c r="E52" s="89">
        <f>IF(ISBLANK(H5),"",CORREL(K4:K34,L4:L34))</f>
        <v>0.32945212399635559</v>
      </c>
      <c r="F52" s="576">
        <f>IF(ISBLANK(H5),"",ABS(E52))</f>
        <v>0.32945212399635559</v>
      </c>
      <c r="H52" s="601"/>
      <c r="I52" s="601"/>
      <c r="J52" s="18"/>
      <c r="K52" s="8"/>
      <c r="L52" s="53" t="s">
        <v>346</v>
      </c>
      <c r="M52" s="118"/>
      <c r="N52" s="118"/>
      <c r="O52" s="18"/>
      <c r="P52" s="25"/>
      <c r="Q52" s="715">
        <f>IF(ISBLANK(H5),"",AVERAGE(F48:F66,F72:F80,AV50:AV60))</f>
        <v>0.35486953602628107</v>
      </c>
      <c r="R52" s="716"/>
      <c r="S52" s="25"/>
      <c r="T52" s="67"/>
      <c r="W52" s="304" t="s">
        <v>114</v>
      </c>
      <c r="X52" s="22">
        <f>COUNTIF(X4:X34,"W")</f>
        <v>2</v>
      </c>
      <c r="Y52" s="67"/>
      <c r="Z52" s="659" t="s">
        <v>116</v>
      </c>
      <c r="AA52" s="711">
        <f>(Z38+AA50)/Z39</f>
        <v>0.6098039215686275</v>
      </c>
      <c r="AC52" s="714"/>
      <c r="AD52" s="717"/>
      <c r="AF52" s="67"/>
      <c r="AG52" s="712" t="s">
        <v>180</v>
      </c>
      <c r="AH52" s="712"/>
      <c r="AI52" s="712"/>
      <c r="AJ52" s="712"/>
      <c r="AK52" s="314"/>
      <c r="AM52" s="67"/>
      <c r="AO52" s="407"/>
      <c r="AP52" s="639" t="s">
        <v>190</v>
      </c>
      <c r="AQ52" s="640"/>
      <c r="AR52" s="6"/>
      <c r="AS52" s="637" t="s">
        <v>40</v>
      </c>
      <c r="AT52" s="638"/>
      <c r="AU52" s="92">
        <f>IF(AP4=AP5,"",IF(AP42=0,"",CORREL(AP4:AP34,K4:K34)))</f>
        <v>-0.74326869460353717</v>
      </c>
      <c r="AV52" s="577">
        <f>IF(AP4=AP5,"",IF(AP42=0,"",ABS(AU52)))</f>
        <v>0.74326869460353717</v>
      </c>
      <c r="AX52" s="361">
        <v>4</v>
      </c>
      <c r="AY52" s="23">
        <f t="shared" si="26"/>
        <v>3.55</v>
      </c>
      <c r="AZ52" s="50"/>
      <c r="BA52" s="26">
        <f t="shared" si="28"/>
        <v>-2.3875000000000002</v>
      </c>
      <c r="BB52" s="7">
        <f t="shared" si="27"/>
        <v>0.64999999999999991</v>
      </c>
      <c r="BC52" s="25">
        <f>IF(ISBLANK(G7),"",(AVERAGE($AY$49:AY52)))</f>
        <v>3.0750000000000002</v>
      </c>
      <c r="BD52" s="13">
        <f t="shared" si="29"/>
        <v>-2.7734375000000004</v>
      </c>
      <c r="BE52" s="6"/>
      <c r="BF52" s="556">
        <v>0.28125</v>
      </c>
      <c r="BG52" s="556">
        <v>0.66666666666666663</v>
      </c>
      <c r="BH52" s="556">
        <v>0.67708333333333337</v>
      </c>
      <c r="BI52" s="556">
        <v>0.15625</v>
      </c>
      <c r="BJ52" s="556">
        <v>2.5000000000000001E-2</v>
      </c>
      <c r="BK52" s="18"/>
      <c r="BL52" s="78"/>
    </row>
    <row r="53" spans="1:64" ht="12.75" customHeight="1" x14ac:dyDescent="0.2">
      <c r="A53" s="67"/>
      <c r="B53" s="707" t="s">
        <v>93</v>
      </c>
      <c r="C53" s="708"/>
      <c r="D53" s="709"/>
      <c r="E53" s="89">
        <f>IF(ISBLANK(H5),"",CORREL(P4:P34,Q4:Q34))</f>
        <v>0.95736098531987124</v>
      </c>
      <c r="F53" s="576">
        <f>IF(ISBLANK(H5),"",ABS(E53))</f>
        <v>0.95736098531987124</v>
      </c>
      <c r="H53" s="601"/>
      <c r="I53" s="601"/>
      <c r="J53" s="18"/>
      <c r="K53" s="8"/>
      <c r="L53" s="21" t="s">
        <v>88</v>
      </c>
      <c r="M53" s="21">
        <f>COUNT(H4:H34)</f>
        <v>31</v>
      </c>
      <c r="N53" s="118"/>
      <c r="O53" s="18"/>
      <c r="Q53" s="663" t="s">
        <v>34</v>
      </c>
      <c r="R53" s="663"/>
      <c r="S53" s="22"/>
      <c r="T53" s="67"/>
      <c r="U53" s="7"/>
      <c r="W53" s="304" t="s">
        <v>128</v>
      </c>
      <c r="X53" s="22">
        <f>COUNTIF(X4:X34,"NW")</f>
        <v>1</v>
      </c>
      <c r="Y53" s="136"/>
      <c r="Z53" s="659"/>
      <c r="AA53" s="711"/>
      <c r="AB53" s="323"/>
      <c r="AC53" s="542" t="s">
        <v>281</v>
      </c>
      <c r="AD53" s="549">
        <f>IF(Z38=0,"",AD51/Z38)</f>
        <v>0</v>
      </c>
      <c r="AF53" s="67"/>
      <c r="AH53" s="713">
        <f>SUM(AX91:AX121)</f>
        <v>8</v>
      </c>
      <c r="AI53" s="713"/>
      <c r="AJ53" s="93">
        <f>IF(M53=0,"",AH53/M53)</f>
        <v>0.25806451612903225</v>
      </c>
      <c r="AK53" s="68"/>
      <c r="AL53" s="4"/>
      <c r="AM53" s="67"/>
      <c r="AN53" s="179" t="s">
        <v>77</v>
      </c>
      <c r="AO53" s="88"/>
      <c r="AP53" s="718" t="str">
        <f>IF(M54=0,"",(AP39-AP38)/M54/(AP39/E34))</f>
        <v/>
      </c>
      <c r="AQ53" s="719"/>
      <c r="AR53" s="6"/>
      <c r="AS53" s="637" t="s">
        <v>38</v>
      </c>
      <c r="AT53" s="638"/>
      <c r="AU53" s="92">
        <f>IF(AQ38=0,"",CORREL(AP4:AP34,AQ4:AQ34))</f>
        <v>-0.28592941118849169</v>
      </c>
      <c r="AV53" s="577">
        <f>IF(AQ38=0,"",ABS(AU53))</f>
        <v>0.28592941118849169</v>
      </c>
      <c r="AX53" s="361">
        <v>5</v>
      </c>
      <c r="AY53" s="23">
        <f t="shared" si="26"/>
        <v>4</v>
      </c>
      <c r="AZ53" s="50"/>
      <c r="BA53" s="26">
        <f t="shared" si="28"/>
        <v>-2.0562500000000004</v>
      </c>
      <c r="BB53" s="7">
        <f t="shared" si="27"/>
        <v>0.20000000000000018</v>
      </c>
      <c r="BC53" s="25">
        <f>IF(ISBLANK(G8),"",(AVERAGE($AY$49:AY53)))</f>
        <v>3.2600000000000002</v>
      </c>
      <c r="BD53" s="13">
        <f t="shared" si="29"/>
        <v>-2.63</v>
      </c>
      <c r="BE53" s="6"/>
      <c r="BF53" s="556">
        <v>0.28125</v>
      </c>
      <c r="BG53" s="556">
        <v>0.61458333333333337</v>
      </c>
      <c r="BH53" s="556">
        <v>0.625</v>
      </c>
      <c r="BI53" s="556" t="s">
        <v>355</v>
      </c>
      <c r="BJ53" s="556">
        <v>0.8666666666666667</v>
      </c>
      <c r="BK53" s="18"/>
      <c r="BL53" s="78"/>
    </row>
    <row r="54" spans="1:64" ht="12.75" customHeight="1" x14ac:dyDescent="0.2">
      <c r="A54" s="67"/>
      <c r="B54" s="707" t="s">
        <v>53</v>
      </c>
      <c r="C54" s="708"/>
      <c r="D54" s="709"/>
      <c r="E54" s="89">
        <f>IF(ISBLANK(H5),"",(CORREL(G4:G34,R4:R34)))</f>
        <v>-0.27357448123907069</v>
      </c>
      <c r="F54" s="576">
        <f>IF(ISBLANK(H5),"",ABS(E54))</f>
        <v>0.27357448123907069</v>
      </c>
      <c r="H54" s="601"/>
      <c r="I54" s="601"/>
      <c r="J54" s="18"/>
      <c r="K54" s="8"/>
      <c r="L54" s="21" t="s">
        <v>89</v>
      </c>
      <c r="M54" s="21">
        <f>SUM(E34-M53)</f>
        <v>0</v>
      </c>
      <c r="N54" s="118"/>
      <c r="O54" s="18"/>
      <c r="Q54" s="5">
        <f>SUM(E69,E83,AU63)</f>
        <v>11</v>
      </c>
      <c r="R54" s="21" t="s">
        <v>193</v>
      </c>
      <c r="S54" s="21"/>
      <c r="T54" s="67"/>
      <c r="U54" s="7"/>
      <c r="W54" s="300"/>
      <c r="X54" s="25"/>
      <c r="Y54" s="136"/>
      <c r="Z54" s="659" t="s">
        <v>153</v>
      </c>
      <c r="AA54" s="659" t="str">
        <f>IF(M54&gt;0,(Z39-Z38)/M54,"n/a")</f>
        <v>n/a</v>
      </c>
      <c r="AB54" s="267"/>
      <c r="AC54" s="542" t="s">
        <v>283</v>
      </c>
      <c r="AD54" s="549">
        <f>IF(AT67=0,"",AV38/AT67)</f>
        <v>0</v>
      </c>
      <c r="AF54" s="67"/>
      <c r="AK54" s="6"/>
      <c r="AM54" s="67"/>
      <c r="AN54" s="138">
        <f>IF(M53=0,"",AN48/M53)</f>
        <v>0.16129032258064516</v>
      </c>
      <c r="AO54" s="406"/>
      <c r="AP54" s="531">
        <f>AP39/E34</f>
        <v>3.3870967741935485</v>
      </c>
      <c r="AQ54" s="532" t="str">
        <f>IF(M54=0,"",(AP39-AP38)/M54)</f>
        <v/>
      </c>
      <c r="AR54" s="6"/>
      <c r="AS54" s="637" t="s">
        <v>49</v>
      </c>
      <c r="AT54" s="638"/>
      <c r="AU54" s="92">
        <f>IF(AQ38=0,"",CORREL(AQ4:AQ34,I4:I34))</f>
        <v>-0.15355117045160624</v>
      </c>
      <c r="AV54" s="577">
        <f>IF(AQ38=0,"",ABS(AU54))</f>
        <v>0.15355117045160624</v>
      </c>
      <c r="AX54" s="361">
        <v>6</v>
      </c>
      <c r="AY54" s="23">
        <f t="shared" si="26"/>
        <v>4.4000000000000004</v>
      </c>
      <c r="AZ54" s="50"/>
      <c r="BA54" s="26">
        <f t="shared" si="28"/>
        <v>-1.748076923076924</v>
      </c>
      <c r="BB54" s="7">
        <f t="shared" si="27"/>
        <v>0.30000000000000071</v>
      </c>
      <c r="BC54" s="25">
        <f>IF(ISBLANK(G9),"",(AVERAGE($AY$49:AY54)))</f>
        <v>3.4500000000000006</v>
      </c>
      <c r="BD54" s="13">
        <f t="shared" si="29"/>
        <v>-2.4830128205128212</v>
      </c>
      <c r="BE54" s="6"/>
      <c r="BF54" s="556">
        <v>0.30555555555555552</v>
      </c>
      <c r="BG54" s="556">
        <v>0.54513888888888895</v>
      </c>
      <c r="BH54" s="556">
        <v>0.66319444444444442</v>
      </c>
      <c r="BI54" s="556">
        <v>3.4722222222222224E-2</v>
      </c>
      <c r="BJ54" s="556">
        <v>0.39166666666666666</v>
      </c>
      <c r="BK54" s="18"/>
      <c r="BL54" s="78"/>
    </row>
    <row r="55" spans="1:64" ht="12.75" customHeight="1" x14ac:dyDescent="0.2">
      <c r="A55" s="67"/>
      <c r="B55" s="707" t="s">
        <v>54</v>
      </c>
      <c r="C55" s="708"/>
      <c r="D55" s="709"/>
      <c r="E55" s="89">
        <f>IF(ISBLANK(H5),"",CORREL(F4:F34,R4:R34))</f>
        <v>-0.42646465013112111</v>
      </c>
      <c r="F55" s="576">
        <f>IF(ISBLANK(H5),"",ABS(E55))</f>
        <v>0.42646465013112111</v>
      </c>
      <c r="H55" s="601"/>
      <c r="I55" s="601"/>
      <c r="J55" s="20"/>
      <c r="K55" s="8"/>
      <c r="L55" s="305"/>
      <c r="M55" s="118"/>
      <c r="N55" s="118"/>
      <c r="O55" s="18"/>
      <c r="R55" s="580"/>
      <c r="S55" s="21"/>
      <c r="T55" s="67"/>
      <c r="U55" s="7"/>
      <c r="W55" s="300" t="s">
        <v>129</v>
      </c>
      <c r="X55" s="22">
        <f>MAX(X46:X53)</f>
        <v>11</v>
      </c>
      <c r="Y55" s="136"/>
      <c r="Z55" s="659"/>
      <c r="AA55" s="659"/>
      <c r="AB55" s="267"/>
      <c r="AC55" s="543" t="s">
        <v>284</v>
      </c>
      <c r="AD55" s="546" t="s">
        <v>205</v>
      </c>
      <c r="AE55" s="267"/>
      <c r="AF55" s="67"/>
      <c r="AK55" s="6"/>
      <c r="AM55" s="67"/>
      <c r="AO55" s="408"/>
      <c r="AR55" s="6"/>
      <c r="AS55" s="637" t="s">
        <v>96</v>
      </c>
      <c r="AT55" s="638"/>
      <c r="AU55" s="92">
        <f>IF(AQ38=0,"",CORREL(M4:M34,AQ4:AQ34))</f>
        <v>0.27935846538356929</v>
      </c>
      <c r="AV55" s="577">
        <f>IF(AQ38=0,"",ABS(AU55))</f>
        <v>0.27935846538356929</v>
      </c>
      <c r="AX55" s="361">
        <v>7</v>
      </c>
      <c r="AY55" s="23">
        <f t="shared" si="26"/>
        <v>4.6499999999999995</v>
      </c>
      <c r="AZ55" s="50"/>
      <c r="BA55" s="26">
        <f t="shared" si="28"/>
        <v>-1.5899038461538475</v>
      </c>
      <c r="BB55" s="7">
        <f t="shared" si="27"/>
        <v>0.34999999999999964</v>
      </c>
      <c r="BC55" s="25">
        <f>IF(ISBLANK(G10),"",(AVERAGE($AY$49:AY55)))</f>
        <v>3.6214285714285714</v>
      </c>
      <c r="BD55" s="13">
        <f t="shared" si="29"/>
        <v>-2.3554258241758244</v>
      </c>
      <c r="BE55" s="6"/>
      <c r="BF55" s="556">
        <v>0.27083333333333331</v>
      </c>
      <c r="BG55" s="556">
        <v>0.59722222222222221</v>
      </c>
      <c r="BH55" s="556">
        <v>0.6875</v>
      </c>
      <c r="BI55" s="556">
        <v>0.31597222222222221</v>
      </c>
      <c r="BJ55" s="556">
        <v>0.48055555555555557</v>
      </c>
      <c r="BK55" s="18"/>
      <c r="BL55" s="78"/>
    </row>
    <row r="56" spans="1:64" ht="12.75" customHeight="1" thickBot="1" x14ac:dyDescent="0.25">
      <c r="A56" s="67"/>
      <c r="B56" s="707" t="s">
        <v>55</v>
      </c>
      <c r="C56" s="708"/>
      <c r="D56" s="709"/>
      <c r="E56" s="89">
        <f>IF(ISBLANK(H5),"",CORREL(I4:I34,R4:R34))</f>
        <v>7.637789534298646E-2</v>
      </c>
      <c r="F56" s="576">
        <f>IF(ISBLANK(H5),"",ABS(E56))</f>
        <v>7.637789534298646E-2</v>
      </c>
      <c r="J56" s="20"/>
      <c r="O56" s="20"/>
      <c r="T56" s="67"/>
      <c r="U56" s="7"/>
      <c r="V56" s="7"/>
      <c r="W56" s="25"/>
      <c r="X56" s="25"/>
      <c r="Y56" s="136"/>
      <c r="AD56" s="267"/>
      <c r="AE56" s="267"/>
      <c r="AF56" s="166"/>
      <c r="AG56" s="710" t="s">
        <v>126</v>
      </c>
      <c r="AH56" s="710"/>
      <c r="AI56" s="710"/>
      <c r="AJ56" s="710"/>
      <c r="AK56" s="313"/>
      <c r="AL56" s="152"/>
      <c r="AM56" s="67"/>
      <c r="AN56" s="181" t="s">
        <v>109</v>
      </c>
      <c r="AO56" s="88"/>
      <c r="AR56" s="6"/>
      <c r="AS56" s="637" t="s">
        <v>37</v>
      </c>
      <c r="AT56" s="638"/>
      <c r="AU56" s="92">
        <f>IF(AQ38=0,"",CORREL(Z4:Z34,AQ4:AQ34))</f>
        <v>0.99245471195056367</v>
      </c>
      <c r="AV56" s="577">
        <f>IF(AQ38=0,"",ABS(AU56))</f>
        <v>0.99245471195056367</v>
      </c>
      <c r="AX56" s="361">
        <v>8</v>
      </c>
      <c r="AY56" s="23">
        <f t="shared" si="26"/>
        <v>4.4000000000000004</v>
      </c>
      <c r="AZ56" s="50"/>
      <c r="BA56" s="26">
        <f t="shared" si="28"/>
        <v>-1.9317307692307706</v>
      </c>
      <c r="BB56" s="7">
        <f t="shared" si="27"/>
        <v>-0.5</v>
      </c>
      <c r="BC56" s="25">
        <f>IF(ISBLANK(G11),"",(AVERAGE($AY$49:AY56)))</f>
        <v>3.71875</v>
      </c>
      <c r="BD56" s="13">
        <f t="shared" si="29"/>
        <v>-2.3024639423076931</v>
      </c>
      <c r="BE56" s="6"/>
      <c r="BF56" s="556">
        <v>0.27777777777777779</v>
      </c>
      <c r="BG56" s="556">
        <v>0.62847222222222221</v>
      </c>
      <c r="BH56" s="556">
        <v>0.63888888888888895</v>
      </c>
      <c r="BI56" s="556">
        <v>0.34722222222222227</v>
      </c>
      <c r="BJ56" s="556">
        <v>0.66597222222222219</v>
      </c>
      <c r="BK56" s="18"/>
      <c r="BL56" s="78"/>
    </row>
    <row r="57" spans="1:64" ht="12.75" customHeight="1" x14ac:dyDescent="0.2">
      <c r="A57" s="67"/>
      <c r="B57" s="707" t="s">
        <v>94</v>
      </c>
      <c r="C57" s="708"/>
      <c r="D57" s="709"/>
      <c r="E57" s="89">
        <f>IF(ISBLANK(H5),"",CORREL(N4:N34,R4:R34))</f>
        <v>0.12551979011525577</v>
      </c>
      <c r="F57" s="576">
        <f>IF(ISBLANK(H5),"",ABS(E57))</f>
        <v>0.12551979011525577</v>
      </c>
      <c r="H57" s="720" t="s">
        <v>135</v>
      </c>
      <c r="I57" s="721"/>
      <c r="J57" s="193"/>
      <c r="K57" s="721" t="s">
        <v>35</v>
      </c>
      <c r="L57" s="721"/>
      <c r="M57" s="721"/>
      <c r="N57" s="721"/>
      <c r="O57" s="194"/>
      <c r="P57" s="721" t="s">
        <v>136</v>
      </c>
      <c r="Q57" s="721"/>
      <c r="R57" s="721"/>
      <c r="S57" s="721"/>
      <c r="T57" s="195"/>
      <c r="U57" s="651" t="s">
        <v>159</v>
      </c>
      <c r="V57" s="653" t="s">
        <v>134</v>
      </c>
      <c r="W57" s="655" t="s">
        <v>160</v>
      </c>
      <c r="X57" s="657" t="s">
        <v>181</v>
      </c>
      <c r="Y57" s="196"/>
      <c r="Z57" s="724" t="s">
        <v>133</v>
      </c>
      <c r="AA57" s="724"/>
      <c r="AB57" s="725"/>
      <c r="AC57" s="726" t="s">
        <v>122</v>
      </c>
      <c r="AD57" s="727"/>
      <c r="AE57" s="728"/>
      <c r="AF57" s="166"/>
      <c r="AH57" s="713">
        <f t="array" ref="AH57">MAX(FREQUENCY(IF(AW91:AW121=1,ROW(91:121)),IF(AW91:AW121&lt;&gt;1,ROW(91:121))))</f>
        <v>4</v>
      </c>
      <c r="AI57" s="713"/>
      <c r="AJ57" s="4"/>
      <c r="AK57" s="68"/>
      <c r="AL57" s="4"/>
      <c r="AM57" s="67"/>
      <c r="AN57" s="138">
        <f>IF(AN48=0,"",AN38/AN48)</f>
        <v>0.6</v>
      </c>
      <c r="AO57" s="223"/>
      <c r="AR57" s="6"/>
      <c r="AS57" s="637" t="s">
        <v>45</v>
      </c>
      <c r="AT57" s="638"/>
      <c r="AU57" s="92">
        <f>IF(AP4=AP5,"",IF(AP42=0,"",CORREL(AP4:AP34,R4:R34)))</f>
        <v>0.27025376282074465</v>
      </c>
      <c r="AV57" s="577">
        <f>IF(AP4=AP5,"",IF(AP42=0,"",ABS(AU57)))</f>
        <v>0.27025376282074465</v>
      </c>
      <c r="AX57" s="361">
        <v>9</v>
      </c>
      <c r="AY57" s="23">
        <f t="shared" si="26"/>
        <v>7.45</v>
      </c>
      <c r="AZ57" s="50"/>
      <c r="BA57" s="26">
        <f t="shared" si="28"/>
        <v>1.0264423076923064</v>
      </c>
      <c r="BB57" s="7">
        <f t="shared" si="27"/>
        <v>-0.25</v>
      </c>
      <c r="BC57" s="25">
        <f>IF(ISBLANK(G12),"",(AVERAGE($AY$49:AY57)))</f>
        <v>4.1333333333333337</v>
      </c>
      <c r="BD57" s="13">
        <f t="shared" si="29"/>
        <v>-1.932585470085471</v>
      </c>
      <c r="BE57" s="6"/>
      <c r="BF57" s="556">
        <v>9.7222222222222224E-2</v>
      </c>
      <c r="BG57" s="556">
        <v>0.59722222222222221</v>
      </c>
      <c r="BH57" s="556">
        <v>0.54166666666666663</v>
      </c>
      <c r="BI57" s="556">
        <v>0.30208333333333331</v>
      </c>
      <c r="BJ57" s="556">
        <v>0.3840277777777778</v>
      </c>
      <c r="BK57" s="18"/>
      <c r="BL57" s="78"/>
    </row>
    <row r="58" spans="1:64" ht="12.75" x14ac:dyDescent="0.2">
      <c r="A58" s="67"/>
      <c r="B58" s="707" t="s">
        <v>14</v>
      </c>
      <c r="C58" s="708"/>
      <c r="D58" s="709"/>
      <c r="E58" s="89">
        <f>IF(ISBLANK(H5),"",CORREL(I4:I34,N4:N34))</f>
        <v>0.68878577839411359</v>
      </c>
      <c r="F58" s="576">
        <f>IF(ISBLANK(H5),"",ABS(E58))</f>
        <v>0.68878577839411359</v>
      </c>
      <c r="H58" s="722"/>
      <c r="I58" s="723"/>
      <c r="J58" s="204"/>
      <c r="K58" s="205" t="s">
        <v>2</v>
      </c>
      <c r="L58" s="206" t="s">
        <v>3</v>
      </c>
      <c r="M58" s="207" t="s">
        <v>156</v>
      </c>
      <c r="N58" s="208" t="s">
        <v>5</v>
      </c>
      <c r="O58" s="204"/>
      <c r="P58" s="205" t="s">
        <v>2</v>
      </c>
      <c r="Q58" s="206" t="s">
        <v>3</v>
      </c>
      <c r="R58" s="207" t="s">
        <v>4</v>
      </c>
      <c r="S58" s="208" t="s">
        <v>5</v>
      </c>
      <c r="T58" s="209"/>
      <c r="U58" s="652"/>
      <c r="V58" s="654"/>
      <c r="W58" s="656"/>
      <c r="X58" s="658"/>
      <c r="Y58" s="210"/>
      <c r="Z58" s="211" t="s">
        <v>137</v>
      </c>
      <c r="AA58" s="211" t="s">
        <v>235</v>
      </c>
      <c r="AB58" s="495" t="s">
        <v>138</v>
      </c>
      <c r="AC58" s="533" t="s">
        <v>140</v>
      </c>
      <c r="AD58" s="534" t="s">
        <v>235</v>
      </c>
      <c r="AE58" s="535" t="s">
        <v>141</v>
      </c>
      <c r="AF58" s="166"/>
      <c r="AG58" s="650"/>
      <c r="AH58" s="650"/>
      <c r="AI58" s="650"/>
      <c r="AJ58" s="650"/>
      <c r="AK58" s="6"/>
      <c r="AM58" s="67"/>
      <c r="AO58" s="224"/>
      <c r="AR58" s="6"/>
      <c r="AS58" s="637" t="s">
        <v>46</v>
      </c>
      <c r="AT58" s="638"/>
      <c r="AU58" s="92">
        <f>IF(ISBLANK(U5),"",CORREL(U4:U34,R4:R34))</f>
        <v>-0.11031209588955401</v>
      </c>
      <c r="AV58" s="577">
        <f>IF(ISBLANK(U5),"",ABS(AU58))</f>
        <v>0.11031209588955401</v>
      </c>
      <c r="AX58" s="361">
        <v>10</v>
      </c>
      <c r="AY58" s="23">
        <f t="shared" si="26"/>
        <v>9.1999999999999993</v>
      </c>
      <c r="AZ58" s="50"/>
      <c r="BA58" s="26">
        <f t="shared" si="28"/>
        <v>2.6846153846153826</v>
      </c>
      <c r="BB58" s="7">
        <f t="shared" si="27"/>
        <v>-0.10000000000000142</v>
      </c>
      <c r="BC58" s="25">
        <f>IF(ISBLANK(G13),"",(AVERAGE($AY$49:AY58)))</f>
        <v>4.6400000000000006</v>
      </c>
      <c r="BD58" s="13">
        <f t="shared" si="29"/>
        <v>-1.4708653846153859</v>
      </c>
      <c r="BE58" s="6"/>
      <c r="BF58" s="556">
        <v>4.1666666666666664E-2</v>
      </c>
      <c r="BG58" s="556">
        <v>0.67361111111111116</v>
      </c>
      <c r="BH58" s="556">
        <v>0.70833333333333337</v>
      </c>
      <c r="BI58" s="556">
        <v>0.16666666666666666</v>
      </c>
      <c r="BJ58" s="556">
        <v>0.62777777777777777</v>
      </c>
      <c r="BK58" s="18"/>
      <c r="BL58" s="78"/>
    </row>
    <row r="59" spans="1:64" ht="12.75" x14ac:dyDescent="0.2">
      <c r="A59" s="67"/>
      <c r="B59" s="707" t="s">
        <v>52</v>
      </c>
      <c r="C59" s="708"/>
      <c r="D59" s="709"/>
      <c r="E59" s="89">
        <f>IF(ISBLANK(H5),"",CORREL(L4:L34,R4:R34))</f>
        <v>-7.2357362615427398E-2</v>
      </c>
      <c r="F59" s="576">
        <f>IF(ISBLANK(H5),"",ABS(E59))</f>
        <v>7.2357362615427398E-2</v>
      </c>
      <c r="H59" s="729" t="s">
        <v>19</v>
      </c>
      <c r="I59" s="730"/>
      <c r="J59" s="191"/>
      <c r="K59" s="100">
        <f>IF(ISBLANK(F4),"",AVERAGE(F4:F18))</f>
        <v>2.4133333333333331</v>
      </c>
      <c r="L59" s="100">
        <f>IF(ISBLANK(G4),"",AVERAGE(G4:G18))</f>
        <v>9.1599999999999984</v>
      </c>
      <c r="M59" s="100">
        <f>IF(ISBLANK(H4),"",AVERAGE(H4:H18))</f>
        <v>5.8533333333333335</v>
      </c>
      <c r="N59" s="100">
        <f>IF(ISBLANK(G4),"",AVERAGE(I4:I18))</f>
        <v>6.746666666666667</v>
      </c>
      <c r="O59" s="191"/>
      <c r="P59" s="100">
        <f>IF(ISBLANK(F4),"",K59-AVERAGE(F91:F105))</f>
        <v>-0.63769230769230889</v>
      </c>
      <c r="Q59" s="100">
        <f>IF(ISBLANK(G4),"",L59-AVERAGE(G91:G105))</f>
        <v>-0.46403846153846473</v>
      </c>
      <c r="R59" s="100">
        <f>IF(ISBLANK(H4),"",M59-AVERAGE(H91:H105))</f>
        <v>-0.48419871794871927</v>
      </c>
      <c r="S59" s="100">
        <f>IF(ISBLANK(G4),"",N59-AVERAGE(I91:I105))</f>
        <v>0.17365384615384549</v>
      </c>
      <c r="T59" s="166"/>
      <c r="U59" s="342">
        <f>IF(ISBLANK(M4),"",AVERAGE(M4:M18))</f>
        <v>74.733333333333334</v>
      </c>
      <c r="V59" s="342">
        <f>IF(ISBLANK(P4),"",AVERAGE(R4:R18))</f>
        <v>1021.9</v>
      </c>
      <c r="W59" s="345">
        <f>IF(ISBLANK(U4),"",AVERAGE(U4:U18))</f>
        <v>5.8733333333333322</v>
      </c>
      <c r="X59" s="100">
        <f>IF(ISBLANK(AI4),"",AVERAGE(AI4:AI18))</f>
        <v>1.4933333333333332</v>
      </c>
      <c r="Y59" s="192"/>
      <c r="Z59" s="38">
        <f>IF(ISBLANK(Z4),"",SUM(Z4:Z18))</f>
        <v>1</v>
      </c>
      <c r="AA59" s="492">
        <f>IF(ISBLANK(Z4),"",Z59/($Z$39/$E$34*15))</f>
        <v>4.0522875816993459E-2</v>
      </c>
      <c r="AB59" s="496">
        <f>IF(Z38=0,"",Z59/$Z$38)</f>
        <v>9.0090090090090072E-2</v>
      </c>
      <c r="AC59" s="499">
        <f>IF(ISBLANK(AP4),"",SUM(AP4:AP18))</f>
        <v>55.1</v>
      </c>
      <c r="AD59" s="492">
        <f>IF(ISBLANK(AP4),"",AC59/SUM(AS91:AS105))</f>
        <v>1.1375612144536746</v>
      </c>
      <c r="AE59" s="197">
        <f>IF(ISBLANK(AP4),"",AC59/$AP$38)</f>
        <v>0.44080000000000003</v>
      </c>
      <c r="AF59" s="166"/>
      <c r="AG59" s="712" t="s">
        <v>127</v>
      </c>
      <c r="AH59" s="712"/>
      <c r="AI59" s="712"/>
      <c r="AJ59" s="712"/>
      <c r="AK59" s="314"/>
      <c r="AL59" s="151"/>
      <c r="AM59" s="67"/>
      <c r="AN59" s="182" t="s">
        <v>66</v>
      </c>
      <c r="AO59" s="87"/>
      <c r="AP59" s="800" t="s">
        <v>97</v>
      </c>
      <c r="AQ59" s="800"/>
      <c r="AR59" s="6"/>
      <c r="AS59" s="637" t="s">
        <v>47</v>
      </c>
      <c r="AT59" s="638"/>
      <c r="AU59" s="92">
        <f>IF(AQ38=0,"",CORREL(AQ4:AQ34,R4:R34))</f>
        <v>-0.20536968582803897</v>
      </c>
      <c r="AV59" s="577">
        <f>IF(AQ38=0,"",ABS(AU59))</f>
        <v>0.20536968582803897</v>
      </c>
      <c r="AX59" s="361">
        <v>11</v>
      </c>
      <c r="AY59" s="23">
        <f t="shared" si="26"/>
        <v>8.1</v>
      </c>
      <c r="AZ59" s="50"/>
      <c r="BA59" s="26">
        <f t="shared" si="28"/>
        <v>1.4927884615384592</v>
      </c>
      <c r="BB59" s="7">
        <f t="shared" si="27"/>
        <v>-0.20000000000000107</v>
      </c>
      <c r="BC59" s="25">
        <f>IF(ISBLANK(G14),"",(AVERAGE($AY$49:AY59)))</f>
        <v>4.954545454545455</v>
      </c>
      <c r="BD59" s="13">
        <f t="shared" si="29"/>
        <v>-1.2014423076923091</v>
      </c>
      <c r="BE59" s="6"/>
      <c r="BF59" s="556">
        <v>0.28472222222222221</v>
      </c>
      <c r="BG59" s="556">
        <v>0.625</v>
      </c>
      <c r="BH59" s="556">
        <v>0.64236111111111105</v>
      </c>
      <c r="BI59" s="556">
        <v>0.26041666666666669</v>
      </c>
      <c r="BJ59" s="556">
        <v>0.49791666666666662</v>
      </c>
      <c r="BK59" s="18"/>
      <c r="BL59" s="78"/>
    </row>
    <row r="60" spans="1:64" ht="12.75" customHeight="1" x14ac:dyDescent="0.2">
      <c r="A60" s="67"/>
      <c r="B60" s="707" t="s">
        <v>57</v>
      </c>
      <c r="C60" s="708"/>
      <c r="D60" s="709"/>
      <c r="E60" s="89">
        <f>IF(ISBLANK(H5),"",CORREL(G4:G34,N4:N34))</f>
        <v>0.57238888494530082</v>
      </c>
      <c r="F60" s="576">
        <f>IF(ISBLANK(H5),"",ABS(E60))</f>
        <v>0.57238888494530082</v>
      </c>
      <c r="H60" s="729" t="s">
        <v>18</v>
      </c>
      <c r="I60" s="730"/>
      <c r="J60" s="191"/>
      <c r="K60" s="100">
        <f>IF(ISBLANK(F19),"",AVERAGE(F19:F34))</f>
        <v>4.4062500000000009</v>
      </c>
      <c r="L60" s="100">
        <f>IF(ISBLANK(G19),"",AVERAGE(G19:G34))</f>
        <v>13.437499999999998</v>
      </c>
      <c r="M60" s="100">
        <f>IF(ISBLANK(H19),"",AVERAGE(H19:H34))</f>
        <v>8.9625000000000004</v>
      </c>
      <c r="N60" s="100">
        <f>IF(ISBLANK(G19),"",AVERAGE(I19:I34))</f>
        <v>9.03125</v>
      </c>
      <c r="O60" s="191"/>
      <c r="P60" s="100">
        <f>IF(ISBLANK(F19),"",K60-AVERAGE(F106:F121))</f>
        <v>0.26033653846153992</v>
      </c>
      <c r="Q60" s="100">
        <f>IF(ISBLANK(G19),"",L60-AVERAGE(G106:G121))</f>
        <v>2.3959735576923027</v>
      </c>
      <c r="R60" s="100">
        <f>IF(ISBLANK(H19),"",M60-AVERAGE(H106:H121))</f>
        <v>1.3687800480769221</v>
      </c>
      <c r="S60" s="100">
        <f>IF(ISBLANK(G19),"",N60-AVERAGE(I106:I121))</f>
        <v>2.1356370192307654</v>
      </c>
      <c r="T60" s="166"/>
      <c r="U60" s="342">
        <f>IF(ISBLANK(M19),"",AVERAGE(M19:M34))</f>
        <v>74.5</v>
      </c>
      <c r="V60" s="342">
        <f>IF(ISBLANK(P19),"",AVERAGE(R19:R34))</f>
        <v>1022.875</v>
      </c>
      <c r="W60" s="345">
        <f>IF(ISBLANK(U19),"",AVERAGE(U19:U34))</f>
        <v>3.5687500000000001</v>
      </c>
      <c r="X60" s="100">
        <f>IF(ISBLANK(AI19),"",AVERAGE(AI19:AI34))</f>
        <v>4.375</v>
      </c>
      <c r="Y60" s="192"/>
      <c r="Z60" s="38">
        <f>IF(ISBLANK(Z19),"",SUM(Z19:Z34))</f>
        <v>10.100000000000001</v>
      </c>
      <c r="AA60" s="492">
        <f>IF(ISBLANK(Z19),"",(Z60/($Z$39/$E$34*16)))</f>
        <v>0.38370098039215689</v>
      </c>
      <c r="AB60" s="496">
        <f>IF(ISBLANK(Z19),"",Z60/$Z$38)</f>
        <v>0.90990990990990994</v>
      </c>
      <c r="AC60" s="118">
        <f>IF(ISBLANK(AP19),"",SUM(AP19:AP34))</f>
        <v>69.900000000000006</v>
      </c>
      <c r="AD60" s="492">
        <f>IF(ISBLANK(AP19),"",AC60/SUM(AS106:AS121))</f>
        <v>1.2357891716901748</v>
      </c>
      <c r="AE60" s="197">
        <f>IF(ISBLANK(AP19),"",AC60/$AP$38)</f>
        <v>0.55920000000000003</v>
      </c>
      <c r="AF60" s="166"/>
      <c r="AH60" s="713">
        <f t="array" ref="AH60">MAX(FREQUENCY(IF(AX91:AX121=1,ROW(91:121)),IF(AX91:AX121&lt;&gt;1,ROW(91:121))))</f>
        <v>4</v>
      </c>
      <c r="AI60" s="713"/>
      <c r="AJ60" s="4"/>
      <c r="AK60" s="68"/>
      <c r="AL60" s="4"/>
      <c r="AM60" s="67"/>
      <c r="AN60" s="53">
        <f t="array" ref="AN60">MAX(FREQUENCY(IF(AJ91:AJ121=1,ROW(53:83)),IF(AJ91:AJ121&lt;&gt;1,ROW(53:83))))</f>
        <v>3</v>
      </c>
      <c r="AO60" s="223"/>
      <c r="AP60" s="767" t="s">
        <v>268</v>
      </c>
      <c r="AQ60" s="767"/>
      <c r="AR60" s="6"/>
      <c r="AS60" s="801" t="s">
        <v>48</v>
      </c>
      <c r="AT60" s="802"/>
      <c r="AU60" s="96">
        <f>IF(U42=0,"",CORREL(U4:U34,S4:S34))</f>
        <v>-0.18105165175373361</v>
      </c>
      <c r="AV60" s="577">
        <f>IF(U42=0,"",ABS(AU60))</f>
        <v>0.18105165175373361</v>
      </c>
      <c r="AX60" s="361">
        <v>12</v>
      </c>
      <c r="AY60" s="23">
        <f t="shared" si="26"/>
        <v>10.9</v>
      </c>
      <c r="AZ60" s="50"/>
      <c r="BA60" s="26">
        <f t="shared" si="28"/>
        <v>4.2009615384615362</v>
      </c>
      <c r="BB60" s="7">
        <f t="shared" si="27"/>
        <v>0.59999999999999964</v>
      </c>
      <c r="BC60" s="25">
        <f>IF(ISBLANK(G15),"",(AVERAGE($AY$49:AY60)))</f>
        <v>5.45</v>
      </c>
      <c r="BD60" s="13">
        <f t="shared" si="29"/>
        <v>-0.7512419871794882</v>
      </c>
      <c r="BE60" s="6"/>
      <c r="BF60" s="556">
        <v>0.10416666666666667</v>
      </c>
      <c r="BG60" s="556">
        <v>0.625</v>
      </c>
      <c r="BH60" s="556">
        <v>0.53472222222222221</v>
      </c>
      <c r="BI60" s="556" t="s">
        <v>233</v>
      </c>
      <c r="BJ60" s="556">
        <v>0.65138888888888891</v>
      </c>
      <c r="BK60" s="18"/>
      <c r="BL60" s="78"/>
    </row>
    <row r="61" spans="1:64" ht="12.75" x14ac:dyDescent="0.2">
      <c r="A61" s="67"/>
      <c r="B61" s="707" t="s">
        <v>58</v>
      </c>
      <c r="C61" s="708"/>
      <c r="D61" s="709"/>
      <c r="E61" s="89">
        <f>IF(ISBLANK(H5),"",CORREL(G4:G34,K4:K34))</f>
        <v>-0.53374690907598143</v>
      </c>
      <c r="F61" s="576">
        <f>IF(ISBLANK(H5),"",ABS(E61))</f>
        <v>0.53374690907598143</v>
      </c>
      <c r="H61" s="198"/>
      <c r="I61" s="110"/>
      <c r="J61" s="191"/>
      <c r="K61" s="50"/>
      <c r="L61" s="50"/>
      <c r="M61" s="50"/>
      <c r="N61" s="50"/>
      <c r="O61" s="191"/>
      <c r="P61" s="50"/>
      <c r="Q61" s="50"/>
      <c r="R61" s="50"/>
      <c r="S61" s="50"/>
      <c r="T61" s="166"/>
      <c r="U61" s="343"/>
      <c r="V61" s="343"/>
      <c r="W61" s="346"/>
      <c r="X61" s="50"/>
      <c r="Y61" s="192"/>
      <c r="Z61" s="110"/>
      <c r="AA61" s="493"/>
      <c r="AB61" s="497"/>
      <c r="AC61" s="69"/>
      <c r="AD61" s="493"/>
      <c r="AE61" s="199"/>
      <c r="AF61" s="166"/>
      <c r="AK61" s="6"/>
      <c r="AM61" s="136"/>
      <c r="AO61" s="225"/>
      <c r="AP61" s="767"/>
      <c r="AQ61" s="767"/>
      <c r="AR61" s="6"/>
      <c r="AX61" s="361">
        <v>13</v>
      </c>
      <c r="AY61" s="23">
        <f t="shared" si="26"/>
        <v>6.25</v>
      </c>
      <c r="AZ61" s="50"/>
      <c r="BA61" s="26">
        <f t="shared" si="28"/>
        <v>-0.54086538461538725</v>
      </c>
      <c r="BB61" s="7">
        <f t="shared" si="27"/>
        <v>-2.3499999999999996</v>
      </c>
      <c r="BC61" s="25">
        <f>IF(ISBLANK(G16),"",(AVERAGE($AY$49:AY61)))</f>
        <v>5.5115384615384624</v>
      </c>
      <c r="BD61" s="13">
        <f t="shared" si="29"/>
        <v>-0.7350591715976349</v>
      </c>
      <c r="BE61" s="6"/>
      <c r="BF61" s="556" t="s">
        <v>440</v>
      </c>
      <c r="BG61" s="556" t="s">
        <v>441</v>
      </c>
      <c r="BH61" s="556">
        <v>0.77083333333333337</v>
      </c>
      <c r="BI61" s="556" t="s">
        <v>442</v>
      </c>
      <c r="BJ61" s="556">
        <v>0.30763888888888891</v>
      </c>
      <c r="BK61" s="18"/>
      <c r="BL61" s="78"/>
    </row>
    <row r="62" spans="1:64" ht="12.75" x14ac:dyDescent="0.2">
      <c r="A62" s="67"/>
      <c r="B62" s="707" t="s">
        <v>59</v>
      </c>
      <c r="C62" s="708"/>
      <c r="D62" s="709"/>
      <c r="E62" s="89">
        <f>IF(ISBLANK(H5),"",CORREL(I4:I34,K4:K34))</f>
        <v>-0.66956639437024135</v>
      </c>
      <c r="F62" s="576">
        <f>IF(ISBLANK(H5),"",ABS(E62))</f>
        <v>0.66956639437024135</v>
      </c>
      <c r="H62" s="729" t="s">
        <v>27</v>
      </c>
      <c r="I62" s="730"/>
      <c r="J62" s="191"/>
      <c r="K62" s="100">
        <f>IF(ISBLANK(F4),"",AVERAGE(F4:F13))</f>
        <v>1.48</v>
      </c>
      <c r="L62" s="100">
        <f>IF(ISBLANK(G4),"",AVERAGE(G4:G13))</f>
        <v>7.8</v>
      </c>
      <c r="M62" s="100">
        <f>IF(ISBLANK(H4),"",AVERAGE(H4:H13))</f>
        <v>4.5600000000000005</v>
      </c>
      <c r="N62" s="100">
        <f>IF(ISBLANK(G4),"",AVERAGE(I4:I13))</f>
        <v>6.32</v>
      </c>
      <c r="O62" s="191"/>
      <c r="P62" s="100">
        <f>IF(ISBLANK(F4),"",K62-AVERAGE(F91:F100))</f>
        <v>-1.3676923076923084</v>
      </c>
      <c r="Q62" s="100">
        <f>IF(ISBLANK(G4),"",L62-AVERAGE(G91:G100))</f>
        <v>-1.5740384615384633</v>
      </c>
      <c r="R62" s="100">
        <f>IF(ISBLANK(H4),"",M62-AVERAGE(H91:H100))</f>
        <v>-1.5508653846153848</v>
      </c>
      <c r="S62" s="100">
        <f>IF(ISBLANK(G4),"",N62-AVERAGE(I91:I100))</f>
        <v>-0.20634615384615529</v>
      </c>
      <c r="T62" s="166"/>
      <c r="U62" s="342">
        <f>IF(ISBLANK(M4),"",AVERAGE(M4:M13))</f>
        <v>73.5</v>
      </c>
      <c r="V62" s="342">
        <f>IF(ISBLANK(P4),"",AVERAGE(R4:R13))</f>
        <v>1027.95</v>
      </c>
      <c r="W62" s="345">
        <f>IF(ISBLANK(U4),"",AVERAGE(U4:U13))</f>
        <v>6.31</v>
      </c>
      <c r="X62" s="100">
        <f>IF(ISBLANK(AI4),"",AVERAGE(AI4:AI13))</f>
        <v>2.0000000000000018E-2</v>
      </c>
      <c r="Y62" s="192"/>
      <c r="Z62" s="38">
        <f>IF(ISBLANK(Z4),"",SUM(Z4:Z13))</f>
        <v>0.1</v>
      </c>
      <c r="AA62" s="492">
        <f>IF(ISBLANK(Z4),"",Z62/($Z$39/$E$34*10))</f>
        <v>6.0784313725490199E-3</v>
      </c>
      <c r="AB62" s="496">
        <f>IF(Z38=0,"",Z62/$Z$38)</f>
        <v>9.0090090090090089E-3</v>
      </c>
      <c r="AC62" s="118">
        <f>IF(ISBLANK(AP4),"",SUM(AP4:AP13))</f>
        <v>38.6</v>
      </c>
      <c r="AD62" s="492">
        <f>IF(ISBLANK(AP4),"",AC62/SUM(AS91:AS100))</f>
        <v>1.2137976029048219</v>
      </c>
      <c r="AE62" s="197">
        <f>IF(ISBLANK(AP4),"",AC62/$AP$38)</f>
        <v>0.30880000000000002</v>
      </c>
      <c r="AF62" s="222"/>
      <c r="AK62" s="6"/>
      <c r="AM62" s="136"/>
      <c r="AN62" s="180" t="s">
        <v>65</v>
      </c>
      <c r="AO62" s="226"/>
      <c r="AP62" s="767"/>
      <c r="AQ62" s="767"/>
      <c r="AR62" s="6"/>
      <c r="AS62" s="785" t="s">
        <v>4</v>
      </c>
      <c r="AT62" s="785"/>
      <c r="AU62" s="220">
        <f>IF(AQ38=0,"",AVERAGE(AV50:AV60))</f>
        <v>0.38640633555158205</v>
      </c>
      <c r="AV62" s="577">
        <f>AU62</f>
        <v>0.38640633555158205</v>
      </c>
      <c r="AX62" s="361">
        <v>14</v>
      </c>
      <c r="AY62" s="23">
        <f t="shared" si="26"/>
        <v>6.2</v>
      </c>
      <c r="AZ62" s="50"/>
      <c r="BA62" s="26">
        <f t="shared" si="28"/>
        <v>-0.6826923076923106</v>
      </c>
      <c r="BB62" s="7">
        <f t="shared" si="27"/>
        <v>-0.20000000000000018</v>
      </c>
      <c r="BC62" s="25">
        <f>IF(ISBLANK(G17),"",(AVERAGE($AY$49:AY62)))</f>
        <v>5.5607142857142859</v>
      </c>
      <c r="BD62" s="13">
        <f t="shared" si="29"/>
        <v>-0.73131868131868316</v>
      </c>
      <c r="BE62" s="6"/>
      <c r="BF62" s="556">
        <v>0.26041666666666669</v>
      </c>
      <c r="BG62" s="556">
        <v>0.55555555555555558</v>
      </c>
      <c r="BH62" s="556">
        <v>0.51180555555555551</v>
      </c>
      <c r="BI62" s="556" t="s">
        <v>233</v>
      </c>
      <c r="BJ62" s="556">
        <v>0.4548611111111111</v>
      </c>
      <c r="BK62" s="55"/>
      <c r="BL62" s="78"/>
    </row>
    <row r="63" spans="1:64" ht="12.75" customHeight="1" x14ac:dyDescent="0.2">
      <c r="A63" s="67"/>
      <c r="B63" s="707" t="s">
        <v>72</v>
      </c>
      <c r="C63" s="708"/>
      <c r="D63" s="709"/>
      <c r="E63" s="89">
        <f>IF(ISBLANK(H5),"",CORREL(R4:R34,K4:K34))</f>
        <v>-0.15560061736639189</v>
      </c>
      <c r="F63" s="576">
        <f>IF(ISBLANK(H5),"",ABS(E63))</f>
        <v>0.15560061736639189</v>
      </c>
      <c r="H63" s="729" t="s">
        <v>28</v>
      </c>
      <c r="I63" s="730"/>
      <c r="J63" s="191"/>
      <c r="K63" s="100">
        <f>IF(ISBLANK(F14),"",AVERAGE(F14:F23))</f>
        <v>2.99</v>
      </c>
      <c r="L63" s="100">
        <f>IF(ISBLANK(G14),"",AVERAGE(G14:G23))</f>
        <v>10.92</v>
      </c>
      <c r="M63" s="100">
        <f>IF(ISBLANK(H14),"",AVERAGE(H14:H23))</f>
        <v>7.3900000000000006</v>
      </c>
      <c r="N63" s="100">
        <f>IF(ISBLANK(G14),"",AVERAGE(I14:I23))</f>
        <v>7.93</v>
      </c>
      <c r="O63" s="191"/>
      <c r="P63" s="100">
        <f>IF(ISBLANK(F14),"",K63-AVERAGE(F101:F110))</f>
        <v>-0.67615384615384677</v>
      </c>
      <c r="Q63" s="100">
        <f>IF(ISBLANK(G14),"",L63-AVERAGE(G101:G110))</f>
        <v>0.56230769230769084</v>
      </c>
      <c r="R63" s="100">
        <f>IF(ISBLANK(H14),"",M63-AVERAGE(H101:H110))</f>
        <v>0.37807692307692253</v>
      </c>
      <c r="S63" s="100">
        <f>IF(ISBLANK(G14),"",N63-AVERAGE(I101:I110))</f>
        <v>1.2384615384615376</v>
      </c>
      <c r="T63" s="166"/>
      <c r="U63" s="342">
        <f>IF(ISBLANK(M14),"",AVERAGE(M14:M23))</f>
        <v>78.2</v>
      </c>
      <c r="V63" s="342">
        <f>IF(ISBLANK(P14),"",AVERAGE(R14:R23))</f>
        <v>1016.55</v>
      </c>
      <c r="W63" s="345">
        <f>IF(ISBLANK(U14),"",AVERAGE(U14:U23))</f>
        <v>4.16</v>
      </c>
      <c r="X63" s="100">
        <f>IF(ISBLANK(AI14),"",AVERAGE(AI14:AI23))</f>
        <v>3.5500000000000007</v>
      </c>
      <c r="Y63" s="192"/>
      <c r="Z63" s="38">
        <f>IF(ISBLANK(Z14),"",SUM(Z14:Z23))</f>
        <v>5.3000000000000007</v>
      </c>
      <c r="AA63" s="492">
        <f>IF(ISBLANK(Z14),"",Z63/($Z$39/$E$34*10))</f>
        <v>0.32215686274509808</v>
      </c>
      <c r="AB63" s="496">
        <f>IF(ISBLANK(Z14),"",Z63/$Z$38)</f>
        <v>0.47747747747747749</v>
      </c>
      <c r="AC63" s="118">
        <f>IF(ISBLANK(AP14),"",SUM(AP14:AP23))</f>
        <v>33.700000000000003</v>
      </c>
      <c r="AD63" s="492">
        <f>IF(ISBLANK(AP14),"",AC63/SUM(AS101:AS110))</f>
        <v>0.99803047858424832</v>
      </c>
      <c r="AE63" s="197">
        <f>IF(ISBLANK(AP14),"",AC63/$AP$38)</f>
        <v>0.26960000000000001</v>
      </c>
      <c r="AF63" s="222"/>
      <c r="AK63" s="315"/>
      <c r="AL63" s="306"/>
      <c r="AM63" s="136"/>
      <c r="AN63" s="5">
        <f>MIN(AT79,AN92)</f>
        <v>12</v>
      </c>
      <c r="AO63" s="227"/>
      <c r="AP63" s="784" t="s">
        <v>228</v>
      </c>
      <c r="AQ63" s="784"/>
      <c r="AR63" s="6"/>
      <c r="AS63" s="785" t="s">
        <v>34</v>
      </c>
      <c r="AT63" s="785"/>
      <c r="AU63" s="9">
        <f>AN96+AN101</f>
        <v>3</v>
      </c>
      <c r="AV63" s="103" t="s">
        <v>69</v>
      </c>
      <c r="AX63" s="361">
        <v>15</v>
      </c>
      <c r="AY63" s="23">
        <f t="shared" si="26"/>
        <v>8.9499999999999993</v>
      </c>
      <c r="AZ63" s="50"/>
      <c r="BA63" s="26">
        <f t="shared" si="28"/>
        <v>1.9754807692307661</v>
      </c>
      <c r="BB63" s="7">
        <f t="shared" si="27"/>
        <v>0.34999999999999964</v>
      </c>
      <c r="BC63" s="25">
        <f>IF(ISBLANK(G18),"",(AVERAGE($AY$49:AY63)))</f>
        <v>5.7866666666666671</v>
      </c>
      <c r="BD63" s="13">
        <f t="shared" si="29"/>
        <v>-0.55086538461538681</v>
      </c>
      <c r="BE63" s="6"/>
      <c r="BF63" s="556">
        <v>0.36805555555555558</v>
      </c>
      <c r="BG63" s="556">
        <v>0.65625</v>
      </c>
      <c r="BH63" s="556">
        <v>0.73958333333333337</v>
      </c>
      <c r="BI63" s="556">
        <v>0.375</v>
      </c>
      <c r="BJ63" s="556">
        <v>0.49513888888888885</v>
      </c>
      <c r="BK63" s="18"/>
      <c r="BL63" s="78"/>
    </row>
    <row r="64" spans="1:64" ht="12.75" x14ac:dyDescent="0.2">
      <c r="A64" s="67"/>
      <c r="B64" s="707" t="s">
        <v>74</v>
      </c>
      <c r="C64" s="708"/>
      <c r="D64" s="709"/>
      <c r="E64" s="89">
        <f>IF(ISBLANK(H5),"",CORREL(K4:K34,N4:N34))</f>
        <v>-0.87594543930807933</v>
      </c>
      <c r="F64" s="576">
        <f>IF(ISBLANK(H5),"",ABS(E64))</f>
        <v>0.87594543930807933</v>
      </c>
      <c r="H64" s="729" t="s">
        <v>42</v>
      </c>
      <c r="I64" s="730"/>
      <c r="J64" s="191"/>
      <c r="K64" s="100">
        <f>IF(ISBLANK(F24),"",AVERAGE(F24:F34))</f>
        <v>5.6363636363636367</v>
      </c>
      <c r="L64" s="100">
        <f>IF(ISBLANK(G24),"",AVERAGE(G24:G34))</f>
        <v>15.018181818181818</v>
      </c>
      <c r="M64" s="100">
        <f>IF(ISBLANK(H24),"",AVERAGE(H24:H34))</f>
        <v>10.154545454545454</v>
      </c>
      <c r="N64" s="100">
        <f>IF(ISBLANK(G24),"",AVERAGE(I24:I34))</f>
        <v>9.3818181818181827</v>
      </c>
      <c r="O64" s="191"/>
      <c r="P64" s="100">
        <f>IF(ISBLANK(F24),"",K64-AVERAGE(F111:F121))</f>
        <v>1.3671328671328684</v>
      </c>
      <c r="Q64" s="100">
        <f>IF(ISBLANK(G24),"",L64-AVERAGE(G111:G121))</f>
        <v>3.772027972027967</v>
      </c>
      <c r="R64" s="100">
        <f>IF(ISBLANK(H24),"",M64-AVERAGE(H111:H121))</f>
        <v>2.3968531468531449</v>
      </c>
      <c r="S64" s="100">
        <f>IF(ISBLANK(G24),"",N64-AVERAGE(I111:I121))</f>
        <v>2.4048951048951004</v>
      </c>
      <c r="T64" s="166"/>
      <c r="U64" s="342">
        <f>IF(ISBLANK(M24),"",AVERAGE(M24:M34))</f>
        <v>72.36363636363636</v>
      </c>
      <c r="V64" s="342">
        <f>IF(ISBLANK(P24),"",AVERAGE(R24:R34))</f>
        <v>1022.6818181818181</v>
      </c>
      <c r="W64" s="345">
        <f>IF(ISBLANK(U24),"",AVERAGE(U24:U34))</f>
        <v>3.6818181818181817</v>
      </c>
      <c r="X64" s="100">
        <f>IF(ISBLANK(AI24),"",AVERAGE(AI24:AI34))</f>
        <v>5.1545454545454552</v>
      </c>
      <c r="Y64" s="192"/>
      <c r="Z64" s="38">
        <f>IF(ISBLANK(Z24),"",SUM(Z24:Z34))</f>
        <v>5.7</v>
      </c>
      <c r="AA64" s="492">
        <f>IF(ISBLANK(Z24),"",Z64/($Z$39/$E$34*11))</f>
        <v>0.31497326203208553</v>
      </c>
      <c r="AB64" s="496">
        <f>IF(ISBLANK(Z24),"",Z64/$Z$38)</f>
        <v>0.51351351351351349</v>
      </c>
      <c r="AC64" s="118">
        <f>IF(ISBLANK(AP24),"",SUM(AP24:AP34))</f>
        <v>52.7</v>
      </c>
      <c r="AD64" s="492">
        <f>IF(ISBLANK(AP24),"",AC64/SUM(AS111:AS121))</f>
        <v>1.3364617978937119</v>
      </c>
      <c r="AE64" s="197">
        <f>IF(ISBLANK(AP24),"",AC64/$AP$38)</f>
        <v>0.42160000000000003</v>
      </c>
      <c r="AF64" s="50"/>
      <c r="AG64" s="739" t="s">
        <v>177</v>
      </c>
      <c r="AH64" s="739"/>
      <c r="AI64" s="739"/>
      <c r="AJ64" s="739"/>
      <c r="AK64" s="68"/>
      <c r="AL64" s="4"/>
      <c r="AM64" s="136"/>
      <c r="AN64" s="105"/>
      <c r="AO64" s="228"/>
      <c r="AP64" s="784"/>
      <c r="AQ64" s="784"/>
      <c r="AR64" s="6"/>
      <c r="AX64" s="361">
        <v>16</v>
      </c>
      <c r="AY64" s="23">
        <f t="shared" si="26"/>
        <v>6.7</v>
      </c>
      <c r="AZ64" s="50"/>
      <c r="BA64" s="26">
        <f t="shared" si="28"/>
        <v>-0.36634615384615676</v>
      </c>
      <c r="BB64" s="7">
        <f t="shared" si="27"/>
        <v>-1</v>
      </c>
      <c r="BC64" s="25">
        <f>IF(ISBLANK(G19),"",(AVERAGE($AY$49:AY64)))</f>
        <v>5.8437500000000009</v>
      </c>
      <c r="BD64" s="13">
        <f t="shared" si="29"/>
        <v>-0.53933293269230931</v>
      </c>
      <c r="BE64" s="6"/>
      <c r="BF64" s="556">
        <v>9.0277777777777776E-2</v>
      </c>
      <c r="BG64" s="556">
        <v>0.56944444444444442</v>
      </c>
      <c r="BH64" s="556">
        <v>0.59722222222222221</v>
      </c>
      <c r="BI64" s="556">
        <v>0.33333333333333331</v>
      </c>
      <c r="BJ64" s="556">
        <v>0.71180555555555547</v>
      </c>
      <c r="BK64" s="18"/>
      <c r="BL64" s="78"/>
    </row>
    <row r="65" spans="1:64" ht="12.75" customHeight="1" thickBot="1" x14ac:dyDescent="0.25">
      <c r="A65" s="67"/>
      <c r="B65" s="707" t="s">
        <v>73</v>
      </c>
      <c r="C65" s="708"/>
      <c r="D65" s="709"/>
      <c r="E65" s="89">
        <f>IF(ISBLANK(H5),"",CORREL(F4:F34,I4:I34))</f>
        <v>-0.27445041877461096</v>
      </c>
      <c r="F65" s="576">
        <f>IF(ISBLANK(H5),"",ABS(E65))</f>
        <v>0.27445041877461096</v>
      </c>
      <c r="G65" s="21"/>
      <c r="H65" s="198"/>
      <c r="I65" s="110"/>
      <c r="J65" s="191"/>
      <c r="K65" s="50"/>
      <c r="L65" s="50"/>
      <c r="M65" s="50"/>
      <c r="N65" s="50"/>
      <c r="O65" s="191"/>
      <c r="P65" s="50"/>
      <c r="Q65" s="50"/>
      <c r="R65" s="50"/>
      <c r="S65" s="50"/>
      <c r="T65" s="166"/>
      <c r="U65" s="343"/>
      <c r="V65" s="343"/>
      <c r="W65" s="346"/>
      <c r="X65" s="50"/>
      <c r="Y65" s="192"/>
      <c r="Z65" s="110"/>
      <c r="AA65" s="493"/>
      <c r="AB65" s="497"/>
      <c r="AC65" s="69"/>
      <c r="AD65" s="493"/>
      <c r="AE65" s="199"/>
      <c r="AF65" s="50"/>
      <c r="AH65" s="713">
        <f>SUM(BH91:BH121)</f>
        <v>3</v>
      </c>
      <c r="AI65" s="713"/>
      <c r="AJ65" s="93">
        <f>IF(M53=0,"",AH65/M53)</f>
        <v>9.6774193548387094E-2</v>
      </c>
      <c r="AK65" s="6"/>
      <c r="AM65" s="136"/>
      <c r="AO65" s="229"/>
      <c r="AP65" s="784"/>
      <c r="AQ65" s="784"/>
      <c r="AR65" s="6"/>
      <c r="AV65" s="332"/>
      <c r="AW65" s="332"/>
      <c r="AX65" s="361">
        <v>17</v>
      </c>
      <c r="AY65" s="23">
        <f t="shared" si="26"/>
        <v>6.1</v>
      </c>
      <c r="AZ65" s="50"/>
      <c r="BA65" s="26">
        <f t="shared" si="28"/>
        <v>-1.0581730769230804</v>
      </c>
      <c r="BB65" s="7">
        <f t="shared" si="27"/>
        <v>0.69999999999999929</v>
      </c>
      <c r="BC65" s="25">
        <f>IF(ISBLANK(G20),"",(AVERAGE($AY$49:AY65)))</f>
        <v>5.8588235294117652</v>
      </c>
      <c r="BD65" s="13">
        <f t="shared" si="29"/>
        <v>-0.56985294117647278</v>
      </c>
      <c r="BE65" s="6"/>
      <c r="BF65" s="556">
        <v>0.20833333333333334</v>
      </c>
      <c r="BG65" s="556">
        <v>0.71875</v>
      </c>
      <c r="BH65" s="556">
        <v>0.70486111111111116</v>
      </c>
      <c r="BI65" s="556">
        <v>0.32291666666666669</v>
      </c>
      <c r="BJ65" s="556">
        <v>0.6118055555555556</v>
      </c>
      <c r="BK65" s="18"/>
      <c r="BL65" s="78"/>
    </row>
    <row r="66" spans="1:64" ht="12.75" customHeight="1" thickTop="1" x14ac:dyDescent="0.2">
      <c r="A66" s="67"/>
      <c r="B66" s="707" t="s">
        <v>82</v>
      </c>
      <c r="C66" s="708"/>
      <c r="D66" s="709"/>
      <c r="E66" s="89">
        <f>IF(ISBLANK(H5),"",CORREL(G4:G34,I4:I34))</f>
        <v>0.64364236189172863</v>
      </c>
      <c r="F66" s="576">
        <f>IF(ISBLANK(H5),"",ABS(E66))</f>
        <v>0.64364236189172863</v>
      </c>
      <c r="H66" s="729" t="s">
        <v>29</v>
      </c>
      <c r="I66" s="730"/>
      <c r="J66" s="191"/>
      <c r="K66" s="100">
        <f>IF(ISBLANK(F4),"",AVERAGE(F4:F8))</f>
        <v>0.76</v>
      </c>
      <c r="L66" s="100">
        <f>IF(ISBLANK(G4),"",AVERAGE(G4:G8))</f>
        <v>5.76</v>
      </c>
      <c r="M66" s="100">
        <f>IF(ISBLANK(H4),"",AVERAGE(H4:H8))</f>
        <v>3.06</v>
      </c>
      <c r="N66" s="100">
        <f>IF(ISBLANK(G4),"",AVERAGE(I4:I8))</f>
        <v>5</v>
      </c>
      <c r="O66" s="191"/>
      <c r="P66" s="100">
        <f>IF(ISBLANK(F4),"",K66-AVERAGE(F91:F95))</f>
        <v>-1.9200000000000002</v>
      </c>
      <c r="Q66" s="100">
        <f>IF(ISBLANK(G4),"",L66-AVERAGE(G91:G95))</f>
        <v>-3.34</v>
      </c>
      <c r="R66" s="100">
        <f>IF(ISBLANK(H4),"",M66-AVERAGE(H91:H95))</f>
        <v>-2.8300000000000005</v>
      </c>
      <c r="S66" s="100">
        <f>IF(ISBLANK(G4),"",N66-AVERAGE(I91:I95))</f>
        <v>-1.4200000000000017</v>
      </c>
      <c r="T66" s="166"/>
      <c r="U66" s="342">
        <f>IF(ISBLANK(M4),"",AVERAGE(M4:M8))</f>
        <v>80.400000000000006</v>
      </c>
      <c r="V66" s="342">
        <f>IF(ISBLANK(P4),"",AVERAGE(R4:R8))</f>
        <v>1034.3</v>
      </c>
      <c r="W66" s="345">
        <f>IF(ISBLANK(U4),"",AVERAGE(U4:U8))</f>
        <v>6.0600000000000005</v>
      </c>
      <c r="X66" s="100">
        <f>IF(ISBLANK(AI4),"",AVERAGE(AI4:AI8))</f>
        <v>-4.0000000000000015E-2</v>
      </c>
      <c r="Y66" s="192"/>
      <c r="Z66" s="100">
        <f>IF(ISBLANK(Z4),"",SUM(Z4:Z8))</f>
        <v>0.1</v>
      </c>
      <c r="AA66" s="492">
        <f>IF(ISBLANK(Z4),"",Z66/($Z$39/$E$34*5))</f>
        <v>1.215686274509804E-2</v>
      </c>
      <c r="AB66" s="496">
        <f>IF(Z38=0,"",Z66/$Z$38)</f>
        <v>9.0090090090090089E-3</v>
      </c>
      <c r="AC66" s="165">
        <f>IF(ISBLANK(AP4),"",SUM(AP4:AP8))</f>
        <v>12.5</v>
      </c>
      <c r="AD66" s="492">
        <f>IF(ISBLANK(AP4),"",AC66/SUM(AS91:AS95))</f>
        <v>0.79837100447393239</v>
      </c>
      <c r="AE66" s="197">
        <f>IF(ISBLANK(AP4),"",AC66/$AP$38)</f>
        <v>0.1</v>
      </c>
      <c r="AF66" s="50"/>
      <c r="AG66" s="650"/>
      <c r="AH66" s="650"/>
      <c r="AI66" s="650"/>
      <c r="AJ66" s="650"/>
      <c r="AK66" s="316"/>
      <c r="AM66" s="136"/>
      <c r="AN66" s="190" t="s">
        <v>254</v>
      </c>
      <c r="AO66" s="229"/>
      <c r="AP66" s="784"/>
      <c r="AQ66" s="784"/>
      <c r="AR66" s="6"/>
      <c r="AT66" s="186" t="s">
        <v>86</v>
      </c>
      <c r="AU66" s="186"/>
      <c r="AV66" s="571"/>
      <c r="AW66" s="571"/>
      <c r="AX66" s="361">
        <v>18</v>
      </c>
      <c r="AY66" s="23">
        <f t="shared" si="26"/>
        <v>4.3500000000000005</v>
      </c>
      <c r="AZ66" s="50"/>
      <c r="BA66" s="26">
        <f t="shared" si="28"/>
        <v>-2.8999999999999995</v>
      </c>
      <c r="BB66" s="7">
        <f t="shared" si="27"/>
        <v>-1.0499999999999998</v>
      </c>
      <c r="BC66" s="25">
        <f>IF(ISBLANK(G21),"",(AVERAGE($AY$49:AY66)))</f>
        <v>5.7750000000000004</v>
      </c>
      <c r="BD66" s="13">
        <f t="shared" si="29"/>
        <v>-0.69930555555555762</v>
      </c>
      <c r="BE66" s="6"/>
      <c r="BF66" s="556" t="s">
        <v>355</v>
      </c>
      <c r="BG66" s="556" t="s">
        <v>443</v>
      </c>
      <c r="BH66" s="556" t="s">
        <v>444</v>
      </c>
      <c r="BI66" s="556" t="s">
        <v>445</v>
      </c>
      <c r="BJ66" s="556">
        <v>0.57222222222222219</v>
      </c>
      <c r="BK66" s="18"/>
      <c r="BL66" s="78"/>
    </row>
    <row r="67" spans="1:64" ht="12.75" x14ac:dyDescent="0.2">
      <c r="A67" s="67"/>
      <c r="B67" s="740"/>
      <c r="C67" s="741"/>
      <c r="D67" s="741"/>
      <c r="E67" s="157"/>
      <c r="F67" s="576"/>
      <c r="H67" s="729" t="s">
        <v>36</v>
      </c>
      <c r="I67" s="730"/>
      <c r="J67" s="191"/>
      <c r="K67" s="100">
        <f>IF(ISBLANK(F9),"",AVERAGE(F9:F13))</f>
        <v>2.2000000000000002</v>
      </c>
      <c r="L67" s="100">
        <f>IF(ISBLANK(G9),"",AVERAGE(G9:G13))</f>
        <v>9.84</v>
      </c>
      <c r="M67" s="100">
        <f>IF(ISBLANK(H9),"",AVERAGE(H9:H13))</f>
        <v>6.0600000000000005</v>
      </c>
      <c r="N67" s="100">
        <f>IF(ISBLANK(G9),"",AVERAGE(I9:I13))</f>
        <v>7.6400000000000006</v>
      </c>
      <c r="O67" s="191"/>
      <c r="P67" s="100">
        <f>IF(ISBLANK(F9),"",K67-AVERAGE(F96:F100))</f>
        <v>-0.81538461538461604</v>
      </c>
      <c r="Q67" s="100">
        <f>IF(ISBLANK(G9),"",L67-AVERAGE(G96:G100))</f>
        <v>0.19192307692307509</v>
      </c>
      <c r="R67" s="100">
        <f>IF(ISBLANK(H9),"",M67-AVERAGE(H96:H100))</f>
        <v>-0.27173076923077044</v>
      </c>
      <c r="S67" s="100">
        <f>IF(ISBLANK(G9),"",N67-AVERAGE(I96:I100))</f>
        <v>1.0073076923076911</v>
      </c>
      <c r="T67" s="166"/>
      <c r="U67" s="342">
        <f>IF(ISBLANK(M9),"",AVERAGE(M9:M13))</f>
        <v>66.599999999999994</v>
      </c>
      <c r="V67" s="342">
        <f>IF(ISBLANK(P9),"",AVERAGE(R9:R13))</f>
        <v>1021.6</v>
      </c>
      <c r="W67" s="345">
        <f>IF(ISBLANK(U9),"",AVERAGE(U9:U13))</f>
        <v>6.5600000000000005</v>
      </c>
      <c r="X67" s="100">
        <f>IF(ISBLANK(AI9),"",AVERAGE(AI9:AI13))</f>
        <v>8.0000000000000071E-2</v>
      </c>
      <c r="Y67" s="192"/>
      <c r="Z67" s="100">
        <f>IF(ISBLANK(Z9),"",SUM(Z9:Z13))</f>
        <v>0</v>
      </c>
      <c r="AA67" s="492">
        <f>IF(ISBLANK(Z9),"",Z67/($Z$39/$E$34*5))</f>
        <v>0</v>
      </c>
      <c r="AB67" s="496">
        <f>IF(ISBLANK(Z9),"",Z67/$Z$38)</f>
        <v>0</v>
      </c>
      <c r="AC67" s="165">
        <f>IF(ISBLANK(AP9),"",SUM(AP9:AP13))</f>
        <v>26.1</v>
      </c>
      <c r="AD67" s="492">
        <f>IF(ISBLANK(AP9),"",AC67/SUM(AS96:AS100))</f>
        <v>1.6166859590072988</v>
      </c>
      <c r="AE67" s="197">
        <f>IF(ISBLANK(AP9),"",AC67/$AP$38)</f>
        <v>0.20880000000000001</v>
      </c>
      <c r="AF67" s="50"/>
      <c r="AG67" s="780" t="s">
        <v>178</v>
      </c>
      <c r="AH67" s="780"/>
      <c r="AI67" s="780"/>
      <c r="AJ67" s="780"/>
      <c r="AK67" s="84"/>
      <c r="AM67" s="71"/>
      <c r="AN67" s="5">
        <f t="array" ref="AN67">SUM(IF(AP4:AP34&gt;0.25*AT91:AT121,1,0))</f>
        <v>16</v>
      </c>
      <c r="AO67" s="229"/>
      <c r="AP67" s="784"/>
      <c r="AQ67" s="784"/>
      <c r="AR67" s="6"/>
      <c r="AT67" s="187">
        <f>M53-AT70</f>
        <v>5</v>
      </c>
      <c r="AU67" s="187"/>
      <c r="AV67" s="571"/>
      <c r="AW67" s="571"/>
      <c r="AX67" s="361">
        <v>19</v>
      </c>
      <c r="AY67" s="23">
        <f t="shared" si="26"/>
        <v>4.75</v>
      </c>
      <c r="AZ67" s="50"/>
      <c r="BA67" s="26">
        <f t="shared" si="28"/>
        <v>-2.5634615384615387</v>
      </c>
      <c r="BB67" s="7">
        <f t="shared" si="27"/>
        <v>-0.54999999999999982</v>
      </c>
      <c r="BC67" s="25">
        <f>IF(ISBLANK(G22),"",(AVERAGE($AY$49:AY67)))</f>
        <v>5.7210526315789476</v>
      </c>
      <c r="BD67" s="13">
        <f t="shared" si="29"/>
        <v>-0.79741902834008327</v>
      </c>
      <c r="BE67" s="6"/>
      <c r="BF67" s="556">
        <v>0.2638888888888889</v>
      </c>
      <c r="BG67" s="556">
        <v>0.61458333333333337</v>
      </c>
      <c r="BH67" s="556">
        <v>0.6875</v>
      </c>
      <c r="BI67" s="556">
        <v>0.3298611111111111</v>
      </c>
      <c r="BJ67" s="556">
        <v>0.62569444444444444</v>
      </c>
      <c r="BK67" s="18"/>
      <c r="BL67" s="78"/>
    </row>
    <row r="68" spans="1:64" ht="12.75" customHeight="1" x14ac:dyDescent="0.2">
      <c r="A68" s="67"/>
      <c r="B68" s="731" t="s">
        <v>4</v>
      </c>
      <c r="C68" s="732"/>
      <c r="D68" s="732"/>
      <c r="E68" s="582">
        <f>IF(ISBLANK(H5),"",AVERAGE(F48:F66))</f>
        <v>0.42187833529204893</v>
      </c>
      <c r="F68" s="576">
        <f>IF(ISBLANK(H5),"",ABS(E68))</f>
        <v>0.42187833529204893</v>
      </c>
      <c r="H68" s="729" t="s">
        <v>30</v>
      </c>
      <c r="I68" s="730"/>
      <c r="J68" s="191"/>
      <c r="K68" s="100">
        <f>IF(ISBLANK(F14),"",AVERAGE(F14:F18))</f>
        <v>4.28</v>
      </c>
      <c r="L68" s="100">
        <f>IF(ISBLANK(G14),"",AVERAGE(G14:G18))</f>
        <v>11.88</v>
      </c>
      <c r="M68" s="100">
        <f>IF(ISBLANK(H14),"",AVERAGE(H14:H18))</f>
        <v>8.4400000000000013</v>
      </c>
      <c r="N68" s="100">
        <f>IF(ISBLANK(G14),"",AVERAGE(I14:I18))</f>
        <v>7.6</v>
      </c>
      <c r="O68" s="191"/>
      <c r="P68" s="100">
        <f>IF(ISBLANK(F14),"",K68-AVERAGE(F101:F105))</f>
        <v>0.82230769230769152</v>
      </c>
      <c r="Q68" s="100">
        <f>IF(ISBLANK(G14),"",L68-AVERAGE(G101:G105))</f>
        <v>1.7559615384615359</v>
      </c>
      <c r="R68" s="100">
        <f>IF(ISBLANK(H14),"",M68-AVERAGE(H101:H105))</f>
        <v>1.6491346153846145</v>
      </c>
      <c r="S68" s="100">
        <f>IF(ISBLANK(G14),"",N68-AVERAGE(I101:I105))</f>
        <v>0.93365384615384528</v>
      </c>
      <c r="T68" s="166"/>
      <c r="U68" s="342">
        <f>IF(ISBLANK(M14),"",AVERAGE(M14:M18))</f>
        <v>77.2</v>
      </c>
      <c r="V68" s="342">
        <f>IF(ISBLANK(P14),"",AVERAGE(R14:R18))</f>
        <v>1009.8</v>
      </c>
      <c r="W68" s="345">
        <f>IF(ISBLANK(U14),"",AVERAGE(U14:U18))</f>
        <v>5</v>
      </c>
      <c r="X68" s="100">
        <f>IF(ISBLANK(AI14),"",AVERAGE(AI14:AI18))</f>
        <v>4.4399999999999995</v>
      </c>
      <c r="Y68" s="192"/>
      <c r="Z68" s="100">
        <f>IF(ISBLANK(Z14),"",SUM(Z14:Z18))</f>
        <v>0.9</v>
      </c>
      <c r="AA68" s="492">
        <f>IF(ISBLANK(Z14),"",Z68/($Z$39/$E$34*5))</f>
        <v>0.10941176470588235</v>
      </c>
      <c r="AB68" s="496">
        <f>IF(ISBLANK(Z14),"",Z68/$Z$38)</f>
        <v>8.1081081081081072E-2</v>
      </c>
      <c r="AC68" s="165">
        <f>IF(ISBLANK(AP14),"",SUM(AP14:AP18))</f>
        <v>16.5</v>
      </c>
      <c r="AD68" s="492">
        <f>IF(ISBLANK(AP14),"",AC68/SUM(AS101:AS105))</f>
        <v>0.99182881349237739</v>
      </c>
      <c r="AE68" s="197">
        <f>IF(ISBLANK(AP14),"",AC68/$AP$38)</f>
        <v>0.13200000000000001</v>
      </c>
      <c r="AF68" s="50"/>
      <c r="AH68" s="781">
        <f>SUM(AY91:AY121)</f>
        <v>19</v>
      </c>
      <c r="AI68" s="781"/>
      <c r="AJ68" s="93">
        <f>IF(M53=0,"",AH68/M53)</f>
        <v>0.61290322580645162</v>
      </c>
      <c r="AK68" s="6"/>
      <c r="AM68" s="136"/>
      <c r="AO68" s="228"/>
      <c r="AP68" s="784"/>
      <c r="AQ68" s="784"/>
      <c r="AR68" s="6"/>
      <c r="AT68" s="4"/>
      <c r="AU68" s="4"/>
      <c r="AV68" s="571"/>
      <c r="AW68" s="571"/>
      <c r="AX68" s="361">
        <v>20</v>
      </c>
      <c r="AY68" s="23">
        <f t="shared" si="26"/>
        <v>7.25</v>
      </c>
      <c r="AZ68" s="50"/>
      <c r="BA68" s="26">
        <f t="shared" si="28"/>
        <v>-0.12692307692307692</v>
      </c>
      <c r="BB68" s="7">
        <f t="shared" si="27"/>
        <v>-0.65000000000000036</v>
      </c>
      <c r="BC68" s="25">
        <f>IF(ISBLANK(G23),"",(AVERAGE($AY$49:AY68)))</f>
        <v>5.7975000000000003</v>
      </c>
      <c r="BD68" s="13">
        <f t="shared" si="29"/>
        <v>-0.76389423076923224</v>
      </c>
      <c r="BE68" s="6"/>
      <c r="BF68" s="556">
        <v>6.9444444444444434E-2</v>
      </c>
      <c r="BG68" s="556">
        <v>0.64930555555555558</v>
      </c>
      <c r="BH68" s="556">
        <v>0.67013888888888884</v>
      </c>
      <c r="BI68" s="556">
        <v>0.33680555555555558</v>
      </c>
      <c r="BJ68" s="556">
        <v>0.74652777777777779</v>
      </c>
      <c r="BK68" s="54"/>
      <c r="BL68" s="78"/>
    </row>
    <row r="69" spans="1:64" ht="12.75" customHeight="1" x14ac:dyDescent="0.2">
      <c r="A69" s="67"/>
      <c r="B69" s="731" t="s">
        <v>34</v>
      </c>
      <c r="C69" s="732"/>
      <c r="D69" s="732"/>
      <c r="E69" s="583">
        <f>AN100+AN97</f>
        <v>8</v>
      </c>
      <c r="F69" s="85" t="s">
        <v>90</v>
      </c>
      <c r="H69" s="729" t="s">
        <v>31</v>
      </c>
      <c r="I69" s="730"/>
      <c r="J69" s="191"/>
      <c r="K69" s="100">
        <f>IF(ISBLANK(F19),"",AVERAGE(F19:F23))</f>
        <v>1.7</v>
      </c>
      <c r="L69" s="100">
        <f>IF(ISBLANK(G19),"",AVERAGE(G19:G23))</f>
        <v>9.9599999999999991</v>
      </c>
      <c r="M69" s="100">
        <f>IF(ISBLANK(H19),"",AVERAGE(H19:H23))</f>
        <v>6.3400000000000007</v>
      </c>
      <c r="N69" s="100">
        <f>IF(ISBLANK(G19),"",AVERAGE(I19:I23))</f>
        <v>8.26</v>
      </c>
      <c r="O69" s="191"/>
      <c r="P69" s="100">
        <f>IF(ISBLANK(F19),"",K69-AVERAGE(F106:F110))</f>
        <v>-2.1746153846153851</v>
      </c>
      <c r="Q69" s="100">
        <f>IF(ISBLANK(G19),"",L69-AVERAGE(G106:G110))</f>
        <v>-0.63134615384615778</v>
      </c>
      <c r="R69" s="100">
        <f>IF(ISBLANK(H19),"",M69-AVERAGE(H106:H110))</f>
        <v>-0.89298076923076852</v>
      </c>
      <c r="S69" s="100">
        <f>IF(ISBLANK(G19),"",N69-AVERAGE(I106:I110))</f>
        <v>1.5432692307692299</v>
      </c>
      <c r="T69" s="166"/>
      <c r="U69" s="342">
        <f>IF(ISBLANK(M19),"",AVERAGE(M19:M23))</f>
        <v>79.2</v>
      </c>
      <c r="V69" s="342">
        <f>IF(ISBLANK(P19),"",AVERAGE(R19:R23))</f>
        <v>1023.3</v>
      </c>
      <c r="W69" s="345">
        <f>IF(ISBLANK(U19),"",AVERAGE(U19:U23))</f>
        <v>3.3200000000000003</v>
      </c>
      <c r="X69" s="100">
        <f>IF(ISBLANK(AI19),"",AVERAGE(AI19:AI23))</f>
        <v>2.66</v>
      </c>
      <c r="Y69" s="192"/>
      <c r="Z69" s="100">
        <f>IF(ISBLANK(Z19),"",SUM(Z19:Z23))</f>
        <v>4.4000000000000004</v>
      </c>
      <c r="AA69" s="492">
        <f>IF(ISBLANK(Z19),"",Z69/($Z$39/$E$34*5))</f>
        <v>0.53490196078431373</v>
      </c>
      <c r="AB69" s="496">
        <f>IF(ISBLANK(Z19),"",Z69/$Z$38)</f>
        <v>0.3963963963963964</v>
      </c>
      <c r="AC69" s="165">
        <f>IF(ISBLANK(AP19),"",SUM(AP19:AP23))</f>
        <v>17.200000000000003</v>
      </c>
      <c r="AD69" s="492">
        <f>IF(ISBLANK(AP19),"",AC69/SUM(AS106:AS110))</f>
        <v>1.0040530749315419</v>
      </c>
      <c r="AE69" s="197">
        <f>IF(ISBLANK(AP19),"",AC69/$AP$38)</f>
        <v>0.13760000000000003</v>
      </c>
      <c r="AF69" s="50"/>
      <c r="AK69" s="6"/>
      <c r="AM69" s="136"/>
      <c r="AN69" s="183" t="s">
        <v>255</v>
      </c>
      <c r="AO69" s="228"/>
      <c r="AP69" s="767" t="s">
        <v>195</v>
      </c>
      <c r="AQ69" s="767"/>
      <c r="AR69" s="6"/>
      <c r="AT69" s="189" t="s">
        <v>85</v>
      </c>
      <c r="AU69" s="189"/>
      <c r="AV69" s="603"/>
      <c r="AW69" s="571"/>
      <c r="AX69" s="361">
        <v>21</v>
      </c>
      <c r="AY69" s="23">
        <f t="shared" si="26"/>
        <v>9.5500000000000007</v>
      </c>
      <c r="AZ69" s="50"/>
      <c r="BA69" s="26">
        <f t="shared" si="28"/>
        <v>2.1096153846153838</v>
      </c>
      <c r="BB69" s="7">
        <f t="shared" si="27"/>
        <v>-4.9999999999998934E-2</v>
      </c>
      <c r="BC69" s="25">
        <f>IF(ISBLANK(G24),"",(AVERAGE($AY$49:AY69)))</f>
        <v>5.9761904761904763</v>
      </c>
      <c r="BD69" s="13">
        <f t="shared" si="29"/>
        <v>-0.62706043956044111</v>
      </c>
      <c r="BE69" s="6"/>
      <c r="BF69" s="556">
        <v>0.24652777777777779</v>
      </c>
      <c r="BG69" s="556">
        <v>0.59027777777777779</v>
      </c>
      <c r="BH69" s="556">
        <v>0.65625</v>
      </c>
      <c r="BI69" s="556">
        <v>0.27777777777777779</v>
      </c>
      <c r="BJ69" s="556">
        <v>0.54652777777777783</v>
      </c>
      <c r="BK69" s="54"/>
      <c r="BL69" s="78"/>
    </row>
    <row r="70" spans="1:64" ht="12.75" x14ac:dyDescent="0.2">
      <c r="A70" s="67"/>
      <c r="B70" s="160"/>
      <c r="C70" s="161"/>
      <c r="D70" s="161"/>
      <c r="E70" s="158"/>
      <c r="F70" s="120"/>
      <c r="H70" s="729" t="s">
        <v>32</v>
      </c>
      <c r="I70" s="730"/>
      <c r="J70" s="191"/>
      <c r="K70" s="100">
        <f>IF(ISBLANK(F24),"",AVERAGE(F24:F28))</f>
        <v>4.74</v>
      </c>
      <c r="L70" s="100">
        <f>IF(ISBLANK(G24),"",AVERAGE(G24:G28))</f>
        <v>15.920000000000002</v>
      </c>
      <c r="M70" s="100">
        <f>IF(ISBLANK(H24),"",AVERAGE(H24:H28))</f>
        <v>10.360000000000001</v>
      </c>
      <c r="N70" s="100">
        <f>IF(ISBLANK(G24),"",AVERAGE(I24:I28))</f>
        <v>11.18</v>
      </c>
      <c r="O70" s="191"/>
      <c r="P70" s="100">
        <f>IF(ISBLANK(F24),"",K70-AVERAGE(F111:F115))</f>
        <v>0.60923076923076991</v>
      </c>
      <c r="Q70" s="100">
        <f>IF(ISBLANK(G24),"",L70-AVERAGE(G111:G115))</f>
        <v>4.9161538461538452</v>
      </c>
      <c r="R70" s="100">
        <f>IF(ISBLANK(H24),"",M70-AVERAGE(H111:H115))</f>
        <v>2.7926923076923078</v>
      </c>
      <c r="S70" s="100">
        <f>IF(ISBLANK(G24),"",N70-AVERAGE(I111:I115))</f>
        <v>4.3069230769230744</v>
      </c>
      <c r="T70" s="166"/>
      <c r="U70" s="342">
        <f>IF(ISBLANK(M24),"",AVERAGE(M24:M28))</f>
        <v>69.599999999999994</v>
      </c>
      <c r="V70" s="342">
        <f>IF(ISBLANK(P24),"",AVERAGE(R24:R28))</f>
        <v>1033.4000000000001</v>
      </c>
      <c r="W70" s="345">
        <f>IF(ISBLANK(U24),"",AVERAGE(U24:U28))</f>
        <v>2.68</v>
      </c>
      <c r="X70" s="100">
        <f>IF(ISBLANK(AI24),"",AVERAGE(AI24:AI28))</f>
        <v>4.68</v>
      </c>
      <c r="Y70" s="192"/>
      <c r="Z70" s="100">
        <f>IF(ISBLANK(Z24),"",SUM(Z24:Z28))</f>
        <v>0</v>
      </c>
      <c r="AA70" s="492">
        <f>IF(ISBLANK(Z24),"",Z70/($Z$39/$E$34*5))</f>
        <v>0</v>
      </c>
      <c r="AB70" s="496">
        <f>IF(ISBLANK(Z24),"",Z70/$Z$38)</f>
        <v>0</v>
      </c>
      <c r="AC70" s="165">
        <f>IF(ISBLANK(AP24),"",SUM(AP24:AP28))</f>
        <v>34.700000000000003</v>
      </c>
      <c r="AD70" s="492">
        <f>IF(ISBLANK(AP24),"",AC70/SUM(AS111:AS115))</f>
        <v>1.9686287467560728</v>
      </c>
      <c r="AE70" s="197">
        <f>IF(ISBLANK(AP24),"",AC70/$AP$38)</f>
        <v>0.27760000000000001</v>
      </c>
      <c r="AF70" s="50"/>
      <c r="AK70" s="6"/>
      <c r="AM70" s="149"/>
      <c r="AN70" s="5">
        <f>M53-AN67</f>
        <v>15</v>
      </c>
      <c r="AO70" s="88"/>
      <c r="AP70" s="767"/>
      <c r="AQ70" s="767"/>
      <c r="AR70" s="6"/>
      <c r="AT70" s="5">
        <f>M53-SUM(BI91:BI121)</f>
        <v>26</v>
      </c>
      <c r="AU70" s="5"/>
      <c r="AV70" s="571"/>
      <c r="AW70" s="571"/>
      <c r="AX70" s="361">
        <v>22</v>
      </c>
      <c r="AY70" s="23">
        <f t="shared" si="26"/>
        <v>11.2</v>
      </c>
      <c r="AZ70" s="50"/>
      <c r="BA70" s="26">
        <f t="shared" si="28"/>
        <v>3.6961538461538455</v>
      </c>
      <c r="BB70" s="7">
        <f t="shared" si="27"/>
        <v>0</v>
      </c>
      <c r="BC70" s="25">
        <f>IF(ISBLANK(G25),"",(AVERAGE($AY$49:AY70)))</f>
        <v>6.213636363636363</v>
      </c>
      <c r="BD70" s="13">
        <f t="shared" si="29"/>
        <v>-0.43055069930070111</v>
      </c>
      <c r="BE70" s="6"/>
      <c r="BF70" s="556">
        <v>0.13194444444444445</v>
      </c>
      <c r="BG70" s="556">
        <v>0.60069444444444442</v>
      </c>
      <c r="BH70" s="556">
        <v>0.61805555555555558</v>
      </c>
      <c r="BI70" s="556">
        <v>0.19791666666666666</v>
      </c>
      <c r="BJ70" s="556">
        <v>0.60069444444444442</v>
      </c>
      <c r="BK70" s="54"/>
      <c r="BL70" s="78"/>
    </row>
    <row r="71" spans="1:64" ht="13.5" customHeight="1" thickBot="1" x14ac:dyDescent="0.25">
      <c r="A71" s="67"/>
      <c r="B71" s="748" t="s">
        <v>7</v>
      </c>
      <c r="C71" s="749"/>
      <c r="D71" s="749"/>
      <c r="E71" s="221" t="s">
        <v>15</v>
      </c>
      <c r="F71" s="120"/>
      <c r="G71" s="575" t="s">
        <v>340</v>
      </c>
      <c r="H71" s="750" t="s">
        <v>43</v>
      </c>
      <c r="I71" s="751"/>
      <c r="J71" s="200"/>
      <c r="K71" s="201">
        <f>IF(ISBLANK(F29),"",AVERAGE(F29:F34))</f>
        <v>6.3833333333333329</v>
      </c>
      <c r="L71" s="201">
        <f>IF(ISBLANK(G29),"",AVERAGE(G29:G34))</f>
        <v>14.266666666666667</v>
      </c>
      <c r="M71" s="201">
        <f>IF(ISBLANK(H29),"",AVERAGE(H29:H34))</f>
        <v>9.9833333333333325</v>
      </c>
      <c r="N71" s="201">
        <f>IF(ISBLANK(G29),"",AVERAGE(I29:I34))</f>
        <v>7.8833333333333329</v>
      </c>
      <c r="O71" s="200"/>
      <c r="P71" s="201">
        <f>IF(ISBLANK(F29),"",K71-AVERAGE(F116:F121))</f>
        <v>1.9987179487179496</v>
      </c>
      <c r="Q71" s="201">
        <f>IF(ISBLANK(G29),"",L71-AVERAGE(G116:G121))</f>
        <v>2.8185897435897402</v>
      </c>
      <c r="R71" s="201">
        <f>IF(ISBLANK(H29),"",M71-AVERAGE(H116:H121))</f>
        <v>2.0669871794871764</v>
      </c>
      <c r="S71" s="201">
        <f>IF(ISBLANK(G29),"",N71-AVERAGE(I116:I121))</f>
        <v>0.81987179487178796</v>
      </c>
      <c r="T71" s="202"/>
      <c r="U71" s="344">
        <f>IF(ISBLANK(M29),"",AVERAGE(M29:M34))</f>
        <v>74.666666666666671</v>
      </c>
      <c r="V71" s="344">
        <f>IF(ISBLANK(P29),"",AVERAGE(R29:R34))</f>
        <v>1013.75</v>
      </c>
      <c r="W71" s="347">
        <f>IF(ISBLANK(U29),"",AVERAGE(U29:U34))</f>
        <v>4.5166666666666666</v>
      </c>
      <c r="X71" s="201">
        <f>IF(ISBLANK(AI29),"",AVERAGE(AI29:AI34))</f>
        <v>5.5500000000000007</v>
      </c>
      <c r="Y71" s="203"/>
      <c r="Z71" s="201">
        <f>IF(ISBLANK(Z29),"",SUM(Z29:Z34))</f>
        <v>5.7</v>
      </c>
      <c r="AA71" s="494">
        <f>IF(ISBLANK(Z29),"",Z71/($Z$39/$E$34*6))</f>
        <v>0.57745098039215692</v>
      </c>
      <c r="AB71" s="498">
        <f>IF(ISBLANK(Z29),"",Z71/$Z$38)</f>
        <v>0.51351351351351349</v>
      </c>
      <c r="AC71" s="255">
        <f>IF(ISBLANK(AP29),"",SUM(AP29:AP34))</f>
        <v>18</v>
      </c>
      <c r="AD71" s="494">
        <f>IF(ISBLANK(AP29),"",AC71/SUM(AS116:AS121))</f>
        <v>0.82546106227291516</v>
      </c>
      <c r="AE71" s="256">
        <f>IF(ISBLANK(AP29),"",AC71/$AP$38)</f>
        <v>0.14399999999999999</v>
      </c>
      <c r="AF71" s="50"/>
      <c r="AG71" s="739" t="s">
        <v>125</v>
      </c>
      <c r="AH71" s="739"/>
      <c r="AI71" s="739"/>
      <c r="AJ71" s="739"/>
      <c r="AK71" s="315"/>
      <c r="AL71" s="306"/>
      <c r="AM71" s="136"/>
      <c r="AO71" s="88"/>
      <c r="AP71" s="767"/>
      <c r="AQ71" s="767"/>
      <c r="AR71" s="6"/>
      <c r="AT71" s="52"/>
      <c r="AU71" s="52"/>
      <c r="AV71" s="571"/>
      <c r="AW71" s="571"/>
      <c r="AX71" s="361">
        <v>23</v>
      </c>
      <c r="AY71" s="23">
        <f t="shared" si="26"/>
        <v>10.200000000000001</v>
      </c>
      <c r="AZ71" s="50"/>
      <c r="BA71" s="26">
        <f t="shared" si="28"/>
        <v>2.6326923076923072</v>
      </c>
      <c r="BB71" s="7">
        <f t="shared" si="27"/>
        <v>-0.39999999999999858</v>
      </c>
      <c r="BC71" s="25">
        <f>IF(ISBLANK(G26),"",(AVERAGE($AY$49:AY71)))</f>
        <v>6.3869565217391298</v>
      </c>
      <c r="BD71" s="13">
        <f t="shared" si="29"/>
        <v>-0.29736622073578789</v>
      </c>
      <c r="BE71" s="6"/>
      <c r="BF71" s="556">
        <v>0.21180555555555555</v>
      </c>
      <c r="BG71" s="556">
        <v>0.63541666666666663</v>
      </c>
      <c r="BH71" s="556">
        <v>0.65972222222222221</v>
      </c>
      <c r="BI71" s="556">
        <v>0.3125</v>
      </c>
      <c r="BJ71" s="556">
        <v>0.62986111111111109</v>
      </c>
      <c r="BK71" s="54"/>
      <c r="BL71" s="78"/>
    </row>
    <row r="72" spans="1:64" ht="12.75" customHeight="1" x14ac:dyDescent="0.2">
      <c r="A72" s="67"/>
      <c r="B72" s="742" t="s">
        <v>33</v>
      </c>
      <c r="C72" s="743"/>
      <c r="D72" s="744"/>
      <c r="E72" s="89">
        <f>IF(Z38=0,"",CORREL(Z4:Z34,R4:R34))</f>
        <v>-0.21334401256460706</v>
      </c>
      <c r="F72" s="576">
        <f>IF(Z38=0,"",ABS(E72))</f>
        <v>0.21334401256460706</v>
      </c>
      <c r="G72" s="574">
        <f>IF(Z38=0,"",IF(AQ86&lt;0.5,"n/a",CORREL(Y4:Y34,R4:R34)))</f>
        <v>-0.33099495407811191</v>
      </c>
      <c r="H72" s="102"/>
      <c r="I72" s="21"/>
      <c r="J72" s="20"/>
      <c r="K72" s="21"/>
      <c r="O72" s="20"/>
      <c r="Q72" s="122"/>
      <c r="S72" s="100"/>
      <c r="T72" s="166"/>
      <c r="W72" s="24"/>
      <c r="X72" s="24"/>
      <c r="Y72" s="192"/>
      <c r="Z72" s="24"/>
      <c r="AA72" s="24"/>
      <c r="AB72" s="24"/>
      <c r="AC72" s="24"/>
      <c r="AF72" s="6"/>
      <c r="AH72" s="713">
        <f t="array" ref="AH72">MAX(FREQUENCY(IF(BH91:BH121=1,ROW(91:121)),IF(BH91:BH121&lt;&gt;1,ROW(91:121))))</f>
        <v>2</v>
      </c>
      <c r="AI72" s="713"/>
      <c r="AJ72" s="4"/>
      <c r="AK72" s="68"/>
      <c r="AL72" s="474"/>
      <c r="AM72" s="136"/>
      <c r="AN72" s="185" t="s">
        <v>123</v>
      </c>
      <c r="AO72" s="409"/>
      <c r="AP72" s="767"/>
      <c r="AQ72" s="767"/>
      <c r="AR72" s="6"/>
      <c r="AT72" s="307" t="s">
        <v>87</v>
      </c>
      <c r="AU72" s="307"/>
      <c r="AV72" s="571"/>
      <c r="AW72" s="571"/>
      <c r="AX72" s="361">
        <v>24</v>
      </c>
      <c r="AY72" s="23">
        <f t="shared" si="26"/>
        <v>10.3</v>
      </c>
      <c r="AZ72" s="50"/>
      <c r="BA72" s="26">
        <f t="shared" si="28"/>
        <v>2.6692307692307682</v>
      </c>
      <c r="BB72" s="7">
        <f t="shared" si="27"/>
        <v>0.5</v>
      </c>
      <c r="BC72" s="25">
        <f>IF(ISBLANK(G27),"",(AVERAGE($AY$49:AY72)))</f>
        <v>6.55</v>
      </c>
      <c r="BD72" s="13">
        <f t="shared" si="29"/>
        <v>-0.17375801282051428</v>
      </c>
      <c r="BE72" s="6"/>
      <c r="BF72" s="556">
        <v>0.28472222222222221</v>
      </c>
      <c r="BG72" s="556">
        <v>0.58680555555555558</v>
      </c>
      <c r="BH72" s="556">
        <v>0.65625</v>
      </c>
      <c r="BI72" s="556">
        <v>0.3611111111111111</v>
      </c>
      <c r="BJ72" s="556">
        <v>0.51180555555555551</v>
      </c>
      <c r="BK72" s="54"/>
      <c r="BL72" s="78"/>
    </row>
    <row r="73" spans="1:64" ht="12.75" customHeight="1" x14ac:dyDescent="0.2">
      <c r="A73" s="67"/>
      <c r="B73" s="742" t="s">
        <v>61</v>
      </c>
      <c r="C73" s="743"/>
      <c r="D73" s="744"/>
      <c r="E73" s="89">
        <f>IF(Z38=0,"",CORREL(Z4:Z34,H4:H34))</f>
        <v>0.18550398569944201</v>
      </c>
      <c r="F73" s="576">
        <f>IF(Z38=0,"",ABS(E73))</f>
        <v>0.18550398569944201</v>
      </c>
      <c r="H73" s="102"/>
      <c r="J73" s="20"/>
      <c r="K73" s="231"/>
      <c r="L73" s="4" t="s">
        <v>352</v>
      </c>
      <c r="M73" s="4" t="s">
        <v>10</v>
      </c>
      <c r="N73" s="122"/>
      <c r="O73" s="20"/>
      <c r="Q73" s="753" t="s">
        <v>103</v>
      </c>
      <c r="R73" s="754"/>
      <c r="S73" s="754"/>
      <c r="T73" s="754"/>
      <c r="U73" s="754"/>
      <c r="V73" s="754"/>
      <c r="W73" s="754"/>
      <c r="X73" s="754"/>
      <c r="Y73" s="754"/>
      <c r="Z73" s="754"/>
      <c r="AA73" s="754"/>
      <c r="AB73" s="755"/>
      <c r="AC73" s="303"/>
      <c r="AF73" s="6"/>
      <c r="AG73" s="650"/>
      <c r="AH73" s="650"/>
      <c r="AI73" s="650"/>
      <c r="AJ73" s="650"/>
      <c r="AK73" s="6"/>
      <c r="AL73" s="477"/>
      <c r="AM73" s="136"/>
      <c r="AN73" s="138">
        <f>IF(M53=0,"",AN67/M53)</f>
        <v>0.5161290322580645</v>
      </c>
      <c r="AO73" s="409"/>
      <c r="AP73" s="783" t="s">
        <v>269</v>
      </c>
      <c r="AQ73" s="661"/>
      <c r="AR73" s="6"/>
      <c r="AT73" s="587">
        <f>IF(AT67=0,"",AT67/M53)</f>
        <v>0.16129032258064516</v>
      </c>
      <c r="AU73" s="587"/>
      <c r="AV73" s="571"/>
      <c r="AW73" s="571"/>
      <c r="AX73" s="361">
        <v>25</v>
      </c>
      <c r="AY73" s="23">
        <f t="shared" si="26"/>
        <v>10.4</v>
      </c>
      <c r="AZ73" s="50"/>
      <c r="BA73" s="26">
        <f t="shared" si="28"/>
        <v>2.7057692307692287</v>
      </c>
      <c r="BB73" s="7">
        <f t="shared" si="27"/>
        <v>-0.19999999999999929</v>
      </c>
      <c r="BC73" s="25">
        <f>IF(ISBLANK(G28),"",(AVERAGE($AY$49:AY73)))</f>
        <v>6.7039999999999997</v>
      </c>
      <c r="BD73" s="13">
        <f t="shared" si="29"/>
        <v>-5.8576923076923748E-2</v>
      </c>
      <c r="BE73" s="6"/>
      <c r="BF73" s="556">
        <v>0.24305555555555555</v>
      </c>
      <c r="BG73" s="556">
        <v>0.67708333333333337</v>
      </c>
      <c r="BH73" s="556">
        <v>0.67361111111111116</v>
      </c>
      <c r="BI73" s="556">
        <v>0.30555555555555552</v>
      </c>
      <c r="BJ73" s="556">
        <v>0.72083333333333333</v>
      </c>
      <c r="BK73" s="54"/>
      <c r="BL73" s="78"/>
    </row>
    <row r="74" spans="1:64" ht="12.75" customHeight="1" x14ac:dyDescent="0.2">
      <c r="A74" s="67"/>
      <c r="B74" s="742" t="s">
        <v>60</v>
      </c>
      <c r="C74" s="743"/>
      <c r="D74" s="744"/>
      <c r="E74" s="89">
        <f>IF(Z38=0,"",CORREL(Z4:Z34,G4:G34))</f>
        <v>3.0469638409914162E-2</v>
      </c>
      <c r="F74" s="576">
        <f>IF(Z38=0,"",ABS(E74))</f>
        <v>3.0469638409914162E-2</v>
      </c>
      <c r="G74" s="236"/>
      <c r="H74" s="747" t="s">
        <v>2</v>
      </c>
      <c r="I74" s="237" t="s">
        <v>203</v>
      </c>
      <c r="J74" s="245"/>
      <c r="K74" s="106">
        <f>F39</f>
        <v>3.6</v>
      </c>
      <c r="L74" s="108" t="str">
        <f>IF(ISBLANK(F4),"",(IF(M54=0,"n/a",(E34*K74-M53*F38)/M54)))</f>
        <v>n/a</v>
      </c>
      <c r="M74" s="106" t="str">
        <f>IF(ISBLANK(F4),"",IF(M54&gt;0,L74-F39,"n/a"))</f>
        <v>n/a</v>
      </c>
      <c r="N74" s="246" t="s">
        <v>142</v>
      </c>
      <c r="O74" s="67"/>
      <c r="Q74" s="733" t="s">
        <v>446</v>
      </c>
      <c r="R74" s="734"/>
      <c r="S74" s="734"/>
      <c r="T74" s="734"/>
      <c r="U74" s="734"/>
      <c r="V74" s="734"/>
      <c r="W74" s="734"/>
      <c r="X74" s="734"/>
      <c r="Y74" s="734"/>
      <c r="Z74" s="734"/>
      <c r="AA74" s="734"/>
      <c r="AB74" s="735"/>
      <c r="AC74" s="437"/>
      <c r="AF74" s="6"/>
      <c r="AG74" s="780" t="s">
        <v>130</v>
      </c>
      <c r="AH74" s="780"/>
      <c r="AI74" s="780"/>
      <c r="AJ74" s="780"/>
      <c r="AK74" s="316"/>
      <c r="AL74" s="477"/>
      <c r="AM74" s="136"/>
      <c r="AO74" s="88"/>
      <c r="AP74" s="661"/>
      <c r="AQ74" s="661"/>
      <c r="AR74" s="6"/>
      <c r="AV74" s="571"/>
      <c r="AW74" s="571"/>
      <c r="AX74" s="361">
        <v>26</v>
      </c>
      <c r="AY74" s="23">
        <f t="shared" si="26"/>
        <v>9.25</v>
      </c>
      <c r="AZ74" s="50"/>
      <c r="BA74" s="26">
        <f t="shared" si="28"/>
        <v>1.4923076923076906</v>
      </c>
      <c r="BB74" s="7">
        <f t="shared" si="27"/>
        <v>0.65000000000000036</v>
      </c>
      <c r="BC74" s="25">
        <f>IF(ISBLANK(G29),"",(AVERAGE($AY$49:AY74)))</f>
        <v>6.8019230769230763</v>
      </c>
      <c r="BD74" s="13">
        <f t="shared" si="29"/>
        <v>1.0724852070982394E-3</v>
      </c>
      <c r="BE74" s="6"/>
      <c r="BF74" s="556">
        <v>0.23263888888888887</v>
      </c>
      <c r="BG74" s="556">
        <v>0.53819444444444442</v>
      </c>
      <c r="BH74" s="556">
        <v>0.62152777777777779</v>
      </c>
      <c r="BI74" s="556">
        <v>0.28472222222222221</v>
      </c>
      <c r="BJ74" s="556">
        <v>0.81458333333333333</v>
      </c>
      <c r="BK74" s="54"/>
      <c r="BL74" s="78"/>
    </row>
    <row r="75" spans="1:64" ht="12.75" customHeight="1" x14ac:dyDescent="0.2">
      <c r="A75" s="67"/>
      <c r="B75" s="742" t="s">
        <v>64</v>
      </c>
      <c r="C75" s="743"/>
      <c r="D75" s="744"/>
      <c r="E75" s="89">
        <f>IF(Z38=0,"",CORREL(Z4:Z34,I4:I34))</f>
        <v>-0.1795781857293979</v>
      </c>
      <c r="F75" s="576">
        <f>IF(Z38=0,"",ABS(E75))</f>
        <v>0.1795781857293979</v>
      </c>
      <c r="G75" s="236"/>
      <c r="H75" s="746"/>
      <c r="I75" s="238" t="s">
        <v>149</v>
      </c>
      <c r="J75" s="191"/>
      <c r="K75" s="249">
        <v>2</v>
      </c>
      <c r="L75" s="91">
        <f>IF(ISBLANK(F4),"",(M54*K75+M53*F38)/E34)</f>
        <v>3.4419354838709677</v>
      </c>
      <c r="M75" s="232">
        <f>IF(ISBLANK(F4),"",L75-F39)</f>
        <v>-0.15806451612903238</v>
      </c>
      <c r="N75" s="248" t="s">
        <v>148</v>
      </c>
      <c r="O75" s="67"/>
      <c r="Q75" s="814" t="s">
        <v>462</v>
      </c>
      <c r="R75" s="815"/>
      <c r="S75" s="815"/>
      <c r="T75" s="815"/>
      <c r="U75" s="815"/>
      <c r="V75" s="815"/>
      <c r="W75" s="815"/>
      <c r="X75" s="815"/>
      <c r="Y75" s="815"/>
      <c r="Z75" s="815"/>
      <c r="AA75" s="815"/>
      <c r="AB75" s="816"/>
      <c r="AC75" s="437"/>
      <c r="AF75" s="6"/>
      <c r="AH75" s="781">
        <f t="array" ref="AH75">MAX(FREQUENCY(IF(AY91:AY121=1,ROW(91:121)),IF(AY91:AY121&lt;&gt;1,ROW(91:121))))</f>
        <v>9</v>
      </c>
      <c r="AI75" s="781"/>
      <c r="AJ75" s="5"/>
      <c r="AK75" s="84"/>
      <c r="AL75" s="5"/>
      <c r="AM75" s="136"/>
      <c r="AN75" s="184" t="s">
        <v>293</v>
      </c>
      <c r="AO75" s="88"/>
      <c r="AP75" s="661"/>
      <c r="AQ75" s="661"/>
      <c r="AR75" s="6"/>
      <c r="AT75" s="589" t="s">
        <v>84</v>
      </c>
      <c r="AU75" s="589"/>
      <c r="AV75" s="571"/>
      <c r="AW75" s="571"/>
      <c r="AX75" s="361">
        <v>27</v>
      </c>
      <c r="AY75" s="23">
        <f t="shared" si="26"/>
        <v>10.1</v>
      </c>
      <c r="AZ75" s="50"/>
      <c r="BA75" s="26">
        <f t="shared" si="28"/>
        <v>2.278846153846152</v>
      </c>
      <c r="BB75" s="7">
        <f t="shared" si="27"/>
        <v>0.69999999999999929</v>
      </c>
      <c r="BC75" s="25">
        <f>IF(ISBLANK(G30),"",(AVERAGE($AY$49:AY75)))</f>
        <v>6.924074074074074</v>
      </c>
      <c r="BD75" s="13">
        <f t="shared" si="29"/>
        <v>8.5434472934470707E-2</v>
      </c>
      <c r="BE75" s="6"/>
      <c r="BF75" s="556">
        <v>0.22916666666666666</v>
      </c>
      <c r="BG75" s="556">
        <v>0.63194444444444442</v>
      </c>
      <c r="BH75" s="556">
        <v>0.6875</v>
      </c>
      <c r="BI75" s="556">
        <v>0.27083333333333331</v>
      </c>
      <c r="BJ75" s="556">
        <v>0.26319444444444445</v>
      </c>
      <c r="BK75" s="54"/>
      <c r="BL75" s="78"/>
    </row>
    <row r="76" spans="1:64" ht="12.75" customHeight="1" x14ac:dyDescent="0.2">
      <c r="A76" s="67"/>
      <c r="B76" s="742" t="s">
        <v>62</v>
      </c>
      <c r="C76" s="743"/>
      <c r="D76" s="744"/>
      <c r="E76" s="89">
        <f>IF(Z38=0,"",CORREL(Z4:Z34,M4:M34))</f>
        <v>0.2851940812709946</v>
      </c>
      <c r="F76" s="576">
        <f>IF(Z38=0,"",ABS(E76))</f>
        <v>0.2851940812709946</v>
      </c>
      <c r="G76" s="236"/>
      <c r="H76" s="745" t="s">
        <v>3</v>
      </c>
      <c r="I76" s="237" t="s">
        <v>203</v>
      </c>
      <c r="J76" s="191"/>
      <c r="K76" s="90">
        <f>G39</f>
        <v>10.4</v>
      </c>
      <c r="L76" s="38" t="str">
        <f>IF(ISBLANK(G4),"",IF(M54&gt;0,(E34*K76-G38*M53)/M54,"n/a"))</f>
        <v>n/a</v>
      </c>
      <c r="M76" s="90" t="str">
        <f>IF(ISBLANK(G4),"",IF(M54&gt;0,L76-G39,"n/a"))</f>
        <v>n/a</v>
      </c>
      <c r="N76" s="247" t="s">
        <v>142</v>
      </c>
      <c r="O76" s="67"/>
      <c r="Q76" s="814"/>
      <c r="R76" s="815"/>
      <c r="S76" s="815"/>
      <c r="T76" s="815"/>
      <c r="U76" s="815"/>
      <c r="V76" s="815"/>
      <c r="W76" s="815"/>
      <c r="X76" s="815"/>
      <c r="Y76" s="815"/>
      <c r="Z76" s="815"/>
      <c r="AA76" s="815"/>
      <c r="AB76" s="816"/>
      <c r="AC76" s="437"/>
      <c r="AF76" s="6"/>
      <c r="AK76" s="6"/>
      <c r="AM76" s="136"/>
      <c r="AN76" s="5">
        <f>COUNTIF(AP4:AP34, "0")</f>
        <v>3</v>
      </c>
      <c r="AO76" s="88"/>
      <c r="AP76" s="782" t="s">
        <v>272</v>
      </c>
      <c r="AQ76" s="782"/>
      <c r="AR76" s="6"/>
      <c r="AT76" s="188">
        <f>AN94</f>
        <v>3</v>
      </c>
      <c r="AU76" s="188"/>
      <c r="AV76" s="571"/>
      <c r="AW76" s="571"/>
      <c r="AX76" s="361">
        <v>28</v>
      </c>
      <c r="AY76" s="23">
        <f t="shared" si="26"/>
        <v>9.4</v>
      </c>
      <c r="AZ76" s="50"/>
      <c r="BA76" s="26">
        <f t="shared" si="28"/>
        <v>1.5153846153846131</v>
      </c>
      <c r="BB76" s="7">
        <f t="shared" si="27"/>
        <v>9.9999999999999645E-2</v>
      </c>
      <c r="BC76" s="25">
        <f>IF(ISBLANK(G31),"",(AVERAGE($AY$49:AY76)))</f>
        <v>7.0125000000000002</v>
      </c>
      <c r="BD76" s="13">
        <f t="shared" si="29"/>
        <v>0.13650412087912045</v>
      </c>
      <c r="BE76" s="6"/>
      <c r="BF76" s="556">
        <v>2.7777777777777776E-2</v>
      </c>
      <c r="BG76" s="556">
        <v>0.55902777777777779</v>
      </c>
      <c r="BH76" s="556">
        <v>0.56944444444444442</v>
      </c>
      <c r="BI76" s="556">
        <v>0.28472222222222221</v>
      </c>
      <c r="BJ76" s="556">
        <v>0.76041666666666663</v>
      </c>
      <c r="BK76" s="54"/>
      <c r="BL76" s="78"/>
    </row>
    <row r="77" spans="1:64" ht="12.75" customHeight="1" x14ac:dyDescent="0.2">
      <c r="A77" s="67"/>
      <c r="B77" s="742" t="s">
        <v>95</v>
      </c>
      <c r="C77" s="743"/>
      <c r="D77" s="744"/>
      <c r="E77" s="89">
        <f>IF(Z38=0,"",CORREL(Z4:Z34,L4:L34))</f>
        <v>0.17409572888816499</v>
      </c>
      <c r="F77" s="576">
        <f>IF(Z38=0,"",ABS(E77))</f>
        <v>0.17409572888816499</v>
      </c>
      <c r="G77" s="236"/>
      <c r="H77" s="746"/>
      <c r="I77" s="238" t="s">
        <v>149</v>
      </c>
      <c r="J77" s="191"/>
      <c r="K77" s="249">
        <v>10</v>
      </c>
      <c r="L77" s="91">
        <f>IF(ISBLANK(G4),"",(M54*K77+M53*G38)/E34)</f>
        <v>11.36774193548387</v>
      </c>
      <c r="M77" s="233">
        <f>IF(ISBLANK(G4),"",L77-G39)</f>
        <v>0.96774193548387011</v>
      </c>
      <c r="N77" s="248" t="s">
        <v>148</v>
      </c>
      <c r="O77" s="67"/>
      <c r="Q77" s="790"/>
      <c r="R77" s="791"/>
      <c r="S77" s="791"/>
      <c r="T77" s="791"/>
      <c r="U77" s="791"/>
      <c r="V77" s="791"/>
      <c r="W77" s="791"/>
      <c r="X77" s="791"/>
      <c r="Y77" s="791"/>
      <c r="Z77" s="791"/>
      <c r="AA77" s="791"/>
      <c r="AB77" s="792"/>
      <c r="AC77" s="437"/>
      <c r="AF77" s="6"/>
      <c r="AK77" s="6"/>
      <c r="AM77" s="136"/>
      <c r="AN77" s="105"/>
      <c r="AO77" s="410"/>
      <c r="AP77" s="782"/>
      <c r="AQ77" s="782"/>
      <c r="AR77" s="6"/>
      <c r="AT77" s="21"/>
      <c r="AU77" s="21"/>
      <c r="AV77" s="571"/>
      <c r="AW77" s="571"/>
      <c r="AX77" s="361">
        <v>29</v>
      </c>
      <c r="AY77" s="23">
        <f t="shared" si="26"/>
        <v>8.9499999999999993</v>
      </c>
      <c r="AZ77" s="50"/>
      <c r="BA77" s="26">
        <f t="shared" si="28"/>
        <v>1.0019230769230743</v>
      </c>
      <c r="BB77" s="7">
        <f t="shared" si="27"/>
        <v>-5.0000000000000711E-2</v>
      </c>
      <c r="BC77" s="25">
        <f>IF(ISBLANK(G32),"",(AVERAGE($AY$49:AY77)))</f>
        <v>7.0793103448275856</v>
      </c>
      <c r="BD77" s="13">
        <f t="shared" si="29"/>
        <v>0.16634615384615303</v>
      </c>
      <c r="BE77" s="6"/>
      <c r="BF77" s="556">
        <v>0.23611111111111113</v>
      </c>
      <c r="BG77" s="556">
        <v>0.70138888888888884</v>
      </c>
      <c r="BH77" s="556">
        <v>0.69791666666666663</v>
      </c>
      <c r="BI77" s="556">
        <v>0.28472222222222221</v>
      </c>
      <c r="BJ77" s="556">
        <v>0.54027777777777775</v>
      </c>
      <c r="BK77" s="54"/>
      <c r="BL77" s="78"/>
    </row>
    <row r="78" spans="1:64" ht="12.75" customHeight="1" x14ac:dyDescent="0.2">
      <c r="A78" s="67"/>
      <c r="B78" s="742" t="s">
        <v>63</v>
      </c>
      <c r="C78" s="743"/>
      <c r="D78" s="744"/>
      <c r="E78" s="89">
        <f>IF(Z38=0,"",CORREL(Z4:Z34,N4:N34))</f>
        <v>-9.5827430378172707E-2</v>
      </c>
      <c r="F78" s="576">
        <f>IF(Z38=0,"",ABS(E78))</f>
        <v>9.5827430378172707E-2</v>
      </c>
      <c r="G78" s="236"/>
      <c r="H78" s="745" t="s">
        <v>4</v>
      </c>
      <c r="I78" s="237" t="s">
        <v>203</v>
      </c>
      <c r="J78" s="191"/>
      <c r="K78" s="90">
        <f>AY81</f>
        <v>7</v>
      </c>
      <c r="L78" s="38" t="str">
        <f>IF(ISBLANK(F4),"",IF(M54&gt;0,(E34*K78-AY80*M53)/M54,"n/a"))</f>
        <v>n/a</v>
      </c>
      <c r="M78" s="90" t="str">
        <f>IF(ISBLANK(F4),"",IF(M54&gt;0,L78-AY81,"n/a"))</f>
        <v>n/a</v>
      </c>
      <c r="N78" s="247" t="s">
        <v>142</v>
      </c>
      <c r="O78" s="67"/>
      <c r="Q78" s="787"/>
      <c r="R78" s="788"/>
      <c r="S78" s="788"/>
      <c r="T78" s="788"/>
      <c r="U78" s="788"/>
      <c r="V78" s="788"/>
      <c r="W78" s="788"/>
      <c r="X78" s="788"/>
      <c r="Y78" s="788"/>
      <c r="Z78" s="788"/>
      <c r="AA78" s="788"/>
      <c r="AB78" s="789"/>
      <c r="AC78" s="437"/>
      <c r="AF78" s="6"/>
      <c r="AG78" s="804" t="s">
        <v>273</v>
      </c>
      <c r="AH78" s="804"/>
      <c r="AI78" s="804"/>
      <c r="AJ78" s="804"/>
      <c r="AK78" s="317"/>
      <c r="AL78" s="308"/>
      <c r="AM78" s="136"/>
      <c r="AN78" s="230" t="s">
        <v>175</v>
      </c>
      <c r="AO78" s="88"/>
      <c r="AP78" s="782"/>
      <c r="AQ78" s="782"/>
      <c r="AR78" s="6"/>
      <c r="AT78" s="189" t="s">
        <v>83</v>
      </c>
      <c r="AU78" s="189"/>
      <c r="AV78" s="603"/>
      <c r="AW78" s="604"/>
      <c r="AX78" s="361">
        <v>30</v>
      </c>
      <c r="AY78" s="23">
        <f t="shared" si="26"/>
        <v>10.7</v>
      </c>
      <c r="AZ78" s="50"/>
      <c r="BA78" s="26">
        <f t="shared" si="28"/>
        <v>2.6884615384615351</v>
      </c>
      <c r="BB78" s="389">
        <f t="shared" si="27"/>
        <v>0.19999999999999929</v>
      </c>
      <c r="BC78" s="38">
        <f>IF(ISBLANK(G33),"",(AVERAGE($AY$49:AY78)))</f>
        <v>7.1999999999999993</v>
      </c>
      <c r="BD78" s="13">
        <f t="shared" si="29"/>
        <v>0.2504166666666654</v>
      </c>
      <c r="BE78" s="6"/>
      <c r="BF78" s="556">
        <v>0.25694444444444448</v>
      </c>
      <c r="BG78" s="556">
        <v>0.4548611111111111</v>
      </c>
      <c r="BH78" s="556">
        <v>0.4375</v>
      </c>
      <c r="BI78" s="556" t="s">
        <v>233</v>
      </c>
      <c r="BJ78" s="556">
        <v>0.6479166666666667</v>
      </c>
      <c r="BK78" s="54"/>
      <c r="BL78" s="78"/>
    </row>
    <row r="79" spans="1:64" ht="12.75" customHeight="1" x14ac:dyDescent="0.2">
      <c r="A79" s="67"/>
      <c r="B79" s="742" t="s">
        <v>76</v>
      </c>
      <c r="C79" s="743"/>
      <c r="D79" s="744"/>
      <c r="E79" s="89">
        <f>IF(Z38=0,"",CORREL(Z4:Z34,F4:F34))</f>
        <v>0.23279587693468606</v>
      </c>
      <c r="F79" s="576">
        <f>IF(Z38=0,"",ABS(E79))</f>
        <v>0.23279587693468606</v>
      </c>
      <c r="G79" s="236"/>
      <c r="H79" s="746"/>
      <c r="I79" s="238" t="s">
        <v>149</v>
      </c>
      <c r="J79" s="191"/>
      <c r="K79" s="250">
        <f>AVERAGE(K75,K77)</f>
        <v>6</v>
      </c>
      <c r="L79" s="38">
        <f>IF(ISBLANK(F4),"",(M54*K79+M53*AY80)/E34)</f>
        <v>7.4048387096774189</v>
      </c>
      <c r="M79" s="234">
        <f>IF(ISBLANK(F4),"",L79-AY81)</f>
        <v>0.40483870967741886</v>
      </c>
      <c r="N79" s="248" t="s">
        <v>148</v>
      </c>
      <c r="O79" s="67"/>
      <c r="Q79" s="811"/>
      <c r="R79" s="812"/>
      <c r="S79" s="812"/>
      <c r="T79" s="812"/>
      <c r="U79" s="812"/>
      <c r="V79" s="812"/>
      <c r="W79" s="812"/>
      <c r="X79" s="812"/>
      <c r="Y79" s="812"/>
      <c r="Z79" s="812"/>
      <c r="AA79" s="812"/>
      <c r="AB79" s="813"/>
      <c r="AC79" s="437"/>
      <c r="AF79" s="6"/>
      <c r="AH79" s="778">
        <v>-5.3</v>
      </c>
      <c r="AI79" s="778"/>
      <c r="AJ79" s="52" t="s">
        <v>418</v>
      </c>
      <c r="AK79" s="318"/>
      <c r="AL79" s="309"/>
      <c r="AM79" s="136"/>
      <c r="AN79" s="4">
        <f t="array" ref="AN79">MAX(FREQUENCY(IF(AV91:AV121=1,ROW(91:121)),IF(AV91:AV121&lt;&gt;1,ROW(91:121))))</f>
        <v>3</v>
      </c>
      <c r="AO79" s="88"/>
      <c r="AP79" s="803" t="s">
        <v>278</v>
      </c>
      <c r="AQ79" s="661"/>
      <c r="AR79" s="6"/>
      <c r="AT79" s="5">
        <f>AN95</f>
        <v>12</v>
      </c>
      <c r="AU79" s="5"/>
      <c r="AV79" s="5"/>
      <c r="AX79" s="386">
        <v>31</v>
      </c>
      <c r="AY79" s="387">
        <f t="shared" si="26"/>
        <v>13.55</v>
      </c>
      <c r="AZ79" s="388"/>
      <c r="BA79" s="101">
        <f t="shared" si="28"/>
        <v>5.4749999999999996</v>
      </c>
      <c r="BB79" s="239">
        <f t="shared" si="27"/>
        <v>0.45000000000000107</v>
      </c>
      <c r="BC79" s="91">
        <f>IF(ISBLANK(G34),"",(AVERAGE($AY$49:AY79)))</f>
        <v>7.4048387096774189</v>
      </c>
      <c r="BD79" s="241">
        <f t="shared" si="29"/>
        <v>0.41895161290322469</v>
      </c>
      <c r="BE79" s="243"/>
      <c r="BF79" s="560">
        <v>0.15972222222222224</v>
      </c>
      <c r="BG79" s="560">
        <v>0.58333333333333337</v>
      </c>
      <c r="BH79" s="560">
        <v>0.59375</v>
      </c>
      <c r="BI79" s="560">
        <v>0.32291666666666669</v>
      </c>
      <c r="BJ79" s="560">
        <v>0.55555555555555558</v>
      </c>
      <c r="BK79" s="58"/>
      <c r="BL79" s="78"/>
    </row>
    <row r="80" spans="1:64" ht="12.75" customHeight="1" x14ac:dyDescent="0.2">
      <c r="A80" s="67"/>
      <c r="B80" s="742" t="s">
        <v>75</v>
      </c>
      <c r="C80" s="743"/>
      <c r="D80" s="744"/>
      <c r="E80" s="89">
        <f>IF(Z38=0,"",CORREL(Z4:Z34,K4:K34))</f>
        <v>0.17694490353324949</v>
      </c>
      <c r="F80" s="576">
        <f>IF(Z38=0,"",ABS(E80))</f>
        <v>0.17694490353324949</v>
      </c>
      <c r="G80" s="236"/>
      <c r="H80" s="745" t="s">
        <v>5</v>
      </c>
      <c r="I80" s="237" t="s">
        <v>203</v>
      </c>
      <c r="J80" s="191"/>
      <c r="K80" s="106">
        <f>K76-K74</f>
        <v>6.8000000000000007</v>
      </c>
      <c r="L80" s="108" t="str">
        <f>IF(ISBLANK(F4),"",IF(M54&gt;0,(E34*K80-I38*M53)/M54,"n/a"))</f>
        <v>n/a</v>
      </c>
      <c r="M80" s="90" t="str">
        <f>IF(ISBLANK(F4),"",IF(M54&gt;0,L80-I39,"n/a"))</f>
        <v>n/a</v>
      </c>
      <c r="N80" s="247" t="s">
        <v>142</v>
      </c>
      <c r="O80" s="67"/>
      <c r="Q80" s="805"/>
      <c r="R80" s="806"/>
      <c r="S80" s="806"/>
      <c r="T80" s="806"/>
      <c r="U80" s="806"/>
      <c r="V80" s="806"/>
      <c r="W80" s="806"/>
      <c r="X80" s="806"/>
      <c r="Y80" s="806"/>
      <c r="Z80" s="806"/>
      <c r="AA80" s="806"/>
      <c r="AB80" s="807"/>
      <c r="AC80" s="437"/>
      <c r="AF80" s="6"/>
      <c r="AK80" s="319"/>
      <c r="AL80" s="99"/>
      <c r="AM80" s="136"/>
      <c r="AO80" s="88"/>
      <c r="AP80" s="661"/>
      <c r="AQ80" s="661"/>
      <c r="AR80" s="6"/>
      <c r="AS80" s="4"/>
      <c r="AT80" s="4"/>
      <c r="AU80" s="4"/>
      <c r="AV80" s="4"/>
      <c r="AX80" s="11" t="s">
        <v>4</v>
      </c>
      <c r="AY80" s="57">
        <f>IF(ISBLANK(G4),"",AVERAGE(F4:G34))</f>
        <v>7.4048387096774189</v>
      </c>
      <c r="AZ80" s="362"/>
      <c r="BB80" s="7">
        <f>IF(ISBLANK(H4),"",AVERAGE(BB49:BB79))</f>
        <v>-5.3225806451612942E-2</v>
      </c>
      <c r="BC80" s="114">
        <f>IF(ISBLANK(G4),"",(AVERAGE($AY$49:AY79)))</f>
        <v>7.4048387096774189</v>
      </c>
      <c r="BD80" s="585">
        <f>IF(ISBLANK(H4),"",BC80-D120)</f>
        <v>0.40483870967741886</v>
      </c>
      <c r="BE80" s="6"/>
      <c r="BF80" s="341">
        <f>IF(ISBLANK(BF50),"",AVERAGE(BF49:BF79))</f>
        <v>0.2021072796934866</v>
      </c>
      <c r="BG80" s="340">
        <f>IF(ISBLANK(BG49),"",AVERAGE(BG49:BG79))</f>
        <v>0.61254789272030652</v>
      </c>
      <c r="BH80" s="339">
        <f>IF(ISBLANK(BH49),"",AVERAGE(BH49:BH79))</f>
        <v>0.64217592592592587</v>
      </c>
      <c r="BI80" s="338">
        <f>IF(ISBLANK(BI49),"",AVERAGE(BI49:BI79))</f>
        <v>0.28763888888888889</v>
      </c>
      <c r="BJ80" s="337">
        <f>IF(ISBLANK(BJ49),"",AVERAGE(BJ49:BJ79))</f>
        <v>0.56646505376344092</v>
      </c>
      <c r="BK80" s="19"/>
      <c r="BL80" s="78"/>
    </row>
    <row r="81" spans="1:64" ht="12.75" customHeight="1" thickBot="1" x14ac:dyDescent="0.25">
      <c r="A81" s="67"/>
      <c r="B81" s="740"/>
      <c r="C81" s="741"/>
      <c r="D81" s="741"/>
      <c r="E81" s="159"/>
      <c r="F81" s="25"/>
      <c r="G81" s="236"/>
      <c r="H81" s="752"/>
      <c r="I81" s="281" t="s">
        <v>149</v>
      </c>
      <c r="J81" s="191"/>
      <c r="K81" s="252">
        <f>K77-K75</f>
        <v>8</v>
      </c>
      <c r="L81" s="167">
        <f>IF(ISBLANK(F4),"",(M54*K81+M53*I38)/E34)</f>
        <v>7.925806451612905</v>
      </c>
      <c r="M81" s="235">
        <f>IF(ISBLANK(F4),"",L81-I39)</f>
        <v>1.1258064516129043</v>
      </c>
      <c r="N81" s="279" t="s">
        <v>148</v>
      </c>
      <c r="O81" s="67"/>
      <c r="P81" s="454"/>
      <c r="Q81" s="808"/>
      <c r="R81" s="809"/>
      <c r="S81" s="809"/>
      <c r="T81" s="809"/>
      <c r="U81" s="809"/>
      <c r="V81" s="809"/>
      <c r="W81" s="809"/>
      <c r="X81" s="809"/>
      <c r="Y81" s="809"/>
      <c r="Z81" s="809"/>
      <c r="AA81" s="809"/>
      <c r="AB81" s="810"/>
      <c r="AC81" s="437"/>
      <c r="AF81" s="6"/>
      <c r="AG81" s="779" t="s">
        <v>275</v>
      </c>
      <c r="AH81" s="779"/>
      <c r="AI81" s="779"/>
      <c r="AJ81" s="779"/>
      <c r="AK81" s="222"/>
      <c r="AM81" s="136"/>
      <c r="AN81" s="183" t="s">
        <v>176</v>
      </c>
      <c r="AO81" s="411"/>
      <c r="AP81" s="661"/>
      <c r="AQ81" s="661"/>
      <c r="AR81" s="6"/>
      <c r="AT81" s="588" t="s">
        <v>194</v>
      </c>
      <c r="AU81" s="588"/>
      <c r="AX81" s="4" t="s">
        <v>9</v>
      </c>
      <c r="AY81" s="379">
        <f>AVERAGE(F39:G39)</f>
        <v>7</v>
      </c>
      <c r="AZ81" s="363"/>
      <c r="BB81" s="713" t="s">
        <v>173</v>
      </c>
      <c r="BC81" s="713"/>
      <c r="BE81" s="6"/>
      <c r="BK81" s="67"/>
      <c r="BL81" s="78"/>
    </row>
    <row r="82" spans="1:64" ht="12.75" customHeight="1" x14ac:dyDescent="0.2">
      <c r="A82" s="67"/>
      <c r="B82" s="764" t="s">
        <v>4</v>
      </c>
      <c r="C82" s="765"/>
      <c r="D82" s="765"/>
      <c r="E82" s="218">
        <f>IF(Z38=0,"",AVERAGE(F72:F80))</f>
        <v>0.17486153815651434</v>
      </c>
      <c r="F82" s="25"/>
      <c r="G82" s="236"/>
      <c r="H82" s="766" t="s">
        <v>13</v>
      </c>
      <c r="I82" s="237" t="s">
        <v>203</v>
      </c>
      <c r="J82" s="191"/>
      <c r="K82" s="164">
        <f>R39</f>
        <v>1013.25</v>
      </c>
      <c r="L82" s="168" t="str">
        <f>IF(ISBLANK(P4),"",IF(M54&gt;0,(E34*K82-R38*M53)/M54,"n/a"))</f>
        <v>n/a</v>
      </c>
      <c r="M82" s="164" t="str">
        <f>IF(ISBLANK(P4),"",IF(M54&gt;0,L82-R39,"n/a"))</f>
        <v>n/a</v>
      </c>
      <c r="N82" s="247" t="s">
        <v>142</v>
      </c>
      <c r="O82" s="67"/>
      <c r="Q82" s="761"/>
      <c r="R82" s="762"/>
      <c r="S82" s="762"/>
      <c r="T82" s="762"/>
      <c r="U82" s="762"/>
      <c r="V82" s="762"/>
      <c r="W82" s="762"/>
      <c r="X82" s="762"/>
      <c r="Y82" s="762"/>
      <c r="Z82" s="762"/>
      <c r="AA82" s="762"/>
      <c r="AB82" s="763"/>
      <c r="AC82" s="436"/>
      <c r="AF82" s="6"/>
      <c r="AH82" s="636" t="s">
        <v>205</v>
      </c>
      <c r="AI82" s="636"/>
      <c r="AJ82" s="52"/>
      <c r="AK82" s="320"/>
      <c r="AL82" s="307"/>
      <c r="AM82" s="136"/>
      <c r="AN82" s="332">
        <f t="array" ref="AN82">MAX(FREQUENCY(IF(AV91:AV121=0,ROW(91:121)),IF(AV91:AV121&lt;&gt;0,ROW(91:121))))</f>
        <v>3</v>
      </c>
      <c r="AO82" s="412"/>
      <c r="AP82" s="822" t="s">
        <v>526</v>
      </c>
      <c r="AQ82" s="823"/>
      <c r="AR82" s="6"/>
      <c r="AT82" s="138">
        <f>IF(AN48=0,"n/a",AN48/AT67)</f>
        <v>1</v>
      </c>
      <c r="AU82" s="138"/>
      <c r="AX82" s="4" t="s">
        <v>10</v>
      </c>
      <c r="AY82" s="57">
        <f>IF(ISBLANK(F4),"",AY80-AY81)</f>
        <v>0.40483870967741886</v>
      </c>
      <c r="AZ82" s="311"/>
      <c r="BA82" s="148" t="s">
        <v>158</v>
      </c>
      <c r="BB82" s="275" t="s">
        <v>145</v>
      </c>
      <c r="BC82" s="276" t="s">
        <v>146</v>
      </c>
      <c r="BE82" s="6"/>
      <c r="BF82" s="431">
        <f>MAX(BF49:BF79)-MIN(BF49:BF79)</f>
        <v>0.34722222222222227</v>
      </c>
      <c r="BG82" s="431">
        <f>MAX(BG49:BG79)-MIN(BG49:BG79)</f>
        <v>0.2638888888888889</v>
      </c>
      <c r="BH82" s="431">
        <f>MAX(BH49:BH79)-MIN(BH49:BH79)</f>
        <v>0.33333333333333337</v>
      </c>
      <c r="BI82" s="431">
        <f>MAX(BI49:BI79)-MIN(BI49:BI79)</f>
        <v>0.37500000000000006</v>
      </c>
      <c r="BJ82" s="431">
        <f>MAX(BJ49:BJ79)-MIN(BJ49:BJ79)</f>
        <v>0.90625</v>
      </c>
      <c r="BK82" s="67"/>
      <c r="BL82" s="78"/>
    </row>
    <row r="83" spans="1:64" ht="12.75" customHeight="1" thickBot="1" x14ac:dyDescent="0.25">
      <c r="A83" s="67"/>
      <c r="B83" s="756" t="s">
        <v>34</v>
      </c>
      <c r="C83" s="757"/>
      <c r="D83" s="757"/>
      <c r="E83" s="219">
        <f>AN93+AN98</f>
        <v>0</v>
      </c>
      <c r="F83" s="85" t="s">
        <v>91</v>
      </c>
      <c r="G83" s="236"/>
      <c r="H83" s="746"/>
      <c r="I83" s="238" t="s">
        <v>149</v>
      </c>
      <c r="J83" s="242"/>
      <c r="K83" s="251">
        <v>1020</v>
      </c>
      <c r="L83" s="119">
        <f>IF(ISBLANK(P4),"",SUM(M54*K83+M53*R38)/E34)</f>
        <v>1022.4032258064516</v>
      </c>
      <c r="M83" s="169">
        <f>IF(ISBLANK(P4),"",L83-R39)</f>
        <v>9.1532258064515872</v>
      </c>
      <c r="N83" s="248" t="s">
        <v>148</v>
      </c>
      <c r="O83" s="67"/>
      <c r="Q83" s="758"/>
      <c r="R83" s="759"/>
      <c r="S83" s="759"/>
      <c r="T83" s="759"/>
      <c r="U83" s="759"/>
      <c r="V83" s="759"/>
      <c r="W83" s="759"/>
      <c r="X83" s="759"/>
      <c r="Y83" s="759"/>
      <c r="Z83" s="759"/>
      <c r="AA83" s="759"/>
      <c r="AB83" s="760"/>
      <c r="AC83" s="436"/>
      <c r="AF83" s="6"/>
      <c r="AK83" s="312"/>
      <c r="AM83" s="136"/>
      <c r="AO83" s="88"/>
      <c r="AP83" s="823"/>
      <c r="AQ83" s="823"/>
      <c r="AR83" s="67"/>
      <c r="AZ83" s="6"/>
      <c r="BA83" s="25">
        <f>E91/3</f>
        <v>2.2666666666666671</v>
      </c>
      <c r="BB83" s="274">
        <f>AY81-BA83</f>
        <v>4.7333333333333325</v>
      </c>
      <c r="BC83" s="273">
        <f>AY81+BA83</f>
        <v>9.2666666666666675</v>
      </c>
      <c r="BE83" s="6"/>
      <c r="BF83" s="334">
        <f>IF(ISBLANK(BF50),"",STDEV(BF49:BF79))</f>
        <v>9.2466128601232336E-2</v>
      </c>
      <c r="BG83" s="334">
        <f>IF(ISBLANK(BG50),"",STDEV(BG49:BG79))</f>
        <v>5.5100420838443846E-2</v>
      </c>
      <c r="BH83" s="334">
        <f>IF(ISBLANK(BH50),"",STDEV(BH49:BH79))</f>
        <v>7.0400727387089412E-2</v>
      </c>
      <c r="BI83" s="334">
        <f>IF(ISBLANK(BI50),"",STDEV(BI49:BI79))</f>
        <v>7.9037113781680143E-2</v>
      </c>
      <c r="BJ83" s="334">
        <f>IF(ISBLANK(BJ50),"",STDEV(BJ49:BJ79))</f>
        <v>0.20543791941340447</v>
      </c>
      <c r="BK83" s="67"/>
      <c r="BL83" s="78"/>
    </row>
    <row r="84" spans="1:64" s="107" customFormat="1" ht="12.75" x14ac:dyDescent="0.2">
      <c r="A84" s="240"/>
      <c r="C84" s="239"/>
      <c r="F84" s="117"/>
      <c r="H84" s="241"/>
      <c r="J84" s="242"/>
      <c r="O84" s="242"/>
      <c r="T84" s="243"/>
      <c r="Y84" s="243"/>
      <c r="AF84" s="243"/>
      <c r="AI84" s="117"/>
      <c r="AJ84" s="117"/>
      <c r="AK84" s="240"/>
      <c r="AL84" s="117"/>
      <c r="AM84" s="240"/>
      <c r="AO84" s="413"/>
      <c r="AP84" s="799"/>
      <c r="AQ84" s="799"/>
      <c r="AR84" s="240"/>
      <c r="AV84" s="117"/>
      <c r="AY84" s="117"/>
      <c r="AZ84" s="240"/>
      <c r="BA84" s="330">
        <f>MIN(AY49:AY79)</f>
        <v>1.95</v>
      </c>
      <c r="BB84" s="330">
        <f>MAX(AY49:AY79)</f>
        <v>13.55</v>
      </c>
      <c r="BE84" s="243"/>
      <c r="BF84" s="771" t="s">
        <v>191</v>
      </c>
      <c r="BG84" s="771"/>
      <c r="BH84" s="771"/>
      <c r="BI84" s="771"/>
      <c r="BJ84" s="771"/>
      <c r="BK84" s="240"/>
      <c r="BL84" s="244"/>
    </row>
    <row r="85" spans="1:64" s="172" customFormat="1" ht="12" x14ac:dyDescent="0.2">
      <c r="A85" s="171"/>
      <c r="C85" s="173">
        <f>MIN(C4:C34)</f>
        <v>4</v>
      </c>
      <c r="E85" s="174" t="s">
        <v>70</v>
      </c>
      <c r="F85" s="173">
        <f>MIN(F4:F34)</f>
        <v>-2.6</v>
      </c>
      <c r="G85" s="173">
        <f>MIN(G4:G34)</f>
        <v>4</v>
      </c>
      <c r="H85" s="173">
        <f>MIN(H4:H34)</f>
        <v>1.8</v>
      </c>
      <c r="I85" s="173">
        <f>MIN(I4:I34)</f>
        <v>1.9000000000000004</v>
      </c>
      <c r="J85" s="175"/>
      <c r="K85" s="176">
        <f>MIN(K4:K34)</f>
        <v>36</v>
      </c>
      <c r="L85" s="176">
        <f>MIN(L4:L34)</f>
        <v>78</v>
      </c>
      <c r="M85" s="176">
        <f>MIN(M4:M34)</f>
        <v>63</v>
      </c>
      <c r="N85" s="176">
        <f>MIN(N4:N34)</f>
        <v>13</v>
      </c>
      <c r="O85" s="177"/>
      <c r="P85" s="176">
        <f>MIN(P4:P34)</f>
        <v>997</v>
      </c>
      <c r="Q85" s="176">
        <f>MIN(Q4:Q34)</f>
        <v>1010</v>
      </c>
      <c r="R85" s="173">
        <f>MIN(R4:R34)</f>
        <v>1003.5</v>
      </c>
      <c r="S85" s="176">
        <f>MIN(S4:S34)</f>
        <v>1</v>
      </c>
      <c r="T85" s="171"/>
      <c r="U85" s="173">
        <f t="shared" ref="U85:AC85" si="30">MIN(U4:U34)</f>
        <v>1.2</v>
      </c>
      <c r="V85" s="173">
        <f t="shared" si="30"/>
        <v>6.2</v>
      </c>
      <c r="W85" s="173">
        <f t="shared" si="30"/>
        <v>8.5</v>
      </c>
      <c r="X85" s="173">
        <f t="shared" si="30"/>
        <v>0</v>
      </c>
      <c r="Y85" s="175">
        <f t="shared" si="30"/>
        <v>0</v>
      </c>
      <c r="Z85" s="173">
        <f t="shared" si="30"/>
        <v>0</v>
      </c>
      <c r="AA85" s="173">
        <f t="shared" si="30"/>
        <v>0.8</v>
      </c>
      <c r="AB85" s="173">
        <f t="shared" si="30"/>
        <v>0.3</v>
      </c>
      <c r="AC85" s="422">
        <f t="shared" si="30"/>
        <v>9.0090090090090089E-3</v>
      </c>
      <c r="AD85" s="173">
        <f>MIN(AE4:AE34)</f>
        <v>1.6</v>
      </c>
      <c r="AE85" s="173">
        <f>MIN(AD4:AD34)</f>
        <v>0.75</v>
      </c>
      <c r="AF85" s="175">
        <f>MIN(AF4:AF4)</f>
        <v>0</v>
      </c>
      <c r="AG85" s="173">
        <f>MIN(AG4:AG34)</f>
        <v>-5.9</v>
      </c>
      <c r="AH85" s="173">
        <f>MIN(AH4:AH34)</f>
        <v>0.6</v>
      </c>
      <c r="AI85" s="173">
        <f>MIN(AI4:AI34)</f>
        <v>-2.5</v>
      </c>
      <c r="AJ85" s="173">
        <f>MIN(AJ4:AJ34)</f>
        <v>1.8</v>
      </c>
      <c r="AK85" s="175"/>
      <c r="AL85" s="173"/>
      <c r="AM85" s="175"/>
      <c r="AO85" s="414"/>
      <c r="AP85" s="173">
        <f>MIN(AP4:AP34)</f>
        <v>0</v>
      </c>
      <c r="AQ85" s="173">
        <f>MIN(AQ4:AQ34)</f>
        <v>0</v>
      </c>
      <c r="AR85" s="175"/>
      <c r="AS85" s="173">
        <f t="shared" ref="AS85:AZ85" si="31">MIN(AS8:AS34)</f>
        <v>0.58749999999999991</v>
      </c>
      <c r="AT85" s="173">
        <f t="shared" si="31"/>
        <v>5.76</v>
      </c>
      <c r="AU85" s="173">
        <f t="shared" si="31"/>
        <v>3.06</v>
      </c>
      <c r="AV85" s="173">
        <f t="shared" si="31"/>
        <v>4.7</v>
      </c>
      <c r="AW85" s="173">
        <f t="shared" si="31"/>
        <v>72.5</v>
      </c>
      <c r="AX85" s="176">
        <f t="shared" si="31"/>
        <v>1020.9705882352941</v>
      </c>
      <c r="AY85" s="173">
        <f t="shared" si="31"/>
        <v>4.5103448275862057</v>
      </c>
      <c r="AZ85" s="175">
        <f t="shared" si="31"/>
        <v>0</v>
      </c>
      <c r="BA85" s="173">
        <f>MIN(BA4:BA34)</f>
        <v>-5.6153846153846168</v>
      </c>
      <c r="BB85" s="173">
        <f>MIN(BB4:BB34)</f>
        <v>-5.0812500000000007</v>
      </c>
      <c r="BC85" s="173">
        <f>MIN(BC4:BC34)</f>
        <v>-3.9281250000000005</v>
      </c>
      <c r="BD85" s="173">
        <f>MIN(BD4:BD34)</f>
        <v>-5.1153846153846239</v>
      </c>
      <c r="BE85" s="175">
        <f t="shared" ref="BE85:BJ85" si="32">MIN(BE8:BE34)</f>
        <v>0</v>
      </c>
      <c r="BF85" s="173">
        <f t="shared" si="32"/>
        <v>-2.1850961538461542</v>
      </c>
      <c r="BG85" s="173">
        <f t="shared" si="32"/>
        <v>-3.3596153846153856</v>
      </c>
      <c r="BH85" s="173">
        <f t="shared" si="32"/>
        <v>-1.7532051282051289</v>
      </c>
      <c r="BI85" s="422">
        <f t="shared" si="32"/>
        <v>5.5258467023172903E-3</v>
      </c>
      <c r="BJ85" s="422">
        <f t="shared" si="32"/>
        <v>0.74284126655510208</v>
      </c>
      <c r="BK85" s="177"/>
      <c r="BL85" s="178"/>
    </row>
    <row r="86" spans="1:64" s="172" customFormat="1" ht="12" x14ac:dyDescent="0.2">
      <c r="A86" s="171"/>
      <c r="B86" s="173">
        <f>MAX(B4:B34)</f>
        <v>10.1</v>
      </c>
      <c r="E86" s="174" t="s">
        <v>71</v>
      </c>
      <c r="F86" s="173">
        <f>MAX(F4:F34)</f>
        <v>9.6999999999999993</v>
      </c>
      <c r="G86" s="173">
        <f>MAX(G4:G34)</f>
        <v>17.7</v>
      </c>
      <c r="H86" s="173">
        <f>MAX(H4:H34)</f>
        <v>13.1</v>
      </c>
      <c r="I86" s="173">
        <f>MAX(I4:I34)</f>
        <v>14</v>
      </c>
      <c r="J86" s="175"/>
      <c r="K86" s="176">
        <f>MAX(K4:K34)</f>
        <v>82</v>
      </c>
      <c r="L86" s="176">
        <f>MAX(L4:L34)</f>
        <v>98</v>
      </c>
      <c r="M86" s="176">
        <f>MAX(M4:M34)</f>
        <v>92</v>
      </c>
      <c r="N86" s="176">
        <f>MAX(N4:N34)</f>
        <v>59</v>
      </c>
      <c r="O86" s="177"/>
      <c r="P86" s="176">
        <f t="shared" ref="P86:AC86" si="33">MAX(P4:P34)</f>
        <v>1038</v>
      </c>
      <c r="Q86" s="176">
        <f t="shared" si="33"/>
        <v>1042</v>
      </c>
      <c r="R86" s="173">
        <f t="shared" si="33"/>
        <v>1040</v>
      </c>
      <c r="S86" s="176">
        <f t="shared" si="33"/>
        <v>13</v>
      </c>
      <c r="T86" s="177">
        <f t="shared" si="33"/>
        <v>0</v>
      </c>
      <c r="U86" s="173">
        <f t="shared" si="33"/>
        <v>9.3000000000000007</v>
      </c>
      <c r="V86" s="173">
        <f t="shared" si="33"/>
        <v>23.9</v>
      </c>
      <c r="W86" s="173">
        <f t="shared" si="33"/>
        <v>33.4</v>
      </c>
      <c r="X86" s="173">
        <f t="shared" si="33"/>
        <v>0</v>
      </c>
      <c r="Y86" s="175">
        <f t="shared" si="33"/>
        <v>2</v>
      </c>
      <c r="Z86" s="173">
        <f t="shared" si="33"/>
        <v>4.4000000000000004</v>
      </c>
      <c r="AA86" s="173">
        <f t="shared" si="33"/>
        <v>1.4</v>
      </c>
      <c r="AB86" s="173">
        <f t="shared" si="33"/>
        <v>0.5</v>
      </c>
      <c r="AC86" s="422">
        <f t="shared" si="33"/>
        <v>0.3963963963963964</v>
      </c>
      <c r="AD86" s="173">
        <f>MAX(AE4:AE34)</f>
        <v>5</v>
      </c>
      <c r="AE86" s="173">
        <f>MAX(AD4:AD34)</f>
        <v>1.1000000000000001</v>
      </c>
      <c r="AF86" s="175">
        <f>MAX(AF4:AF4)</f>
        <v>0</v>
      </c>
      <c r="AG86" s="173">
        <f>MAX(AG4:AG34)</f>
        <v>8</v>
      </c>
      <c r="AH86" s="173">
        <f>MAX(AH4:AH34)</f>
        <v>12.6</v>
      </c>
      <c r="AI86" s="173">
        <f>MAX(AI4:AI34)</f>
        <v>9.6</v>
      </c>
      <c r="AJ86" s="173">
        <f>MAX(AJ4:AJ34)</f>
        <v>9.1999999999999993</v>
      </c>
      <c r="AK86" s="175"/>
      <c r="AL86" s="173"/>
      <c r="AM86" s="175"/>
      <c r="AO86" s="415"/>
      <c r="AP86" s="176">
        <f>MAX(AP4:AP34)</f>
        <v>10.9</v>
      </c>
      <c r="AQ86" s="173">
        <f>MAX(AQ4:AQ34)</f>
        <v>5.5</v>
      </c>
      <c r="AR86" s="177"/>
      <c r="AS86" s="173">
        <f t="shared" ref="AS86:AZ86" si="34">MAX(AS8:AS34)</f>
        <v>3.4419354838709677</v>
      </c>
      <c r="AT86" s="173">
        <f t="shared" si="34"/>
        <v>11.36774193548387</v>
      </c>
      <c r="AU86" s="173">
        <f t="shared" si="34"/>
        <v>7.4580645161290331</v>
      </c>
      <c r="AV86" s="173">
        <f t="shared" si="34"/>
        <v>8.1172413793103466</v>
      </c>
      <c r="AW86" s="173">
        <f t="shared" si="34"/>
        <v>80.400000000000006</v>
      </c>
      <c r="AX86" s="176">
        <f t="shared" si="34"/>
        <v>1034.3</v>
      </c>
      <c r="AY86" s="173">
        <f t="shared" si="34"/>
        <v>6.333333333333333</v>
      </c>
      <c r="AZ86" s="175">
        <f t="shared" si="34"/>
        <v>0</v>
      </c>
      <c r="BA86" s="173">
        <f>MAX(BA4:BA34)</f>
        <v>5.2461538461538471</v>
      </c>
      <c r="BB86" s="173">
        <f>MAX(BB4:BB34)</f>
        <v>6.0499999999999989</v>
      </c>
      <c r="BC86" s="173">
        <f>MAX(BC4:BC34)</f>
        <v>5.4749999999999996</v>
      </c>
      <c r="BD86" s="173">
        <f>MAX(BD4:BD34)</f>
        <v>7.3673076923076923</v>
      </c>
      <c r="BE86" s="175">
        <f t="shared" ref="BE86:BJ86" si="35">MAX(BE8:BE34)</f>
        <v>0</v>
      </c>
      <c r="BF86" s="173">
        <f t="shared" si="35"/>
        <v>-0.17419354838709689</v>
      </c>
      <c r="BG86" s="173">
        <f t="shared" si="35"/>
        <v>1.0120967741935463</v>
      </c>
      <c r="BH86" s="173">
        <f t="shared" si="35"/>
        <v>1.4048408488063648</v>
      </c>
      <c r="BI86" s="422">
        <f t="shared" si="35"/>
        <v>0.21764705882352944</v>
      </c>
      <c r="BJ86" s="422">
        <f t="shared" si="35"/>
        <v>1.3486490401993187</v>
      </c>
      <c r="BK86" s="177"/>
      <c r="BL86" s="178"/>
    </row>
    <row r="87" spans="1:64" ht="10.5" customHeight="1" x14ac:dyDescent="0.2">
      <c r="A87" s="67"/>
      <c r="B87" s="21"/>
      <c r="C87" s="140"/>
      <c r="D87" s="146"/>
      <c r="E87" s="4"/>
      <c r="F87" s="21"/>
      <c r="H87" s="13"/>
      <c r="J87" s="20"/>
      <c r="K87" s="21"/>
      <c r="L87" s="21"/>
      <c r="M87" s="21"/>
      <c r="N87" s="22"/>
      <c r="O87" s="20"/>
      <c r="P87" s="21"/>
      <c r="Q87" s="21"/>
      <c r="R87" s="21"/>
      <c r="S87" s="21"/>
      <c r="T87" s="67"/>
      <c r="U87" s="21"/>
      <c r="V87" s="21"/>
      <c r="W87" s="21"/>
      <c r="X87" s="21"/>
      <c r="Y87" s="67"/>
      <c r="Z87" s="21"/>
      <c r="AA87" s="21"/>
      <c r="AB87" s="21"/>
      <c r="AC87" s="21"/>
      <c r="AD87" s="21"/>
      <c r="AE87" s="21"/>
      <c r="AF87" s="67"/>
      <c r="AG87" s="21"/>
      <c r="AH87" s="21"/>
      <c r="AI87" s="21"/>
      <c r="AJ87" s="21"/>
      <c r="AK87" s="67"/>
      <c r="AL87" s="21"/>
      <c r="AM87" s="67"/>
      <c r="AO87" s="88"/>
      <c r="AR87" s="6"/>
      <c r="AS87" s="21"/>
      <c r="AT87" s="22"/>
      <c r="AU87" s="21"/>
      <c r="AV87" s="21"/>
      <c r="AW87" s="21"/>
      <c r="AX87" s="21"/>
      <c r="AZ87" s="6"/>
      <c r="BA87" s="25"/>
      <c r="BB87" s="21"/>
      <c r="BC87" s="21"/>
      <c r="BD87" s="21"/>
      <c r="BE87" s="67"/>
      <c r="BF87" s="21"/>
      <c r="BG87" s="21"/>
      <c r="BH87" s="21"/>
      <c r="BI87" s="21"/>
      <c r="BJ87" s="21"/>
      <c r="BK87" s="67"/>
      <c r="BL87" s="95"/>
    </row>
    <row r="88" spans="1:64" s="327" customFormat="1" ht="10.5" customHeight="1" x14ac:dyDescent="0.2">
      <c r="C88" s="328"/>
    </row>
    <row r="89" spans="1:64" s="327" customFormat="1" ht="1.5" customHeight="1" x14ac:dyDescent="0.2">
      <c r="C89" s="328"/>
    </row>
    <row r="90" spans="1:64" s="331" customFormat="1" ht="11.25" x14ac:dyDescent="0.2">
      <c r="A90" s="331" t="s">
        <v>167</v>
      </c>
      <c r="B90" s="148" t="s">
        <v>2</v>
      </c>
      <c r="C90" s="148" t="s">
        <v>3</v>
      </c>
      <c r="D90" s="148" t="s">
        <v>4</v>
      </c>
      <c r="E90" s="147" t="s">
        <v>5</v>
      </c>
      <c r="F90" s="331" t="s">
        <v>332</v>
      </c>
      <c r="G90" s="331" t="s">
        <v>333</v>
      </c>
      <c r="H90" s="331" t="s">
        <v>348</v>
      </c>
      <c r="I90" s="331" t="s">
        <v>347</v>
      </c>
      <c r="K90" s="331" t="s">
        <v>167</v>
      </c>
      <c r="L90" s="331" t="s">
        <v>167</v>
      </c>
      <c r="M90" s="147" t="s">
        <v>184</v>
      </c>
      <c r="N90" s="331" t="s">
        <v>167</v>
      </c>
      <c r="O90" s="331" t="s">
        <v>167</v>
      </c>
      <c r="P90" s="331" t="s">
        <v>167</v>
      </c>
      <c r="Q90" s="331" t="s">
        <v>167</v>
      </c>
      <c r="S90" s="331" t="s">
        <v>167</v>
      </c>
      <c r="U90" s="331" t="s">
        <v>204</v>
      </c>
      <c r="V90" s="331" t="s">
        <v>346</v>
      </c>
      <c r="W90" s="786" t="s">
        <v>229</v>
      </c>
      <c r="X90" s="786"/>
      <c r="Y90" s="331" t="s">
        <v>167</v>
      </c>
      <c r="Z90" s="147" t="s">
        <v>144</v>
      </c>
      <c r="AA90" s="147" t="s">
        <v>185</v>
      </c>
      <c r="AB90" s="147" t="s">
        <v>236</v>
      </c>
      <c r="AC90" s="147" t="s">
        <v>237</v>
      </c>
      <c r="AD90" s="331" t="s">
        <v>167</v>
      </c>
      <c r="AE90" s="278" t="s">
        <v>345</v>
      </c>
      <c r="AF90" s="331" t="s">
        <v>344</v>
      </c>
      <c r="AG90" s="147" t="s">
        <v>155</v>
      </c>
      <c r="AH90" s="147" t="s">
        <v>183</v>
      </c>
      <c r="AI90" s="331" t="s">
        <v>328</v>
      </c>
      <c r="AJ90" s="147" t="s">
        <v>117</v>
      </c>
      <c r="AK90" s="331" t="s">
        <v>167</v>
      </c>
      <c r="AL90" s="147" t="s">
        <v>118</v>
      </c>
      <c r="AM90" s="331" t="s">
        <v>329</v>
      </c>
      <c r="AN90" s="331" t="s">
        <v>168</v>
      </c>
      <c r="AO90" s="331" t="s">
        <v>329</v>
      </c>
      <c r="AQ90" s="147"/>
      <c r="AR90" s="331" t="s">
        <v>329</v>
      </c>
      <c r="AS90" s="331" t="s">
        <v>256</v>
      </c>
      <c r="AT90" s="331" t="s">
        <v>253</v>
      </c>
      <c r="AU90" s="331" t="s">
        <v>346</v>
      </c>
      <c r="AV90" s="147" t="s">
        <v>196</v>
      </c>
      <c r="AW90" s="147" t="s">
        <v>145</v>
      </c>
      <c r="AX90" s="147" t="s">
        <v>146</v>
      </c>
      <c r="AY90" s="147" t="s">
        <v>400</v>
      </c>
      <c r="AZ90" s="147" t="s">
        <v>124</v>
      </c>
      <c r="BA90" s="147" t="s">
        <v>145</v>
      </c>
      <c r="BB90" s="147" t="s">
        <v>146</v>
      </c>
      <c r="BC90" s="331" t="s">
        <v>330</v>
      </c>
      <c r="BD90" s="331" t="s">
        <v>331</v>
      </c>
      <c r="BE90" s="147" t="s">
        <v>327</v>
      </c>
      <c r="BF90" s="331" t="s">
        <v>167</v>
      </c>
      <c r="BG90" s="147" t="s">
        <v>163</v>
      </c>
      <c r="BH90" s="147" t="s">
        <v>399</v>
      </c>
      <c r="BI90" s="147" t="s">
        <v>401</v>
      </c>
      <c r="BJ90" s="147" t="s">
        <v>119</v>
      </c>
      <c r="BK90" s="331" t="s">
        <v>327</v>
      </c>
    </row>
    <row r="91" spans="1:64" ht="12.75" x14ac:dyDescent="0.2">
      <c r="A91" s="8">
        <f t="shared" ref="A91:A121" si="36">IF(ISBLANK(K4),NA(),N4)</f>
        <v>13</v>
      </c>
      <c r="B91" s="125">
        <f t="shared" ref="B91:B121" si="37">$F$39</f>
        <v>3.6</v>
      </c>
      <c r="C91" s="125">
        <f t="shared" ref="C91:C121" si="38">$G$39</f>
        <v>10.4</v>
      </c>
      <c r="D91" s="125">
        <f>AVERAGE(B91:C91)</f>
        <v>7</v>
      </c>
      <c r="E91" s="125">
        <f t="shared" ref="E91:E121" si="39">C91-B91</f>
        <v>6.8000000000000007</v>
      </c>
      <c r="F91" s="7">
        <v>2.625</v>
      </c>
      <c r="G91" s="7">
        <v>8.8937500000000007</v>
      </c>
      <c r="H91" s="7">
        <f>AVERAGE(F91:G91)</f>
        <v>5.7593750000000004</v>
      </c>
      <c r="I91" s="7">
        <f>G91-F91</f>
        <v>6.2687500000000007</v>
      </c>
      <c r="K91" s="7">
        <f t="shared" ref="K91:K121" si="40">IF(ISBLANK(G4),NA(),I4)</f>
        <v>1.9000000000000004</v>
      </c>
      <c r="L91" s="7">
        <f t="shared" ref="L91:L121" si="41">IF(ISBLANK(G4),NA(),AY49)</f>
        <v>3.45</v>
      </c>
      <c r="M91" s="370">
        <f t="shared" ref="M91:M121" si="42">IF(ISBLANK(U4),NA(),AY4)</f>
        <v>6.5</v>
      </c>
      <c r="N91" s="1">
        <f t="shared" ref="N91:N121" si="43">IF(ISBLANK(F4),NA(),BJ91)</f>
        <v>0</v>
      </c>
      <c r="O91" s="7">
        <f t="shared" ref="O91:O121" si="44">IF(ISBLANK(M4),NA(),AW4)</f>
        <v>82</v>
      </c>
      <c r="P91" s="7">
        <f t="shared" ref="P91:P121" si="45">IF(ISBLANK(F4),NA(),AS4)</f>
        <v>2.5</v>
      </c>
      <c r="Q91" s="7">
        <f t="shared" ref="Q91:Q121" si="46">IF(ISBLANK(G4),NA(),AT4)</f>
        <v>4.4000000000000004</v>
      </c>
      <c r="R91" s="7">
        <f t="shared" ref="R91:R121" si="47">IF(ISBLANK(H4),NA(),AU4)</f>
        <v>3.4</v>
      </c>
      <c r="S91" s="7">
        <f t="shared" ref="S91:S121" si="48">IF(ISBLANK(G4),NA(),AV4)</f>
        <v>1.9000000000000004</v>
      </c>
      <c r="T91" s="1">
        <v>32</v>
      </c>
      <c r="U91" s="333">
        <f t="shared" ref="U91:U121" si="49">$Z$39/$E$34</f>
        <v>1.6451612903225807</v>
      </c>
      <c r="V91" s="4">
        <v>1</v>
      </c>
      <c r="W91" s="7">
        <f t="shared" ref="W91:W121" si="50">0.273*V91</f>
        <v>0.27300000000000002</v>
      </c>
      <c r="X91" s="7">
        <f t="shared" ref="X91:X121" si="51">0.273*T91</f>
        <v>8.7360000000000007</v>
      </c>
      <c r="Y91" s="8">
        <f t="shared" ref="Y91:Y121" si="52">IF(ISBLANK(Q4),NA(),S4)</f>
        <v>4</v>
      </c>
      <c r="Z91" s="7">
        <f>IF(ISBLANK(Z4),NA(),SUM($Z$4:Z4))</f>
        <v>0</v>
      </c>
      <c r="AA91" s="7">
        <f>$AB$48*E4</f>
        <v>1.6451612903225807</v>
      </c>
      <c r="AB91" s="26">
        <f>IF(ISBLANK(Z4),"",SUM($Z$4:Z4))</f>
        <v>0</v>
      </c>
      <c r="AC91" s="115">
        <f>IF(ISBLANK(Z4),NA(),AB91/AA91)</f>
        <v>0</v>
      </c>
      <c r="AD91" s="8">
        <f t="shared" ref="AD91:AD121" si="53">IF(ISBLANK(P4),NA(),AX4)</f>
        <v>1037</v>
      </c>
      <c r="AE91" s="610">
        <f t="shared" ref="AE91:AE121" si="54">IF(ISNA(AG91),"",AG91/AH91)</f>
        <v>0</v>
      </c>
      <c r="AF91" s="141">
        <f t="shared" ref="AF91:AF121" si="55">IF(ISTEXT(BI49),NA(),IF(ISBLANK(BI49),NA(),BI49))</f>
        <v>0.2638888888888889</v>
      </c>
      <c r="AG91" s="22">
        <f>IF(ISBLANK(AP4),NA(),SUM($AP$4:AP4))</f>
        <v>0</v>
      </c>
      <c r="AH91" s="7">
        <f>SUM($AS$91:AS91)</f>
        <v>3.0926766866317372</v>
      </c>
      <c r="AI91" s="115">
        <f t="shared" ref="AI91:AI121" si="56">IF(ISBLANK(AP4),NA(),AG91/AH91)</f>
        <v>0</v>
      </c>
      <c r="AJ91" s="124">
        <f t="shared" ref="AJ91:AJ121" si="57">IF(ISBLANK(F4),"",IF(Z4&gt;0.1,1,0))</f>
        <v>0</v>
      </c>
      <c r="AK91" s="8">
        <f t="shared" ref="AK91:AK121" si="58">IF(ISBLANK(P4),NA(),R4)</f>
        <v>1037</v>
      </c>
      <c r="AL91" s="124">
        <f t="shared" ref="AL91:AL121" si="59">IF(ISBLANK(Z4),"",IF(Z4&gt;0.9,1,0))</f>
        <v>0</v>
      </c>
      <c r="AM91" s="141">
        <f t="shared" ref="AM91:AM121" si="60">IF(ISTEXT(BH49),NA(),IF(ISBLANK(BH49),NA(),BH49))</f>
        <v>0.63541666666666663</v>
      </c>
      <c r="AN91" s="109">
        <f t="array" ref="AN91" xml:space="preserve"> SUM(COUNTIF(AN4:AN34,"-"),COUNTIF(AN4:AN34,"*yy*"))</f>
        <v>22</v>
      </c>
      <c r="AO91" s="141">
        <f t="shared" ref="AO91:AO121" si="61">IF(ISTEXT(BG49),NA(),IF(ISBLANK(BG49),NA(),BG49))</f>
        <v>0.57291666666666663</v>
      </c>
      <c r="AR91" s="141">
        <f t="shared" ref="AR91:AR121" si="62">IF(ISTEXT(BF49),NA(),IF(ISBLANK(BF49),NA(),BF49))</f>
        <v>0.20833333333333334</v>
      </c>
      <c r="AS91" s="7">
        <f t="shared" ref="AS91:AS121" si="63">AT91/($AT$123/$AP$39)</f>
        <v>3.0926766866317372</v>
      </c>
      <c r="AT91" s="7">
        <v>9.7403425612404071</v>
      </c>
      <c r="AU91" s="4">
        <v>1</v>
      </c>
      <c r="AV91" s="127">
        <f t="shared" ref="AV91:AV121" si="64">IF(ISBLANK(AP4),"",IF(AP4&gt;0.25*AT91,1,0))</f>
        <v>0</v>
      </c>
      <c r="AW91" s="124">
        <f>IF(ISBLANK(F4),"",IF(AY49&lt;BC91,1,0))</f>
        <v>1</v>
      </c>
      <c r="AX91" s="124">
        <f>IF(ISBLANK(G4),"",IF(AY49&gt;BD91,1,0))</f>
        <v>0</v>
      </c>
      <c r="AY91" s="124">
        <f t="shared" ref="AY91:AY121" si="65">IF(ISBLANK(F4),"",IF(P4&gt;1013,1,0))</f>
        <v>1</v>
      </c>
      <c r="AZ91" s="125">
        <f t="shared" ref="AZ91:AZ121" si="66">$U$39</f>
        <v>5.2</v>
      </c>
      <c r="BA91" s="125">
        <f t="shared" ref="BA91:BA121" si="67">$BB$83</f>
        <v>4.7333333333333325</v>
      </c>
      <c r="BB91" s="125">
        <f t="shared" ref="BB91:BB121" si="68">$BC$83</f>
        <v>9.2666666666666675</v>
      </c>
      <c r="BC91" s="7">
        <v>3.6697916666666668</v>
      </c>
      <c r="BD91" s="7">
        <v>7.8489583333333339</v>
      </c>
      <c r="BE91" s="124"/>
      <c r="BF91" s="8">
        <f t="shared" ref="BF91:BF121" si="69">IF(ISBLANK(M4),NA(),M4)</f>
        <v>82</v>
      </c>
      <c r="BG91" s="21">
        <f t="shared" ref="BG91:BG121" si="70">IF(ISBLANK(H4),NA(),H4)</f>
        <v>3.4</v>
      </c>
      <c r="BH91" s="124">
        <f t="shared" ref="BH91:BH121" si="71">IF(ISBLANK(F4),"",IF(Q4&lt;1013,1,0))</f>
        <v>0</v>
      </c>
      <c r="BI91" s="124">
        <f>IF(ISBLANK(L4),"",IF(AQ4&gt;0.4,1,0))</f>
        <v>0</v>
      </c>
      <c r="BJ91" s="144">
        <f t="shared" ref="BJ91:BJ121" si="72">IF(ISBLANK(Z4),"",Z4/3)</f>
        <v>0</v>
      </c>
      <c r="BL91" s="99">
        <v>1</v>
      </c>
    </row>
    <row r="92" spans="1:64" ht="12.75" x14ac:dyDescent="0.2">
      <c r="A92" s="8">
        <f t="shared" si="36"/>
        <v>18</v>
      </c>
      <c r="B92" s="125">
        <f t="shared" si="37"/>
        <v>3.6</v>
      </c>
      <c r="C92" s="125">
        <f t="shared" si="38"/>
        <v>10.4</v>
      </c>
      <c r="D92" s="125">
        <f t="shared" ref="D92:D121" si="73">AVERAGE(B92:C92)</f>
        <v>7</v>
      </c>
      <c r="E92" s="125">
        <f t="shared" si="39"/>
        <v>6.8000000000000007</v>
      </c>
      <c r="F92" s="7">
        <v>2.65</v>
      </c>
      <c r="G92" s="7">
        <v>8.9875000000000007</v>
      </c>
      <c r="H92" s="7">
        <f t="shared" ref="H92:H121" si="74">AVERAGE(F92:G92)</f>
        <v>5.8187500000000005</v>
      </c>
      <c r="I92" s="7">
        <f t="shared" ref="I92:I121" si="75">G92-F92</f>
        <v>6.3375000000000004</v>
      </c>
      <c r="K92" s="7">
        <f t="shared" si="40"/>
        <v>6.5</v>
      </c>
      <c r="L92" s="7">
        <f t="shared" si="41"/>
        <v>3.3499999999999996</v>
      </c>
      <c r="M92" s="370">
        <f t="shared" si="42"/>
        <v>6.85</v>
      </c>
      <c r="N92" s="1">
        <f t="shared" si="43"/>
        <v>0</v>
      </c>
      <c r="O92" s="7">
        <f t="shared" si="44"/>
        <v>81</v>
      </c>
      <c r="P92" s="7">
        <f t="shared" si="45"/>
        <v>1.3</v>
      </c>
      <c r="Q92" s="7">
        <f t="shared" si="46"/>
        <v>5.5</v>
      </c>
      <c r="R92" s="7">
        <f t="shared" si="47"/>
        <v>3.4</v>
      </c>
      <c r="S92" s="7">
        <f t="shared" si="48"/>
        <v>4.2</v>
      </c>
      <c r="T92" s="1">
        <v>33</v>
      </c>
      <c r="U92" s="333">
        <f t="shared" si="49"/>
        <v>1.6451612903225807</v>
      </c>
      <c r="V92" s="4">
        <v>2</v>
      </c>
      <c r="W92" s="7">
        <f t="shared" si="50"/>
        <v>0.54600000000000004</v>
      </c>
      <c r="X92" s="7">
        <f t="shared" si="51"/>
        <v>9.0090000000000003</v>
      </c>
      <c r="Y92" s="8">
        <f t="shared" si="52"/>
        <v>3</v>
      </c>
      <c r="Z92" s="7">
        <f>IF(ISBLANK(Z5),NA(),SUM($Z$4:Z5))</f>
        <v>0</v>
      </c>
      <c r="AA92" s="7">
        <f t="shared" ref="AA92:AA121" si="76">$AB$48*E5</f>
        <v>3.2903225806451615</v>
      </c>
      <c r="AB92" s="26">
        <f>IF(ISBLANK(Z5),"",SUM($Z$4:Z5))</f>
        <v>0</v>
      </c>
      <c r="AC92" s="115">
        <f t="shared" ref="AC92:AC121" si="77">IF(ISBLANK(Z5),NA(),AB92/AA92)</f>
        <v>0</v>
      </c>
      <c r="AD92" s="8">
        <f t="shared" si="53"/>
        <v>1036.75</v>
      </c>
      <c r="AE92" s="610">
        <f t="shared" si="54"/>
        <v>0.64467779210086951</v>
      </c>
      <c r="AF92" s="141">
        <f t="shared" si="55"/>
        <v>0.33333333333333331</v>
      </c>
      <c r="AG92" s="22">
        <f>IF(ISBLANK(AP5),NA(),SUM($AP$4:AP5))</f>
        <v>4</v>
      </c>
      <c r="AH92" s="7">
        <f>SUM($AS$91:AS92)</f>
        <v>6.2046499026511217</v>
      </c>
      <c r="AI92" s="115">
        <f t="shared" si="56"/>
        <v>0.64467779210086951</v>
      </c>
      <c r="AJ92" s="124">
        <f t="shared" si="57"/>
        <v>0</v>
      </c>
      <c r="AK92" s="8">
        <f t="shared" si="58"/>
        <v>1036.5</v>
      </c>
      <c r="AL92" s="124">
        <f t="shared" si="59"/>
        <v>0</v>
      </c>
      <c r="AM92" s="141">
        <f t="shared" si="60"/>
        <v>0.64930555555555558</v>
      </c>
      <c r="AN92" s="45">
        <f t="array" ref="AN92">MAX(FREQUENCY(IF(AJ91:AJ121=0,ROW(91:121)),IF(AJ91:AJ121&lt;&gt;0,ROW(91:121))))</f>
        <v>12</v>
      </c>
      <c r="AO92" s="141">
        <f t="shared" si="61"/>
        <v>0.66666666666666663</v>
      </c>
      <c r="AP92" s="59" t="s">
        <v>113</v>
      </c>
      <c r="AQ92" s="447">
        <v>7.4999999999999997E-2</v>
      </c>
      <c r="AR92" s="141">
        <f t="shared" si="62"/>
        <v>0.16666666666666666</v>
      </c>
      <c r="AS92" s="7">
        <f t="shared" si="63"/>
        <v>3.1119732160193849</v>
      </c>
      <c r="AT92" s="7">
        <v>9.8011167143522329</v>
      </c>
      <c r="AU92" s="4">
        <v>2</v>
      </c>
      <c r="AV92" s="127">
        <f t="shared" si="64"/>
        <v>1</v>
      </c>
      <c r="AW92" s="124">
        <f t="shared" ref="AW92:AW121" si="78">IF(ISBLANK(F5),"",IF(AY50&lt;BC92,1,0))</f>
        <v>1</v>
      </c>
      <c r="AX92" s="124">
        <f t="shared" ref="AX92:AX121" si="79">IF(ISBLANK(G5),"",IF(AY50&gt;BD92,1,0))</f>
        <v>0</v>
      </c>
      <c r="AY92" s="124">
        <f t="shared" si="65"/>
        <v>1</v>
      </c>
      <c r="AZ92" s="125">
        <f t="shared" si="66"/>
        <v>5.2</v>
      </c>
      <c r="BA92" s="125">
        <f t="shared" si="67"/>
        <v>4.7333333333333325</v>
      </c>
      <c r="BB92" s="125">
        <f t="shared" si="68"/>
        <v>9.2666666666666675</v>
      </c>
      <c r="BC92" s="7">
        <v>3.7062499999999998</v>
      </c>
      <c r="BD92" s="7">
        <v>7.9312500000000004</v>
      </c>
      <c r="BE92" s="124"/>
      <c r="BF92" s="8">
        <f t="shared" si="69"/>
        <v>80</v>
      </c>
      <c r="BG92" s="21">
        <f t="shared" si="70"/>
        <v>3.4</v>
      </c>
      <c r="BH92" s="124">
        <f t="shared" si="71"/>
        <v>0</v>
      </c>
      <c r="BI92" s="124">
        <f t="shared" ref="BI92:BI121" si="80">IF(ISBLANK(L5),"",IF(AQ5&gt;0.4,1,0))</f>
        <v>0</v>
      </c>
      <c r="BJ92" s="144">
        <f t="shared" si="72"/>
        <v>0</v>
      </c>
      <c r="BL92" s="99">
        <v>2</v>
      </c>
    </row>
    <row r="93" spans="1:64" ht="12.75" x14ac:dyDescent="0.2">
      <c r="A93" s="8">
        <f t="shared" si="36"/>
        <v>18</v>
      </c>
      <c r="B93" s="125">
        <f t="shared" si="37"/>
        <v>3.6</v>
      </c>
      <c r="C93" s="125">
        <f t="shared" si="38"/>
        <v>10.4</v>
      </c>
      <c r="D93" s="125">
        <f t="shared" si="73"/>
        <v>7</v>
      </c>
      <c r="E93" s="125">
        <f t="shared" si="39"/>
        <v>6.8000000000000007</v>
      </c>
      <c r="F93" s="7">
        <v>2.6749999999999998</v>
      </c>
      <c r="G93" s="7">
        <v>9.0812500000000007</v>
      </c>
      <c r="H93" s="7">
        <f t="shared" si="74"/>
        <v>5.8781250000000007</v>
      </c>
      <c r="I93" s="7">
        <f t="shared" si="75"/>
        <v>6.4062500000000009</v>
      </c>
      <c r="K93" s="7">
        <f t="shared" si="40"/>
        <v>4.0999999999999996</v>
      </c>
      <c r="L93" s="7">
        <f t="shared" si="41"/>
        <v>1.95</v>
      </c>
      <c r="M93" s="370">
        <f t="shared" si="42"/>
        <v>6.8999999999999995</v>
      </c>
      <c r="N93" s="1">
        <f t="shared" si="43"/>
        <v>0</v>
      </c>
      <c r="O93" s="7">
        <f t="shared" si="44"/>
        <v>81.666666666666671</v>
      </c>
      <c r="P93" s="7">
        <f t="shared" si="45"/>
        <v>0.83333333333333337</v>
      </c>
      <c r="Q93" s="7">
        <f t="shared" si="46"/>
        <v>5</v>
      </c>
      <c r="R93" s="7">
        <f t="shared" si="47"/>
        <v>2.8666666666666667</v>
      </c>
      <c r="S93" s="7">
        <f t="shared" si="48"/>
        <v>4.166666666666667</v>
      </c>
      <c r="T93" s="1">
        <v>34</v>
      </c>
      <c r="U93" s="333">
        <f t="shared" si="49"/>
        <v>1.6451612903225807</v>
      </c>
      <c r="V93" s="4">
        <v>3</v>
      </c>
      <c r="W93" s="7">
        <f t="shared" si="50"/>
        <v>0.81900000000000006</v>
      </c>
      <c r="X93" s="7">
        <f t="shared" si="51"/>
        <v>9.282</v>
      </c>
      <c r="Y93" s="8">
        <f t="shared" si="52"/>
        <v>1</v>
      </c>
      <c r="Z93" s="7">
        <f>IF(ISBLANK(Z6),NA(),SUM($Z$4:Z6))</f>
        <v>0</v>
      </c>
      <c r="AA93" s="7">
        <f t="shared" si="76"/>
        <v>4.935483870967742</v>
      </c>
      <c r="AB93" s="26">
        <f>IF(ISBLANK(Z6),"",SUM($Z$4:Z6))</f>
        <v>0</v>
      </c>
      <c r="AC93" s="115">
        <f t="shared" si="77"/>
        <v>0</v>
      </c>
      <c r="AD93" s="8">
        <f t="shared" si="53"/>
        <v>1036</v>
      </c>
      <c r="AE93" s="610">
        <f t="shared" si="54"/>
        <v>0.64267527219883192</v>
      </c>
      <c r="AF93" s="141">
        <f t="shared" si="55"/>
        <v>0.40972222222222227</v>
      </c>
      <c r="AG93" s="22">
        <f>IF(ISBLANK(AP6),NA(),SUM($AP$4:AP6))</f>
        <v>6</v>
      </c>
      <c r="AH93" s="7">
        <f>SUM($AS$91:AS93)</f>
        <v>9.3359745730869044</v>
      </c>
      <c r="AI93" s="115">
        <f t="shared" si="56"/>
        <v>0.64267527219883192</v>
      </c>
      <c r="AJ93" s="124">
        <f t="shared" si="57"/>
        <v>0</v>
      </c>
      <c r="AK93" s="8">
        <f t="shared" si="58"/>
        <v>1034.5</v>
      </c>
      <c r="AL93" s="124">
        <f t="shared" si="59"/>
        <v>0</v>
      </c>
      <c r="AM93" s="141">
        <f t="shared" si="60"/>
        <v>0.70833333333333337</v>
      </c>
      <c r="AN93" s="150">
        <f>COUNTIF(E72:E80, "&lt;-0.5")</f>
        <v>0</v>
      </c>
      <c r="AO93" s="141">
        <f t="shared" si="61"/>
        <v>0.62847222222222221</v>
      </c>
      <c r="AP93" s="59" t="s">
        <v>206</v>
      </c>
      <c r="AQ93" s="447">
        <v>0.11799999999999999</v>
      </c>
      <c r="AR93" s="141">
        <f t="shared" si="62"/>
        <v>2.0833333333333332E-2</v>
      </c>
      <c r="AS93" s="7">
        <f t="shared" si="63"/>
        <v>3.1313246704357827</v>
      </c>
      <c r="AT93" s="7">
        <v>9.86206385308442</v>
      </c>
      <c r="AU93" s="4">
        <v>3</v>
      </c>
      <c r="AV93" s="127">
        <f t="shared" si="64"/>
        <v>0</v>
      </c>
      <c r="AW93" s="124">
        <f t="shared" si="78"/>
        <v>1</v>
      </c>
      <c r="AX93" s="124">
        <f t="shared" si="79"/>
        <v>0</v>
      </c>
      <c r="AY93" s="124">
        <f t="shared" si="65"/>
        <v>1</v>
      </c>
      <c r="AZ93" s="125">
        <f t="shared" si="66"/>
        <v>5.2</v>
      </c>
      <c r="BA93" s="125">
        <f t="shared" si="67"/>
        <v>4.7333333333333325</v>
      </c>
      <c r="BB93" s="125">
        <f t="shared" si="68"/>
        <v>9.2666666666666675</v>
      </c>
      <c r="BC93" s="7">
        <v>3.7427083333333342</v>
      </c>
      <c r="BD93" s="7">
        <v>8.0135416666666668</v>
      </c>
      <c r="BE93" s="124"/>
      <c r="BF93" s="8">
        <f t="shared" si="69"/>
        <v>83</v>
      </c>
      <c r="BG93" s="21">
        <f t="shared" si="70"/>
        <v>1.8</v>
      </c>
      <c r="BH93" s="124">
        <f t="shared" si="71"/>
        <v>0</v>
      </c>
      <c r="BI93" s="124">
        <f t="shared" si="80"/>
        <v>0</v>
      </c>
      <c r="BJ93" s="144">
        <f t="shared" si="72"/>
        <v>0</v>
      </c>
      <c r="BL93" s="99">
        <v>3</v>
      </c>
    </row>
    <row r="94" spans="1:64" ht="12.75" x14ac:dyDescent="0.2">
      <c r="A94" s="8">
        <f t="shared" si="36"/>
        <v>18</v>
      </c>
      <c r="B94" s="125">
        <f t="shared" si="37"/>
        <v>3.6</v>
      </c>
      <c r="C94" s="125">
        <f t="shared" si="38"/>
        <v>10.4</v>
      </c>
      <c r="D94" s="125">
        <f t="shared" si="73"/>
        <v>7</v>
      </c>
      <c r="E94" s="125">
        <f t="shared" si="39"/>
        <v>6.8000000000000007</v>
      </c>
      <c r="F94" s="7">
        <v>2.7</v>
      </c>
      <c r="G94" s="7">
        <v>9.1750000000000007</v>
      </c>
      <c r="H94" s="7">
        <f t="shared" si="74"/>
        <v>5.9375</v>
      </c>
      <c r="I94" s="7">
        <f t="shared" si="75"/>
        <v>6.4750000000000005</v>
      </c>
      <c r="K94" s="7">
        <f t="shared" si="40"/>
        <v>5.9</v>
      </c>
      <c r="L94" s="7">
        <f t="shared" si="41"/>
        <v>3.55</v>
      </c>
      <c r="M94" s="370">
        <f t="shared" si="42"/>
        <v>6.2750000000000004</v>
      </c>
      <c r="N94" s="1">
        <f t="shared" si="43"/>
        <v>0</v>
      </c>
      <c r="O94" s="7">
        <f t="shared" si="44"/>
        <v>80.25</v>
      </c>
      <c r="P94" s="7">
        <f t="shared" si="45"/>
        <v>0.77500000000000002</v>
      </c>
      <c r="Q94" s="7">
        <f t="shared" si="46"/>
        <v>5.375</v>
      </c>
      <c r="R94" s="7">
        <f t="shared" si="47"/>
        <v>2.875</v>
      </c>
      <c r="S94" s="7">
        <f t="shared" si="48"/>
        <v>4.5999999999999996</v>
      </c>
      <c r="T94" s="1">
        <v>35</v>
      </c>
      <c r="U94" s="333">
        <f t="shared" si="49"/>
        <v>1.6451612903225807</v>
      </c>
      <c r="V94" s="4">
        <v>4</v>
      </c>
      <c r="W94" s="7">
        <f t="shared" si="50"/>
        <v>1.0920000000000001</v>
      </c>
      <c r="X94" s="7">
        <f t="shared" si="51"/>
        <v>9.5550000000000015</v>
      </c>
      <c r="Y94" s="8">
        <f t="shared" si="52"/>
        <v>4</v>
      </c>
      <c r="Z94" s="7">
        <f>IF(ISBLANK(Z7),NA(),SUM($Z$4:Z7))</f>
        <v>0</v>
      </c>
      <c r="AA94" s="7">
        <f t="shared" si="76"/>
        <v>6.580645161290323</v>
      </c>
      <c r="AB94" s="26">
        <f>IF(ISBLANK(Z7),"",SUM($Z$4:Z7))</f>
        <v>0</v>
      </c>
      <c r="AC94" s="115">
        <f t="shared" si="77"/>
        <v>0</v>
      </c>
      <c r="AD94" s="8">
        <f t="shared" si="53"/>
        <v>1035.25</v>
      </c>
      <c r="AE94" s="610">
        <f t="shared" si="54"/>
        <v>0.92097975631934337</v>
      </c>
      <c r="AF94" s="141">
        <f t="shared" si="55"/>
        <v>0.15625</v>
      </c>
      <c r="AG94" s="22">
        <f>IF(ISBLANK(AP7),NA(),SUM($AP$4:AP7))</f>
        <v>11.5</v>
      </c>
      <c r="AH94" s="7">
        <f>SUM($AS$91:AS94)</f>
        <v>12.486702254954293</v>
      </c>
      <c r="AI94" s="115">
        <f t="shared" si="56"/>
        <v>0.92097975631934337</v>
      </c>
      <c r="AJ94" s="124">
        <f t="shared" si="57"/>
        <v>0</v>
      </c>
      <c r="AK94" s="8">
        <f t="shared" si="58"/>
        <v>1033</v>
      </c>
      <c r="AL94" s="124">
        <f t="shared" si="59"/>
        <v>0</v>
      </c>
      <c r="AM94" s="141">
        <f t="shared" si="60"/>
        <v>0.67708333333333337</v>
      </c>
      <c r="AN94" s="141">
        <f t="array" ref="AN94">MAX(FREQUENCY(IF(BI91:BI121=1,ROW(91:121)),IF(BI91:BI121&lt;&gt;1,ROW(91:121))))</f>
        <v>3</v>
      </c>
      <c r="AO94" s="141">
        <f t="shared" si="61"/>
        <v>0.66666666666666663</v>
      </c>
      <c r="AP94" s="449" t="s">
        <v>105</v>
      </c>
      <c r="AQ94" s="448">
        <v>0.13</v>
      </c>
      <c r="AR94" s="141">
        <f t="shared" si="62"/>
        <v>0.28125</v>
      </c>
      <c r="AS94" s="7">
        <f t="shared" si="63"/>
        <v>3.1507276818673886</v>
      </c>
      <c r="AT94" s="7">
        <v>9.9231733699247773</v>
      </c>
      <c r="AU94" s="4">
        <v>4</v>
      </c>
      <c r="AV94" s="127">
        <f t="shared" si="64"/>
        <v>1</v>
      </c>
      <c r="AW94" s="124">
        <f t="shared" si="78"/>
        <v>1</v>
      </c>
      <c r="AX94" s="124">
        <f t="shared" si="79"/>
        <v>0</v>
      </c>
      <c r="AY94" s="124">
        <f t="shared" si="65"/>
        <v>1</v>
      </c>
      <c r="AZ94" s="125">
        <f t="shared" si="66"/>
        <v>5.2</v>
      </c>
      <c r="BA94" s="125">
        <f t="shared" si="67"/>
        <v>4.7333333333333325</v>
      </c>
      <c r="BB94" s="125">
        <f t="shared" si="68"/>
        <v>9.2666666666666675</v>
      </c>
      <c r="BC94" s="7">
        <v>3.7791666666666663</v>
      </c>
      <c r="BD94" s="7">
        <v>8.0958333333333332</v>
      </c>
      <c r="BE94" s="124"/>
      <c r="BF94" s="8">
        <f t="shared" si="69"/>
        <v>76</v>
      </c>
      <c r="BG94" s="21">
        <f t="shared" si="70"/>
        <v>2.9</v>
      </c>
      <c r="BH94" s="124">
        <f t="shared" si="71"/>
        <v>0</v>
      </c>
      <c r="BI94" s="124">
        <f t="shared" si="80"/>
        <v>0</v>
      </c>
      <c r="BJ94" s="144">
        <f t="shared" si="72"/>
        <v>0</v>
      </c>
      <c r="BL94" s="99">
        <v>4</v>
      </c>
    </row>
    <row r="95" spans="1:64" ht="12.75" x14ac:dyDescent="0.2">
      <c r="A95" s="8">
        <f t="shared" si="36"/>
        <v>21</v>
      </c>
      <c r="B95" s="125">
        <f t="shared" si="37"/>
        <v>3.6</v>
      </c>
      <c r="C95" s="125">
        <f t="shared" si="38"/>
        <v>10.4</v>
      </c>
      <c r="D95" s="125">
        <f t="shared" si="73"/>
        <v>7</v>
      </c>
      <c r="E95" s="125">
        <f t="shared" si="39"/>
        <v>6.8000000000000007</v>
      </c>
      <c r="F95" s="7">
        <v>2.75</v>
      </c>
      <c r="G95" s="7">
        <v>9.3625000000000007</v>
      </c>
      <c r="H95" s="7">
        <f t="shared" si="74"/>
        <v>6.0562500000000004</v>
      </c>
      <c r="I95" s="7">
        <f t="shared" si="75"/>
        <v>6.6125000000000007</v>
      </c>
      <c r="K95" s="7">
        <f t="shared" si="40"/>
        <v>6.6</v>
      </c>
      <c r="L95" s="7">
        <f t="shared" si="41"/>
        <v>4</v>
      </c>
      <c r="M95" s="370">
        <f t="shared" si="42"/>
        <v>6.0600000000000005</v>
      </c>
      <c r="N95" s="1">
        <f t="shared" si="43"/>
        <v>3.3333333333333333E-2</v>
      </c>
      <c r="O95" s="7">
        <f t="shared" si="44"/>
        <v>80.400000000000006</v>
      </c>
      <c r="P95" s="7">
        <f t="shared" si="45"/>
        <v>0.76</v>
      </c>
      <c r="Q95" s="7">
        <f t="shared" si="46"/>
        <v>5.76</v>
      </c>
      <c r="R95" s="7">
        <f t="shared" si="47"/>
        <v>3.06</v>
      </c>
      <c r="S95" s="7">
        <f t="shared" si="48"/>
        <v>5</v>
      </c>
      <c r="T95" s="1">
        <v>36</v>
      </c>
      <c r="U95" s="333">
        <f t="shared" si="49"/>
        <v>1.6451612903225807</v>
      </c>
      <c r="V95" s="4">
        <v>5</v>
      </c>
      <c r="W95" s="7">
        <f t="shared" si="50"/>
        <v>1.3650000000000002</v>
      </c>
      <c r="X95" s="7">
        <f t="shared" si="51"/>
        <v>9.8280000000000012</v>
      </c>
      <c r="Y95" s="8">
        <f t="shared" si="52"/>
        <v>3</v>
      </c>
      <c r="Z95" s="7">
        <f>IF(ISBLANK(Z8),NA(),SUM($Z$4:Z8))</f>
        <v>0.1</v>
      </c>
      <c r="AA95" s="7">
        <f t="shared" si="76"/>
        <v>8.2258064516129039</v>
      </c>
      <c r="AB95" s="26">
        <f>IF(ISBLANK(Z8),"",SUM($Z$4:Z8))</f>
        <v>0.1</v>
      </c>
      <c r="AC95" s="115">
        <f t="shared" si="77"/>
        <v>1.215686274509804E-2</v>
      </c>
      <c r="AD95" s="8">
        <f t="shared" si="53"/>
        <v>1034.3</v>
      </c>
      <c r="AE95" s="610">
        <f t="shared" si="54"/>
        <v>0.79837100447393239</v>
      </c>
      <c r="AF95" s="141" t="e">
        <f t="shared" si="55"/>
        <v>#N/A</v>
      </c>
      <c r="AG95" s="22">
        <f>IF(ISBLANK(AP8),NA(),SUM($AP$4:AP8))</f>
        <v>12.5</v>
      </c>
      <c r="AH95" s="7">
        <f>SUM($AS$91:AS95)</f>
        <v>15.656881236858769</v>
      </c>
      <c r="AI95" s="115">
        <f t="shared" si="56"/>
        <v>0.79837100447393239</v>
      </c>
      <c r="AJ95" s="124">
        <f t="shared" si="57"/>
        <v>0</v>
      </c>
      <c r="AK95" s="8">
        <f t="shared" si="58"/>
        <v>1030.5</v>
      </c>
      <c r="AL95" s="124">
        <f t="shared" si="59"/>
        <v>0</v>
      </c>
      <c r="AM95" s="141">
        <f t="shared" si="60"/>
        <v>0.625</v>
      </c>
      <c r="AN95" s="141">
        <f t="array" ref="AN95">MAX(FREQUENCY(IF(BI91:BI121=0,ROW(91:121)),IF(BI91:BI121&lt;&gt;0,ROW(91:121))))</f>
        <v>12</v>
      </c>
      <c r="AO95" s="141">
        <f t="shared" si="61"/>
        <v>0.61458333333333337</v>
      </c>
      <c r="AP95" s="449" t="s">
        <v>207</v>
      </c>
      <c r="AQ95" s="448">
        <v>0.14099999999999999</v>
      </c>
      <c r="AR95" s="141">
        <f t="shared" si="62"/>
        <v>0.28125</v>
      </c>
      <c r="AS95" s="7">
        <f t="shared" si="63"/>
        <v>3.1701789819044754</v>
      </c>
      <c r="AT95" s="7">
        <v>9.98443497106196</v>
      </c>
      <c r="AU95" s="4">
        <v>5</v>
      </c>
      <c r="AV95" s="127">
        <f t="shared" si="64"/>
        <v>0</v>
      </c>
      <c r="AW95" s="124">
        <f t="shared" si="78"/>
        <v>0</v>
      </c>
      <c r="AX95" s="124">
        <f t="shared" si="79"/>
        <v>0</v>
      </c>
      <c r="AY95" s="124">
        <f t="shared" si="65"/>
        <v>1</v>
      </c>
      <c r="AZ95" s="125">
        <f t="shared" si="66"/>
        <v>5.2</v>
      </c>
      <c r="BA95" s="125">
        <f t="shared" si="67"/>
        <v>4.7333333333333325</v>
      </c>
      <c r="BB95" s="125">
        <f t="shared" si="68"/>
        <v>9.2666666666666675</v>
      </c>
      <c r="BC95" s="7">
        <v>3.8520833333333333</v>
      </c>
      <c r="BD95" s="7">
        <v>8.2604166666666679</v>
      </c>
      <c r="BE95" s="124"/>
      <c r="BF95" s="8">
        <f t="shared" si="69"/>
        <v>81</v>
      </c>
      <c r="BG95" s="21">
        <f t="shared" si="70"/>
        <v>3.8</v>
      </c>
      <c r="BH95" s="124">
        <f t="shared" si="71"/>
        <v>0</v>
      </c>
      <c r="BI95" s="124">
        <f t="shared" si="80"/>
        <v>0</v>
      </c>
      <c r="BJ95" s="144">
        <f t="shared" si="72"/>
        <v>3.3333333333333333E-2</v>
      </c>
      <c r="BL95" s="99">
        <v>5</v>
      </c>
    </row>
    <row r="96" spans="1:64" ht="12.75" x14ac:dyDescent="0.2">
      <c r="A96" s="8">
        <f t="shared" si="36"/>
        <v>20</v>
      </c>
      <c r="B96" s="125">
        <f t="shared" si="37"/>
        <v>3.6</v>
      </c>
      <c r="C96" s="125">
        <f t="shared" si="38"/>
        <v>10.4</v>
      </c>
      <c r="D96" s="125">
        <f t="shared" si="73"/>
        <v>7</v>
      </c>
      <c r="E96" s="125">
        <f t="shared" si="39"/>
        <v>6.8000000000000007</v>
      </c>
      <c r="F96" s="7">
        <v>2.838461538461539</v>
      </c>
      <c r="G96" s="7">
        <v>9.4576923076923087</v>
      </c>
      <c r="H96" s="7">
        <f t="shared" si="74"/>
        <v>6.1480769230769239</v>
      </c>
      <c r="I96" s="7">
        <f t="shared" si="75"/>
        <v>6.6192307692307697</v>
      </c>
      <c r="K96" s="7">
        <f t="shared" si="40"/>
        <v>3.2</v>
      </c>
      <c r="L96" s="7">
        <f t="shared" si="41"/>
        <v>4.4000000000000004</v>
      </c>
      <c r="M96" s="370">
        <f t="shared" si="42"/>
        <v>6.333333333333333</v>
      </c>
      <c r="N96" s="1">
        <f t="shared" si="43"/>
        <v>0</v>
      </c>
      <c r="O96" s="7">
        <f t="shared" si="44"/>
        <v>78.333333333333329</v>
      </c>
      <c r="P96" s="7">
        <f t="shared" si="45"/>
        <v>1.0999999999999999</v>
      </c>
      <c r="Q96" s="7">
        <f t="shared" si="46"/>
        <v>5.8</v>
      </c>
      <c r="R96" s="7">
        <f t="shared" si="47"/>
        <v>3.2333333333333329</v>
      </c>
      <c r="S96" s="7">
        <f t="shared" si="48"/>
        <v>4.7</v>
      </c>
      <c r="T96" s="1">
        <v>37</v>
      </c>
      <c r="U96" s="333">
        <f t="shared" si="49"/>
        <v>1.6451612903225807</v>
      </c>
      <c r="V96" s="4">
        <v>6</v>
      </c>
      <c r="W96" s="7">
        <f t="shared" si="50"/>
        <v>1.6380000000000001</v>
      </c>
      <c r="X96" s="7">
        <f t="shared" si="51"/>
        <v>10.101000000000001</v>
      </c>
      <c r="Y96" s="8">
        <f t="shared" si="52"/>
        <v>2</v>
      </c>
      <c r="Z96" s="7">
        <f>IF(ISBLANK(Z9),NA(),SUM($Z$4:Z9))</f>
        <v>0.1</v>
      </c>
      <c r="AA96" s="7">
        <f t="shared" si="76"/>
        <v>9.870967741935484</v>
      </c>
      <c r="AB96" s="26">
        <f>IF(ISBLANK(Z9),"",SUM($Z$4:Z9))</f>
        <v>0.1</v>
      </c>
      <c r="AC96" s="115">
        <f t="shared" si="77"/>
        <v>1.0130718954248366E-2</v>
      </c>
      <c r="AD96" s="8">
        <f t="shared" si="53"/>
        <v>1033.9166666666667</v>
      </c>
      <c r="AE96" s="610">
        <f t="shared" si="54"/>
        <v>0.74284126655510208</v>
      </c>
      <c r="AF96" s="141">
        <f t="shared" si="55"/>
        <v>3.4722222222222224E-2</v>
      </c>
      <c r="AG96" s="22">
        <f>IF(ISBLANK(AP9),NA(),SUM($AP$4:AP9))</f>
        <v>14</v>
      </c>
      <c r="AH96" s="7">
        <f>SUM($AS$91:AS96)</f>
        <v>18.846556633726696</v>
      </c>
      <c r="AI96" s="115">
        <f t="shared" si="56"/>
        <v>0.74284126655510208</v>
      </c>
      <c r="AJ96" s="124">
        <f t="shared" si="57"/>
        <v>0</v>
      </c>
      <c r="AK96" s="8">
        <f t="shared" si="58"/>
        <v>1032</v>
      </c>
      <c r="AL96" s="124">
        <f t="shared" si="59"/>
        <v>0</v>
      </c>
      <c r="AM96" s="141">
        <f t="shared" si="60"/>
        <v>0.66319444444444442</v>
      </c>
      <c r="AN96" s="124">
        <f>COUNTIF(AU50:AU60, "&lt;-0.5")</f>
        <v>1</v>
      </c>
      <c r="AO96" s="141">
        <f t="shared" si="61"/>
        <v>0.54513888888888895</v>
      </c>
      <c r="AP96" s="449" t="s">
        <v>106</v>
      </c>
      <c r="AQ96" s="448">
        <v>8.1000000000000003E-2</v>
      </c>
      <c r="AR96" s="141">
        <f t="shared" si="62"/>
        <v>0.30555555555555552</v>
      </c>
      <c r="AS96" s="7">
        <f t="shared" si="63"/>
        <v>3.1896753968679277</v>
      </c>
      <c r="AT96" s="7">
        <v>10.04583866103737</v>
      </c>
      <c r="AU96" s="4">
        <v>6</v>
      </c>
      <c r="AV96" s="127">
        <f t="shared" si="64"/>
        <v>0</v>
      </c>
      <c r="AW96" s="124">
        <f t="shared" si="78"/>
        <v>0</v>
      </c>
      <c r="AX96" s="124">
        <f t="shared" si="79"/>
        <v>0</v>
      </c>
      <c r="AY96" s="124">
        <f t="shared" si="65"/>
        <v>1</v>
      </c>
      <c r="AZ96" s="125">
        <f t="shared" si="66"/>
        <v>5.2</v>
      </c>
      <c r="BA96" s="125">
        <f t="shared" si="67"/>
        <v>4.7333333333333325</v>
      </c>
      <c r="BB96" s="125">
        <f t="shared" si="68"/>
        <v>9.2666666666666675</v>
      </c>
      <c r="BC96" s="7">
        <v>3.9416666666666673</v>
      </c>
      <c r="BD96" s="7">
        <v>8.3544871794871796</v>
      </c>
      <c r="BE96" s="124"/>
      <c r="BF96" s="8">
        <f t="shared" si="69"/>
        <v>68</v>
      </c>
      <c r="BG96" s="21">
        <f t="shared" si="70"/>
        <v>4.0999999999999996</v>
      </c>
      <c r="BH96" s="124">
        <f t="shared" si="71"/>
        <v>0</v>
      </c>
      <c r="BI96" s="124">
        <f t="shared" si="80"/>
        <v>0</v>
      </c>
      <c r="BJ96" s="144">
        <f t="shared" si="72"/>
        <v>0</v>
      </c>
      <c r="BL96" s="99">
        <v>6</v>
      </c>
    </row>
    <row r="97" spans="1:64" ht="12.75" x14ac:dyDescent="0.2">
      <c r="A97" s="8">
        <f t="shared" si="36"/>
        <v>44</v>
      </c>
      <c r="B97" s="125">
        <f t="shared" si="37"/>
        <v>3.6</v>
      </c>
      <c r="C97" s="125">
        <f t="shared" si="38"/>
        <v>10.4</v>
      </c>
      <c r="D97" s="125">
        <f t="shared" si="73"/>
        <v>7</v>
      </c>
      <c r="E97" s="125">
        <f t="shared" si="39"/>
        <v>6.8000000000000007</v>
      </c>
      <c r="F97" s="7">
        <v>2.9269230769230776</v>
      </c>
      <c r="G97" s="7">
        <v>9.5528846153846168</v>
      </c>
      <c r="H97" s="7">
        <f t="shared" si="74"/>
        <v>6.2399038461538474</v>
      </c>
      <c r="I97" s="7">
        <f t="shared" si="75"/>
        <v>6.6259615384615387</v>
      </c>
      <c r="K97" s="7">
        <f t="shared" si="40"/>
        <v>7.8999999999999995</v>
      </c>
      <c r="L97" s="7">
        <f t="shared" si="41"/>
        <v>4.6499999999999995</v>
      </c>
      <c r="M97" s="370">
        <f t="shared" si="42"/>
        <v>6.0857142857142863</v>
      </c>
      <c r="N97" s="1">
        <f t="shared" si="43"/>
        <v>0</v>
      </c>
      <c r="O97" s="7">
        <f t="shared" si="44"/>
        <v>76.142857142857139</v>
      </c>
      <c r="P97" s="7">
        <f t="shared" si="45"/>
        <v>1.0428571428571429</v>
      </c>
      <c r="Q97" s="7">
        <f t="shared" si="46"/>
        <v>6.2</v>
      </c>
      <c r="R97" s="7">
        <f t="shared" si="47"/>
        <v>3.3857142857142857</v>
      </c>
      <c r="S97" s="7">
        <f t="shared" si="48"/>
        <v>5.1571428571428575</v>
      </c>
      <c r="T97" s="1">
        <v>38</v>
      </c>
      <c r="U97" s="333">
        <f t="shared" si="49"/>
        <v>1.6451612903225807</v>
      </c>
      <c r="V97" s="4">
        <v>7</v>
      </c>
      <c r="W97" s="7">
        <f t="shared" si="50"/>
        <v>1.911</v>
      </c>
      <c r="X97" s="7">
        <f t="shared" si="51"/>
        <v>10.374000000000001</v>
      </c>
      <c r="Y97" s="8">
        <f t="shared" si="52"/>
        <v>7</v>
      </c>
      <c r="Z97" s="7">
        <f>IF(ISBLANK(Z10),NA(),SUM($Z$4:Z10))</f>
        <v>0.1</v>
      </c>
      <c r="AA97" s="7">
        <f t="shared" si="76"/>
        <v>11.516129032258066</v>
      </c>
      <c r="AB97" s="26">
        <f>IF(ISBLANK(Z10),"",SUM($Z$4:Z10))</f>
        <v>0.1</v>
      </c>
      <c r="AC97" s="115">
        <f t="shared" si="77"/>
        <v>8.6834733893557409E-3</v>
      </c>
      <c r="AD97" s="8">
        <f t="shared" si="53"/>
        <v>1033.1428571428571</v>
      </c>
      <c r="AE97" s="610">
        <f t="shared" si="54"/>
        <v>1.092684566407079</v>
      </c>
      <c r="AF97" s="141">
        <f t="shared" si="55"/>
        <v>0.31597222222222221</v>
      </c>
      <c r="AG97" s="22">
        <f>IF(ISBLANK(AP10),NA(),SUM($AP$4:AP10))</f>
        <v>24.1</v>
      </c>
      <c r="AH97" s="7">
        <f>SUM($AS$91:AS97)</f>
        <v>22.055770476602085</v>
      </c>
      <c r="AI97" s="115">
        <f t="shared" si="56"/>
        <v>1.092684566407079</v>
      </c>
      <c r="AJ97" s="124">
        <f t="shared" si="57"/>
        <v>0</v>
      </c>
      <c r="AK97" s="8">
        <f t="shared" si="58"/>
        <v>1028.5</v>
      </c>
      <c r="AL97" s="124">
        <f t="shared" si="59"/>
        <v>0</v>
      </c>
      <c r="AM97" s="141">
        <f t="shared" si="60"/>
        <v>0.6875</v>
      </c>
      <c r="AN97" s="150">
        <f>COUNTIF(E48:E66,"&gt;0.5")</f>
        <v>5</v>
      </c>
      <c r="AO97" s="141">
        <f t="shared" si="61"/>
        <v>0.59722222222222221</v>
      </c>
      <c r="AP97" s="449" t="s">
        <v>208</v>
      </c>
      <c r="AQ97" s="448">
        <v>4.7E-2</v>
      </c>
      <c r="AR97" s="141">
        <f t="shared" si="62"/>
        <v>0.27083333333333331</v>
      </c>
      <c r="AS97" s="7">
        <f t="shared" si="63"/>
        <v>3.2092138428753896</v>
      </c>
      <c r="AT97" s="7">
        <v>10.107374727206075</v>
      </c>
      <c r="AU97" s="4">
        <v>7</v>
      </c>
      <c r="AV97" s="127">
        <f t="shared" si="64"/>
        <v>1</v>
      </c>
      <c r="AW97" s="124">
        <f t="shared" si="78"/>
        <v>0</v>
      </c>
      <c r="AX97" s="124">
        <f t="shared" si="79"/>
        <v>0</v>
      </c>
      <c r="AY97" s="124">
        <f t="shared" si="65"/>
        <v>1</v>
      </c>
      <c r="AZ97" s="125">
        <f t="shared" si="66"/>
        <v>5.2</v>
      </c>
      <c r="BA97" s="125">
        <f t="shared" si="67"/>
        <v>4.7333333333333325</v>
      </c>
      <c r="BB97" s="125">
        <f t="shared" si="68"/>
        <v>9.2666666666666675</v>
      </c>
      <c r="BC97" s="7">
        <v>4.03125</v>
      </c>
      <c r="BD97" s="7">
        <v>8.448557692307693</v>
      </c>
      <c r="BE97" s="124"/>
      <c r="BF97" s="8">
        <f t="shared" si="69"/>
        <v>63</v>
      </c>
      <c r="BG97" s="21">
        <f t="shared" si="70"/>
        <v>4.3</v>
      </c>
      <c r="BH97" s="124">
        <f t="shared" si="71"/>
        <v>0</v>
      </c>
      <c r="BI97" s="124">
        <f t="shared" si="80"/>
        <v>0</v>
      </c>
      <c r="BJ97" s="144">
        <f t="shared" si="72"/>
        <v>0</v>
      </c>
      <c r="BL97" s="99">
        <v>7</v>
      </c>
    </row>
    <row r="98" spans="1:64" ht="12.75" x14ac:dyDescent="0.2">
      <c r="A98" s="8">
        <f t="shared" si="36"/>
        <v>42</v>
      </c>
      <c r="B98" s="125">
        <f t="shared" si="37"/>
        <v>3.6</v>
      </c>
      <c r="C98" s="125">
        <f t="shared" si="38"/>
        <v>10.4</v>
      </c>
      <c r="D98" s="125">
        <f t="shared" si="73"/>
        <v>7</v>
      </c>
      <c r="E98" s="125">
        <f t="shared" si="39"/>
        <v>6.8000000000000007</v>
      </c>
      <c r="F98" s="7">
        <v>3.0153846153846162</v>
      </c>
      <c r="G98" s="7">
        <v>9.6480769230769248</v>
      </c>
      <c r="H98" s="7">
        <f t="shared" si="74"/>
        <v>6.3317307692307701</v>
      </c>
      <c r="I98" s="7">
        <f t="shared" si="75"/>
        <v>6.6326923076923086</v>
      </c>
      <c r="K98" s="7">
        <f t="shared" si="40"/>
        <v>14</v>
      </c>
      <c r="L98" s="7">
        <f t="shared" si="41"/>
        <v>4.4000000000000004</v>
      </c>
      <c r="M98" s="370">
        <f t="shared" si="42"/>
        <v>5.875</v>
      </c>
      <c r="N98" s="1">
        <f t="shared" si="43"/>
        <v>0</v>
      </c>
      <c r="O98" s="7">
        <f t="shared" si="44"/>
        <v>75.125</v>
      </c>
      <c r="P98" s="7">
        <f t="shared" si="45"/>
        <v>0.58749999999999991</v>
      </c>
      <c r="Q98" s="7">
        <f t="shared" si="46"/>
        <v>6.85</v>
      </c>
      <c r="R98" s="7">
        <f t="shared" si="47"/>
        <v>3.5750000000000002</v>
      </c>
      <c r="S98" s="7">
        <f t="shared" si="48"/>
        <v>6.2625000000000002</v>
      </c>
      <c r="T98" s="1">
        <v>39</v>
      </c>
      <c r="U98" s="333">
        <f t="shared" si="49"/>
        <v>1.6451612903225807</v>
      </c>
      <c r="V98" s="4">
        <v>8</v>
      </c>
      <c r="W98" s="7">
        <f t="shared" si="50"/>
        <v>2.1840000000000002</v>
      </c>
      <c r="X98" s="7">
        <f t="shared" si="51"/>
        <v>10.647</v>
      </c>
      <c r="Y98" s="8">
        <f t="shared" si="52"/>
        <v>10</v>
      </c>
      <c r="Z98" s="7">
        <f>IF(ISBLANK(Z11),NA(),SUM($Z$4:Z11))</f>
        <v>0.1</v>
      </c>
      <c r="AA98" s="7">
        <f t="shared" si="76"/>
        <v>13.161290322580646</v>
      </c>
      <c r="AB98" s="26">
        <f>IF(ISBLANK(Z11),"",SUM($Z$4:Z11))</f>
        <v>0.1</v>
      </c>
      <c r="AC98" s="115">
        <f t="shared" si="77"/>
        <v>7.5980392156862744E-3</v>
      </c>
      <c r="AD98" s="8">
        <f t="shared" si="53"/>
        <v>1031.5</v>
      </c>
      <c r="AE98" s="610">
        <f t="shared" si="54"/>
        <v>1.3486490401993187</v>
      </c>
      <c r="AF98" s="141">
        <f t="shared" si="55"/>
        <v>0.34722222222222227</v>
      </c>
      <c r="AG98" s="22">
        <f>IF(ISBLANK(AP11),NA(),SUM($AP$4:AP11))</f>
        <v>34.1</v>
      </c>
      <c r="AH98" s="7">
        <f>SUM($AS$91:AS98)</f>
        <v>25.284561797456448</v>
      </c>
      <c r="AI98" s="115">
        <f t="shared" si="56"/>
        <v>1.3486490401993187</v>
      </c>
      <c r="AJ98" s="124">
        <f t="shared" si="57"/>
        <v>0</v>
      </c>
      <c r="AK98" s="8">
        <f t="shared" si="58"/>
        <v>1020</v>
      </c>
      <c r="AL98" s="124">
        <f t="shared" si="59"/>
        <v>0</v>
      </c>
      <c r="AM98" s="141">
        <f t="shared" si="60"/>
        <v>0.63888888888888895</v>
      </c>
      <c r="AN98" s="150">
        <f>COUNTIF(E72:E80, "&gt;0.5")</f>
        <v>0</v>
      </c>
      <c r="AO98" s="141">
        <f t="shared" si="61"/>
        <v>0.62847222222222221</v>
      </c>
      <c r="AP98" s="449" t="s">
        <v>112</v>
      </c>
      <c r="AQ98" s="448">
        <v>0.02</v>
      </c>
      <c r="AR98" s="141">
        <f t="shared" si="62"/>
        <v>0.27777777777777779</v>
      </c>
      <c r="AS98" s="7">
        <f t="shared" si="63"/>
        <v>3.2287913208543646</v>
      </c>
      <c r="AT98" s="7">
        <v>10.169033724030616</v>
      </c>
      <c r="AU98" s="4">
        <v>8</v>
      </c>
      <c r="AV98" s="127">
        <f t="shared" si="64"/>
        <v>1</v>
      </c>
      <c r="AW98" s="124">
        <f t="shared" si="78"/>
        <v>0</v>
      </c>
      <c r="AX98" s="124">
        <f t="shared" si="79"/>
        <v>0</v>
      </c>
      <c r="AY98" s="124">
        <f t="shared" si="65"/>
        <v>1</v>
      </c>
      <c r="AZ98" s="125">
        <f t="shared" si="66"/>
        <v>5.2</v>
      </c>
      <c r="BA98" s="125">
        <f t="shared" si="67"/>
        <v>4.7333333333333325</v>
      </c>
      <c r="BB98" s="125">
        <f t="shared" si="68"/>
        <v>9.2666666666666675</v>
      </c>
      <c r="BC98" s="7">
        <v>4.1208333333333336</v>
      </c>
      <c r="BD98" s="7">
        <v>8.5426282051282065</v>
      </c>
      <c r="BE98" s="124"/>
      <c r="BF98" s="8">
        <f t="shared" si="69"/>
        <v>68</v>
      </c>
      <c r="BG98" s="21">
        <f t="shared" si="70"/>
        <v>4.9000000000000004</v>
      </c>
      <c r="BH98" s="124">
        <f t="shared" si="71"/>
        <v>0</v>
      </c>
      <c r="BI98" s="124">
        <f t="shared" si="80"/>
        <v>0</v>
      </c>
      <c r="BJ98" s="144">
        <f t="shared" si="72"/>
        <v>0</v>
      </c>
      <c r="BL98" s="99">
        <v>8</v>
      </c>
    </row>
    <row r="99" spans="1:64" ht="12.75" x14ac:dyDescent="0.2">
      <c r="A99" s="8">
        <f t="shared" si="36"/>
        <v>33</v>
      </c>
      <c r="B99" s="125">
        <f t="shared" si="37"/>
        <v>3.6</v>
      </c>
      <c r="C99" s="125">
        <f t="shared" si="38"/>
        <v>10.4</v>
      </c>
      <c r="D99" s="125">
        <f t="shared" si="73"/>
        <v>7</v>
      </c>
      <c r="E99" s="125">
        <f t="shared" si="39"/>
        <v>6.8000000000000007</v>
      </c>
      <c r="F99" s="7">
        <v>3.1038461538461548</v>
      </c>
      <c r="G99" s="7">
        <v>9.7432692307692328</v>
      </c>
      <c r="H99" s="7">
        <f t="shared" si="74"/>
        <v>6.4235576923076936</v>
      </c>
      <c r="I99" s="7">
        <f t="shared" si="75"/>
        <v>6.6394230769230784</v>
      </c>
      <c r="K99" s="7">
        <f t="shared" si="40"/>
        <v>6.1</v>
      </c>
      <c r="L99" s="7">
        <f t="shared" si="41"/>
        <v>7.45</v>
      </c>
      <c r="M99" s="370">
        <f t="shared" si="42"/>
        <v>5.9777777777777779</v>
      </c>
      <c r="N99" s="1">
        <f t="shared" si="43"/>
        <v>0</v>
      </c>
      <c r="O99" s="7">
        <f t="shared" si="44"/>
        <v>74.111111111111114</v>
      </c>
      <c r="P99" s="7">
        <f t="shared" si="45"/>
        <v>1.0111111111111111</v>
      </c>
      <c r="Q99" s="7">
        <f t="shared" si="46"/>
        <v>7.2555555555555555</v>
      </c>
      <c r="R99" s="7">
        <f t="shared" si="47"/>
        <v>4.0333333333333341</v>
      </c>
      <c r="S99" s="7">
        <f t="shared" si="48"/>
        <v>6.2444444444444445</v>
      </c>
      <c r="T99" s="1">
        <v>40</v>
      </c>
      <c r="U99" s="333">
        <f t="shared" si="49"/>
        <v>1.6451612903225807</v>
      </c>
      <c r="V99" s="4">
        <v>9</v>
      </c>
      <c r="W99" s="7">
        <f t="shared" si="50"/>
        <v>2.4570000000000003</v>
      </c>
      <c r="X99" s="7">
        <f t="shared" si="51"/>
        <v>10.920000000000002</v>
      </c>
      <c r="Y99" s="8">
        <f t="shared" si="52"/>
        <v>3</v>
      </c>
      <c r="Z99" s="7">
        <f>IF(ISBLANK(Z12),NA(),SUM($Z$4:Z12))</f>
        <v>0.1</v>
      </c>
      <c r="AA99" s="7">
        <f t="shared" si="76"/>
        <v>14.806451612903226</v>
      </c>
      <c r="AB99" s="26">
        <f>IF(ISBLANK(Z12),"",SUM($Z$4:Z12))</f>
        <v>0.1</v>
      </c>
      <c r="AC99" s="115">
        <f t="shared" si="77"/>
        <v>6.7538126361655773E-3</v>
      </c>
      <c r="AD99" s="8">
        <f t="shared" si="53"/>
        <v>1029.7222222222222</v>
      </c>
      <c r="AE99" s="610">
        <f t="shared" si="54"/>
        <v>1.30025035175689</v>
      </c>
      <c r="AF99" s="141">
        <f t="shared" si="55"/>
        <v>0.30208333333333331</v>
      </c>
      <c r="AG99" s="22">
        <f>IF(ISBLANK(AP12),NA(),SUM($AP$4:AP12))</f>
        <v>37.1</v>
      </c>
      <c r="AH99" s="7">
        <f>SUM($AS$91:AS99)</f>
        <v>28.532966708965485</v>
      </c>
      <c r="AI99" s="115">
        <f t="shared" si="56"/>
        <v>1.30025035175689</v>
      </c>
      <c r="AJ99" s="124">
        <f t="shared" si="57"/>
        <v>0</v>
      </c>
      <c r="AK99" s="8">
        <f t="shared" si="58"/>
        <v>1015.5</v>
      </c>
      <c r="AL99" s="124">
        <f t="shared" si="59"/>
        <v>0</v>
      </c>
      <c r="AM99" s="141">
        <f t="shared" si="60"/>
        <v>0.54166666666666663</v>
      </c>
      <c r="AN99" s="7">
        <f>I39/3</f>
        <v>2.2666666666666671</v>
      </c>
      <c r="AO99" s="141">
        <f t="shared" si="61"/>
        <v>0.59722222222222221</v>
      </c>
      <c r="AP99" s="449" t="s">
        <v>209</v>
      </c>
      <c r="AQ99" s="448">
        <v>1.4E-2</v>
      </c>
      <c r="AR99" s="141">
        <f t="shared" si="62"/>
        <v>9.7222222222222224E-2</v>
      </c>
      <c r="AS99" s="7">
        <f t="shared" si="63"/>
        <v>3.248404911509037</v>
      </c>
      <c r="AT99" s="7">
        <v>10.230806457229093</v>
      </c>
      <c r="AU99" s="4">
        <v>9</v>
      </c>
      <c r="AV99" s="127">
        <f t="shared" si="64"/>
        <v>1</v>
      </c>
      <c r="AW99" s="124">
        <f t="shared" si="78"/>
        <v>0</v>
      </c>
      <c r="AX99" s="124">
        <f t="shared" si="79"/>
        <v>0</v>
      </c>
      <c r="AY99" s="124">
        <f t="shared" si="65"/>
        <v>1</v>
      </c>
      <c r="AZ99" s="125">
        <f t="shared" si="66"/>
        <v>5.2</v>
      </c>
      <c r="BA99" s="125">
        <f t="shared" si="67"/>
        <v>4.7333333333333325</v>
      </c>
      <c r="BB99" s="125">
        <f t="shared" si="68"/>
        <v>9.2666666666666675</v>
      </c>
      <c r="BC99" s="7">
        <v>4.2104166666666671</v>
      </c>
      <c r="BD99" s="7">
        <v>8.63669871794872</v>
      </c>
      <c r="BE99" s="124"/>
      <c r="BF99" s="8">
        <f t="shared" si="69"/>
        <v>66</v>
      </c>
      <c r="BG99" s="21">
        <f t="shared" si="70"/>
        <v>7.7</v>
      </c>
      <c r="BH99" s="124">
        <f t="shared" si="71"/>
        <v>0</v>
      </c>
      <c r="BI99" s="124">
        <f t="shared" si="80"/>
        <v>0</v>
      </c>
      <c r="BJ99" s="144">
        <f t="shared" si="72"/>
        <v>0</v>
      </c>
      <c r="BL99" s="99">
        <v>9</v>
      </c>
    </row>
    <row r="100" spans="1:64" ht="12.75" x14ac:dyDescent="0.2">
      <c r="A100" s="8">
        <f t="shared" si="36"/>
        <v>26</v>
      </c>
      <c r="B100" s="125">
        <f t="shared" si="37"/>
        <v>3.6</v>
      </c>
      <c r="C100" s="125">
        <f t="shared" si="38"/>
        <v>10.4</v>
      </c>
      <c r="D100" s="125">
        <f t="shared" si="73"/>
        <v>7</v>
      </c>
      <c r="E100" s="125">
        <f t="shared" si="39"/>
        <v>6.8000000000000007</v>
      </c>
      <c r="F100" s="7">
        <v>3.1923076923076934</v>
      </c>
      <c r="G100" s="7">
        <v>9.8384615384615408</v>
      </c>
      <c r="H100" s="7">
        <f t="shared" si="74"/>
        <v>6.5153846153846171</v>
      </c>
      <c r="I100" s="7">
        <f t="shared" si="75"/>
        <v>6.6461538461538474</v>
      </c>
      <c r="K100" s="7">
        <f t="shared" si="40"/>
        <v>6.9999999999999991</v>
      </c>
      <c r="L100" s="7">
        <f t="shared" si="41"/>
        <v>9.1999999999999993</v>
      </c>
      <c r="M100" s="370">
        <f t="shared" si="42"/>
        <v>6.31</v>
      </c>
      <c r="N100" s="1">
        <f t="shared" si="43"/>
        <v>0</v>
      </c>
      <c r="O100" s="7">
        <f t="shared" si="44"/>
        <v>73.5</v>
      </c>
      <c r="P100" s="7">
        <f t="shared" si="45"/>
        <v>1.48</v>
      </c>
      <c r="Q100" s="7">
        <f t="shared" si="46"/>
        <v>7.8</v>
      </c>
      <c r="R100" s="7">
        <f t="shared" si="47"/>
        <v>4.5600000000000005</v>
      </c>
      <c r="S100" s="7">
        <f t="shared" si="48"/>
        <v>6.32</v>
      </c>
      <c r="T100" s="1">
        <v>41</v>
      </c>
      <c r="U100" s="333">
        <f t="shared" si="49"/>
        <v>1.6451612903225807</v>
      </c>
      <c r="V100" s="4">
        <v>10</v>
      </c>
      <c r="W100" s="7">
        <f t="shared" si="50"/>
        <v>2.7300000000000004</v>
      </c>
      <c r="X100" s="7">
        <f t="shared" si="51"/>
        <v>11.193000000000001</v>
      </c>
      <c r="Y100" s="8">
        <f t="shared" si="52"/>
        <v>6</v>
      </c>
      <c r="Z100" s="7">
        <f>IF(ISBLANK(Z13),NA(),SUM($Z$4:Z13))</f>
        <v>0.1</v>
      </c>
      <c r="AA100" s="7">
        <f t="shared" si="76"/>
        <v>16.451612903225808</v>
      </c>
      <c r="AB100" s="26">
        <f>IF(ISBLANK(Z13),"",SUM($Z$4:Z13))</f>
        <v>0.1</v>
      </c>
      <c r="AC100" s="115">
        <f t="shared" si="77"/>
        <v>6.0784313725490199E-3</v>
      </c>
      <c r="AD100" s="8">
        <f t="shared" si="53"/>
        <v>1027.95</v>
      </c>
      <c r="AE100" s="610">
        <f t="shared" si="54"/>
        <v>1.2137976029048219</v>
      </c>
      <c r="AF100" s="141">
        <f t="shared" si="55"/>
        <v>0.16666666666666666</v>
      </c>
      <c r="AG100" s="22">
        <f>IF(ISBLANK(AP13),NA(),SUM($AP$4:AP13))</f>
        <v>38.6</v>
      </c>
      <c r="AH100" s="7">
        <f>SUM($AS$91:AS100)</f>
        <v>31.801018479212441</v>
      </c>
      <c r="AI100" s="115">
        <f t="shared" si="56"/>
        <v>1.2137976029048219</v>
      </c>
      <c r="AJ100" s="124">
        <f t="shared" si="57"/>
        <v>0</v>
      </c>
      <c r="AK100" s="8">
        <f t="shared" si="58"/>
        <v>1012</v>
      </c>
      <c r="AL100" s="124">
        <f t="shared" si="59"/>
        <v>0</v>
      </c>
      <c r="AM100" s="141">
        <f t="shared" si="60"/>
        <v>0.70833333333333337</v>
      </c>
      <c r="AN100" s="150">
        <f>COUNTIF(E48:E66,"&lt;-0.5")</f>
        <v>3</v>
      </c>
      <c r="AO100" s="141">
        <f t="shared" si="61"/>
        <v>0.67361111111111116</v>
      </c>
      <c r="AP100" s="449" t="s">
        <v>111</v>
      </c>
      <c r="AQ100" s="448">
        <v>3.5999999999999997E-2</v>
      </c>
      <c r="AR100" s="141">
        <f t="shared" si="62"/>
        <v>4.1666666666666664E-2</v>
      </c>
      <c r="AS100" s="7">
        <f t="shared" si="63"/>
        <v>3.2680517702469549</v>
      </c>
      <c r="AT100" s="7">
        <v>10.292683967796821</v>
      </c>
      <c r="AU100" s="4">
        <v>10</v>
      </c>
      <c r="AV100" s="127">
        <f t="shared" si="64"/>
        <v>0</v>
      </c>
      <c r="AW100" s="124">
        <f t="shared" si="78"/>
        <v>0</v>
      </c>
      <c r="AX100" s="124">
        <f t="shared" si="79"/>
        <v>1</v>
      </c>
      <c r="AY100" s="124">
        <f t="shared" si="65"/>
        <v>0</v>
      </c>
      <c r="AZ100" s="125">
        <f t="shared" si="66"/>
        <v>5.2</v>
      </c>
      <c r="BA100" s="125">
        <f t="shared" si="67"/>
        <v>4.7333333333333325</v>
      </c>
      <c r="BB100" s="125">
        <f t="shared" si="68"/>
        <v>9.2666666666666675</v>
      </c>
      <c r="BC100" s="7">
        <v>4.3</v>
      </c>
      <c r="BD100" s="7">
        <v>8.7307692307692335</v>
      </c>
      <c r="BE100" s="124"/>
      <c r="BF100" s="8">
        <f t="shared" si="69"/>
        <v>68</v>
      </c>
      <c r="BG100" s="21">
        <f t="shared" si="70"/>
        <v>9.3000000000000007</v>
      </c>
      <c r="BH100" s="124">
        <f t="shared" si="71"/>
        <v>0</v>
      </c>
      <c r="BI100" s="124">
        <f t="shared" si="80"/>
        <v>0</v>
      </c>
      <c r="BJ100" s="144">
        <f t="shared" si="72"/>
        <v>0</v>
      </c>
      <c r="BL100" s="99">
        <v>10</v>
      </c>
    </row>
    <row r="101" spans="1:64" ht="12.75" x14ac:dyDescent="0.2">
      <c r="A101" s="8">
        <f t="shared" si="36"/>
        <v>32</v>
      </c>
      <c r="B101" s="125">
        <f t="shared" si="37"/>
        <v>3.6</v>
      </c>
      <c r="C101" s="125">
        <f t="shared" si="38"/>
        <v>10.4</v>
      </c>
      <c r="D101" s="125">
        <f t="shared" si="73"/>
        <v>7</v>
      </c>
      <c r="E101" s="125">
        <f t="shared" si="39"/>
        <v>6.8000000000000007</v>
      </c>
      <c r="F101" s="7">
        <v>3.280769230769232</v>
      </c>
      <c r="G101" s="7">
        <v>9.9336538461538488</v>
      </c>
      <c r="H101" s="7">
        <f t="shared" si="74"/>
        <v>6.6072115384615406</v>
      </c>
      <c r="I101" s="7">
        <f t="shared" si="75"/>
        <v>6.6528846153846164</v>
      </c>
      <c r="K101" s="7">
        <f t="shared" si="40"/>
        <v>7</v>
      </c>
      <c r="L101" s="7">
        <f t="shared" si="41"/>
        <v>8.1</v>
      </c>
      <c r="M101" s="370">
        <f t="shared" si="42"/>
        <v>6.2909090909090901</v>
      </c>
      <c r="N101" s="1">
        <f t="shared" si="43"/>
        <v>0</v>
      </c>
      <c r="O101" s="7">
        <f t="shared" si="44"/>
        <v>73.090909090909093</v>
      </c>
      <c r="P101" s="7">
        <f t="shared" si="45"/>
        <v>1.7636363636363634</v>
      </c>
      <c r="Q101" s="7">
        <f t="shared" si="46"/>
        <v>8.1454545454545446</v>
      </c>
      <c r="R101" s="7">
        <f t="shared" si="47"/>
        <v>4.9000000000000004</v>
      </c>
      <c r="S101" s="7">
        <f t="shared" si="48"/>
        <v>6.3818181818181818</v>
      </c>
      <c r="T101" s="1">
        <v>42</v>
      </c>
      <c r="U101" s="333">
        <f t="shared" si="49"/>
        <v>1.6451612903225807</v>
      </c>
      <c r="V101" s="4">
        <v>11</v>
      </c>
      <c r="W101" s="7">
        <f t="shared" si="50"/>
        <v>3.0030000000000001</v>
      </c>
      <c r="X101" s="7">
        <f t="shared" si="51"/>
        <v>11.466000000000001</v>
      </c>
      <c r="Y101" s="8">
        <f t="shared" si="52"/>
        <v>6</v>
      </c>
      <c r="Z101" s="7">
        <f>IF(ISBLANK(Z14),NA(),SUM($Z$4:Z14))</f>
        <v>0.1</v>
      </c>
      <c r="AA101" s="7">
        <f t="shared" si="76"/>
        <v>18.096774193548388</v>
      </c>
      <c r="AB101" s="26">
        <f>IF(ISBLANK(Z14),"",SUM($Z$4:Z14))</f>
        <v>0.1</v>
      </c>
      <c r="AC101" s="115">
        <f t="shared" si="77"/>
        <v>5.5258467023172903E-3</v>
      </c>
      <c r="AD101" s="8">
        <f t="shared" si="53"/>
        <v>1026.590909090909</v>
      </c>
      <c r="AE101" s="610">
        <f t="shared" si="54"/>
        <v>1.1713156726772607</v>
      </c>
      <c r="AF101" s="141">
        <f t="shared" si="55"/>
        <v>0.26041666666666669</v>
      </c>
      <c r="AG101" s="22">
        <f>IF(ISBLANK(AP14),NA(),SUM($AP$4:AP14))</f>
        <v>41.1</v>
      </c>
      <c r="AH101" s="7">
        <f>SUM($AS$91:AS101)</f>
        <v>35.088747601283501</v>
      </c>
      <c r="AI101" s="115">
        <f t="shared" si="56"/>
        <v>1.1713156726772607</v>
      </c>
      <c r="AJ101" s="124">
        <f t="shared" si="57"/>
        <v>0</v>
      </c>
      <c r="AK101" s="8">
        <f t="shared" si="58"/>
        <v>1013</v>
      </c>
      <c r="AL101" s="124">
        <f t="shared" si="59"/>
        <v>0</v>
      </c>
      <c r="AM101" s="141">
        <f t="shared" si="60"/>
        <v>0.64236111111111105</v>
      </c>
      <c r="AN101" s="124">
        <f>COUNTIF(AU50:AU60, "&gt;0.5")</f>
        <v>2</v>
      </c>
      <c r="AO101" s="141">
        <f t="shared" si="61"/>
        <v>0.625</v>
      </c>
      <c r="AP101" s="449" t="s">
        <v>210</v>
      </c>
      <c r="AQ101" s="450">
        <v>0.08</v>
      </c>
      <c r="AR101" s="141">
        <f t="shared" si="62"/>
        <v>0.28472222222222221</v>
      </c>
      <c r="AS101" s="7">
        <f t="shared" si="63"/>
        <v>3.2877291220710583</v>
      </c>
      <c r="AT101" s="7">
        <v>10.354657515918838</v>
      </c>
      <c r="AU101" s="4">
        <v>11</v>
      </c>
      <c r="AV101" s="127">
        <f t="shared" si="64"/>
        <v>0</v>
      </c>
      <c r="AW101" s="124">
        <f t="shared" si="78"/>
        <v>0</v>
      </c>
      <c r="AX101" s="124">
        <f t="shared" si="79"/>
        <v>0</v>
      </c>
      <c r="AY101" s="124">
        <f t="shared" si="65"/>
        <v>0</v>
      </c>
      <c r="AZ101" s="125">
        <f t="shared" si="66"/>
        <v>5.2</v>
      </c>
      <c r="BA101" s="125">
        <f t="shared" si="67"/>
        <v>4.7333333333333325</v>
      </c>
      <c r="BB101" s="125">
        <f t="shared" si="68"/>
        <v>9.2666666666666675</v>
      </c>
      <c r="BC101" s="7">
        <v>4.3895833333333352</v>
      </c>
      <c r="BD101" s="7">
        <v>8.8248397435897452</v>
      </c>
      <c r="BE101" s="124"/>
      <c r="BF101" s="8">
        <f t="shared" si="69"/>
        <v>69</v>
      </c>
      <c r="BG101" s="21">
        <f t="shared" si="70"/>
        <v>8.3000000000000007</v>
      </c>
      <c r="BH101" s="124">
        <f t="shared" si="71"/>
        <v>0</v>
      </c>
      <c r="BI101" s="124">
        <f t="shared" si="80"/>
        <v>0</v>
      </c>
      <c r="BJ101" s="144">
        <f t="shared" si="72"/>
        <v>0</v>
      </c>
      <c r="BL101" s="99">
        <v>11</v>
      </c>
    </row>
    <row r="102" spans="1:64" ht="12.75" x14ac:dyDescent="0.2">
      <c r="A102" s="8">
        <f t="shared" si="36"/>
        <v>33</v>
      </c>
      <c r="B102" s="125">
        <f t="shared" si="37"/>
        <v>3.6</v>
      </c>
      <c r="C102" s="125">
        <f t="shared" si="38"/>
        <v>10.4</v>
      </c>
      <c r="D102" s="125">
        <f t="shared" si="73"/>
        <v>7</v>
      </c>
      <c r="E102" s="125">
        <f t="shared" si="39"/>
        <v>6.8000000000000007</v>
      </c>
      <c r="F102" s="7">
        <v>3.3692307692307706</v>
      </c>
      <c r="G102" s="7">
        <v>10.028846153846157</v>
      </c>
      <c r="H102" s="7">
        <f t="shared" si="74"/>
        <v>6.6990384615384642</v>
      </c>
      <c r="I102" s="7">
        <f t="shared" si="75"/>
        <v>6.6596153846153863</v>
      </c>
      <c r="K102" s="7">
        <f t="shared" si="40"/>
        <v>6</v>
      </c>
      <c r="L102" s="7">
        <f t="shared" si="41"/>
        <v>10.9</v>
      </c>
      <c r="M102" s="370">
        <f t="shared" si="42"/>
        <v>6.1833333333333327</v>
      </c>
      <c r="N102" s="1">
        <f t="shared" si="43"/>
        <v>3.3333333333333333E-2</v>
      </c>
      <c r="O102" s="7">
        <f t="shared" si="44"/>
        <v>72.5</v>
      </c>
      <c r="P102" s="7">
        <f t="shared" si="45"/>
        <v>2.2749999999999999</v>
      </c>
      <c r="Q102" s="7">
        <f t="shared" si="46"/>
        <v>8.625</v>
      </c>
      <c r="R102" s="7">
        <f t="shared" si="47"/>
        <v>5.3500000000000005</v>
      </c>
      <c r="S102" s="7">
        <f t="shared" si="48"/>
        <v>6.3500000000000005</v>
      </c>
      <c r="T102" s="1">
        <v>43</v>
      </c>
      <c r="U102" s="333">
        <f t="shared" si="49"/>
        <v>1.6451612903225807</v>
      </c>
      <c r="V102" s="4">
        <v>12</v>
      </c>
      <c r="W102" s="7">
        <f t="shared" si="50"/>
        <v>3.2760000000000002</v>
      </c>
      <c r="X102" s="7">
        <f t="shared" si="51"/>
        <v>11.739000000000001</v>
      </c>
      <c r="Y102" s="8">
        <f t="shared" si="52"/>
        <v>12</v>
      </c>
      <c r="Z102" s="7">
        <f>IF(ISBLANK(Z15),NA(),SUM($Z$4:Z15))</f>
        <v>0.2</v>
      </c>
      <c r="AA102" s="7">
        <f t="shared" si="76"/>
        <v>19.741935483870968</v>
      </c>
      <c r="AB102" s="26">
        <f>IF(ISBLANK(Z15),"",SUM($Z$4:Z15))</f>
        <v>0.2</v>
      </c>
      <c r="AC102" s="115">
        <f t="shared" si="77"/>
        <v>1.0130718954248366E-2</v>
      </c>
      <c r="AD102" s="8">
        <f t="shared" si="53"/>
        <v>1024.7083333333333</v>
      </c>
      <c r="AE102" s="610">
        <f t="shared" si="54"/>
        <v>1.1745959576687894</v>
      </c>
      <c r="AF102" s="141" t="e">
        <f t="shared" si="55"/>
        <v>#N/A</v>
      </c>
      <c r="AG102" s="22">
        <f>IF(ISBLANK(AP15),NA(),SUM($AP$4:AP15))</f>
        <v>45.1</v>
      </c>
      <c r="AH102" s="7">
        <f>SUM($AS$91:AS102)</f>
        <v>38.396181857725431</v>
      </c>
      <c r="AI102" s="115">
        <f t="shared" si="56"/>
        <v>1.1745959576687894</v>
      </c>
      <c r="AJ102" s="124">
        <f t="shared" si="57"/>
        <v>0</v>
      </c>
      <c r="AK102" s="8">
        <f t="shared" si="58"/>
        <v>1004</v>
      </c>
      <c r="AL102" s="124">
        <f t="shared" si="59"/>
        <v>0</v>
      </c>
      <c r="AM102" s="141">
        <f t="shared" si="60"/>
        <v>0.53472222222222221</v>
      </c>
      <c r="AN102" s="141">
        <f t="array" ref="AN102">MAX(FREQUENCY(IF(AJ91:AJ121=1,ROW(91:121)),IF(AJ91:AJ121&lt;&gt;1,ROW(91:121))))</f>
        <v>3</v>
      </c>
      <c r="AO102" s="141">
        <f t="shared" si="61"/>
        <v>0.625</v>
      </c>
      <c r="AP102" s="451" t="s">
        <v>110</v>
      </c>
      <c r="AQ102" s="450">
        <v>8.2000000000000003E-2</v>
      </c>
      <c r="AR102" s="141">
        <f t="shared" si="62"/>
        <v>0.10416666666666667</v>
      </c>
      <c r="AS102" s="7">
        <f t="shared" si="63"/>
        <v>3.3074342564419279</v>
      </c>
      <c r="AT102" s="7">
        <v>10.416718564788638</v>
      </c>
      <c r="AU102" s="4">
        <v>12</v>
      </c>
      <c r="AV102" s="127">
        <f t="shared" si="64"/>
        <v>1</v>
      </c>
      <c r="AW102" s="124">
        <f t="shared" si="78"/>
        <v>0</v>
      </c>
      <c r="AX102" s="124">
        <f t="shared" si="79"/>
        <v>1</v>
      </c>
      <c r="AY102" s="124">
        <f t="shared" si="65"/>
        <v>0</v>
      </c>
      <c r="AZ102" s="125">
        <f t="shared" si="66"/>
        <v>5.2</v>
      </c>
      <c r="BA102" s="125">
        <f t="shared" si="67"/>
        <v>4.7333333333333325</v>
      </c>
      <c r="BB102" s="125">
        <f t="shared" si="68"/>
        <v>9.2666666666666675</v>
      </c>
      <c r="BC102" s="7">
        <v>4.4791666666666687</v>
      </c>
      <c r="BD102" s="7">
        <v>8.9189102564102605</v>
      </c>
      <c r="BE102" s="124"/>
      <c r="BF102" s="8">
        <f t="shared" si="69"/>
        <v>66</v>
      </c>
      <c r="BG102" s="21">
        <f t="shared" si="70"/>
        <v>10.3</v>
      </c>
      <c r="BH102" s="124">
        <f t="shared" si="71"/>
        <v>1</v>
      </c>
      <c r="BI102" s="124">
        <f t="shared" si="80"/>
        <v>0</v>
      </c>
      <c r="BJ102" s="144">
        <f t="shared" si="72"/>
        <v>3.3333333333333333E-2</v>
      </c>
      <c r="BL102" s="99">
        <v>12</v>
      </c>
    </row>
    <row r="103" spans="1:64" ht="12.75" x14ac:dyDescent="0.2">
      <c r="A103" s="8">
        <f t="shared" si="36"/>
        <v>16</v>
      </c>
      <c r="B103" s="125">
        <f t="shared" si="37"/>
        <v>3.6</v>
      </c>
      <c r="C103" s="125">
        <f t="shared" si="38"/>
        <v>10.4</v>
      </c>
      <c r="D103" s="125">
        <f t="shared" si="73"/>
        <v>7</v>
      </c>
      <c r="E103" s="125">
        <f t="shared" si="39"/>
        <v>6.8000000000000007</v>
      </c>
      <c r="F103" s="7">
        <v>3.4576923076923092</v>
      </c>
      <c r="G103" s="7">
        <v>10.124038461538465</v>
      </c>
      <c r="H103" s="7">
        <f t="shared" si="74"/>
        <v>6.7908653846153868</v>
      </c>
      <c r="I103" s="7">
        <f t="shared" si="75"/>
        <v>6.6663461538461561</v>
      </c>
      <c r="K103" s="7">
        <f t="shared" si="40"/>
        <v>8.6999999999999993</v>
      </c>
      <c r="L103" s="7">
        <f t="shared" si="41"/>
        <v>6.25</v>
      </c>
      <c r="M103" s="370">
        <f t="shared" si="42"/>
        <v>5.9153846153846148</v>
      </c>
      <c r="N103" s="1">
        <f t="shared" si="43"/>
        <v>0.26666666666666666</v>
      </c>
      <c r="O103" s="7">
        <f t="shared" si="44"/>
        <v>73.307692307692307</v>
      </c>
      <c r="P103" s="7">
        <f t="shared" si="45"/>
        <v>2.2461538461538457</v>
      </c>
      <c r="Q103" s="7">
        <f t="shared" si="46"/>
        <v>8.7769230769230759</v>
      </c>
      <c r="R103" s="7">
        <f t="shared" si="47"/>
        <v>5.6</v>
      </c>
      <c r="S103" s="7">
        <f t="shared" si="48"/>
        <v>6.5307692307692315</v>
      </c>
      <c r="T103" s="1">
        <v>44</v>
      </c>
      <c r="U103" s="333">
        <f t="shared" si="49"/>
        <v>1.6451612903225807</v>
      </c>
      <c r="V103" s="4">
        <v>13</v>
      </c>
      <c r="W103" s="7">
        <f t="shared" si="50"/>
        <v>3.5490000000000004</v>
      </c>
      <c r="X103" s="7">
        <f t="shared" si="51"/>
        <v>12.012</v>
      </c>
      <c r="Y103" s="8">
        <f t="shared" si="52"/>
        <v>13</v>
      </c>
      <c r="Z103" s="7">
        <f>IF(ISBLANK(Z16),NA(),SUM($Z$4:Z16))</f>
        <v>1</v>
      </c>
      <c r="AA103" s="7">
        <f t="shared" si="76"/>
        <v>21.387096774193548</v>
      </c>
      <c r="AB103" s="26">
        <f>IF(ISBLANK(Z16),"",SUM($Z$4:Z16))</f>
        <v>1</v>
      </c>
      <c r="AC103" s="115">
        <f t="shared" si="77"/>
        <v>4.6757164404223228E-2</v>
      </c>
      <c r="AD103" s="8">
        <f t="shared" si="53"/>
        <v>1023.0769230769231</v>
      </c>
      <c r="AE103" s="610">
        <f t="shared" si="54"/>
        <v>1.104896994126882</v>
      </c>
      <c r="AF103" s="141" t="e">
        <f t="shared" si="55"/>
        <v>#N/A</v>
      </c>
      <c r="AG103" s="22">
        <f>IF(ISBLANK(AP16),NA(),SUM($AP$4:AP16))</f>
        <v>46.1</v>
      </c>
      <c r="AH103" s="7">
        <f>SUM($AS$91:AS103)</f>
        <v>41.723346379840052</v>
      </c>
      <c r="AI103" s="115">
        <f t="shared" si="56"/>
        <v>1.104896994126882</v>
      </c>
      <c r="AJ103" s="124">
        <f t="shared" si="57"/>
        <v>1</v>
      </c>
      <c r="AK103" s="8">
        <f t="shared" si="58"/>
        <v>1003.5</v>
      </c>
      <c r="AL103" s="124">
        <f t="shared" si="59"/>
        <v>0</v>
      </c>
      <c r="AM103" s="141">
        <f t="shared" si="60"/>
        <v>0.77083333333333337</v>
      </c>
      <c r="AN103" s="7">
        <f>I39/-3</f>
        <v>-2.2666666666666671</v>
      </c>
      <c r="AO103" s="141" t="e">
        <f t="shared" si="61"/>
        <v>#N/A</v>
      </c>
      <c r="AP103" s="451" t="s">
        <v>211</v>
      </c>
      <c r="AQ103" s="450">
        <v>6.5000000000000002E-2</v>
      </c>
      <c r="AR103" s="141" t="e">
        <f t="shared" si="62"/>
        <v>#N/A</v>
      </c>
      <c r="AS103" s="7">
        <f t="shared" si="63"/>
        <v>3.3271645221146193</v>
      </c>
      <c r="AT103" s="7">
        <v>10.478858764346841</v>
      </c>
      <c r="AU103" s="4">
        <v>13</v>
      </c>
      <c r="AV103" s="127">
        <f t="shared" si="64"/>
        <v>0</v>
      </c>
      <c r="AW103" s="124">
        <f t="shared" si="78"/>
        <v>0</v>
      </c>
      <c r="AX103" s="124">
        <f t="shared" si="79"/>
        <v>0</v>
      </c>
      <c r="AY103" s="124">
        <f t="shared" si="65"/>
        <v>0</v>
      </c>
      <c r="AZ103" s="125">
        <f t="shared" si="66"/>
        <v>5.2</v>
      </c>
      <c r="BA103" s="125">
        <f t="shared" si="67"/>
        <v>4.7333333333333325</v>
      </c>
      <c r="BB103" s="125">
        <f t="shared" si="68"/>
        <v>9.2666666666666675</v>
      </c>
      <c r="BC103" s="7">
        <v>4.5687499999999996</v>
      </c>
      <c r="BD103" s="7">
        <v>9.0129807692307722</v>
      </c>
      <c r="BE103" s="124"/>
      <c r="BF103" s="8">
        <f t="shared" si="69"/>
        <v>83</v>
      </c>
      <c r="BG103" s="21">
        <f t="shared" si="70"/>
        <v>8.6</v>
      </c>
      <c r="BH103" s="124">
        <f t="shared" si="71"/>
        <v>1</v>
      </c>
      <c r="BI103" s="124">
        <f t="shared" si="80"/>
        <v>1</v>
      </c>
      <c r="BJ103" s="144">
        <f t="shared" si="72"/>
        <v>0.26666666666666666</v>
      </c>
      <c r="BL103" s="99">
        <v>13</v>
      </c>
    </row>
    <row r="104" spans="1:64" ht="12.75" x14ac:dyDescent="0.2">
      <c r="A104" s="8">
        <f t="shared" si="36"/>
        <v>43</v>
      </c>
      <c r="B104" s="125">
        <f t="shared" si="37"/>
        <v>3.6</v>
      </c>
      <c r="C104" s="125">
        <f t="shared" si="38"/>
        <v>10.4</v>
      </c>
      <c r="D104" s="125">
        <f t="shared" si="73"/>
        <v>7</v>
      </c>
      <c r="E104" s="125">
        <f t="shared" si="39"/>
        <v>6.8000000000000007</v>
      </c>
      <c r="F104" s="7">
        <v>3.5461538461538478</v>
      </c>
      <c r="G104" s="7">
        <v>10.219230769230773</v>
      </c>
      <c r="H104" s="7">
        <f t="shared" si="74"/>
        <v>6.8826923076923103</v>
      </c>
      <c r="I104" s="7">
        <f t="shared" si="75"/>
        <v>6.6730769230769251</v>
      </c>
      <c r="K104" s="7">
        <f t="shared" si="40"/>
        <v>10.799999999999999</v>
      </c>
      <c r="L104" s="7">
        <f t="shared" si="41"/>
        <v>6.2</v>
      </c>
      <c r="M104" s="370">
        <f t="shared" si="42"/>
        <v>5.8571428571428559</v>
      </c>
      <c r="N104" s="1">
        <f t="shared" si="43"/>
        <v>0</v>
      </c>
      <c r="O104" s="7">
        <f t="shared" si="44"/>
        <v>73.571428571428569</v>
      </c>
      <c r="P104" s="7">
        <f t="shared" si="45"/>
        <v>2.1428571428571428</v>
      </c>
      <c r="Q104" s="7">
        <f t="shared" si="46"/>
        <v>8.9785714285714278</v>
      </c>
      <c r="R104" s="7">
        <f t="shared" si="47"/>
        <v>5.6571428571428575</v>
      </c>
      <c r="S104" s="7">
        <f t="shared" si="48"/>
        <v>6.8357142857142863</v>
      </c>
      <c r="T104" s="1">
        <v>45</v>
      </c>
      <c r="U104" s="333">
        <f t="shared" si="49"/>
        <v>1.6451612903225807</v>
      </c>
      <c r="V104" s="4">
        <v>14</v>
      </c>
      <c r="W104" s="7">
        <f t="shared" si="50"/>
        <v>3.8220000000000001</v>
      </c>
      <c r="X104" s="7">
        <f t="shared" si="51"/>
        <v>12.285</v>
      </c>
      <c r="Y104" s="8">
        <f t="shared" si="52"/>
        <v>7</v>
      </c>
      <c r="Z104" s="7">
        <f>IF(ISBLANK(Z17),NA(),SUM($Z$4:Z17))</f>
        <v>1</v>
      </c>
      <c r="AA104" s="7">
        <f t="shared" si="76"/>
        <v>23.032258064516132</v>
      </c>
      <c r="AB104" s="26">
        <f>IF(ISBLANK(Z17),"",SUM($Z$4:Z17))</f>
        <v>1</v>
      </c>
      <c r="AC104" s="115">
        <f t="shared" si="77"/>
        <v>4.341736694677871E-2</v>
      </c>
      <c r="AD104" s="8">
        <f t="shared" si="53"/>
        <v>1022.3928571428571</v>
      </c>
      <c r="AE104" s="610">
        <f t="shared" si="54"/>
        <v>1.1559728237828406</v>
      </c>
      <c r="AF104" s="141" t="e">
        <f t="shared" si="55"/>
        <v>#N/A</v>
      </c>
      <c r="AG104" s="22">
        <f>IF(ISBLANK(AP17),NA(),SUM($AP$4:AP17))</f>
        <v>52.1</v>
      </c>
      <c r="AH104" s="7">
        <f>SUM($AS$91:AS104)</f>
        <v>45.070263701793941</v>
      </c>
      <c r="AI104" s="115">
        <f t="shared" si="56"/>
        <v>1.1559728237828406</v>
      </c>
      <c r="AJ104" s="124">
        <f t="shared" si="57"/>
        <v>0</v>
      </c>
      <c r="AK104" s="8">
        <f t="shared" si="58"/>
        <v>1013.5</v>
      </c>
      <c r="AL104" s="124">
        <f t="shared" si="59"/>
        <v>0</v>
      </c>
      <c r="AM104" s="141">
        <f t="shared" si="60"/>
        <v>0.51180555555555551</v>
      </c>
      <c r="AN104" s="25">
        <f>AP39/E34</f>
        <v>3.3870967741935485</v>
      </c>
      <c r="AO104" s="141">
        <f t="shared" si="61"/>
        <v>0.55555555555555558</v>
      </c>
      <c r="AP104" s="451" t="s">
        <v>114</v>
      </c>
      <c r="AQ104" s="452">
        <v>2.9000000000000001E-2</v>
      </c>
      <c r="AR104" s="141">
        <f t="shared" si="62"/>
        <v>0.26041666666666669</v>
      </c>
      <c r="AS104" s="7">
        <f t="shared" si="63"/>
        <v>3.3469173219538897</v>
      </c>
      <c r="AT104" s="7">
        <v>10.541069934951826</v>
      </c>
      <c r="AU104" s="4">
        <v>14</v>
      </c>
      <c r="AV104" s="127">
        <f t="shared" si="64"/>
        <v>1</v>
      </c>
      <c r="AW104" s="124">
        <f t="shared" si="78"/>
        <v>0</v>
      </c>
      <c r="AX104" s="124">
        <f t="shared" si="79"/>
        <v>0</v>
      </c>
      <c r="AY104" s="124">
        <f t="shared" si="65"/>
        <v>0</v>
      </c>
      <c r="AZ104" s="125">
        <f t="shared" si="66"/>
        <v>5.2</v>
      </c>
      <c r="BA104" s="125">
        <f t="shared" si="67"/>
        <v>4.7333333333333325</v>
      </c>
      <c r="BB104" s="125">
        <f t="shared" si="68"/>
        <v>9.2666666666666675</v>
      </c>
      <c r="BC104" s="7">
        <v>4.658333333333335</v>
      </c>
      <c r="BD104" s="7">
        <v>9.1070512820512857</v>
      </c>
      <c r="BE104" s="124"/>
      <c r="BF104" s="8">
        <f t="shared" si="69"/>
        <v>77</v>
      </c>
      <c r="BG104" s="21">
        <f t="shared" si="70"/>
        <v>6.4</v>
      </c>
      <c r="BH104" s="124">
        <f t="shared" si="71"/>
        <v>0</v>
      </c>
      <c r="BI104" s="124">
        <f t="shared" si="80"/>
        <v>0</v>
      </c>
      <c r="BJ104" s="144">
        <f t="shared" si="72"/>
        <v>0</v>
      </c>
      <c r="BL104" s="99">
        <v>14</v>
      </c>
    </row>
    <row r="105" spans="1:64" ht="12.75" x14ac:dyDescent="0.2">
      <c r="A105" s="8">
        <f t="shared" si="36"/>
        <v>21</v>
      </c>
      <c r="B105" s="125">
        <f t="shared" si="37"/>
        <v>3.6</v>
      </c>
      <c r="C105" s="125">
        <f t="shared" si="38"/>
        <v>10.4</v>
      </c>
      <c r="D105" s="125">
        <f t="shared" si="73"/>
        <v>7</v>
      </c>
      <c r="E105" s="125">
        <f t="shared" si="39"/>
        <v>6.8000000000000007</v>
      </c>
      <c r="F105" s="7">
        <v>3.6346153846153864</v>
      </c>
      <c r="G105" s="7">
        <v>10.314423076923081</v>
      </c>
      <c r="H105" s="7">
        <f t="shared" si="74"/>
        <v>6.9745192307692339</v>
      </c>
      <c r="I105" s="7">
        <f t="shared" si="75"/>
        <v>6.6798076923076941</v>
      </c>
      <c r="K105" s="7">
        <f t="shared" si="40"/>
        <v>5.4999999999999991</v>
      </c>
      <c r="L105" s="7">
        <f t="shared" si="41"/>
        <v>8.9499999999999993</v>
      </c>
      <c r="M105" s="370">
        <f t="shared" si="42"/>
        <v>5.8733333333333322</v>
      </c>
      <c r="N105" s="1">
        <f t="shared" si="43"/>
        <v>0</v>
      </c>
      <c r="O105" s="7">
        <f t="shared" si="44"/>
        <v>74.733333333333334</v>
      </c>
      <c r="P105" s="7">
        <f t="shared" si="45"/>
        <v>2.4133333333333331</v>
      </c>
      <c r="Q105" s="7">
        <f t="shared" si="46"/>
        <v>9.1599999999999984</v>
      </c>
      <c r="R105" s="7">
        <f t="shared" si="47"/>
        <v>5.8533333333333335</v>
      </c>
      <c r="S105" s="7">
        <f t="shared" si="48"/>
        <v>6.746666666666667</v>
      </c>
      <c r="T105" s="1">
        <v>46</v>
      </c>
      <c r="U105" s="333">
        <f t="shared" si="49"/>
        <v>1.6451612903225807</v>
      </c>
      <c r="V105" s="4">
        <v>15</v>
      </c>
      <c r="W105" s="7">
        <f t="shared" si="50"/>
        <v>4.0950000000000006</v>
      </c>
      <c r="X105" s="7">
        <f t="shared" si="51"/>
        <v>12.558000000000002</v>
      </c>
      <c r="Y105" s="8">
        <f t="shared" si="52"/>
        <v>4</v>
      </c>
      <c r="Z105" s="7">
        <f>IF(ISBLANK(Z18),NA(),SUM($Z$4:Z18))</f>
        <v>1</v>
      </c>
      <c r="AA105" s="7">
        <f t="shared" si="76"/>
        <v>24.677419354838712</v>
      </c>
      <c r="AB105" s="26">
        <f>IF(ISBLANK(Z18),"",SUM($Z$4:Z18))</f>
        <v>1</v>
      </c>
      <c r="AC105" s="115">
        <f t="shared" si="77"/>
        <v>4.0522875816993459E-2</v>
      </c>
      <c r="AD105" s="8">
        <f t="shared" si="53"/>
        <v>1021.9</v>
      </c>
      <c r="AE105" s="610">
        <f t="shared" si="54"/>
        <v>1.1375612144536746</v>
      </c>
      <c r="AF105" s="141">
        <f t="shared" si="55"/>
        <v>0.375</v>
      </c>
      <c r="AG105" s="22">
        <f>IF(ISBLANK(AP18),NA(),SUM($AP$4:AP18))</f>
        <v>55.1</v>
      </c>
      <c r="AH105" s="7">
        <f>SUM($AS$91:AS105)</f>
        <v>48.436953809525178</v>
      </c>
      <c r="AI105" s="115">
        <f t="shared" si="56"/>
        <v>1.1375612144536746</v>
      </c>
      <c r="AJ105" s="124">
        <f t="shared" si="57"/>
        <v>0</v>
      </c>
      <c r="AK105" s="8">
        <f t="shared" si="58"/>
        <v>1015</v>
      </c>
      <c r="AL105" s="124">
        <f t="shared" si="59"/>
        <v>0</v>
      </c>
      <c r="AM105" s="141">
        <f t="shared" si="60"/>
        <v>0.73958333333333337</v>
      </c>
      <c r="AN105" s="1">
        <f t="array" ref="AN105">MAX(IF(F4:F34=$F$85,E4:E34,0))</f>
        <v>8</v>
      </c>
      <c r="AO105" s="141">
        <f t="shared" si="61"/>
        <v>0.65625</v>
      </c>
      <c r="AP105" s="451" t="s">
        <v>212</v>
      </c>
      <c r="AQ105" s="450">
        <v>1.7999999999999999E-2</v>
      </c>
      <c r="AR105" s="141">
        <f t="shared" si="62"/>
        <v>0.36805555555555558</v>
      </c>
      <c r="AS105" s="7">
        <f t="shared" si="63"/>
        <v>3.3666901077312383</v>
      </c>
      <c r="AT105" s="7">
        <v>10.603344050993083</v>
      </c>
      <c r="AU105" s="4">
        <v>15</v>
      </c>
      <c r="AV105" s="127">
        <f t="shared" si="64"/>
        <v>1</v>
      </c>
      <c r="AW105" s="124">
        <f t="shared" si="78"/>
        <v>0</v>
      </c>
      <c r="AX105" s="124">
        <f t="shared" si="79"/>
        <v>0</v>
      </c>
      <c r="AY105" s="124">
        <f t="shared" si="65"/>
        <v>0</v>
      </c>
      <c r="AZ105" s="125">
        <f t="shared" si="66"/>
        <v>5.2</v>
      </c>
      <c r="BA105" s="125">
        <f t="shared" si="67"/>
        <v>4.7333333333333325</v>
      </c>
      <c r="BB105" s="125">
        <f t="shared" si="68"/>
        <v>9.2666666666666675</v>
      </c>
      <c r="BC105" s="7">
        <v>4.7479166666666686</v>
      </c>
      <c r="BD105" s="7">
        <v>9.2011217948717992</v>
      </c>
      <c r="BE105" s="124"/>
      <c r="BF105" s="8">
        <f t="shared" si="69"/>
        <v>91</v>
      </c>
      <c r="BG105" s="21">
        <f t="shared" si="70"/>
        <v>8.6</v>
      </c>
      <c r="BH105" s="124">
        <f t="shared" si="71"/>
        <v>0</v>
      </c>
      <c r="BI105" s="124">
        <f t="shared" si="80"/>
        <v>0</v>
      </c>
      <c r="BJ105" s="144">
        <f t="shared" si="72"/>
        <v>0</v>
      </c>
      <c r="BL105" s="99">
        <v>15</v>
      </c>
    </row>
    <row r="106" spans="1:64" ht="12.75" x14ac:dyDescent="0.2">
      <c r="A106" s="8">
        <f t="shared" si="36"/>
        <v>16</v>
      </c>
      <c r="B106" s="125">
        <f t="shared" si="37"/>
        <v>3.6</v>
      </c>
      <c r="C106" s="125">
        <f t="shared" si="38"/>
        <v>10.4</v>
      </c>
      <c r="D106" s="125">
        <f t="shared" si="73"/>
        <v>7</v>
      </c>
      <c r="E106" s="125">
        <f t="shared" si="39"/>
        <v>6.8000000000000007</v>
      </c>
      <c r="F106" s="7">
        <v>3.7230769230769249</v>
      </c>
      <c r="G106" s="7">
        <v>10.409615384615389</v>
      </c>
      <c r="H106" s="7">
        <f t="shared" si="74"/>
        <v>7.0663461538461565</v>
      </c>
      <c r="I106" s="7">
        <f t="shared" si="75"/>
        <v>6.686538461538464</v>
      </c>
      <c r="K106" s="7">
        <f t="shared" si="40"/>
        <v>5.2000000000000011</v>
      </c>
      <c r="L106" s="7">
        <f t="shared" si="41"/>
        <v>6.7</v>
      </c>
      <c r="M106" s="370">
        <f t="shared" si="42"/>
        <v>5.8499999999999988</v>
      </c>
      <c r="N106" s="1">
        <f t="shared" si="43"/>
        <v>0</v>
      </c>
      <c r="O106" s="7">
        <f t="shared" si="44"/>
        <v>75.8125</v>
      </c>
      <c r="P106" s="7">
        <f t="shared" si="45"/>
        <v>2.5187499999999998</v>
      </c>
      <c r="Q106" s="7">
        <f t="shared" si="46"/>
        <v>9.1687499999999993</v>
      </c>
      <c r="R106" s="7">
        <f t="shared" si="47"/>
        <v>5.96875</v>
      </c>
      <c r="S106" s="7">
        <f t="shared" si="48"/>
        <v>6.65</v>
      </c>
      <c r="T106" s="1">
        <v>47</v>
      </c>
      <c r="U106" s="333">
        <f t="shared" si="49"/>
        <v>1.6451612903225807</v>
      </c>
      <c r="V106" s="4">
        <v>16</v>
      </c>
      <c r="W106" s="7">
        <f t="shared" si="50"/>
        <v>4.3680000000000003</v>
      </c>
      <c r="X106" s="7">
        <f t="shared" si="51"/>
        <v>12.831000000000001</v>
      </c>
      <c r="Y106" s="8">
        <f t="shared" si="52"/>
        <v>3</v>
      </c>
      <c r="Z106" s="7">
        <f>IF(ISBLANK(Z19),NA(),SUM($Z$4:Z19))</f>
        <v>1</v>
      </c>
      <c r="AA106" s="7">
        <f t="shared" si="76"/>
        <v>26.322580645161292</v>
      </c>
      <c r="AB106" s="26">
        <f>IF(ISBLANK(Z19),"",SUM($Z$4:Z19))</f>
        <v>1</v>
      </c>
      <c r="AC106" s="115">
        <f t="shared" si="77"/>
        <v>3.7990196078431369E-2</v>
      </c>
      <c r="AD106" s="8">
        <f t="shared" si="53"/>
        <v>1021.3125</v>
      </c>
      <c r="AE106" s="610">
        <f t="shared" si="54"/>
        <v>1.0632255632443681</v>
      </c>
      <c r="AF106" s="141">
        <f t="shared" si="55"/>
        <v>0.33333333333333331</v>
      </c>
      <c r="AG106" s="22">
        <f>IF(ISBLANK(AP19),NA(),SUM($AP$4:AP19))</f>
        <v>55.1</v>
      </c>
      <c r="AH106" s="7">
        <f>SUM($AS$91:AS106)</f>
        <v>51.823434184431861</v>
      </c>
      <c r="AI106" s="115">
        <f t="shared" si="56"/>
        <v>1.0632255632443681</v>
      </c>
      <c r="AJ106" s="124">
        <f t="shared" si="57"/>
        <v>0</v>
      </c>
      <c r="AK106" s="8">
        <f t="shared" si="58"/>
        <v>1012.5</v>
      </c>
      <c r="AL106" s="124">
        <f t="shared" si="59"/>
        <v>0</v>
      </c>
      <c r="AM106" s="141">
        <f t="shared" si="60"/>
        <v>0.59722222222222221</v>
      </c>
      <c r="AN106" s="1">
        <f t="array" ref="AN106">MAX(IF(G4:G34=$G$86,E4:E34,0))</f>
        <v>31</v>
      </c>
      <c r="AO106" s="141">
        <f t="shared" si="61"/>
        <v>0.56944444444444442</v>
      </c>
      <c r="AP106" s="451" t="s">
        <v>128</v>
      </c>
      <c r="AQ106" s="450">
        <v>2.3E-2</v>
      </c>
      <c r="AR106" s="141">
        <f t="shared" si="62"/>
        <v>9.0277777777777776E-2</v>
      </c>
      <c r="AS106" s="7">
        <f t="shared" si="63"/>
        <v>3.3864803749066827</v>
      </c>
      <c r="AT106" s="7">
        <v>10.665673224456489</v>
      </c>
      <c r="AU106" s="4">
        <v>16</v>
      </c>
      <c r="AV106" s="127">
        <f t="shared" si="64"/>
        <v>0</v>
      </c>
      <c r="AW106" s="124">
        <f t="shared" si="78"/>
        <v>0</v>
      </c>
      <c r="AX106" s="124">
        <f t="shared" si="79"/>
        <v>0</v>
      </c>
      <c r="AY106" s="124">
        <f t="shared" si="65"/>
        <v>0</v>
      </c>
      <c r="AZ106" s="125">
        <f t="shared" si="66"/>
        <v>5.2</v>
      </c>
      <c r="BA106" s="125">
        <f t="shared" si="67"/>
        <v>4.7333333333333325</v>
      </c>
      <c r="BB106" s="125">
        <f t="shared" si="68"/>
        <v>9.2666666666666675</v>
      </c>
      <c r="BC106" s="7">
        <v>4.8375000000000004</v>
      </c>
      <c r="BD106" s="7">
        <v>9.2951923076923109</v>
      </c>
      <c r="BE106" s="124"/>
      <c r="BF106" s="8">
        <f t="shared" si="69"/>
        <v>92</v>
      </c>
      <c r="BG106" s="21">
        <f t="shared" si="70"/>
        <v>7.7</v>
      </c>
      <c r="BH106" s="124">
        <f t="shared" si="71"/>
        <v>0</v>
      </c>
      <c r="BI106" s="124">
        <f t="shared" si="80"/>
        <v>0</v>
      </c>
      <c r="BJ106" s="144">
        <f t="shared" si="72"/>
        <v>0</v>
      </c>
      <c r="BL106" s="99">
        <v>16</v>
      </c>
    </row>
    <row r="107" spans="1:64" ht="12.75" x14ac:dyDescent="0.2">
      <c r="A107" s="8">
        <f t="shared" si="36"/>
        <v>25</v>
      </c>
      <c r="B107" s="125">
        <f t="shared" si="37"/>
        <v>3.6</v>
      </c>
      <c r="C107" s="125">
        <f t="shared" si="38"/>
        <v>10.4</v>
      </c>
      <c r="D107" s="125">
        <f t="shared" si="73"/>
        <v>7</v>
      </c>
      <c r="E107" s="125">
        <f t="shared" si="39"/>
        <v>6.8000000000000007</v>
      </c>
      <c r="F107" s="7">
        <v>3.8115384615384635</v>
      </c>
      <c r="G107" s="7">
        <v>10.504807692307697</v>
      </c>
      <c r="H107" s="7">
        <f t="shared" si="74"/>
        <v>7.15817307692308</v>
      </c>
      <c r="I107" s="7">
        <f t="shared" si="75"/>
        <v>6.6932692307692339</v>
      </c>
      <c r="K107" s="7">
        <f t="shared" si="40"/>
        <v>6</v>
      </c>
      <c r="L107" s="7">
        <f t="shared" si="41"/>
        <v>6.1</v>
      </c>
      <c r="M107" s="370">
        <f t="shared" si="42"/>
        <v>5.6411764705882339</v>
      </c>
      <c r="N107" s="1">
        <f t="shared" si="43"/>
        <v>0</v>
      </c>
      <c r="O107" s="7">
        <f t="shared" si="44"/>
        <v>76.588235294117652</v>
      </c>
      <c r="P107" s="7">
        <f t="shared" si="45"/>
        <v>2.552941176470588</v>
      </c>
      <c r="Q107" s="7">
        <f t="shared" si="46"/>
        <v>9.1647058823529406</v>
      </c>
      <c r="R107" s="7">
        <f t="shared" si="47"/>
        <v>5.9352941176470591</v>
      </c>
      <c r="S107" s="7">
        <f t="shared" si="48"/>
        <v>6.6117647058823534</v>
      </c>
      <c r="T107" s="1">
        <v>48</v>
      </c>
      <c r="U107" s="333">
        <f t="shared" si="49"/>
        <v>1.6451612903225807</v>
      </c>
      <c r="V107" s="4">
        <v>17</v>
      </c>
      <c r="W107" s="7">
        <f t="shared" si="50"/>
        <v>4.641</v>
      </c>
      <c r="X107" s="7">
        <f t="shared" si="51"/>
        <v>13.104000000000001</v>
      </c>
      <c r="Y107" s="8">
        <f t="shared" si="52"/>
        <v>7</v>
      </c>
      <c r="Z107" s="7">
        <f>IF(ISBLANK(Z20),NA(),SUM($Z$4:Z20))</f>
        <v>1</v>
      </c>
      <c r="AA107" s="7">
        <f t="shared" si="76"/>
        <v>27.967741935483872</v>
      </c>
      <c r="AB107" s="26">
        <f>IF(ISBLANK(Z20),"",SUM($Z$4:Z20))</f>
        <v>1</v>
      </c>
      <c r="AC107" s="115">
        <f t="shared" si="77"/>
        <v>3.5755478662053058E-2</v>
      </c>
      <c r="AD107" s="8">
        <f t="shared" si="53"/>
        <v>1020.9705882352941</v>
      </c>
      <c r="AE107" s="610">
        <f t="shared" si="54"/>
        <v>1.0157574610311728</v>
      </c>
      <c r="AF107" s="141">
        <f t="shared" si="55"/>
        <v>0.32291666666666669</v>
      </c>
      <c r="AG107" s="22">
        <f>IF(ISBLANK(AP20),NA(),SUM($AP$4:AP20))</f>
        <v>56.1</v>
      </c>
      <c r="AH107" s="7">
        <f>SUM($AS$91:AS107)</f>
        <v>55.229719841829777</v>
      </c>
      <c r="AI107" s="115">
        <f t="shared" si="56"/>
        <v>1.0157574610311728</v>
      </c>
      <c r="AJ107" s="124">
        <f t="shared" si="57"/>
        <v>0</v>
      </c>
      <c r="AK107" s="8">
        <f t="shared" si="58"/>
        <v>1015.5</v>
      </c>
      <c r="AL107" s="124">
        <f t="shared" si="59"/>
        <v>0</v>
      </c>
      <c r="AM107" s="141">
        <f t="shared" si="60"/>
        <v>0.70486111111111116</v>
      </c>
      <c r="AN107" s="7">
        <f>C85-G39</f>
        <v>-6.4</v>
      </c>
      <c r="AO107" s="141">
        <f t="shared" si="61"/>
        <v>0.71875</v>
      </c>
      <c r="AP107" s="449" t="s">
        <v>213</v>
      </c>
      <c r="AQ107" s="448">
        <v>4.2000000000000003E-2</v>
      </c>
      <c r="AR107" s="141">
        <f t="shared" si="62"/>
        <v>0.20833333333333334</v>
      </c>
      <c r="AS107" s="7">
        <f t="shared" si="63"/>
        <v>3.4062856573979126</v>
      </c>
      <c r="AT107" s="7">
        <v>10.728049688449826</v>
      </c>
      <c r="AU107" s="4">
        <v>17</v>
      </c>
      <c r="AV107" s="127">
        <f t="shared" si="64"/>
        <v>0</v>
      </c>
      <c r="AW107" s="124">
        <f t="shared" si="78"/>
        <v>0</v>
      </c>
      <c r="AX107" s="124">
        <f t="shared" si="79"/>
        <v>0</v>
      </c>
      <c r="AY107" s="124">
        <f t="shared" si="65"/>
        <v>0</v>
      </c>
      <c r="AZ107" s="125">
        <f t="shared" si="66"/>
        <v>5.2</v>
      </c>
      <c r="BA107" s="125">
        <f t="shared" si="67"/>
        <v>4.7333333333333325</v>
      </c>
      <c r="BB107" s="125">
        <f t="shared" si="68"/>
        <v>9.2666666666666675</v>
      </c>
      <c r="BC107" s="7">
        <v>4.9270833333333357</v>
      </c>
      <c r="BD107" s="7">
        <v>9.3892628205128243</v>
      </c>
      <c r="BE107" s="124"/>
      <c r="BF107" s="8">
        <f t="shared" si="69"/>
        <v>89</v>
      </c>
      <c r="BG107" s="21">
        <f t="shared" si="70"/>
        <v>5.4</v>
      </c>
      <c r="BH107" s="124">
        <f t="shared" si="71"/>
        <v>0</v>
      </c>
      <c r="BI107" s="124">
        <f t="shared" si="80"/>
        <v>0</v>
      </c>
      <c r="BJ107" s="144">
        <f t="shared" si="72"/>
        <v>0</v>
      </c>
      <c r="BL107" s="99">
        <v>17</v>
      </c>
    </row>
    <row r="108" spans="1:64" ht="12.75" x14ac:dyDescent="0.2">
      <c r="A108" s="8">
        <f t="shared" si="36"/>
        <v>24</v>
      </c>
      <c r="B108" s="125">
        <f t="shared" si="37"/>
        <v>3.6</v>
      </c>
      <c r="C108" s="125">
        <f t="shared" si="38"/>
        <v>10.4</v>
      </c>
      <c r="D108" s="125">
        <f t="shared" si="73"/>
        <v>7</v>
      </c>
      <c r="E108" s="125">
        <f t="shared" si="39"/>
        <v>6.8000000000000007</v>
      </c>
      <c r="F108" s="7">
        <v>3.9</v>
      </c>
      <c r="G108" s="7">
        <v>10.6</v>
      </c>
      <c r="H108" s="7">
        <f t="shared" si="74"/>
        <v>7.25</v>
      </c>
      <c r="I108" s="7">
        <f t="shared" si="75"/>
        <v>6.6999999999999993</v>
      </c>
      <c r="K108" s="7">
        <f t="shared" si="40"/>
        <v>6.1000000000000005</v>
      </c>
      <c r="L108" s="7">
        <f t="shared" si="41"/>
        <v>4.3500000000000005</v>
      </c>
      <c r="M108" s="370">
        <f t="shared" si="42"/>
        <v>5.4999999999999982</v>
      </c>
      <c r="N108" s="1">
        <f t="shared" si="43"/>
        <v>1.4666666666666668</v>
      </c>
      <c r="O108" s="7">
        <f t="shared" si="44"/>
        <v>76.888888888888886</v>
      </c>
      <c r="P108" s="7">
        <f t="shared" si="45"/>
        <v>2.4833333333333329</v>
      </c>
      <c r="Q108" s="7">
        <f t="shared" si="46"/>
        <v>9.0666666666666664</v>
      </c>
      <c r="R108" s="7">
        <f t="shared" si="47"/>
        <v>5.9055555555555559</v>
      </c>
      <c r="S108" s="7">
        <f t="shared" si="48"/>
        <v>6.583333333333333</v>
      </c>
      <c r="T108" s="1">
        <v>49</v>
      </c>
      <c r="U108" s="333">
        <f t="shared" si="49"/>
        <v>1.6451612903225807</v>
      </c>
      <c r="V108" s="4">
        <v>18</v>
      </c>
      <c r="W108" s="7">
        <f t="shared" si="50"/>
        <v>4.9140000000000006</v>
      </c>
      <c r="X108" s="7">
        <f t="shared" si="51"/>
        <v>13.377000000000001</v>
      </c>
      <c r="Y108" s="8">
        <f t="shared" si="52"/>
        <v>10</v>
      </c>
      <c r="Z108" s="7">
        <f>IF(ISBLANK(Z21),NA(),SUM($Z$4:Z21))</f>
        <v>5.4</v>
      </c>
      <c r="AA108" s="7">
        <f t="shared" si="76"/>
        <v>29.612903225806452</v>
      </c>
      <c r="AB108" s="26">
        <f>IF(ISBLANK(Z21),"",SUM($Z$4:Z21))</f>
        <v>5.4</v>
      </c>
      <c r="AC108" s="115">
        <f t="shared" si="77"/>
        <v>0.18235294117647061</v>
      </c>
      <c r="AD108" s="8">
        <f t="shared" si="53"/>
        <v>1021.1388888888889</v>
      </c>
      <c r="AE108" s="610">
        <f t="shared" si="54"/>
        <v>0.96154135711021582</v>
      </c>
      <c r="AF108" s="141" t="e">
        <f t="shared" si="55"/>
        <v>#N/A</v>
      </c>
      <c r="AG108" s="22">
        <f>IF(ISBLANK(AP21),NA(),SUM($AP$4:AP21))</f>
        <v>56.4</v>
      </c>
      <c r="AH108" s="7">
        <f>SUM($AS$91:AS108)</f>
        <v>58.655823364168825</v>
      </c>
      <c r="AI108" s="115">
        <f t="shared" si="56"/>
        <v>0.96154135711021582</v>
      </c>
      <c r="AJ108" s="124">
        <f t="shared" si="57"/>
        <v>1</v>
      </c>
      <c r="AK108" s="8">
        <f t="shared" si="58"/>
        <v>1024</v>
      </c>
      <c r="AL108" s="124">
        <f t="shared" si="59"/>
        <v>1</v>
      </c>
      <c r="AM108" s="141" t="e">
        <f t="shared" si="60"/>
        <v>#N/A</v>
      </c>
      <c r="AN108" s="124">
        <f t="array" ref="AN108">SUM(IF(Z4:Z34&gt;10,1,0))</f>
        <v>0</v>
      </c>
      <c r="AO108" s="141" t="e">
        <f t="shared" si="61"/>
        <v>#N/A</v>
      </c>
      <c r="AP108" s="303"/>
      <c r="AQ108" s="303"/>
      <c r="AR108" s="141" t="e">
        <f t="shared" si="62"/>
        <v>#N/A</v>
      </c>
      <c r="AS108" s="7">
        <f t="shared" si="63"/>
        <v>3.4261035223390448</v>
      </c>
      <c r="AT108" s="7">
        <v>10.790465780695556</v>
      </c>
      <c r="AU108" s="4">
        <v>18</v>
      </c>
      <c r="AV108" s="127">
        <f t="shared" si="64"/>
        <v>0</v>
      </c>
      <c r="AW108" s="124">
        <f t="shared" si="78"/>
        <v>1</v>
      </c>
      <c r="AX108" s="124">
        <f t="shared" si="79"/>
        <v>0</v>
      </c>
      <c r="AY108" s="124">
        <f t="shared" si="65"/>
        <v>1</v>
      </c>
      <c r="AZ108" s="125">
        <f t="shared" si="66"/>
        <v>5.2</v>
      </c>
      <c r="BA108" s="125">
        <f t="shared" si="67"/>
        <v>4.7333333333333325</v>
      </c>
      <c r="BB108" s="125">
        <f t="shared" si="68"/>
        <v>9.2666666666666675</v>
      </c>
      <c r="BC108" s="7">
        <v>5.0166666666666675</v>
      </c>
      <c r="BD108" s="7">
        <v>9.4833333333333325</v>
      </c>
      <c r="BE108" s="124"/>
      <c r="BF108" s="8">
        <f t="shared" si="69"/>
        <v>82</v>
      </c>
      <c r="BG108" s="21">
        <f t="shared" si="70"/>
        <v>5.4</v>
      </c>
      <c r="BH108" s="124">
        <f t="shared" si="71"/>
        <v>0</v>
      </c>
      <c r="BI108" s="124">
        <f t="shared" si="80"/>
        <v>1</v>
      </c>
      <c r="BJ108" s="144">
        <f t="shared" si="72"/>
        <v>1.4666666666666668</v>
      </c>
      <c r="BL108" s="99">
        <v>18</v>
      </c>
    </row>
    <row r="109" spans="1:64" ht="12.75" x14ac:dyDescent="0.2">
      <c r="A109" s="8">
        <f t="shared" si="36"/>
        <v>55</v>
      </c>
      <c r="B109" s="125">
        <f t="shared" si="37"/>
        <v>3.6</v>
      </c>
      <c r="C109" s="125">
        <f t="shared" si="38"/>
        <v>10.4</v>
      </c>
      <c r="D109" s="125">
        <f t="shared" si="73"/>
        <v>7</v>
      </c>
      <c r="E109" s="125">
        <f t="shared" si="39"/>
        <v>6.8000000000000007</v>
      </c>
      <c r="F109" s="7">
        <v>3.9461538461538459</v>
      </c>
      <c r="G109" s="7">
        <v>10.680769230769231</v>
      </c>
      <c r="H109" s="7">
        <f t="shared" si="74"/>
        <v>7.3134615384615387</v>
      </c>
      <c r="I109" s="7">
        <f t="shared" si="75"/>
        <v>6.7346153846153847</v>
      </c>
      <c r="K109" s="7">
        <f t="shared" si="40"/>
        <v>12.7</v>
      </c>
      <c r="L109" s="7">
        <f t="shared" si="41"/>
        <v>4.75</v>
      </c>
      <c r="M109" s="370">
        <f t="shared" si="42"/>
        <v>5.2947368421052614</v>
      </c>
      <c r="N109" s="1">
        <f t="shared" si="43"/>
        <v>0</v>
      </c>
      <c r="O109" s="7">
        <f t="shared" si="44"/>
        <v>76.263157894736835</v>
      </c>
      <c r="P109" s="7">
        <f t="shared" si="45"/>
        <v>2.2684210526315787</v>
      </c>
      <c r="Q109" s="7">
        <f t="shared" si="46"/>
        <v>9.1736842105263143</v>
      </c>
      <c r="R109" s="7">
        <f t="shared" si="47"/>
        <v>5.8736842105263163</v>
      </c>
      <c r="S109" s="7">
        <f t="shared" si="48"/>
        <v>6.9052631578947361</v>
      </c>
      <c r="T109" s="1">
        <v>50</v>
      </c>
      <c r="U109" s="333">
        <f t="shared" si="49"/>
        <v>1.6451612903225807</v>
      </c>
      <c r="V109" s="4">
        <v>19</v>
      </c>
      <c r="W109" s="7">
        <f t="shared" si="50"/>
        <v>5.1870000000000003</v>
      </c>
      <c r="X109" s="7">
        <f t="shared" si="51"/>
        <v>13.65</v>
      </c>
      <c r="Y109" s="8">
        <f t="shared" si="52"/>
        <v>5</v>
      </c>
      <c r="Z109" s="7">
        <f>IF(ISBLANK(Z22),NA(),SUM($Z$4:Z22))</f>
        <v>5.4</v>
      </c>
      <c r="AA109" s="7">
        <f t="shared" si="76"/>
        <v>31.258064516129036</v>
      </c>
      <c r="AB109" s="26">
        <f>IF(ISBLANK(Z22),"",SUM($Z$4:Z22))</f>
        <v>5.4</v>
      </c>
      <c r="AC109" s="115">
        <f t="shared" si="77"/>
        <v>0.17275541795665633</v>
      </c>
      <c r="AD109" s="8">
        <f t="shared" si="53"/>
        <v>1021.7368421052631</v>
      </c>
      <c r="AE109" s="610">
        <f t="shared" si="54"/>
        <v>1.0837052846081929</v>
      </c>
      <c r="AF109" s="141">
        <f t="shared" si="55"/>
        <v>0.3298611111111111</v>
      </c>
      <c r="AG109" s="22">
        <f>IF(ISBLANK(AP22),NA(),SUM($AP$4:AP22))</f>
        <v>67.3</v>
      </c>
      <c r="AH109" s="7">
        <f>SUM($AS$91:AS109)</f>
        <v>62.101754928999817</v>
      </c>
      <c r="AI109" s="115">
        <f t="shared" si="56"/>
        <v>1.0837052846081929</v>
      </c>
      <c r="AJ109" s="124">
        <f t="shared" si="57"/>
        <v>0</v>
      </c>
      <c r="AK109" s="8">
        <f t="shared" si="58"/>
        <v>1032.5</v>
      </c>
      <c r="AL109" s="124">
        <f t="shared" si="59"/>
        <v>0</v>
      </c>
      <c r="AM109" s="141">
        <f t="shared" si="60"/>
        <v>0.6875</v>
      </c>
      <c r="AO109" s="141">
        <f t="shared" si="61"/>
        <v>0.61458333333333337</v>
      </c>
      <c r="AP109" s="423" t="s">
        <v>129</v>
      </c>
      <c r="AQ109" s="453">
        <f>MAX(AQ92:AQ107)</f>
        <v>0.14099999999999999</v>
      </c>
      <c r="AR109" s="141">
        <f t="shared" si="62"/>
        <v>0.2638888888888889</v>
      </c>
      <c r="AS109" s="7">
        <f t="shared" si="63"/>
        <v>3.4459315648309898</v>
      </c>
      <c r="AT109" s="7">
        <v>10.852913926997172</v>
      </c>
      <c r="AU109" s="4">
        <v>19</v>
      </c>
      <c r="AV109" s="127">
        <f t="shared" si="64"/>
        <v>1</v>
      </c>
      <c r="AW109" s="124">
        <f t="shared" si="78"/>
        <v>1</v>
      </c>
      <c r="AX109" s="124">
        <f t="shared" si="79"/>
        <v>0</v>
      </c>
      <c r="AY109" s="124">
        <f t="shared" si="65"/>
        <v>1</v>
      </c>
      <c r="AZ109" s="125">
        <f t="shared" si="66"/>
        <v>5.2</v>
      </c>
      <c r="BA109" s="125">
        <f t="shared" si="67"/>
        <v>4.7333333333333325</v>
      </c>
      <c r="BB109" s="125">
        <f t="shared" si="68"/>
        <v>9.2666666666666675</v>
      </c>
      <c r="BC109" s="7">
        <v>5.0685897435897438</v>
      </c>
      <c r="BD109" s="7">
        <v>9.5583333333333336</v>
      </c>
      <c r="BE109" s="124"/>
      <c r="BF109" s="8">
        <f t="shared" si="69"/>
        <v>65</v>
      </c>
      <c r="BG109" s="21">
        <f t="shared" si="70"/>
        <v>5.3</v>
      </c>
      <c r="BH109" s="124">
        <f t="shared" si="71"/>
        <v>0</v>
      </c>
      <c r="BI109" s="124">
        <f t="shared" si="80"/>
        <v>0</v>
      </c>
      <c r="BJ109" s="144">
        <f t="shared" si="72"/>
        <v>0</v>
      </c>
      <c r="BL109" s="99">
        <v>19</v>
      </c>
    </row>
    <row r="110" spans="1:64" ht="12.75" x14ac:dyDescent="0.2">
      <c r="A110" s="8">
        <f t="shared" si="36"/>
        <v>26</v>
      </c>
      <c r="B110" s="125">
        <f t="shared" si="37"/>
        <v>3.6</v>
      </c>
      <c r="C110" s="125">
        <f t="shared" si="38"/>
        <v>10.4</v>
      </c>
      <c r="D110" s="125">
        <f t="shared" si="73"/>
        <v>7</v>
      </c>
      <c r="E110" s="125">
        <f t="shared" si="39"/>
        <v>6.8000000000000007</v>
      </c>
      <c r="F110" s="7">
        <v>3.9923076923076919</v>
      </c>
      <c r="G110" s="7">
        <v>10.761538461538462</v>
      </c>
      <c r="H110" s="7">
        <f t="shared" si="74"/>
        <v>7.3769230769230774</v>
      </c>
      <c r="I110" s="7">
        <f t="shared" si="75"/>
        <v>6.7692307692307701</v>
      </c>
      <c r="K110" s="7">
        <f t="shared" si="40"/>
        <v>11.3</v>
      </c>
      <c r="L110" s="7">
        <f t="shared" si="41"/>
        <v>7.25</v>
      </c>
      <c r="M110" s="370">
        <f t="shared" si="42"/>
        <v>5.2349999999999977</v>
      </c>
      <c r="N110" s="1">
        <f t="shared" si="43"/>
        <v>0</v>
      </c>
      <c r="O110" s="7">
        <f t="shared" si="44"/>
        <v>75.849999999999994</v>
      </c>
      <c r="P110" s="7">
        <f t="shared" si="45"/>
        <v>2.2349999999999999</v>
      </c>
      <c r="Q110" s="7">
        <f t="shared" si="46"/>
        <v>9.36</v>
      </c>
      <c r="R110" s="7">
        <f t="shared" si="47"/>
        <v>5.9750000000000005</v>
      </c>
      <c r="S110" s="7">
        <f t="shared" si="48"/>
        <v>7.125</v>
      </c>
      <c r="T110" s="1">
        <v>51</v>
      </c>
      <c r="U110" s="333">
        <f t="shared" si="49"/>
        <v>1.6451612903225807</v>
      </c>
      <c r="V110" s="4">
        <v>20</v>
      </c>
      <c r="W110" s="7">
        <f t="shared" si="50"/>
        <v>5.4600000000000009</v>
      </c>
      <c r="X110" s="7">
        <f t="shared" si="51"/>
        <v>13.923000000000002</v>
      </c>
      <c r="Y110" s="8">
        <f t="shared" si="52"/>
        <v>2</v>
      </c>
      <c r="Z110" s="7">
        <f>IF(ISBLANK(Z23),NA(),SUM($Z$4:Z23))</f>
        <v>5.4</v>
      </c>
      <c r="AA110" s="7">
        <f t="shared" si="76"/>
        <v>32.903225806451616</v>
      </c>
      <c r="AB110" s="26">
        <f>IF(ISBLANK(Z23),"",SUM($Z$4:Z23))</f>
        <v>5.4</v>
      </c>
      <c r="AC110" s="115">
        <f t="shared" si="77"/>
        <v>0.16411764705882353</v>
      </c>
      <c r="AD110" s="8">
        <f t="shared" si="53"/>
        <v>1022.25</v>
      </c>
      <c r="AE110" s="610">
        <f t="shared" si="54"/>
        <v>1.1026800682547921</v>
      </c>
      <c r="AF110" s="141">
        <f t="shared" si="55"/>
        <v>0.33680555555555558</v>
      </c>
      <c r="AG110" s="22">
        <f>IF(ISBLANK(AP23),NA(),SUM($AP$4:AP23))</f>
        <v>72.3</v>
      </c>
      <c r="AH110" s="7">
        <f>SUM($AS$91:AS110)</f>
        <v>65.56752233168497</v>
      </c>
      <c r="AI110" s="115">
        <f t="shared" si="56"/>
        <v>1.1026800682547921</v>
      </c>
      <c r="AJ110" s="124">
        <f t="shared" si="57"/>
        <v>0</v>
      </c>
      <c r="AK110" s="8">
        <f t="shared" si="58"/>
        <v>1032</v>
      </c>
      <c r="AL110" s="124">
        <f t="shared" si="59"/>
        <v>0</v>
      </c>
      <c r="AM110" s="141">
        <f t="shared" si="60"/>
        <v>0.67013888888888884</v>
      </c>
      <c r="AO110" s="141">
        <f t="shared" si="61"/>
        <v>0.64930555555555558</v>
      </c>
      <c r="AR110" s="141">
        <f t="shared" si="62"/>
        <v>6.9444444444444434E-2</v>
      </c>
      <c r="AS110" s="7">
        <f t="shared" si="63"/>
        <v>3.465767402685147</v>
      </c>
      <c r="AT110" s="7">
        <v>10.915386624684539</v>
      </c>
      <c r="AU110" s="4">
        <v>20</v>
      </c>
      <c r="AV110" s="127">
        <f t="shared" si="64"/>
        <v>1</v>
      </c>
      <c r="AW110" s="124">
        <f t="shared" si="78"/>
        <v>0</v>
      </c>
      <c r="AX110" s="124">
        <f t="shared" si="79"/>
        <v>0</v>
      </c>
      <c r="AY110" s="124">
        <f t="shared" si="65"/>
        <v>1</v>
      </c>
      <c r="AZ110" s="125">
        <f t="shared" si="66"/>
        <v>5.2</v>
      </c>
      <c r="BA110" s="125">
        <f t="shared" si="67"/>
        <v>4.7333333333333325</v>
      </c>
      <c r="BB110" s="125">
        <f t="shared" si="68"/>
        <v>9.2666666666666675</v>
      </c>
      <c r="BC110" s="7">
        <v>5.1205128205128201</v>
      </c>
      <c r="BD110" s="7">
        <v>9.6333333333333346</v>
      </c>
      <c r="BE110" s="124"/>
      <c r="BF110" s="8">
        <f t="shared" si="69"/>
        <v>68</v>
      </c>
      <c r="BG110" s="21">
        <f t="shared" si="70"/>
        <v>7.9</v>
      </c>
      <c r="BH110" s="124">
        <f t="shared" si="71"/>
        <v>0</v>
      </c>
      <c r="BI110" s="124">
        <f t="shared" si="80"/>
        <v>0</v>
      </c>
      <c r="BJ110" s="144">
        <f t="shared" si="72"/>
        <v>0</v>
      </c>
      <c r="BL110" s="99">
        <v>20</v>
      </c>
    </row>
    <row r="111" spans="1:64" ht="12.75" x14ac:dyDescent="0.2">
      <c r="A111" s="8">
        <f t="shared" si="36"/>
        <v>30</v>
      </c>
      <c r="B111" s="125">
        <f t="shared" si="37"/>
        <v>3.6</v>
      </c>
      <c r="C111" s="125">
        <f t="shared" si="38"/>
        <v>10.4</v>
      </c>
      <c r="D111" s="125">
        <f t="shared" si="73"/>
        <v>7</v>
      </c>
      <c r="E111" s="125">
        <f t="shared" si="39"/>
        <v>6.8000000000000007</v>
      </c>
      <c r="F111" s="7">
        <v>4.0384615384615383</v>
      </c>
      <c r="G111" s="7">
        <v>10.842307692307694</v>
      </c>
      <c r="H111" s="7">
        <f t="shared" si="74"/>
        <v>7.440384615384616</v>
      </c>
      <c r="I111" s="7">
        <f t="shared" si="75"/>
        <v>6.8038461538461554</v>
      </c>
      <c r="K111" s="7">
        <f t="shared" si="40"/>
        <v>10.1</v>
      </c>
      <c r="L111" s="7">
        <f t="shared" si="41"/>
        <v>9.5500000000000007</v>
      </c>
      <c r="M111" s="370">
        <f t="shared" si="42"/>
        <v>5.1047619047619026</v>
      </c>
      <c r="N111" s="1">
        <f t="shared" si="43"/>
        <v>0</v>
      </c>
      <c r="O111" s="7">
        <f t="shared" si="44"/>
        <v>75.666666666666671</v>
      </c>
      <c r="P111" s="7">
        <f t="shared" si="45"/>
        <v>2.3428571428571425</v>
      </c>
      <c r="Q111" s="7">
        <f t="shared" si="46"/>
        <v>9.6095238095238091</v>
      </c>
      <c r="R111" s="7">
        <f t="shared" si="47"/>
        <v>6.1476190476190489</v>
      </c>
      <c r="S111" s="7">
        <f t="shared" si="48"/>
        <v>7.2666666666666666</v>
      </c>
      <c r="T111" s="1">
        <v>52</v>
      </c>
      <c r="U111" s="333">
        <f t="shared" si="49"/>
        <v>1.6451612903225807</v>
      </c>
      <c r="V111" s="4">
        <v>21</v>
      </c>
      <c r="W111" s="7">
        <f t="shared" si="50"/>
        <v>5.7330000000000005</v>
      </c>
      <c r="X111" s="7">
        <f t="shared" si="51"/>
        <v>14.196000000000002</v>
      </c>
      <c r="Y111" s="8">
        <f t="shared" si="52"/>
        <v>3</v>
      </c>
      <c r="Z111" s="7">
        <f>IF(ISBLANK(Z24),NA(),SUM($Z$4:Z24))</f>
        <v>5.4</v>
      </c>
      <c r="AA111" s="7">
        <f t="shared" si="76"/>
        <v>34.548387096774192</v>
      </c>
      <c r="AB111" s="26">
        <f>IF(ISBLANK(Z24),"",SUM($Z$4:Z24))</f>
        <v>5.4</v>
      </c>
      <c r="AC111" s="115">
        <f t="shared" si="77"/>
        <v>0.15630252100840339</v>
      </c>
      <c r="AD111" s="8">
        <f t="shared" si="53"/>
        <v>1022.8333333333334</v>
      </c>
      <c r="AE111" s="610">
        <f t="shared" si="54"/>
        <v>1.0832238728887782</v>
      </c>
      <c r="AF111" s="141">
        <f t="shared" si="55"/>
        <v>0.27777777777777779</v>
      </c>
      <c r="AG111" s="22">
        <f>IF(ISBLANK(AP24),NA(),SUM($AP$4:AP24))</f>
        <v>74.8</v>
      </c>
      <c r="AH111" s="7">
        <f>SUM($AS$91:AS111)</f>
        <v>69.053131002846911</v>
      </c>
      <c r="AI111" s="115">
        <f t="shared" si="56"/>
        <v>1.0832238728887782</v>
      </c>
      <c r="AJ111" s="124">
        <f t="shared" si="57"/>
        <v>0</v>
      </c>
      <c r="AK111" s="8">
        <f t="shared" si="58"/>
        <v>1034.5</v>
      </c>
      <c r="AL111" s="124">
        <f t="shared" si="59"/>
        <v>0</v>
      </c>
      <c r="AM111" s="141">
        <f t="shared" si="60"/>
        <v>0.65625</v>
      </c>
      <c r="AO111" s="141">
        <f t="shared" si="61"/>
        <v>0.59027777777777779</v>
      </c>
      <c r="AQ111" s="115">
        <f>SUM(AQ92:AQ107)</f>
        <v>1.0010000000000001</v>
      </c>
      <c r="AR111" s="141">
        <f t="shared" si="62"/>
        <v>0.24652777777777779</v>
      </c>
      <c r="AS111" s="7">
        <f t="shared" si="63"/>
        <v>3.4856086711619461</v>
      </c>
      <c r="AT111" s="7">
        <v>10.977876426043</v>
      </c>
      <c r="AU111" s="4">
        <v>21</v>
      </c>
      <c r="AV111" s="127">
        <f t="shared" si="64"/>
        <v>0</v>
      </c>
      <c r="AW111" s="124">
        <f t="shared" si="78"/>
        <v>0</v>
      </c>
      <c r="AX111" s="124">
        <f t="shared" si="79"/>
        <v>0</v>
      </c>
      <c r="AY111" s="124">
        <f t="shared" si="65"/>
        <v>1</v>
      </c>
      <c r="AZ111" s="125">
        <f t="shared" si="66"/>
        <v>5.2</v>
      </c>
      <c r="BA111" s="125">
        <f t="shared" si="67"/>
        <v>4.7333333333333325</v>
      </c>
      <c r="BB111" s="125">
        <f t="shared" si="68"/>
        <v>9.2666666666666675</v>
      </c>
      <c r="BC111" s="7">
        <v>5.1724358974358982</v>
      </c>
      <c r="BD111" s="7">
        <v>9.7083333333333339</v>
      </c>
      <c r="BE111" s="124"/>
      <c r="BF111" s="8">
        <f t="shared" si="69"/>
        <v>72</v>
      </c>
      <c r="BG111" s="21">
        <f t="shared" si="70"/>
        <v>9.6</v>
      </c>
      <c r="BH111" s="124">
        <f t="shared" si="71"/>
        <v>0</v>
      </c>
      <c r="BI111" s="124">
        <f t="shared" si="80"/>
        <v>0</v>
      </c>
      <c r="BJ111" s="144">
        <f t="shared" si="72"/>
        <v>0</v>
      </c>
      <c r="BL111" s="99">
        <v>21</v>
      </c>
    </row>
    <row r="112" spans="1:64" ht="12.75" x14ac:dyDescent="0.2">
      <c r="A112" s="8">
        <f t="shared" si="36"/>
        <v>38</v>
      </c>
      <c r="B112" s="125">
        <f t="shared" si="37"/>
        <v>3.6</v>
      </c>
      <c r="C112" s="125">
        <f t="shared" si="38"/>
        <v>10.4</v>
      </c>
      <c r="D112" s="125">
        <f t="shared" si="73"/>
        <v>7</v>
      </c>
      <c r="E112" s="125">
        <f t="shared" si="39"/>
        <v>6.8000000000000007</v>
      </c>
      <c r="F112" s="7">
        <v>4.0846153846153843</v>
      </c>
      <c r="G112" s="7">
        <v>10.923076923076925</v>
      </c>
      <c r="H112" s="7">
        <f t="shared" si="74"/>
        <v>7.5038461538461547</v>
      </c>
      <c r="I112" s="7">
        <f t="shared" si="75"/>
        <v>6.8384615384615408</v>
      </c>
      <c r="K112" s="7">
        <f t="shared" si="40"/>
        <v>9.4</v>
      </c>
      <c r="L112" s="7">
        <f t="shared" si="41"/>
        <v>11.2</v>
      </c>
      <c r="M112" s="370">
        <f t="shared" si="42"/>
        <v>4.9590909090909072</v>
      </c>
      <c r="N112" s="1">
        <f t="shared" si="43"/>
        <v>0</v>
      </c>
      <c r="O112" s="7">
        <f t="shared" si="44"/>
        <v>75.272727272727266</v>
      </c>
      <c r="P112" s="7">
        <f t="shared" si="45"/>
        <v>2.5318181818181817</v>
      </c>
      <c r="Q112" s="7">
        <f t="shared" si="46"/>
        <v>9.8954545454545446</v>
      </c>
      <c r="R112" s="7">
        <f t="shared" si="47"/>
        <v>6.3772727272727279</v>
      </c>
      <c r="S112" s="7">
        <f t="shared" si="48"/>
        <v>7.3636363636363633</v>
      </c>
      <c r="T112" s="1">
        <v>53</v>
      </c>
      <c r="U112" s="333">
        <f t="shared" si="49"/>
        <v>1.6451612903225807</v>
      </c>
      <c r="V112" s="4">
        <v>22</v>
      </c>
      <c r="W112" s="7">
        <f t="shared" si="50"/>
        <v>6.0060000000000002</v>
      </c>
      <c r="X112" s="7">
        <f t="shared" si="51"/>
        <v>14.469000000000001</v>
      </c>
      <c r="Y112" s="8">
        <f t="shared" si="52"/>
        <v>4</v>
      </c>
      <c r="Z112" s="7">
        <f>IF(ISBLANK(Z25),NA(),SUM($Z$4:Z25))</f>
        <v>5.4</v>
      </c>
      <c r="AA112" s="7">
        <f t="shared" si="76"/>
        <v>36.193548387096776</v>
      </c>
      <c r="AB112" s="26">
        <f>IF(ISBLANK(Z25),"",SUM($Z$4:Z25))</f>
        <v>5.4</v>
      </c>
      <c r="AC112" s="115">
        <f t="shared" si="77"/>
        <v>0.14919786096256685</v>
      </c>
      <c r="AD112" s="8">
        <f t="shared" si="53"/>
        <v>1023.5227272727273</v>
      </c>
      <c r="AE112" s="610">
        <f t="shared" si="54"/>
        <v>1.0515640710186367</v>
      </c>
      <c r="AF112" s="141">
        <f t="shared" si="55"/>
        <v>0.19791666666666666</v>
      </c>
      <c r="AG112" s="22">
        <f>IF(ISBLANK(AP25),NA(),SUM($AP$4:AP25))</f>
        <v>76.3</v>
      </c>
      <c r="AH112" s="7">
        <f>SUM($AS$91:AS112)</f>
        <v>72.558584020552516</v>
      </c>
      <c r="AI112" s="115">
        <f t="shared" si="56"/>
        <v>1.0515640710186367</v>
      </c>
      <c r="AJ112" s="124">
        <f t="shared" si="57"/>
        <v>0</v>
      </c>
      <c r="AK112" s="8">
        <f t="shared" si="58"/>
        <v>1038</v>
      </c>
      <c r="AL112" s="124">
        <f t="shared" si="59"/>
        <v>0</v>
      </c>
      <c r="AM112" s="141">
        <f t="shared" si="60"/>
        <v>0.61805555555555558</v>
      </c>
      <c r="AO112" s="141">
        <f t="shared" si="61"/>
        <v>0.60069444444444442</v>
      </c>
      <c r="AR112" s="141">
        <f t="shared" si="62"/>
        <v>0.13194444444444445</v>
      </c>
      <c r="AS112" s="7">
        <f t="shared" si="63"/>
        <v>3.5054530177056082</v>
      </c>
      <c r="AT112" s="7">
        <v>11.040375921730586</v>
      </c>
      <c r="AU112" s="4">
        <v>22</v>
      </c>
      <c r="AV112" s="127">
        <f t="shared" si="64"/>
        <v>0</v>
      </c>
      <c r="AW112" s="124">
        <f t="shared" si="78"/>
        <v>0</v>
      </c>
      <c r="AX112" s="124">
        <f t="shared" si="79"/>
        <v>1</v>
      </c>
      <c r="AY112" s="124">
        <f t="shared" si="65"/>
        <v>1</v>
      </c>
      <c r="AZ112" s="125">
        <f t="shared" si="66"/>
        <v>5.2</v>
      </c>
      <c r="BA112" s="125">
        <f t="shared" si="67"/>
        <v>4.7333333333333325</v>
      </c>
      <c r="BB112" s="125">
        <f t="shared" si="68"/>
        <v>9.2666666666666675</v>
      </c>
      <c r="BC112" s="7">
        <v>5.2243589743589745</v>
      </c>
      <c r="BD112" s="7">
        <v>9.783333333333335</v>
      </c>
      <c r="BE112" s="124"/>
      <c r="BF112" s="8">
        <f t="shared" si="69"/>
        <v>67</v>
      </c>
      <c r="BG112" s="21">
        <f t="shared" si="70"/>
        <v>11.2</v>
      </c>
      <c r="BH112" s="124">
        <f t="shared" si="71"/>
        <v>0</v>
      </c>
      <c r="BI112" s="124">
        <f t="shared" si="80"/>
        <v>0</v>
      </c>
      <c r="BJ112" s="144">
        <f t="shared" si="72"/>
        <v>0</v>
      </c>
      <c r="BL112" s="99">
        <v>22</v>
      </c>
    </row>
    <row r="113" spans="1:64" ht="12.75" x14ac:dyDescent="0.2">
      <c r="A113" s="8">
        <f t="shared" si="36"/>
        <v>42</v>
      </c>
      <c r="B113" s="125">
        <f t="shared" si="37"/>
        <v>3.6</v>
      </c>
      <c r="C113" s="125">
        <f t="shared" si="38"/>
        <v>10.4</v>
      </c>
      <c r="D113" s="125">
        <f t="shared" si="73"/>
        <v>7</v>
      </c>
      <c r="E113" s="125">
        <f t="shared" si="39"/>
        <v>6.8000000000000007</v>
      </c>
      <c r="F113" s="7">
        <v>4.1307692307692303</v>
      </c>
      <c r="G113" s="7">
        <v>11.003846153846156</v>
      </c>
      <c r="H113" s="7">
        <f t="shared" si="74"/>
        <v>7.5673076923076934</v>
      </c>
      <c r="I113" s="7">
        <f t="shared" si="75"/>
        <v>6.8730769230769262</v>
      </c>
      <c r="K113" s="7">
        <f t="shared" si="40"/>
        <v>11.8</v>
      </c>
      <c r="L113" s="7">
        <f t="shared" si="41"/>
        <v>10.200000000000001</v>
      </c>
      <c r="M113" s="370">
        <f t="shared" si="42"/>
        <v>4.8782608695652154</v>
      </c>
      <c r="N113" s="1">
        <f t="shared" si="43"/>
        <v>0</v>
      </c>
      <c r="O113" s="7">
        <f t="shared" si="44"/>
        <v>75.086956521739125</v>
      </c>
      <c r="P113" s="7">
        <f t="shared" si="45"/>
        <v>2.6086956521739126</v>
      </c>
      <c r="Q113" s="7">
        <f t="shared" si="46"/>
        <v>10.165217391304347</v>
      </c>
      <c r="R113" s="7">
        <f t="shared" si="47"/>
        <v>6.5608695652173914</v>
      </c>
      <c r="S113" s="7">
        <f t="shared" si="48"/>
        <v>7.5565217391304351</v>
      </c>
      <c r="T113" s="1">
        <v>54</v>
      </c>
      <c r="U113" s="333">
        <f t="shared" si="49"/>
        <v>1.6451612903225807</v>
      </c>
      <c r="V113" s="4">
        <v>23</v>
      </c>
      <c r="W113" s="7">
        <f t="shared" si="50"/>
        <v>6.2790000000000008</v>
      </c>
      <c r="X113" s="7">
        <f t="shared" si="51"/>
        <v>14.742000000000001</v>
      </c>
      <c r="Y113" s="8">
        <f t="shared" si="52"/>
        <v>4</v>
      </c>
      <c r="Z113" s="7">
        <f>IF(ISBLANK(Z26),NA(),SUM($Z$4:Z26))</f>
        <v>5.4</v>
      </c>
      <c r="AA113" s="7">
        <f t="shared" si="76"/>
        <v>37.838709677419359</v>
      </c>
      <c r="AB113" s="26">
        <f>IF(ISBLANK(Z26),"",SUM($Z$4:Z26))</f>
        <v>5.4</v>
      </c>
      <c r="AC113" s="115">
        <f t="shared" si="77"/>
        <v>0.14271099744245525</v>
      </c>
      <c r="AD113" s="8">
        <f t="shared" si="53"/>
        <v>1024.2391304347825</v>
      </c>
      <c r="AE113" s="610">
        <f t="shared" si="54"/>
        <v>1.1434747751955108</v>
      </c>
      <c r="AF113" s="141">
        <f t="shared" si="55"/>
        <v>0.3125</v>
      </c>
      <c r="AG113" s="22">
        <f>IF(ISBLANK(AP26),NA(),SUM($AP$4:AP26))</f>
        <v>87</v>
      </c>
      <c r="AH113" s="7">
        <f>SUM($AS$91:AS113)</f>
        <v>76.083882117228853</v>
      </c>
      <c r="AI113" s="115">
        <f t="shared" si="56"/>
        <v>1.1434747751955108</v>
      </c>
      <c r="AJ113" s="124">
        <f t="shared" si="57"/>
        <v>0</v>
      </c>
      <c r="AK113" s="8">
        <f t="shared" si="58"/>
        <v>1040</v>
      </c>
      <c r="AL113" s="124">
        <f t="shared" si="59"/>
        <v>0</v>
      </c>
      <c r="AM113" s="141">
        <f t="shared" si="60"/>
        <v>0.65972222222222221</v>
      </c>
      <c r="AO113" s="141">
        <f t="shared" si="61"/>
        <v>0.63541666666666663</v>
      </c>
      <c r="AR113" s="141">
        <f t="shared" si="62"/>
        <v>0.21180555555555555</v>
      </c>
      <c r="AS113" s="7">
        <f t="shared" si="63"/>
        <v>3.5252980966763356</v>
      </c>
      <c r="AT113" s="7">
        <v>11.10287772418711</v>
      </c>
      <c r="AU113" s="4">
        <v>23</v>
      </c>
      <c r="AV113" s="127">
        <f t="shared" si="64"/>
        <v>1</v>
      </c>
      <c r="AW113" s="124">
        <f t="shared" si="78"/>
        <v>0</v>
      </c>
      <c r="AX113" s="124">
        <f t="shared" si="79"/>
        <v>1</v>
      </c>
      <c r="AY113" s="124">
        <f t="shared" si="65"/>
        <v>1</v>
      </c>
      <c r="AZ113" s="125">
        <f t="shared" si="66"/>
        <v>5.2</v>
      </c>
      <c r="BA113" s="125">
        <f t="shared" si="67"/>
        <v>4.7333333333333325</v>
      </c>
      <c r="BB113" s="125">
        <f t="shared" si="68"/>
        <v>9.2666666666666675</v>
      </c>
      <c r="BC113" s="7">
        <v>5.2762820512820507</v>
      </c>
      <c r="BD113" s="7">
        <v>9.8583333333333361</v>
      </c>
      <c r="BE113" s="124"/>
      <c r="BF113" s="8">
        <f t="shared" si="69"/>
        <v>71</v>
      </c>
      <c r="BG113" s="21">
        <f t="shared" si="70"/>
        <v>10.6</v>
      </c>
      <c r="BH113" s="124">
        <f t="shared" si="71"/>
        <v>0</v>
      </c>
      <c r="BI113" s="124">
        <f t="shared" si="80"/>
        <v>0</v>
      </c>
      <c r="BJ113" s="144">
        <f t="shared" si="72"/>
        <v>0</v>
      </c>
      <c r="BL113" s="99">
        <v>23</v>
      </c>
    </row>
    <row r="114" spans="1:64" ht="12.75" x14ac:dyDescent="0.2">
      <c r="A114" s="8">
        <f t="shared" si="36"/>
        <v>59</v>
      </c>
      <c r="B114" s="125">
        <f t="shared" si="37"/>
        <v>3.6</v>
      </c>
      <c r="C114" s="125">
        <f t="shared" si="38"/>
        <v>10.4</v>
      </c>
      <c r="D114" s="125">
        <f t="shared" si="73"/>
        <v>7</v>
      </c>
      <c r="E114" s="125">
        <f t="shared" si="39"/>
        <v>6.8000000000000007</v>
      </c>
      <c r="F114" s="7">
        <v>4.1769230769230763</v>
      </c>
      <c r="G114" s="7">
        <v>11.084615384615388</v>
      </c>
      <c r="H114" s="7">
        <f t="shared" si="74"/>
        <v>7.6307692307692321</v>
      </c>
      <c r="I114" s="7">
        <f t="shared" si="75"/>
        <v>6.9076923076923116</v>
      </c>
      <c r="K114" s="7">
        <f t="shared" si="40"/>
        <v>11</v>
      </c>
      <c r="L114" s="7">
        <f t="shared" si="41"/>
        <v>10.3</v>
      </c>
      <c r="M114" s="370">
        <f t="shared" si="42"/>
        <v>4.8541666666666652</v>
      </c>
      <c r="N114" s="1">
        <f t="shared" si="43"/>
        <v>0</v>
      </c>
      <c r="O114" s="7">
        <f t="shared" si="44"/>
        <v>74.875</v>
      </c>
      <c r="P114" s="7">
        <f t="shared" si="45"/>
        <v>2.6999999999999997</v>
      </c>
      <c r="Q114" s="7">
        <f t="shared" si="46"/>
        <v>10.4</v>
      </c>
      <c r="R114" s="7">
        <f t="shared" si="47"/>
        <v>6.6958333333333337</v>
      </c>
      <c r="S114" s="7">
        <f t="shared" si="48"/>
        <v>7.7</v>
      </c>
      <c r="T114" s="1">
        <v>55</v>
      </c>
      <c r="U114" s="333">
        <f t="shared" si="49"/>
        <v>1.6451612903225807</v>
      </c>
      <c r="V114" s="4">
        <v>24</v>
      </c>
      <c r="W114" s="7">
        <f t="shared" si="50"/>
        <v>6.5520000000000005</v>
      </c>
      <c r="X114" s="7">
        <f t="shared" si="51"/>
        <v>15.015000000000001</v>
      </c>
      <c r="Y114" s="8">
        <f t="shared" si="52"/>
        <v>11</v>
      </c>
      <c r="Z114" s="7">
        <f>IF(ISBLANK(Z27),NA(),SUM($Z$4:Z27))</f>
        <v>5.4</v>
      </c>
      <c r="AA114" s="7">
        <f t="shared" si="76"/>
        <v>39.483870967741936</v>
      </c>
      <c r="AB114" s="26">
        <f>IF(ISBLANK(Z27),"",SUM($Z$4:Z27))</f>
        <v>5.4</v>
      </c>
      <c r="AC114" s="115">
        <f t="shared" si="77"/>
        <v>0.13676470588235295</v>
      </c>
      <c r="AD114" s="8">
        <f t="shared" si="53"/>
        <v>1024.5833333333333</v>
      </c>
      <c r="AE114" s="610">
        <f t="shared" si="54"/>
        <v>1.2181488044888245</v>
      </c>
      <c r="AF114" s="141">
        <f t="shared" si="55"/>
        <v>0.3611111111111111</v>
      </c>
      <c r="AG114" s="22">
        <f>IF(ISBLANK(AP27),NA(),SUM($AP$4:AP27))</f>
        <v>97</v>
      </c>
      <c r="AH114" s="7">
        <f>SUM($AS$91:AS114)</f>
        <v>79.629023681309945</v>
      </c>
      <c r="AI114" s="115">
        <f t="shared" si="56"/>
        <v>1.2181488044888245</v>
      </c>
      <c r="AJ114" s="124">
        <f t="shared" si="57"/>
        <v>0</v>
      </c>
      <c r="AK114" s="8">
        <f t="shared" si="58"/>
        <v>1032.5</v>
      </c>
      <c r="AL114" s="124">
        <f t="shared" si="59"/>
        <v>0</v>
      </c>
      <c r="AM114" s="141">
        <f t="shared" si="60"/>
        <v>0.65625</v>
      </c>
      <c r="AO114" s="141">
        <f t="shared" si="61"/>
        <v>0.58680555555555558</v>
      </c>
      <c r="AR114" s="141">
        <f t="shared" si="62"/>
        <v>0.28472222222222221</v>
      </c>
      <c r="AS114" s="7">
        <f t="shared" si="63"/>
        <v>3.5451415640810868</v>
      </c>
      <c r="AT114" s="7">
        <v>11.165374451038822</v>
      </c>
      <c r="AU114" s="4">
        <v>24</v>
      </c>
      <c r="AV114" s="127">
        <f t="shared" si="64"/>
        <v>1</v>
      </c>
      <c r="AW114" s="124">
        <f t="shared" si="78"/>
        <v>0</v>
      </c>
      <c r="AX114" s="124">
        <f t="shared" si="79"/>
        <v>1</v>
      </c>
      <c r="AY114" s="124">
        <f t="shared" si="65"/>
        <v>1</v>
      </c>
      <c r="AZ114" s="125">
        <f t="shared" si="66"/>
        <v>5.2</v>
      </c>
      <c r="BA114" s="125">
        <f t="shared" si="67"/>
        <v>4.7333333333333325</v>
      </c>
      <c r="BB114" s="125">
        <f t="shared" si="68"/>
        <v>9.2666666666666675</v>
      </c>
      <c r="BC114" s="7">
        <v>5.3282051282051288</v>
      </c>
      <c r="BD114" s="7">
        <v>9.9333333333333353</v>
      </c>
      <c r="BE114" s="124"/>
      <c r="BF114" s="8">
        <f t="shared" si="69"/>
        <v>70</v>
      </c>
      <c r="BG114" s="21">
        <f t="shared" si="70"/>
        <v>9.8000000000000007</v>
      </c>
      <c r="BH114" s="124">
        <f t="shared" si="71"/>
        <v>0</v>
      </c>
      <c r="BI114" s="124">
        <f t="shared" si="80"/>
        <v>0</v>
      </c>
      <c r="BJ114" s="144">
        <f t="shared" si="72"/>
        <v>0</v>
      </c>
      <c r="BL114" s="99">
        <v>24</v>
      </c>
    </row>
    <row r="115" spans="1:64" ht="12.75" x14ac:dyDescent="0.2">
      <c r="A115" s="8">
        <f t="shared" si="36"/>
        <v>42</v>
      </c>
      <c r="B115" s="125">
        <f t="shared" si="37"/>
        <v>3.6</v>
      </c>
      <c r="C115" s="125">
        <f t="shared" si="38"/>
        <v>10.4</v>
      </c>
      <c r="D115" s="125">
        <f t="shared" si="73"/>
        <v>7</v>
      </c>
      <c r="E115" s="125">
        <f t="shared" si="39"/>
        <v>6.8000000000000007</v>
      </c>
      <c r="F115" s="7">
        <v>4.2230769230769223</v>
      </c>
      <c r="G115" s="7">
        <v>11.165384615384619</v>
      </c>
      <c r="H115" s="7">
        <f t="shared" si="74"/>
        <v>7.6942307692307708</v>
      </c>
      <c r="I115" s="7">
        <f t="shared" si="75"/>
        <v>6.942307692307697</v>
      </c>
      <c r="K115" s="7">
        <f t="shared" si="40"/>
        <v>13.6</v>
      </c>
      <c r="L115" s="7">
        <f t="shared" si="41"/>
        <v>10.4</v>
      </c>
      <c r="M115" s="370">
        <f t="shared" si="42"/>
        <v>4.7239999999999984</v>
      </c>
      <c r="N115" s="1">
        <f t="shared" si="43"/>
        <v>0</v>
      </c>
      <c r="O115" s="7">
        <f t="shared" si="44"/>
        <v>74.599999999999994</v>
      </c>
      <c r="P115" s="7">
        <f t="shared" si="45"/>
        <v>2.7359999999999998</v>
      </c>
      <c r="Q115" s="7">
        <f t="shared" si="46"/>
        <v>10.672000000000001</v>
      </c>
      <c r="R115" s="7">
        <f t="shared" si="47"/>
        <v>6.8520000000000003</v>
      </c>
      <c r="S115" s="7">
        <f t="shared" si="48"/>
        <v>7.9359999999999999</v>
      </c>
      <c r="T115" s="1">
        <v>56</v>
      </c>
      <c r="U115" s="333">
        <f t="shared" si="49"/>
        <v>1.6451612903225807</v>
      </c>
      <c r="V115" s="4">
        <v>25</v>
      </c>
      <c r="W115" s="7">
        <f t="shared" si="50"/>
        <v>6.8250000000000002</v>
      </c>
      <c r="X115" s="7">
        <f t="shared" si="51"/>
        <v>15.288</v>
      </c>
      <c r="Y115" s="8">
        <f t="shared" si="52"/>
        <v>10</v>
      </c>
      <c r="Z115" s="7">
        <f>IF(ISBLANK(Z28),NA(),SUM($Z$4:Z28))</f>
        <v>5.4</v>
      </c>
      <c r="AA115" s="7">
        <f t="shared" si="76"/>
        <v>41.12903225806452</v>
      </c>
      <c r="AB115" s="26">
        <f>IF(ISBLANK(Z28),"",SUM($Z$4:Z28))</f>
        <v>5.4</v>
      </c>
      <c r="AC115" s="115">
        <f t="shared" si="77"/>
        <v>0.13129411764705881</v>
      </c>
      <c r="AD115" s="8">
        <f t="shared" si="53"/>
        <v>1024.48</v>
      </c>
      <c r="AE115" s="610">
        <f t="shared" si="54"/>
        <v>1.2861503700523795</v>
      </c>
      <c r="AF115" s="141">
        <f t="shared" si="55"/>
        <v>0.30555555555555552</v>
      </c>
      <c r="AG115" s="22">
        <f>IF(ISBLANK(AP28),NA(),SUM($AP$4:AP28))</f>
        <v>107</v>
      </c>
      <c r="AH115" s="7">
        <f>SUM($AS$91:AS115)</f>
        <v>83.194004753613953</v>
      </c>
      <c r="AI115" s="115">
        <f t="shared" si="56"/>
        <v>1.2861503700523795</v>
      </c>
      <c r="AJ115" s="124">
        <f t="shared" si="57"/>
        <v>0</v>
      </c>
      <c r="AK115" s="8">
        <f t="shared" si="58"/>
        <v>1022</v>
      </c>
      <c r="AL115" s="124">
        <f t="shared" si="59"/>
        <v>0</v>
      </c>
      <c r="AM115" s="141">
        <f t="shared" si="60"/>
        <v>0.67361111111111116</v>
      </c>
      <c r="AO115" s="141">
        <f t="shared" si="61"/>
        <v>0.67708333333333337</v>
      </c>
      <c r="AR115" s="141">
        <f t="shared" si="62"/>
        <v>0.24305555555555555</v>
      </c>
      <c r="AS115" s="7">
        <f t="shared" si="63"/>
        <v>3.564981072304005</v>
      </c>
      <c r="AT115" s="7">
        <v>11.227858708501969</v>
      </c>
      <c r="AU115" s="4">
        <v>25</v>
      </c>
      <c r="AV115" s="127">
        <f t="shared" si="64"/>
        <v>1</v>
      </c>
      <c r="AW115" s="124">
        <f t="shared" si="78"/>
        <v>0</v>
      </c>
      <c r="AX115" s="124">
        <f t="shared" si="79"/>
        <v>1</v>
      </c>
      <c r="AY115" s="124">
        <f t="shared" si="65"/>
        <v>1</v>
      </c>
      <c r="AZ115" s="125">
        <f t="shared" si="66"/>
        <v>5.2</v>
      </c>
      <c r="BA115" s="125">
        <f t="shared" si="67"/>
        <v>4.7333333333333325</v>
      </c>
      <c r="BB115" s="125">
        <f t="shared" si="68"/>
        <v>9.2666666666666675</v>
      </c>
      <c r="BC115" s="7">
        <v>5.3801282051282051</v>
      </c>
      <c r="BD115" s="7">
        <v>10.008333333333336</v>
      </c>
      <c r="BF115" s="8">
        <f t="shared" si="69"/>
        <v>68</v>
      </c>
      <c r="BG115" s="21">
        <f t="shared" si="70"/>
        <v>10.6</v>
      </c>
      <c r="BH115" s="124">
        <f t="shared" si="71"/>
        <v>0</v>
      </c>
      <c r="BI115" s="124">
        <f t="shared" si="80"/>
        <v>0</v>
      </c>
      <c r="BJ115" s="144">
        <f t="shared" si="72"/>
        <v>0</v>
      </c>
      <c r="BL115" s="99">
        <v>25</v>
      </c>
    </row>
    <row r="116" spans="1:64" ht="12.75" x14ac:dyDescent="0.2">
      <c r="A116" s="8">
        <f t="shared" si="36"/>
        <v>25</v>
      </c>
      <c r="B116" s="125">
        <f t="shared" si="37"/>
        <v>3.6</v>
      </c>
      <c r="C116" s="125">
        <f t="shared" si="38"/>
        <v>10.4</v>
      </c>
      <c r="D116" s="125">
        <f t="shared" si="73"/>
        <v>7</v>
      </c>
      <c r="E116" s="125">
        <f t="shared" si="39"/>
        <v>6.8000000000000007</v>
      </c>
      <c r="F116" s="7">
        <v>4.2692307692307683</v>
      </c>
      <c r="G116" s="7">
        <v>11.246153846153851</v>
      </c>
      <c r="H116" s="7">
        <f t="shared" si="74"/>
        <v>7.7576923076923094</v>
      </c>
      <c r="I116" s="7">
        <f t="shared" si="75"/>
        <v>6.9769230769230823</v>
      </c>
      <c r="K116" s="7">
        <f t="shared" si="40"/>
        <v>8.3000000000000007</v>
      </c>
      <c r="L116" s="7">
        <f t="shared" si="41"/>
        <v>9.25</v>
      </c>
      <c r="M116" s="370">
        <f t="shared" si="42"/>
        <v>4.7153846153846137</v>
      </c>
      <c r="N116" s="1">
        <f t="shared" si="43"/>
        <v>0</v>
      </c>
      <c r="O116" s="7">
        <f t="shared" si="44"/>
        <v>74.769230769230774</v>
      </c>
      <c r="P116" s="7">
        <f t="shared" si="45"/>
        <v>2.8269230769230762</v>
      </c>
      <c r="Q116" s="7">
        <f t="shared" si="46"/>
        <v>10.776923076923076</v>
      </c>
      <c r="R116" s="7">
        <f t="shared" si="47"/>
        <v>6.9192307692307695</v>
      </c>
      <c r="S116" s="7">
        <f t="shared" si="48"/>
        <v>7.9500000000000011</v>
      </c>
      <c r="T116" s="1">
        <v>57</v>
      </c>
      <c r="U116" s="333">
        <f t="shared" si="49"/>
        <v>1.6451612903225807</v>
      </c>
      <c r="V116" s="4">
        <v>26</v>
      </c>
      <c r="W116" s="7">
        <f t="shared" si="50"/>
        <v>7.0980000000000008</v>
      </c>
      <c r="X116" s="7">
        <f t="shared" si="51"/>
        <v>15.561000000000002</v>
      </c>
      <c r="Y116" s="8">
        <f t="shared" si="52"/>
        <v>1</v>
      </c>
      <c r="Z116" s="7">
        <f>IF(ISBLANK(Z29),NA(),SUM($Z$4:Z29))</f>
        <v>5.4</v>
      </c>
      <c r="AA116" s="7">
        <f t="shared" si="76"/>
        <v>42.774193548387096</v>
      </c>
      <c r="AB116" s="26">
        <f>IF(ISBLANK(Z29),"",SUM($Z$4:Z29))</f>
        <v>5.4</v>
      </c>
      <c r="AC116" s="115">
        <f t="shared" si="77"/>
        <v>0.12624434389140274</v>
      </c>
      <c r="AD116" s="8">
        <f t="shared" si="53"/>
        <v>1024.1346153846155</v>
      </c>
      <c r="AE116" s="610">
        <f t="shared" si="54"/>
        <v>1.2445433254517584</v>
      </c>
      <c r="AF116" s="141">
        <f t="shared" si="55"/>
        <v>0.28472222222222221</v>
      </c>
      <c r="AG116" s="22">
        <f>IF(ISBLANK(AP29),NA(),SUM($AP$4:AP29))</f>
        <v>108</v>
      </c>
      <c r="AH116" s="7">
        <f>SUM($AS$91:AS116)</f>
        <v>86.778819018451557</v>
      </c>
      <c r="AI116" s="115">
        <f t="shared" si="56"/>
        <v>1.2445433254517584</v>
      </c>
      <c r="AJ116" s="124">
        <f t="shared" si="57"/>
        <v>0</v>
      </c>
      <c r="AK116" s="8">
        <f t="shared" si="58"/>
        <v>1015.5</v>
      </c>
      <c r="AL116" s="124">
        <f t="shared" si="59"/>
        <v>0</v>
      </c>
      <c r="AM116" s="141">
        <f t="shared" si="60"/>
        <v>0.62152777777777779</v>
      </c>
      <c r="AO116" s="141">
        <f t="shared" si="61"/>
        <v>0.53819444444444442</v>
      </c>
      <c r="AR116" s="141">
        <f t="shared" si="62"/>
        <v>0.23263888888888887</v>
      </c>
      <c r="AS116" s="7">
        <f t="shared" si="63"/>
        <v>3.5848142648376005</v>
      </c>
      <c r="AT116" s="7">
        <v>11.290323074788718</v>
      </c>
      <c r="AU116" s="4">
        <v>26</v>
      </c>
      <c r="AV116" s="127">
        <f t="shared" si="64"/>
        <v>0</v>
      </c>
      <c r="AW116" s="124">
        <f t="shared" si="78"/>
        <v>0</v>
      </c>
      <c r="AX116" s="124">
        <f t="shared" si="79"/>
        <v>0</v>
      </c>
      <c r="AY116" s="124">
        <f t="shared" si="65"/>
        <v>1</v>
      </c>
      <c r="AZ116" s="125">
        <f t="shared" si="66"/>
        <v>5.2</v>
      </c>
      <c r="BA116" s="125">
        <f t="shared" si="67"/>
        <v>4.7333333333333325</v>
      </c>
      <c r="BB116" s="125">
        <f t="shared" si="68"/>
        <v>9.2666666666666675</v>
      </c>
      <c r="BC116" s="7">
        <v>5.4320512820512814</v>
      </c>
      <c r="BD116" s="7">
        <v>10.083333333333337</v>
      </c>
      <c r="BF116" s="8">
        <f t="shared" si="69"/>
        <v>79</v>
      </c>
      <c r="BG116" s="21">
        <f t="shared" si="70"/>
        <v>8.6</v>
      </c>
      <c r="BH116" s="124">
        <f t="shared" si="71"/>
        <v>0</v>
      </c>
      <c r="BI116" s="124">
        <f t="shared" si="80"/>
        <v>0</v>
      </c>
      <c r="BJ116" s="144">
        <f t="shared" si="72"/>
        <v>0</v>
      </c>
      <c r="BL116" s="99">
        <v>26</v>
      </c>
    </row>
    <row r="117" spans="1:64" ht="12.75" x14ac:dyDescent="0.2">
      <c r="A117" s="8">
        <f t="shared" si="36"/>
        <v>33</v>
      </c>
      <c r="B117" s="125">
        <f t="shared" si="37"/>
        <v>3.6</v>
      </c>
      <c r="C117" s="125">
        <f t="shared" si="38"/>
        <v>10.4</v>
      </c>
      <c r="D117" s="125">
        <f t="shared" si="73"/>
        <v>7</v>
      </c>
      <c r="E117" s="125">
        <f t="shared" si="39"/>
        <v>6.8000000000000007</v>
      </c>
      <c r="F117" s="7">
        <v>4.3153846153846143</v>
      </c>
      <c r="G117" s="7">
        <v>11.326923076923082</v>
      </c>
      <c r="H117" s="7">
        <f t="shared" si="74"/>
        <v>7.8211538461538481</v>
      </c>
      <c r="I117" s="7">
        <f t="shared" si="75"/>
        <v>7.0115384615384677</v>
      </c>
      <c r="K117" s="7">
        <f t="shared" si="40"/>
        <v>7.8</v>
      </c>
      <c r="L117" s="7">
        <f t="shared" si="41"/>
        <v>10.1</v>
      </c>
      <c r="M117" s="370">
        <f t="shared" si="42"/>
        <v>4.7222222222222205</v>
      </c>
      <c r="N117" s="1">
        <f t="shared" si="43"/>
        <v>0</v>
      </c>
      <c r="O117" s="7">
        <f t="shared" si="44"/>
        <v>74.703703703703709</v>
      </c>
      <c r="P117" s="7">
        <f t="shared" si="45"/>
        <v>2.9518518518518513</v>
      </c>
      <c r="Q117" s="7">
        <f t="shared" si="46"/>
        <v>10.896296296296295</v>
      </c>
      <c r="R117" s="7">
        <f t="shared" si="47"/>
        <v>7.011111111111112</v>
      </c>
      <c r="S117" s="7">
        <f t="shared" si="48"/>
        <v>7.9444444444444455</v>
      </c>
      <c r="T117" s="1">
        <v>58</v>
      </c>
      <c r="U117" s="333">
        <f t="shared" si="49"/>
        <v>1.6451612903225807</v>
      </c>
      <c r="V117" s="4">
        <v>27</v>
      </c>
      <c r="W117" s="7">
        <f t="shared" si="50"/>
        <v>7.3710000000000004</v>
      </c>
      <c r="X117" s="7">
        <f t="shared" si="51"/>
        <v>15.834000000000001</v>
      </c>
      <c r="Y117" s="8">
        <f t="shared" si="52"/>
        <v>2</v>
      </c>
      <c r="Z117" s="7">
        <f>IF(ISBLANK(Z30),NA(),SUM($Z$4:Z30))</f>
        <v>5.4</v>
      </c>
      <c r="AA117" s="7">
        <f t="shared" si="76"/>
        <v>44.41935483870968</v>
      </c>
      <c r="AB117" s="26">
        <f>IF(ISBLANK(Z30),"",SUM($Z$4:Z30))</f>
        <v>5.4</v>
      </c>
      <c r="AC117" s="115">
        <f t="shared" si="77"/>
        <v>0.12156862745098039</v>
      </c>
      <c r="AD117" s="8">
        <f t="shared" si="53"/>
        <v>1023.7592592592592</v>
      </c>
      <c r="AE117" s="610">
        <f t="shared" si="54"/>
        <v>1.2723567211587841</v>
      </c>
      <c r="AF117" s="141">
        <f t="shared" si="55"/>
        <v>0.27083333333333331</v>
      </c>
      <c r="AG117" s="22">
        <f>IF(ISBLANK(AP30),NA(),SUM($AP$4:AP30))</f>
        <v>115</v>
      </c>
      <c r="AH117" s="7">
        <f>SUM($AS$91:AS117)</f>
        <v>90.383457789467315</v>
      </c>
      <c r="AI117" s="115">
        <f t="shared" si="56"/>
        <v>1.2723567211587841</v>
      </c>
      <c r="AJ117" s="124">
        <f t="shared" si="57"/>
        <v>0</v>
      </c>
      <c r="AK117" s="8">
        <f t="shared" si="58"/>
        <v>1014</v>
      </c>
      <c r="AL117" s="124">
        <f t="shared" si="59"/>
        <v>0</v>
      </c>
      <c r="AM117" s="141">
        <f t="shared" si="60"/>
        <v>0.6875</v>
      </c>
      <c r="AO117" s="141">
        <f t="shared" si="61"/>
        <v>0.63194444444444442</v>
      </c>
      <c r="AR117" s="141">
        <f t="shared" si="62"/>
        <v>0.22916666666666666</v>
      </c>
      <c r="AS117" s="7">
        <f t="shared" si="63"/>
        <v>3.604638771015761</v>
      </c>
      <c r="AT117" s="7">
        <v>11.352760083518854</v>
      </c>
      <c r="AU117" s="4">
        <v>27</v>
      </c>
      <c r="AV117" s="127">
        <f t="shared" si="64"/>
        <v>1</v>
      </c>
      <c r="AW117" s="124">
        <f t="shared" si="78"/>
        <v>0</v>
      </c>
      <c r="AX117" s="124">
        <f t="shared" si="79"/>
        <v>0</v>
      </c>
      <c r="AY117" s="124">
        <f t="shared" si="65"/>
        <v>0</v>
      </c>
      <c r="AZ117" s="125">
        <f t="shared" si="66"/>
        <v>5.2</v>
      </c>
      <c r="BA117" s="125">
        <f t="shared" si="67"/>
        <v>4.7333333333333325</v>
      </c>
      <c r="BB117" s="125">
        <f t="shared" si="68"/>
        <v>9.2666666666666675</v>
      </c>
      <c r="BC117" s="7">
        <v>5.4839743589743595</v>
      </c>
      <c r="BD117" s="7">
        <v>10.158333333333337</v>
      </c>
      <c r="BF117" s="8">
        <f t="shared" si="69"/>
        <v>73</v>
      </c>
      <c r="BG117" s="21">
        <f t="shared" si="70"/>
        <v>9.4</v>
      </c>
      <c r="BH117" s="124">
        <f t="shared" si="71"/>
        <v>0</v>
      </c>
      <c r="BI117" s="124">
        <f t="shared" si="80"/>
        <v>0</v>
      </c>
      <c r="BJ117" s="144">
        <f t="shared" si="72"/>
        <v>0</v>
      </c>
      <c r="BL117" s="99">
        <v>27</v>
      </c>
    </row>
    <row r="118" spans="1:64" ht="12.75" x14ac:dyDescent="0.2">
      <c r="A118" s="8">
        <f t="shared" si="36"/>
        <v>27</v>
      </c>
      <c r="B118" s="125">
        <f t="shared" si="37"/>
        <v>3.6</v>
      </c>
      <c r="C118" s="125">
        <f t="shared" si="38"/>
        <v>10.4</v>
      </c>
      <c r="D118" s="125">
        <f t="shared" si="73"/>
        <v>7</v>
      </c>
      <c r="E118" s="125">
        <f t="shared" si="39"/>
        <v>6.8000000000000007</v>
      </c>
      <c r="F118" s="7">
        <v>4.3615384615384603</v>
      </c>
      <c r="G118" s="7">
        <v>11.407692307692313</v>
      </c>
      <c r="H118" s="7">
        <f t="shared" si="74"/>
        <v>7.8846153846153868</v>
      </c>
      <c r="I118" s="7">
        <f t="shared" si="75"/>
        <v>7.0461538461538531</v>
      </c>
      <c r="K118" s="7">
        <f t="shared" si="40"/>
        <v>8.3999999999999986</v>
      </c>
      <c r="L118" s="7">
        <f t="shared" si="41"/>
        <v>9.4</v>
      </c>
      <c r="M118" s="370">
        <f t="shared" si="42"/>
        <v>4.6285714285714272</v>
      </c>
      <c r="N118" s="1">
        <f t="shared" si="43"/>
        <v>0</v>
      </c>
      <c r="O118" s="7">
        <f t="shared" si="44"/>
        <v>74.321428571428569</v>
      </c>
      <c r="P118" s="7">
        <f t="shared" si="45"/>
        <v>3.032142857142857</v>
      </c>
      <c r="Q118" s="7">
        <f t="shared" si="46"/>
        <v>10.992857142857144</v>
      </c>
      <c r="R118" s="7">
        <f t="shared" si="47"/>
        <v>7.0928571428571434</v>
      </c>
      <c r="S118" s="7">
        <f t="shared" si="48"/>
        <v>7.9607142857142872</v>
      </c>
      <c r="T118" s="1">
        <v>59</v>
      </c>
      <c r="U118" s="333">
        <f t="shared" si="49"/>
        <v>1.6451612903225807</v>
      </c>
      <c r="V118" s="4">
        <v>28</v>
      </c>
      <c r="W118" s="7">
        <f t="shared" si="50"/>
        <v>7.6440000000000001</v>
      </c>
      <c r="X118" s="7">
        <f t="shared" si="51"/>
        <v>16.107000000000003</v>
      </c>
      <c r="Y118" s="8">
        <f t="shared" si="52"/>
        <v>3</v>
      </c>
      <c r="Z118" s="7">
        <f>IF(ISBLANK(Z31),NA(),SUM($Z$4:Z31))</f>
        <v>5.4</v>
      </c>
      <c r="AA118" s="7">
        <f t="shared" si="76"/>
        <v>46.064516129032263</v>
      </c>
      <c r="AB118" s="26">
        <f>IF(ISBLANK(Z31),"",SUM($Z$4:Z31))</f>
        <v>5.4</v>
      </c>
      <c r="AC118" s="115">
        <f t="shared" si="77"/>
        <v>0.11722689075630252</v>
      </c>
      <c r="AD118" s="8">
        <f t="shared" si="53"/>
        <v>1023.5</v>
      </c>
      <c r="AE118" s="610">
        <f t="shared" si="54"/>
        <v>1.2764883296787233</v>
      </c>
      <c r="AF118" s="141">
        <f t="shared" si="55"/>
        <v>0.28472222222222221</v>
      </c>
      <c r="AG118" s="22">
        <f>IF(ISBLANK(AP31),NA(),SUM($AP$4:AP31))</f>
        <v>120</v>
      </c>
      <c r="AH118" s="7">
        <f>SUM($AS$91:AS118)</f>
        <v>94.007909990217101</v>
      </c>
      <c r="AI118" s="115">
        <f t="shared" si="56"/>
        <v>1.2764883296787233</v>
      </c>
      <c r="AJ118" s="124">
        <f t="shared" si="57"/>
        <v>0</v>
      </c>
      <c r="AK118" s="8">
        <f t="shared" si="58"/>
        <v>1016.5</v>
      </c>
      <c r="AL118" s="124">
        <f t="shared" si="59"/>
        <v>0</v>
      </c>
      <c r="AM118" s="141">
        <f t="shared" si="60"/>
        <v>0.56944444444444442</v>
      </c>
      <c r="AO118" s="141">
        <f t="shared" si="61"/>
        <v>0.55902777777777779</v>
      </c>
      <c r="AR118" s="141">
        <f t="shared" si="62"/>
        <v>2.7777777777777776E-2</v>
      </c>
      <c r="AS118" s="7">
        <f t="shared" si="63"/>
        <v>3.6244522007497824</v>
      </c>
      <c r="AT118" s="7">
        <v>11.415162207140972</v>
      </c>
      <c r="AU118" s="4">
        <v>28</v>
      </c>
      <c r="AV118" s="127">
        <f t="shared" si="64"/>
        <v>1</v>
      </c>
      <c r="AW118" s="124">
        <f t="shared" si="78"/>
        <v>0</v>
      </c>
      <c r="AX118" s="124">
        <f t="shared" si="79"/>
        <v>0</v>
      </c>
      <c r="AY118" s="124">
        <f t="shared" si="65"/>
        <v>1</v>
      </c>
      <c r="AZ118" s="125">
        <f t="shared" si="66"/>
        <v>5.2</v>
      </c>
      <c r="BA118" s="125">
        <f t="shared" si="67"/>
        <v>4.7333333333333325</v>
      </c>
      <c r="BB118" s="125">
        <f t="shared" si="68"/>
        <v>9.2666666666666675</v>
      </c>
      <c r="BC118" s="7">
        <v>5.5358974358974358</v>
      </c>
      <c r="BD118" s="7">
        <v>10.233333333333338</v>
      </c>
      <c r="BF118" s="8">
        <f t="shared" si="69"/>
        <v>64</v>
      </c>
      <c r="BG118" s="21">
        <f t="shared" si="70"/>
        <v>9.3000000000000007</v>
      </c>
      <c r="BH118" s="124">
        <f t="shared" si="71"/>
        <v>0</v>
      </c>
      <c r="BI118" s="124">
        <f t="shared" si="80"/>
        <v>0</v>
      </c>
      <c r="BJ118" s="144">
        <f t="shared" si="72"/>
        <v>0</v>
      </c>
      <c r="BL118" s="99">
        <v>28</v>
      </c>
    </row>
    <row r="119" spans="1:64" ht="12.75" x14ac:dyDescent="0.2">
      <c r="A119" s="8">
        <f t="shared" si="36"/>
        <v>23</v>
      </c>
      <c r="B119" s="125">
        <f t="shared" si="37"/>
        <v>3.6</v>
      </c>
      <c r="C119" s="125">
        <f t="shared" si="38"/>
        <v>10.4</v>
      </c>
      <c r="D119" s="125">
        <f t="shared" si="73"/>
        <v>7</v>
      </c>
      <c r="E119" s="125">
        <f t="shared" si="39"/>
        <v>6.8000000000000007</v>
      </c>
      <c r="F119" s="7">
        <v>4.4076923076923062</v>
      </c>
      <c r="G119" s="7">
        <v>11.488461538461545</v>
      </c>
      <c r="H119" s="7">
        <f t="shared" si="74"/>
        <v>7.9480769230769255</v>
      </c>
      <c r="I119" s="7">
        <f t="shared" si="75"/>
        <v>7.0807692307692385</v>
      </c>
      <c r="K119" s="7">
        <f t="shared" si="40"/>
        <v>12.5</v>
      </c>
      <c r="L119" s="7">
        <f t="shared" si="41"/>
        <v>8.9499999999999993</v>
      </c>
      <c r="M119" s="370">
        <f t="shared" si="42"/>
        <v>4.5103448275862057</v>
      </c>
      <c r="N119" s="1">
        <f t="shared" si="43"/>
        <v>0.16666666666666666</v>
      </c>
      <c r="O119" s="7">
        <f t="shared" si="44"/>
        <v>74.137931034482762</v>
      </c>
      <c r="P119" s="7">
        <f t="shared" si="45"/>
        <v>3.0206896551724136</v>
      </c>
      <c r="Q119" s="7">
        <f t="shared" si="46"/>
        <v>11.137931034482758</v>
      </c>
      <c r="R119" s="7">
        <f t="shared" si="47"/>
        <v>7.158620689655173</v>
      </c>
      <c r="S119" s="7">
        <f t="shared" si="48"/>
        <v>8.1172413793103466</v>
      </c>
      <c r="T119" s="1">
        <v>60</v>
      </c>
      <c r="U119" s="333">
        <f t="shared" si="49"/>
        <v>1.6451612903225807</v>
      </c>
      <c r="V119" s="4">
        <v>29</v>
      </c>
      <c r="W119" s="7">
        <f t="shared" si="50"/>
        <v>7.9170000000000007</v>
      </c>
      <c r="X119" s="7">
        <f t="shared" si="51"/>
        <v>16.380000000000003</v>
      </c>
      <c r="Y119" s="8">
        <f t="shared" si="52"/>
        <v>5</v>
      </c>
      <c r="Z119" s="7">
        <f>IF(ISBLANK(Z32),NA(),SUM($Z$4:Z32))</f>
        <v>5.9</v>
      </c>
      <c r="AA119" s="7">
        <f t="shared" si="76"/>
        <v>47.70967741935484</v>
      </c>
      <c r="AB119" s="26">
        <f>IF(ISBLANK(Z32),"",SUM($Z$4:Z32))</f>
        <v>5.9</v>
      </c>
      <c r="AC119" s="115">
        <f t="shared" si="77"/>
        <v>0.12366463826910075</v>
      </c>
      <c r="AD119" s="8">
        <f t="shared" si="53"/>
        <v>1023.1551724137931</v>
      </c>
      <c r="AE119" s="610">
        <f t="shared" si="54"/>
        <v>1.2493322967926632</v>
      </c>
      <c r="AF119" s="141">
        <f t="shared" si="55"/>
        <v>0.28472222222222221</v>
      </c>
      <c r="AG119" s="22">
        <f>IF(ISBLANK(AP32),NA(),SUM($AP$4:AP32))</f>
        <v>122</v>
      </c>
      <c r="AH119" s="7">
        <f>SUM($AS$91:AS119)</f>
        <v>97.652162129485788</v>
      </c>
      <c r="AI119" s="115">
        <f t="shared" si="56"/>
        <v>1.2493322967926632</v>
      </c>
      <c r="AJ119" s="124">
        <f t="shared" si="57"/>
        <v>1</v>
      </c>
      <c r="AK119" s="8">
        <f t="shared" si="58"/>
        <v>1013.5</v>
      </c>
      <c r="AL119" s="124">
        <f t="shared" si="59"/>
        <v>0</v>
      </c>
      <c r="AM119" s="141">
        <f t="shared" si="60"/>
        <v>0.69791666666666663</v>
      </c>
      <c r="AO119" s="141">
        <f t="shared" si="61"/>
        <v>0.70138888888888884</v>
      </c>
      <c r="AR119" s="141">
        <f t="shared" si="62"/>
        <v>0.23611111111111113</v>
      </c>
      <c r="AS119" s="7">
        <f t="shared" si="63"/>
        <v>3.6442521392686809</v>
      </c>
      <c r="AT119" s="7">
        <v>11.477521840367169</v>
      </c>
      <c r="AU119" s="4">
        <v>29</v>
      </c>
      <c r="AV119" s="127">
        <f t="shared" si="64"/>
        <v>0</v>
      </c>
      <c r="AW119" s="124">
        <f t="shared" si="78"/>
        <v>0</v>
      </c>
      <c r="AX119" s="124">
        <f t="shared" si="79"/>
        <v>0</v>
      </c>
      <c r="AY119" s="124">
        <f t="shared" si="65"/>
        <v>0</v>
      </c>
      <c r="AZ119" s="125">
        <f t="shared" si="66"/>
        <v>5.2</v>
      </c>
      <c r="BA119" s="125">
        <f t="shared" si="67"/>
        <v>4.7333333333333325</v>
      </c>
      <c r="BB119" s="125">
        <f t="shared" si="68"/>
        <v>9.2666666666666675</v>
      </c>
      <c r="BC119" s="7">
        <v>5.5878205128205121</v>
      </c>
      <c r="BD119" s="7">
        <v>10.308333333333339</v>
      </c>
      <c r="BF119" s="8">
        <f t="shared" si="69"/>
        <v>69</v>
      </c>
      <c r="BG119" s="21">
        <f t="shared" si="70"/>
        <v>9</v>
      </c>
      <c r="BH119" s="124">
        <f t="shared" si="71"/>
        <v>0</v>
      </c>
      <c r="BI119" s="124">
        <f t="shared" si="80"/>
        <v>1</v>
      </c>
      <c r="BJ119" s="144">
        <f t="shared" si="72"/>
        <v>0.16666666666666666</v>
      </c>
      <c r="BL119" s="99">
        <v>29</v>
      </c>
    </row>
    <row r="120" spans="1:64" ht="12.75" x14ac:dyDescent="0.2">
      <c r="A120" s="8">
        <f t="shared" si="36"/>
        <v>17</v>
      </c>
      <c r="B120" s="125">
        <f t="shared" si="37"/>
        <v>3.6</v>
      </c>
      <c r="C120" s="125">
        <f t="shared" si="38"/>
        <v>10.4</v>
      </c>
      <c r="D120" s="125">
        <f t="shared" si="73"/>
        <v>7</v>
      </c>
      <c r="E120" s="125">
        <f t="shared" si="39"/>
        <v>6.8000000000000007</v>
      </c>
      <c r="F120" s="7">
        <v>4.4538461538461522</v>
      </c>
      <c r="G120" s="7">
        <v>11.569230769230776</v>
      </c>
      <c r="H120" s="7">
        <f t="shared" si="74"/>
        <v>8.0115384615384642</v>
      </c>
      <c r="I120" s="7">
        <f t="shared" si="75"/>
        <v>7.1153846153846239</v>
      </c>
      <c r="K120" s="7">
        <f t="shared" si="40"/>
        <v>2</v>
      </c>
      <c r="L120" s="7">
        <f t="shared" si="41"/>
        <v>10.7</v>
      </c>
      <c r="M120" s="370">
        <f t="shared" si="42"/>
        <v>4.5533333333333319</v>
      </c>
      <c r="N120" s="1">
        <f t="shared" si="43"/>
        <v>0.73333333333333339</v>
      </c>
      <c r="O120" s="7">
        <f t="shared" si="44"/>
        <v>74.400000000000006</v>
      </c>
      <c r="P120" s="7">
        <f t="shared" si="45"/>
        <v>3.2433333333333332</v>
      </c>
      <c r="Q120" s="7">
        <f t="shared" si="46"/>
        <v>11.156666666666666</v>
      </c>
      <c r="R120" s="7">
        <f t="shared" si="47"/>
        <v>7.2700000000000005</v>
      </c>
      <c r="S120" s="7">
        <f t="shared" si="48"/>
        <v>7.9133333333333349</v>
      </c>
      <c r="T120" s="1">
        <v>61</v>
      </c>
      <c r="U120" s="333">
        <f t="shared" si="49"/>
        <v>1.6451612903225807</v>
      </c>
      <c r="V120" s="4">
        <v>30</v>
      </c>
      <c r="W120" s="7">
        <f t="shared" si="50"/>
        <v>8.1900000000000013</v>
      </c>
      <c r="X120" s="7">
        <f t="shared" si="51"/>
        <v>16.653000000000002</v>
      </c>
      <c r="Y120" s="8">
        <f t="shared" si="52"/>
        <v>2</v>
      </c>
      <c r="Z120" s="7">
        <f>IF(ISBLANK(Z33),NA(),SUM($Z$4:Z33))</f>
        <v>8.1000000000000014</v>
      </c>
      <c r="AA120" s="7">
        <f t="shared" si="76"/>
        <v>49.354838709677423</v>
      </c>
      <c r="AB120" s="26">
        <f>IF(ISBLANK(Z33),"",SUM($Z$4:Z33))</f>
        <v>8.1000000000000014</v>
      </c>
      <c r="AC120" s="115">
        <f t="shared" si="77"/>
        <v>0.16411764705882353</v>
      </c>
      <c r="AD120" s="8">
        <f t="shared" si="53"/>
        <v>1022.75</v>
      </c>
      <c r="AE120" s="610">
        <f t="shared" si="54"/>
        <v>1.2041509855438164</v>
      </c>
      <c r="AF120" s="141" t="e">
        <f t="shared" si="55"/>
        <v>#N/A</v>
      </c>
      <c r="AG120" s="22">
        <f>IF(ISBLANK(AP33),NA(),SUM($AP$4:AP33))</f>
        <v>122</v>
      </c>
      <c r="AH120" s="7">
        <f>SUM($AS$91:AS120)</f>
        <v>101.31619827135098</v>
      </c>
      <c r="AI120" s="115">
        <f t="shared" si="56"/>
        <v>1.2041509855438164</v>
      </c>
      <c r="AJ120" s="124">
        <f t="shared" si="57"/>
        <v>1</v>
      </c>
      <c r="AK120" s="8">
        <f t="shared" si="58"/>
        <v>1011</v>
      </c>
      <c r="AL120" s="124">
        <f t="shared" si="59"/>
        <v>1</v>
      </c>
      <c r="AM120" s="141">
        <f t="shared" si="60"/>
        <v>0.4375</v>
      </c>
      <c r="AO120" s="141">
        <f t="shared" si="61"/>
        <v>0.4548611111111111</v>
      </c>
      <c r="AR120" s="141">
        <f t="shared" si="62"/>
        <v>0.25694444444444448</v>
      </c>
      <c r="AS120" s="7">
        <f t="shared" si="63"/>
        <v>3.6640361418651923</v>
      </c>
      <c r="AT120" s="7">
        <v>11.539831283625645</v>
      </c>
      <c r="AU120" s="4">
        <v>30</v>
      </c>
      <c r="AV120" s="127">
        <f t="shared" si="64"/>
        <v>0</v>
      </c>
      <c r="AW120" s="124">
        <f t="shared" si="78"/>
        <v>0</v>
      </c>
      <c r="AX120" s="124">
        <f t="shared" si="79"/>
        <v>1</v>
      </c>
      <c r="AY120" s="124">
        <f t="shared" si="65"/>
        <v>0</v>
      </c>
      <c r="AZ120" s="125">
        <f t="shared" si="66"/>
        <v>5.2</v>
      </c>
      <c r="BA120" s="125">
        <f t="shared" si="67"/>
        <v>4.7333333333333325</v>
      </c>
      <c r="BB120" s="125">
        <f t="shared" si="68"/>
        <v>9.2666666666666675</v>
      </c>
      <c r="BC120" s="7">
        <v>5.6397435897435901</v>
      </c>
      <c r="BD120" s="7">
        <v>10.383333333333338</v>
      </c>
      <c r="BF120" s="8">
        <f t="shared" si="69"/>
        <v>82</v>
      </c>
      <c r="BG120" s="21">
        <f t="shared" si="70"/>
        <v>10.5</v>
      </c>
      <c r="BH120" s="124">
        <f t="shared" si="71"/>
        <v>1</v>
      </c>
      <c r="BI120" s="124">
        <f t="shared" si="80"/>
        <v>1</v>
      </c>
      <c r="BJ120" s="144">
        <f t="shared" si="72"/>
        <v>0.73333333333333339</v>
      </c>
      <c r="BL120" s="99">
        <v>30</v>
      </c>
    </row>
    <row r="121" spans="1:64" ht="12.75" customHeight="1" x14ac:dyDescent="0.2">
      <c r="A121" s="8">
        <f t="shared" si="36"/>
        <v>41</v>
      </c>
      <c r="B121" s="125">
        <f t="shared" si="37"/>
        <v>3.6</v>
      </c>
      <c r="C121" s="125">
        <f t="shared" si="38"/>
        <v>10.4</v>
      </c>
      <c r="D121" s="125">
        <f t="shared" si="73"/>
        <v>7</v>
      </c>
      <c r="E121" s="125">
        <f t="shared" si="39"/>
        <v>6.8000000000000007</v>
      </c>
      <c r="F121" s="7">
        <v>4.5</v>
      </c>
      <c r="G121" s="7">
        <v>11.65</v>
      </c>
      <c r="H121" s="7">
        <f t="shared" si="74"/>
        <v>8.0749999999999993</v>
      </c>
      <c r="I121" s="7">
        <f t="shared" si="75"/>
        <v>7.15</v>
      </c>
      <c r="K121" s="7">
        <f t="shared" si="40"/>
        <v>8.2999999999999989</v>
      </c>
      <c r="L121" s="7">
        <f t="shared" si="41"/>
        <v>13.55</v>
      </c>
      <c r="M121" s="370">
        <f t="shared" si="42"/>
        <v>4.6838709677419343</v>
      </c>
      <c r="N121" s="1">
        <f t="shared" si="43"/>
        <v>1</v>
      </c>
      <c r="O121" s="7">
        <f t="shared" si="44"/>
        <v>74.612903225806448</v>
      </c>
      <c r="P121" s="7">
        <f t="shared" si="45"/>
        <v>3.4419354838709677</v>
      </c>
      <c r="Q121" s="7">
        <f t="shared" si="46"/>
        <v>11.36774193548387</v>
      </c>
      <c r="R121" s="7">
        <f t="shared" si="47"/>
        <v>7.4580645161290331</v>
      </c>
      <c r="S121" s="7">
        <f t="shared" si="48"/>
        <v>7.925806451612905</v>
      </c>
      <c r="T121" s="1">
        <v>62</v>
      </c>
      <c r="U121" s="333">
        <f t="shared" si="49"/>
        <v>1.6451612903225807</v>
      </c>
      <c r="V121" s="4">
        <v>31</v>
      </c>
      <c r="W121" s="7">
        <f t="shared" si="50"/>
        <v>8.463000000000001</v>
      </c>
      <c r="X121" s="7">
        <f t="shared" si="51"/>
        <v>16.926000000000002</v>
      </c>
      <c r="Y121" s="8">
        <f t="shared" si="52"/>
        <v>10</v>
      </c>
      <c r="Z121" s="7">
        <f>IF(ISBLANK(Z34),NA(),SUM($Z$4:Z34))</f>
        <v>11.100000000000001</v>
      </c>
      <c r="AA121" s="7">
        <f t="shared" si="76"/>
        <v>51</v>
      </c>
      <c r="AB121" s="26">
        <f>IF(ISBLANK(Z6),"",SUM($Z$4:Z34))</f>
        <v>11.100000000000001</v>
      </c>
      <c r="AC121" s="115">
        <f t="shared" si="77"/>
        <v>0.21764705882352944</v>
      </c>
      <c r="AD121" s="8">
        <f t="shared" si="53"/>
        <v>1022.4032258064516</v>
      </c>
      <c r="AE121" s="610">
        <f t="shared" si="54"/>
        <v>1.1904761904761898</v>
      </c>
      <c r="AF121" s="141">
        <f t="shared" si="55"/>
        <v>0.32291666666666669</v>
      </c>
      <c r="AG121" s="22">
        <f>IF(ISBLANK(AP34),NA(),SUM($AP$4:AP34))</f>
        <v>125</v>
      </c>
      <c r="AH121" s="7">
        <f>SUM($AS$91:AS121)</f>
        <v>105.00000000000006</v>
      </c>
      <c r="AI121" s="115">
        <f t="shared" si="56"/>
        <v>1.1904761904761898</v>
      </c>
      <c r="AJ121" s="124">
        <f t="shared" si="57"/>
        <v>1</v>
      </c>
      <c r="AK121" s="8">
        <f t="shared" si="58"/>
        <v>1012</v>
      </c>
      <c r="AL121" s="124">
        <f t="shared" si="59"/>
        <v>1</v>
      </c>
      <c r="AM121" s="141">
        <f t="shared" si="60"/>
        <v>0.59375</v>
      </c>
      <c r="AO121" s="141">
        <f t="shared" si="61"/>
        <v>0.58333333333333337</v>
      </c>
      <c r="AR121" s="141">
        <f t="shared" si="62"/>
        <v>0.15972222222222224</v>
      </c>
      <c r="AS121" s="7">
        <f t="shared" si="63"/>
        <v>3.6838017286490738</v>
      </c>
      <c r="AT121" s="7">
        <v>11.602082726536288</v>
      </c>
      <c r="AU121" s="4">
        <v>31</v>
      </c>
      <c r="AV121" s="127">
        <f t="shared" si="64"/>
        <v>1</v>
      </c>
      <c r="AW121" s="124">
        <f t="shared" si="78"/>
        <v>0</v>
      </c>
      <c r="AX121" s="124">
        <f t="shared" si="79"/>
        <v>1</v>
      </c>
      <c r="AY121" s="124">
        <f t="shared" si="65"/>
        <v>0</v>
      </c>
      <c r="AZ121" s="125">
        <f t="shared" si="66"/>
        <v>5.2</v>
      </c>
      <c r="BA121" s="125">
        <f t="shared" si="67"/>
        <v>4.7333333333333325</v>
      </c>
      <c r="BB121" s="125">
        <f t="shared" si="68"/>
        <v>9.2666666666666675</v>
      </c>
      <c r="BC121" s="7">
        <v>5.6916666666666664</v>
      </c>
      <c r="BD121" s="7">
        <v>10.458333333333336</v>
      </c>
      <c r="BF121" s="8">
        <f t="shared" si="69"/>
        <v>81</v>
      </c>
      <c r="BG121" s="21">
        <f t="shared" si="70"/>
        <v>13.1</v>
      </c>
      <c r="BH121" s="124">
        <f t="shared" si="71"/>
        <v>0</v>
      </c>
      <c r="BI121" s="124">
        <f t="shared" si="80"/>
        <v>1</v>
      </c>
      <c r="BJ121" s="144">
        <f t="shared" si="72"/>
        <v>1</v>
      </c>
      <c r="BL121" s="99"/>
    </row>
    <row r="122" spans="1:64" ht="6" customHeight="1" x14ac:dyDescent="0.2">
      <c r="C122" s="1"/>
      <c r="D122" s="125"/>
      <c r="E122" s="125"/>
      <c r="F122" s="125"/>
      <c r="G122" s="125"/>
      <c r="H122" s="21"/>
      <c r="I122" s="7"/>
      <c r="K122" s="7"/>
      <c r="M122" s="8"/>
      <c r="N122" s="8"/>
      <c r="P122" s="125"/>
      <c r="R122" s="8"/>
      <c r="S122" s="8"/>
      <c r="U122" s="333"/>
      <c r="V122" s="4"/>
      <c r="W122" s="7"/>
      <c r="Z122" s="7"/>
      <c r="AA122" s="7"/>
      <c r="AB122" s="127"/>
      <c r="AC122" s="7"/>
      <c r="AD122" s="115"/>
      <c r="AE122" s="115"/>
      <c r="AG122" s="22"/>
      <c r="AH122" s="8"/>
      <c r="AI122" s="115"/>
      <c r="AJ122" s="124"/>
      <c r="AK122" s="67"/>
      <c r="AL122" s="124"/>
      <c r="AS122" s="7"/>
      <c r="AT122" s="7"/>
      <c r="AU122" s="8"/>
      <c r="AV122" s="127"/>
      <c r="AW122" s="124"/>
      <c r="AX122" s="124"/>
      <c r="AY122" s="124"/>
      <c r="AZ122" s="127"/>
      <c r="BA122" s="125"/>
      <c r="BG122" s="127"/>
      <c r="BH122" s="124"/>
      <c r="BI122" s="124"/>
      <c r="BJ122" s="144"/>
      <c r="BL122" s="99"/>
    </row>
    <row r="123" spans="1:64" ht="12.75" x14ac:dyDescent="0.2">
      <c r="C123" s="1"/>
      <c r="R123" s="8"/>
      <c r="S123" s="8"/>
      <c r="V123" s="11" t="s">
        <v>4</v>
      </c>
      <c r="W123" s="7">
        <f>IF(Z38&lt;1,"",AVERAGE(AB4:AB33))</f>
        <v>0.4</v>
      </c>
      <c r="X123" s="7">
        <f>MAX(AB4:AB34)</f>
        <v>0.5</v>
      </c>
      <c r="AH123" s="115">
        <f>MIN(AE95:AE121)</f>
        <v>0.74284126655510208</v>
      </c>
      <c r="AI123" s="115">
        <f>MAX(AE95:AE121)</f>
        <v>1.3486490401993187</v>
      </c>
      <c r="AJ123" s="117"/>
      <c r="AK123" s="240"/>
      <c r="AL123" s="117"/>
      <c r="AS123" s="7">
        <f>SUM(AS91:AS121)</f>
        <v>105.00000000000006</v>
      </c>
      <c r="AT123" s="7">
        <f>SUM(AT91:AT121)</f>
        <v>330.69605153072564</v>
      </c>
      <c r="AV123" s="124"/>
      <c r="AW123" s="124"/>
      <c r="AX123" s="124"/>
      <c r="AY123" s="124"/>
      <c r="AZ123" s="124"/>
      <c r="BA123" s="124"/>
      <c r="BE123" s="124"/>
      <c r="BG123" s="7"/>
      <c r="BH123" s="124"/>
      <c r="BL123" s="4"/>
    </row>
    <row r="124" spans="1:64" s="95" customFormat="1" ht="18.75" customHeight="1" x14ac:dyDescent="0.2">
      <c r="C124" s="116"/>
      <c r="R124" s="325"/>
      <c r="S124" s="325"/>
      <c r="AY124" s="326"/>
      <c r="AZ124" s="326"/>
      <c r="BA124" s="326"/>
      <c r="BB124" s="326"/>
      <c r="BC124" s="326"/>
      <c r="BD124" s="326"/>
      <c r="BE124" s="326"/>
      <c r="BF124" s="326"/>
      <c r="BH124" s="326"/>
      <c r="BL124" s="81"/>
    </row>
    <row r="125" spans="1:64" ht="12.75" hidden="1" x14ac:dyDescent="0.2">
      <c r="AY125" s="124"/>
      <c r="AZ125" s="124"/>
      <c r="BA125" s="124"/>
      <c r="BB125" s="124"/>
      <c r="BC125" s="124"/>
      <c r="BD125" s="124"/>
      <c r="BE125" s="124"/>
      <c r="BF125" s="124"/>
      <c r="BG125" s="124"/>
      <c r="BH125" s="124"/>
    </row>
    <row r="126" spans="1:64" ht="12.75" hidden="1" x14ac:dyDescent="0.2">
      <c r="AY126" s="124"/>
      <c r="AZ126" s="124"/>
      <c r="BA126" s="124"/>
      <c r="BB126" s="124"/>
      <c r="BC126" s="124"/>
      <c r="BD126" s="124"/>
      <c r="BE126" s="124"/>
      <c r="BF126" s="124"/>
      <c r="BG126" s="124"/>
      <c r="BH126" s="124"/>
    </row>
    <row r="127" spans="1:64" ht="12.75" hidden="1" x14ac:dyDescent="0.2">
      <c r="AY127" s="124"/>
      <c r="AZ127" s="124"/>
      <c r="BA127" s="124"/>
      <c r="BB127" s="124"/>
      <c r="BC127" s="124"/>
      <c r="BD127" s="124"/>
      <c r="BE127" s="124"/>
      <c r="BF127" s="124"/>
      <c r="BG127" s="124"/>
      <c r="BH127" s="124"/>
    </row>
    <row r="128" spans="1:64" ht="12.75" hidden="1" x14ac:dyDescent="0.2">
      <c r="AY128" s="124"/>
      <c r="AZ128" s="124"/>
      <c r="BA128" s="124"/>
      <c r="BB128" s="124"/>
      <c r="BC128" s="124"/>
      <c r="BD128" s="124"/>
      <c r="BE128" s="124"/>
      <c r="BF128" s="124"/>
      <c r="BG128" s="124"/>
      <c r="BH128" s="124"/>
    </row>
    <row r="129" spans="13:60" ht="12.75" hidden="1" x14ac:dyDescent="0.2">
      <c r="AY129" s="124"/>
      <c r="AZ129" s="124"/>
      <c r="BA129" s="124"/>
      <c r="BB129" s="124"/>
      <c r="BC129" s="124"/>
      <c r="BD129" s="124"/>
      <c r="BE129" s="124"/>
      <c r="BF129" s="124"/>
      <c r="BG129" s="124"/>
      <c r="BH129" s="124"/>
    </row>
    <row r="130" spans="13:60" ht="12.75" hidden="1" x14ac:dyDescent="0.2"/>
    <row r="131" spans="13:60" ht="12.75" hidden="1" x14ac:dyDescent="0.2"/>
    <row r="132" spans="13:60" ht="12.75" hidden="1" x14ac:dyDescent="0.2"/>
    <row r="133" spans="13:60" ht="12.75" hidden="1" x14ac:dyDescent="0.2"/>
    <row r="134" spans="13:60" ht="12.75" hidden="1" x14ac:dyDescent="0.2">
      <c r="M134" s="10"/>
    </row>
  </sheetData>
  <sheetCalcPr fullCalcOnLoad="1"/>
  <mergeCells count="174">
    <mergeCell ref="Q73:AB73"/>
    <mergeCell ref="W90:X90"/>
    <mergeCell ref="AP76:AQ78"/>
    <mergeCell ref="AG78:AJ78"/>
    <mergeCell ref="AH79:AI79"/>
    <mergeCell ref="Q80:AB80"/>
    <mergeCell ref="Q79:AB79"/>
    <mergeCell ref="AP82:AQ84"/>
    <mergeCell ref="Q76:AB76"/>
    <mergeCell ref="Q77:AB77"/>
    <mergeCell ref="AS59:AT59"/>
    <mergeCell ref="AS58:AT58"/>
    <mergeCell ref="AG73:AJ73"/>
    <mergeCell ref="AP73:AQ75"/>
    <mergeCell ref="AG74:AJ74"/>
    <mergeCell ref="AH75:AI75"/>
    <mergeCell ref="AS62:AT62"/>
    <mergeCell ref="AP60:AQ62"/>
    <mergeCell ref="AH60:AI60"/>
    <mergeCell ref="AS60:AT60"/>
    <mergeCell ref="BF84:BJ84"/>
    <mergeCell ref="BB81:BC81"/>
    <mergeCell ref="AH82:AI82"/>
    <mergeCell ref="AG81:AJ81"/>
    <mergeCell ref="AP79:AQ81"/>
    <mergeCell ref="B83:D83"/>
    <mergeCell ref="Q83:AB83"/>
    <mergeCell ref="Q82:AB82"/>
    <mergeCell ref="B82:D82"/>
    <mergeCell ref="H82:H83"/>
    <mergeCell ref="B81:D81"/>
    <mergeCell ref="Q81:AB81"/>
    <mergeCell ref="B80:D80"/>
    <mergeCell ref="B78:D78"/>
    <mergeCell ref="H78:H79"/>
    <mergeCell ref="B79:D79"/>
    <mergeCell ref="H80:H81"/>
    <mergeCell ref="Q78:AB78"/>
    <mergeCell ref="B73:D73"/>
    <mergeCell ref="B76:D76"/>
    <mergeCell ref="B77:D77"/>
    <mergeCell ref="B74:D74"/>
    <mergeCell ref="B75:D75"/>
    <mergeCell ref="H74:H75"/>
    <mergeCell ref="H76:H77"/>
    <mergeCell ref="Q75:AB75"/>
    <mergeCell ref="Q74:AB74"/>
    <mergeCell ref="H70:I70"/>
    <mergeCell ref="AP69:AQ72"/>
    <mergeCell ref="B71:D71"/>
    <mergeCell ref="H71:I71"/>
    <mergeCell ref="AG71:AJ71"/>
    <mergeCell ref="B69:D69"/>
    <mergeCell ref="H69:I69"/>
    <mergeCell ref="AH72:AI72"/>
    <mergeCell ref="B72:D72"/>
    <mergeCell ref="B68:D68"/>
    <mergeCell ref="H68:I68"/>
    <mergeCell ref="B67:D67"/>
    <mergeCell ref="H67:I67"/>
    <mergeCell ref="B65:D65"/>
    <mergeCell ref="B66:D66"/>
    <mergeCell ref="H66:I66"/>
    <mergeCell ref="AS63:AT63"/>
    <mergeCell ref="B64:D64"/>
    <mergeCell ref="H64:I64"/>
    <mergeCell ref="AG64:AJ64"/>
    <mergeCell ref="AP63:AQ68"/>
    <mergeCell ref="AG66:AJ66"/>
    <mergeCell ref="AG67:AJ67"/>
    <mergeCell ref="AH68:AI68"/>
    <mergeCell ref="B60:D60"/>
    <mergeCell ref="H60:I60"/>
    <mergeCell ref="B61:D61"/>
    <mergeCell ref="B62:D62"/>
    <mergeCell ref="H62:I62"/>
    <mergeCell ref="AH65:AI65"/>
    <mergeCell ref="B63:D63"/>
    <mergeCell ref="H63:I63"/>
    <mergeCell ref="AP59:AQ59"/>
    <mergeCell ref="AG58:AJ58"/>
    <mergeCell ref="B59:D59"/>
    <mergeCell ref="H59:I59"/>
    <mergeCell ref="AG59:AJ59"/>
    <mergeCell ref="AS57:AT57"/>
    <mergeCell ref="U57:U58"/>
    <mergeCell ref="V57:V58"/>
    <mergeCell ref="W57:W58"/>
    <mergeCell ref="X57:X58"/>
    <mergeCell ref="Z57:AB57"/>
    <mergeCell ref="AC57:AE57"/>
    <mergeCell ref="AH57:AI57"/>
    <mergeCell ref="B57:D57"/>
    <mergeCell ref="H57:I58"/>
    <mergeCell ref="K57:N57"/>
    <mergeCell ref="P57:S57"/>
    <mergeCell ref="B58:D58"/>
    <mergeCell ref="AS54:AT54"/>
    <mergeCell ref="AS56:AT56"/>
    <mergeCell ref="B56:D56"/>
    <mergeCell ref="AG56:AJ56"/>
    <mergeCell ref="B55:D55"/>
    <mergeCell ref="AA54:AA55"/>
    <mergeCell ref="Z54:Z55"/>
    <mergeCell ref="B54:D54"/>
    <mergeCell ref="BF46:BJ46"/>
    <mergeCell ref="BF47:BJ47"/>
    <mergeCell ref="AY47:BD47"/>
    <mergeCell ref="B48:D48"/>
    <mergeCell ref="B46:E46"/>
    <mergeCell ref="B47:D47"/>
    <mergeCell ref="AS48:AU48"/>
    <mergeCell ref="AS46:AX46"/>
    <mergeCell ref="K48:N48"/>
    <mergeCell ref="B50:D50"/>
    <mergeCell ref="B51:D51"/>
    <mergeCell ref="AA52:AA53"/>
    <mergeCell ref="B38:C38"/>
    <mergeCell ref="Z46:Z47"/>
    <mergeCell ref="AA46:AA47"/>
    <mergeCell ref="B42:C42"/>
    <mergeCell ref="B52:D52"/>
    <mergeCell ref="B53:D53"/>
    <mergeCell ref="B49:D49"/>
    <mergeCell ref="BA38:BB38"/>
    <mergeCell ref="BA1:BD1"/>
    <mergeCell ref="B36:C36"/>
    <mergeCell ref="BA36:BB36"/>
    <mergeCell ref="B1:B2"/>
    <mergeCell ref="C1:C2"/>
    <mergeCell ref="K1:N1"/>
    <mergeCell ref="P1:S1"/>
    <mergeCell ref="U1:X1"/>
    <mergeCell ref="AS1:AY1"/>
    <mergeCell ref="BF1:BJ1"/>
    <mergeCell ref="D4:D43"/>
    <mergeCell ref="BA37:BB37"/>
    <mergeCell ref="BA39:BB39"/>
    <mergeCell ref="BA40:BB40"/>
    <mergeCell ref="AL1:AL2"/>
    <mergeCell ref="AN1:AN2"/>
    <mergeCell ref="AP1:AP2"/>
    <mergeCell ref="AQ1:AQ2"/>
    <mergeCell ref="F1:I1"/>
    <mergeCell ref="H50:I50"/>
    <mergeCell ref="H51:I51"/>
    <mergeCell ref="AG1:AJ1"/>
    <mergeCell ref="AD1:AE1"/>
    <mergeCell ref="Z1:AC1"/>
    <mergeCell ref="Z49:AA49"/>
    <mergeCell ref="AG49:AJ49"/>
    <mergeCell ref="AC50:AD50"/>
    <mergeCell ref="AC51:AC52"/>
    <mergeCell ref="AD51:AD52"/>
    <mergeCell ref="AH53:AI53"/>
    <mergeCell ref="AS50:AT50"/>
    <mergeCell ref="Q51:R51"/>
    <mergeCell ref="AS51:AT51"/>
    <mergeCell ref="AA50:AA51"/>
    <mergeCell ref="Q50:R50"/>
    <mergeCell ref="Z50:Z51"/>
    <mergeCell ref="AG51:AJ51"/>
    <mergeCell ref="Q52:R52"/>
    <mergeCell ref="Z52:Z53"/>
    <mergeCell ref="Q53:R53"/>
    <mergeCell ref="AL38:AL43"/>
    <mergeCell ref="AS49:AT49"/>
    <mergeCell ref="AS55:AT55"/>
    <mergeCell ref="AP53:AQ53"/>
    <mergeCell ref="AG52:AJ52"/>
    <mergeCell ref="AH50:AI50"/>
    <mergeCell ref="AS52:AT52"/>
    <mergeCell ref="AS53:AT53"/>
    <mergeCell ref="AP52:AQ52"/>
  </mergeCells>
  <phoneticPr fontId="4" type="noConversion"/>
  <conditionalFormatting sqref="C4:C34">
    <cfRule type="cellIs" dxfId="1366" priority="1" stopIfTrue="1" operator="notEqual">
      <formula>G4</formula>
    </cfRule>
  </conditionalFormatting>
  <conditionalFormatting sqref="AC4:AC34">
    <cfRule type="cellIs" dxfId="1365" priority="2" stopIfTrue="1" operator="equal">
      <formula>$AC$86</formula>
    </cfRule>
    <cfRule type="cellIs" dxfId="1364" priority="3" stopIfTrue="1" operator="equal">
      <formula>0</formula>
    </cfRule>
    <cfRule type="expression" dxfId="1363" priority="4" stopIfTrue="1">
      <formula>Z4=0.1</formula>
    </cfRule>
  </conditionalFormatting>
  <conditionalFormatting sqref="W46:W53">
    <cfRule type="expression" dxfId="1362" priority="5" stopIfTrue="1">
      <formula>X46=$X$55</formula>
    </cfRule>
  </conditionalFormatting>
  <conditionalFormatting sqref="B4:B34">
    <cfRule type="cellIs" dxfId="1361" priority="6" stopIfTrue="1" operator="notEqual">
      <formula>F4</formula>
    </cfRule>
  </conditionalFormatting>
  <conditionalFormatting sqref="AP92:AP107">
    <cfRule type="expression" dxfId="1360" priority="7" stopIfTrue="1">
      <formula>AQ92=$AQ$109</formula>
    </cfRule>
  </conditionalFormatting>
  <conditionalFormatting sqref="BG49:BG79">
    <cfRule type="expression" dxfId="1359" priority="8" stopIfTrue="1">
      <formula>IF(J4=1,1,0)</formula>
    </cfRule>
  </conditionalFormatting>
  <conditionalFormatting sqref="B72:D80 B48:C66 D48 D51:D52 D54:D66">
    <cfRule type="expression" dxfId="1358" priority="9" stopIfTrue="1">
      <formula>IF(F48&gt;0.5,1,0)</formula>
    </cfRule>
    <cfRule type="expression" dxfId="1357" priority="10" stopIfTrue="1">
      <formula>IF(F48&lt;0.2,1,0)</formula>
    </cfRule>
  </conditionalFormatting>
  <conditionalFormatting sqref="AS50:AT60">
    <cfRule type="expression" dxfId="1356" priority="11" stopIfTrue="1">
      <formula>IF(AV50&gt;0.5,1,0)</formula>
    </cfRule>
    <cfRule type="expression" dxfId="1355" priority="12" stopIfTrue="1">
      <formula>IF(AV50&lt;0.2,1,0)</formula>
    </cfRule>
  </conditionalFormatting>
  <conditionalFormatting sqref="BD35">
    <cfRule type="cellIs" dxfId="1354" priority="13" stopIfTrue="1" operator="equal">
      <formula>#REF!</formula>
    </cfRule>
    <cfRule type="expression" dxfId="1353" priority="14" stopIfTrue="1">
      <formula>AY123=1</formula>
    </cfRule>
    <cfRule type="expression" dxfId="1352" priority="15" stopIfTrue="1">
      <formula>BH123=1</formula>
    </cfRule>
  </conditionalFormatting>
  <conditionalFormatting sqref="F4:F34">
    <cfRule type="cellIs" dxfId="1351" priority="16" stopIfTrue="1" operator="equal">
      <formula>$F$85</formula>
    </cfRule>
    <cfRule type="cellIs" dxfId="1350" priority="17" stopIfTrue="1" operator="equal">
      <formula>$F$86</formula>
    </cfRule>
    <cfRule type="expression" dxfId="1349" priority="18" stopIfTrue="1">
      <formula>IF(B4&lt;0,1,0)</formula>
    </cfRule>
  </conditionalFormatting>
  <conditionalFormatting sqref="BF49:BF79">
    <cfRule type="cellIs" dxfId="1348" priority="19" stopIfTrue="1" operator="greaterThan">
      <formula>0.9</formula>
    </cfRule>
    <cfRule type="expression" dxfId="1347" priority="20" stopIfTrue="1">
      <formula>IF(O4=1,1,0)</formula>
    </cfRule>
  </conditionalFormatting>
  <conditionalFormatting sqref="D53">
    <cfRule type="expression" dxfId="1346" priority="21" stopIfTrue="1">
      <formula>IF(H50&gt;0.5,1,0)</formula>
    </cfRule>
    <cfRule type="expression" dxfId="1345" priority="22" stopIfTrue="1">
      <formula>IF(H50&lt;0.2,1,0)</formula>
    </cfRule>
  </conditionalFormatting>
  <conditionalFormatting sqref="D49:D50">
    <cfRule type="expression" dxfId="1344" priority="23" stopIfTrue="1">
      <formula>IF(L53&gt;0.5,1,0)</formula>
    </cfRule>
    <cfRule type="expression" dxfId="1343" priority="24" stopIfTrue="1">
      <formula>IF(L53&lt;0.2,1,0)</formula>
    </cfRule>
  </conditionalFormatting>
  <conditionalFormatting sqref="BA49:BA79">
    <cfRule type="cellIs" dxfId="1342" priority="25" stopIfTrue="1" operator="equal">
      <formula>$BB$86</formula>
    </cfRule>
    <cfRule type="expression" dxfId="1341" priority="26" stopIfTrue="1">
      <formula>IF(AX91=1,1,0)</formula>
    </cfRule>
    <cfRule type="expression" dxfId="1340" priority="27" stopIfTrue="1">
      <formula>IF(AW91=1,1,0)</formula>
    </cfRule>
  </conditionalFormatting>
  <conditionalFormatting sqref="AQ92:AQ107">
    <cfRule type="cellIs" dxfId="1339" priority="28" stopIfTrue="1" operator="equal">
      <formula>$AQ$109</formula>
    </cfRule>
  </conditionalFormatting>
  <conditionalFormatting sqref="AB91:AB121">
    <cfRule type="cellIs" dxfId="1338" priority="29" stopIfTrue="1" operator="equal">
      <formula>0</formula>
    </cfRule>
  </conditionalFormatting>
  <conditionalFormatting sqref="AM4:AM34">
    <cfRule type="cellIs" dxfId="1337" priority="30" stopIfTrue="1" operator="equal">
      <formula>$AH$86</formula>
    </cfRule>
    <cfRule type="cellIs" dxfId="1336" priority="31" stopIfTrue="1" operator="equal">
      <formula>$AH$85</formula>
    </cfRule>
  </conditionalFormatting>
  <conditionalFormatting sqref="AE4:AE34">
    <cfRule type="cellIs" dxfId="1335" priority="32" stopIfTrue="1" operator="equal">
      <formula>$AD$86</formula>
    </cfRule>
    <cfRule type="cellIs" dxfId="1334" priority="33" stopIfTrue="1" operator="equal">
      <formula>0</formula>
    </cfRule>
  </conditionalFormatting>
  <conditionalFormatting sqref="AY49:AZ79">
    <cfRule type="cellIs" dxfId="1333" priority="34" stopIfTrue="1" operator="equal">
      <formula>$BA$84</formula>
    </cfRule>
    <cfRule type="cellIs" dxfId="1332" priority="35" stopIfTrue="1" operator="equal">
      <formula>$BB$84</formula>
    </cfRule>
  </conditionalFormatting>
  <conditionalFormatting sqref="AW4:AW34 BI35">
    <cfRule type="cellIs" dxfId="1331" priority="36" stopIfTrue="1" operator="equal">
      <formula>$AW$85</formula>
    </cfRule>
    <cfRule type="cellIs" dxfId="1330" priority="37" stopIfTrue="1" operator="equal">
      <formula>$AW$86</formula>
    </cfRule>
  </conditionalFormatting>
  <conditionalFormatting sqref="BC35 BD4:BD34">
    <cfRule type="cellIs" dxfId="1329" priority="38" stopIfTrue="1" operator="equal">
      <formula>$BD$85</formula>
    </cfRule>
    <cfRule type="cellIs" dxfId="1328" priority="39" stopIfTrue="1" operator="equal">
      <formula>$BD$86</formula>
    </cfRule>
  </conditionalFormatting>
  <conditionalFormatting sqref="BC49:BC80">
    <cfRule type="cellIs" dxfId="1327" priority="40" stopIfTrue="1" operator="equal">
      <formula>$AU$85</formula>
    </cfRule>
    <cfRule type="cellIs" dxfId="1326" priority="41" stopIfTrue="1" operator="equal">
      <formula>$AU$86</formula>
    </cfRule>
  </conditionalFormatting>
  <conditionalFormatting sqref="BD49:BD80">
    <cfRule type="cellIs" dxfId="1325" priority="42" stopIfTrue="1" operator="equal">
      <formula>#REF!</formula>
    </cfRule>
    <cfRule type="cellIs" dxfId="1324" priority="43" stopIfTrue="1" operator="equal">
      <formula>#REF!</formula>
    </cfRule>
  </conditionalFormatting>
  <conditionalFormatting sqref="BF35">
    <cfRule type="cellIs" dxfId="1323" priority="44" stopIfTrue="1" operator="equal">
      <formula>$BF$85</formula>
    </cfRule>
    <cfRule type="cellIs" dxfId="1322" priority="45" stopIfTrue="1" operator="equal">
      <formula>$BF$86</formula>
    </cfRule>
  </conditionalFormatting>
  <conditionalFormatting sqref="BG35">
    <cfRule type="cellIs" dxfId="1321" priority="46" stopIfTrue="1" operator="equal">
      <formula>$BG$85</formula>
    </cfRule>
    <cfRule type="cellIs" dxfId="1320" priority="47" stopIfTrue="1" operator="equal">
      <formula>$BG$86</formula>
    </cfRule>
  </conditionalFormatting>
  <conditionalFormatting sqref="BH35">
    <cfRule type="cellIs" dxfId="1319" priority="48" stopIfTrue="1" operator="equal">
      <formula>$BH$85</formula>
    </cfRule>
    <cfRule type="cellIs" dxfId="1318" priority="49" stopIfTrue="1" operator="equal">
      <formula>$BH$86</formula>
    </cfRule>
  </conditionalFormatting>
  <conditionalFormatting sqref="BA4:BA35 BB4:BB34">
    <cfRule type="cellIs" dxfId="1317" priority="50" stopIfTrue="1" operator="equal">
      <formula>$BA$85</formula>
    </cfRule>
    <cfRule type="cellIs" dxfId="1316" priority="51" stopIfTrue="1" operator="equal">
      <formula>$BA$86</formula>
    </cfRule>
  </conditionalFormatting>
  <conditionalFormatting sqref="BF80">
    <cfRule type="cellIs" dxfId="1315" priority="52" stopIfTrue="1" operator="greaterThan">
      <formula>0.9</formula>
    </cfRule>
  </conditionalFormatting>
  <conditionalFormatting sqref="BG80">
    <cfRule type="cellIs" dxfId="1314" priority="53" stopIfTrue="1" operator="lessThan">
      <formula>0.3</formula>
    </cfRule>
  </conditionalFormatting>
  <conditionalFormatting sqref="BJ8:BJ35">
    <cfRule type="cellIs" dxfId="1313" priority="54" stopIfTrue="1" operator="equal">
      <formula>$BJ$85</formula>
    </cfRule>
    <cfRule type="cellIs" dxfId="1312" priority="55" stopIfTrue="1" operator="equal">
      <formula>$BJ$86</formula>
    </cfRule>
  </conditionalFormatting>
  <conditionalFormatting sqref="BI8:BI34">
    <cfRule type="cellIs" dxfId="1311" priority="56" stopIfTrue="1" operator="equal">
      <formula>$BI$86</formula>
    </cfRule>
    <cfRule type="cellIs" dxfId="1310" priority="57" stopIfTrue="1" operator="equal">
      <formula>$BI$85</formula>
    </cfRule>
  </conditionalFormatting>
  <conditionalFormatting sqref="AY35:AZ35">
    <cfRule type="cellIs" dxfId="1309" priority="58" stopIfTrue="1" operator="equal">
      <formula>$AY$85</formula>
    </cfRule>
    <cfRule type="cellIs" dxfId="1308" priority="59" stopIfTrue="1" operator="equal">
      <formula>$AY$86</formula>
    </cfRule>
  </conditionalFormatting>
  <conditionalFormatting sqref="AY4:AY34">
    <cfRule type="cellIs" dxfId="1307" priority="60" stopIfTrue="1" operator="equal">
      <formula>$AY$85</formula>
    </cfRule>
    <cfRule type="cellIs" dxfId="1306" priority="61" stopIfTrue="1" operator="equal">
      <formula>$AY$86</formula>
    </cfRule>
  </conditionalFormatting>
  <conditionalFormatting sqref="AR4:AR34">
    <cfRule type="cellIs" dxfId="1305" priority="62" stopIfTrue="1" operator="equal">
      <formula>$M$92</formula>
    </cfRule>
  </conditionalFormatting>
  <conditionalFormatting sqref="AV50:AV60 F72:F80 F48:F66">
    <cfRule type="cellIs" dxfId="1304" priority="63" stopIfTrue="1" operator="between">
      <formula>0.45</formula>
      <formula>0.55</formula>
    </cfRule>
  </conditionalFormatting>
  <conditionalFormatting sqref="AS8:AS34">
    <cfRule type="cellIs" dxfId="1303" priority="64" stopIfTrue="1" operator="equal">
      <formula>$AS$85</formula>
    </cfRule>
    <cfRule type="cellIs" dxfId="1302" priority="65" stopIfTrue="1" operator="equal">
      <formula>$AS$86</formula>
    </cfRule>
  </conditionalFormatting>
  <conditionalFormatting sqref="AI4:AI35">
    <cfRule type="cellIs" dxfId="1301" priority="66" stopIfTrue="1" operator="equal">
      <formula>$AI$85</formula>
    </cfRule>
    <cfRule type="cellIs" dxfId="1300" priority="67" stopIfTrue="1" operator="equal">
      <formula>$AI$86</formula>
    </cfRule>
  </conditionalFormatting>
  <conditionalFormatting sqref="AJ4:AJ35">
    <cfRule type="cellIs" dxfId="1299" priority="68" stopIfTrue="1" operator="equal">
      <formula>$AJ$85</formula>
    </cfRule>
    <cfRule type="cellIs" dxfId="1298" priority="69" stopIfTrue="1" operator="equal">
      <formula>$AJ$86</formula>
    </cfRule>
  </conditionalFormatting>
  <conditionalFormatting sqref="AT4:AT35">
    <cfRule type="cellIs" dxfId="1297" priority="70" stopIfTrue="1" operator="equal">
      <formula>$AT$85</formula>
    </cfRule>
    <cfRule type="cellIs" dxfId="1296" priority="71" stopIfTrue="1" operator="equal">
      <formula>$AT$86</formula>
    </cfRule>
  </conditionalFormatting>
  <conditionalFormatting sqref="AU4:AU35">
    <cfRule type="cellIs" dxfId="1295" priority="72" stopIfTrue="1" operator="equal">
      <formula>$AU$85</formula>
    </cfRule>
    <cfRule type="cellIs" dxfId="1294" priority="73" stopIfTrue="1" operator="equal">
      <formula>$AU$86</formula>
    </cfRule>
  </conditionalFormatting>
  <conditionalFormatting sqref="AV35:AW35 AV4:AV34">
    <cfRule type="cellIs" dxfId="1293" priority="74" stopIfTrue="1" operator="equal">
      <formula>$AV$85</formula>
    </cfRule>
    <cfRule type="cellIs" dxfId="1292" priority="75" stopIfTrue="1" operator="equal">
      <formula>$AV$86</formula>
    </cfRule>
  </conditionalFormatting>
  <conditionalFormatting sqref="AX4:AX35">
    <cfRule type="cellIs" dxfId="1291" priority="76" stopIfTrue="1" operator="equal">
      <formula>$AX$85</formula>
    </cfRule>
    <cfRule type="cellIs" dxfId="1290" priority="77" stopIfTrue="1" operator="equal">
      <formula>$AX$86</formula>
    </cfRule>
  </conditionalFormatting>
  <conditionalFormatting sqref="AG4:AG34">
    <cfRule type="cellIs" dxfId="1289" priority="78" stopIfTrue="1" operator="equal">
      <formula>$AG$85</formula>
    </cfRule>
    <cfRule type="cellIs" dxfId="1288" priority="79" stopIfTrue="1" operator="equal">
      <formula>$AG$86</formula>
    </cfRule>
  </conditionalFormatting>
  <conditionalFormatting sqref="AH4:AH35">
    <cfRule type="cellIs" dxfId="1287" priority="80" stopIfTrue="1" operator="equal">
      <formula>$AH$85</formula>
    </cfRule>
    <cfRule type="cellIs" dxfId="1286" priority="81" stopIfTrue="1" operator="equal">
      <formula>$AH$86</formula>
    </cfRule>
  </conditionalFormatting>
  <conditionalFormatting sqref="AP4:AP34">
    <cfRule type="cellIs" dxfId="1285" priority="82" stopIfTrue="1" operator="equal">
      <formula>$AP$86</formula>
    </cfRule>
    <cfRule type="cellIs" dxfId="1284" priority="83" stopIfTrue="1" operator="equal">
      <formula>0.001</formula>
    </cfRule>
  </conditionalFormatting>
  <conditionalFormatting sqref="BH49:BH79">
    <cfRule type="cellIs" dxfId="1283" priority="84" stopIfTrue="1" operator="greaterThan">
      <formula>0.9</formula>
    </cfRule>
  </conditionalFormatting>
  <conditionalFormatting sqref="BI49:BI69 BI71:BI79">
    <cfRule type="cellIs" dxfId="1282" priority="85" stopIfTrue="1" operator="greaterThan">
      <formula>0.5</formula>
    </cfRule>
  </conditionalFormatting>
  <conditionalFormatting sqref="X46:X53">
    <cfRule type="cellIs" dxfId="1281" priority="86" stopIfTrue="1" operator="equal">
      <formula>$X$55</formula>
    </cfRule>
  </conditionalFormatting>
  <conditionalFormatting sqref="L4:L34">
    <cfRule type="cellIs" dxfId="1280" priority="87" stopIfTrue="1" operator="equal">
      <formula>98</formula>
    </cfRule>
    <cfRule type="cellIs" dxfId="1279" priority="88" stopIfTrue="1" operator="equal">
      <formula>$L$85</formula>
    </cfRule>
    <cfRule type="cellIs" dxfId="1278" priority="89" stopIfTrue="1" operator="equal">
      <formula>$L$86</formula>
    </cfRule>
  </conditionalFormatting>
  <conditionalFormatting sqref="K4:K34">
    <cfRule type="cellIs" dxfId="1277" priority="90" stopIfTrue="1" operator="equal">
      <formula>$K$85</formula>
    </cfRule>
    <cfRule type="cellIs" dxfId="1276" priority="91" stopIfTrue="1" operator="equal">
      <formula>$K$86</formula>
    </cfRule>
  </conditionalFormatting>
  <conditionalFormatting sqref="X6:X22 X4 X31:X34">
    <cfRule type="cellIs" dxfId="1275" priority="92" stopIfTrue="1" operator="equal">
      <formula>10</formula>
    </cfRule>
    <cfRule type="cellIs" priority="93" stopIfTrue="1" operator="equal">
      <formula>0</formula>
    </cfRule>
  </conditionalFormatting>
  <conditionalFormatting sqref="X30">
    <cfRule type="cellIs" dxfId="1274" priority="94" stopIfTrue="1" operator="equal">
      <formula>$AW$85</formula>
    </cfRule>
    <cfRule type="cellIs" dxfId="1273" priority="95" stopIfTrue="1" operator="equal">
      <formula>$AW$86</formula>
    </cfRule>
  </conditionalFormatting>
  <conditionalFormatting sqref="I4:I34">
    <cfRule type="cellIs" dxfId="1272" priority="96" stopIfTrue="1" operator="equal">
      <formula>$I$85</formula>
    </cfRule>
    <cfRule type="cellIs" dxfId="1271" priority="97" stopIfTrue="1" operator="equal">
      <formula>$I$86</formula>
    </cfRule>
  </conditionalFormatting>
  <conditionalFormatting sqref="N4:N34">
    <cfRule type="cellIs" dxfId="1270" priority="98" stopIfTrue="1" operator="equal">
      <formula>$N$85</formula>
    </cfRule>
    <cfRule type="cellIs" dxfId="1269" priority="99" stopIfTrue="1" operator="equal">
      <formula>$N$86</formula>
    </cfRule>
  </conditionalFormatting>
  <conditionalFormatting sqref="AA4:AA33 AA34:AB34">
    <cfRule type="cellIs" dxfId="1268" priority="100" stopIfTrue="1" operator="equal">
      <formula>$AA$86</formula>
    </cfRule>
  </conditionalFormatting>
  <conditionalFormatting sqref="P4:P34">
    <cfRule type="cellIs" dxfId="1267" priority="101" stopIfTrue="1" operator="equal">
      <formula>$P$85</formula>
    </cfRule>
    <cfRule type="cellIs" dxfId="1266" priority="102" stopIfTrue="1" operator="equal">
      <formula>$P$86</formula>
    </cfRule>
  </conditionalFormatting>
  <conditionalFormatting sqref="S4:S34">
    <cfRule type="cellIs" dxfId="1265" priority="103" stopIfTrue="1" operator="equal">
      <formula>$S$85</formula>
    </cfRule>
    <cfRule type="cellIs" dxfId="1264" priority="104" stopIfTrue="1" operator="equal">
      <formula>$S$86</formula>
    </cfRule>
  </conditionalFormatting>
  <conditionalFormatting sqref="R4:R34">
    <cfRule type="cellIs" dxfId="1263" priority="105" stopIfTrue="1" operator="equal">
      <formula>$R$85</formula>
    </cfRule>
    <cfRule type="cellIs" dxfId="1262" priority="106" stopIfTrue="1" operator="equal">
      <formula>$R$86</formula>
    </cfRule>
  </conditionalFormatting>
  <conditionalFormatting sqref="Q4:Q34">
    <cfRule type="cellIs" dxfId="1261" priority="107" stopIfTrue="1" operator="equal">
      <formula>$Q$85</formula>
    </cfRule>
    <cfRule type="cellIs" dxfId="1260" priority="108" stopIfTrue="1" operator="equal">
      <formula>$Q$86</formula>
    </cfRule>
  </conditionalFormatting>
  <conditionalFormatting sqref="U47 U49:U50 U53:U56">
    <cfRule type="cellIs" dxfId="1259" priority="109" stopIfTrue="1" operator="equal">
      <formula>$W$86</formula>
    </cfRule>
    <cfRule type="cellIs" dxfId="1258" priority="110" stopIfTrue="1" operator="equal">
      <formula>$W$85</formula>
    </cfRule>
  </conditionalFormatting>
  <conditionalFormatting sqref="H4:H35">
    <cfRule type="cellIs" dxfId="1257" priority="111" stopIfTrue="1" operator="equal">
      <formula>$H$85</formula>
    </cfRule>
    <cfRule type="cellIs" dxfId="1256" priority="112" stopIfTrue="1" operator="equal">
      <formula>$H$86</formula>
    </cfRule>
  </conditionalFormatting>
  <conditionalFormatting sqref="M4:M34">
    <cfRule type="cellIs" dxfId="1255" priority="113" stopIfTrue="1" operator="equal">
      <formula>$M$85</formula>
    </cfRule>
    <cfRule type="cellIs" dxfId="1254" priority="114" stopIfTrue="1" operator="equal">
      <formula>$M$86</formula>
    </cfRule>
  </conditionalFormatting>
  <conditionalFormatting sqref="AB4:AB33">
    <cfRule type="cellIs" dxfId="1253" priority="115" stopIfTrue="1" operator="equal">
      <formula>$X$123</formula>
    </cfRule>
  </conditionalFormatting>
  <conditionalFormatting sqref="G4:G34">
    <cfRule type="cellIs" dxfId="1252" priority="116" stopIfTrue="1" operator="equal">
      <formula>$G$86</formula>
    </cfRule>
    <cfRule type="cellIs" dxfId="1251" priority="117" stopIfTrue="1" operator="equal">
      <formula>$G$85</formula>
    </cfRule>
    <cfRule type="cellIs" dxfId="1250" priority="118" stopIfTrue="1" operator="greaterThan">
      <formula>25</formula>
    </cfRule>
  </conditionalFormatting>
  <conditionalFormatting sqref="AD4:AD34">
    <cfRule type="cellIs" dxfId="1249" priority="119" stopIfTrue="1" operator="equal">
      <formula>$AE$86</formula>
    </cfRule>
    <cfRule type="cellIs" dxfId="1248" priority="120" stopIfTrue="1" operator="equal">
      <formula>$AE$85</formula>
    </cfRule>
  </conditionalFormatting>
  <conditionalFormatting sqref="AQ4:AQ34">
    <cfRule type="cellIs" dxfId="1247" priority="121" stopIfTrue="1" operator="equal">
      <formula>0</formula>
    </cfRule>
    <cfRule type="cellIs" dxfId="1246" priority="122" stopIfTrue="1" operator="equal">
      <formula>$AQ$86</formula>
    </cfRule>
    <cfRule type="cellIs" dxfId="1245" priority="123" stopIfTrue="1" operator="between">
      <formula>0.1</formula>
      <formula>0.4</formula>
    </cfRule>
  </conditionalFormatting>
  <conditionalFormatting sqref="U4:U34">
    <cfRule type="cellIs" dxfId="1244" priority="124" stopIfTrue="1" operator="equal">
      <formula>$U$86</formula>
    </cfRule>
    <cfRule type="cellIs" dxfId="1243" priority="125" stopIfTrue="1" operator="equal">
      <formula>$U$85</formula>
    </cfRule>
  </conditionalFormatting>
  <conditionalFormatting sqref="V4:V34">
    <cfRule type="cellIs" dxfId="1242" priority="126" stopIfTrue="1" operator="equal">
      <formula>$V$86</formula>
    </cfRule>
    <cfRule type="cellIs" dxfId="1241" priority="127" stopIfTrue="1" operator="equal">
      <formula>$V$85</formula>
    </cfRule>
  </conditionalFormatting>
  <conditionalFormatting sqref="W4:W34">
    <cfRule type="cellIs" dxfId="1240" priority="128" stopIfTrue="1" operator="equal">
      <formula>$W$86</formula>
    </cfRule>
    <cfRule type="cellIs" dxfId="1239" priority="129" stopIfTrue="1" operator="equal">
      <formula>$W$85</formula>
    </cfRule>
  </conditionalFormatting>
  <conditionalFormatting sqref="Z4:Z34">
    <cfRule type="cellIs" dxfId="1238" priority="130" stopIfTrue="1" operator="equal">
      <formula>0</formula>
    </cfRule>
    <cfRule type="cellIs" dxfId="1237" priority="131" stopIfTrue="1" operator="equal">
      <formula>$Z$86</formula>
    </cfRule>
    <cfRule type="cellIs" dxfId="1236" priority="132" stopIfTrue="1" operator="lessThan">
      <formula>0.2</formula>
    </cfRule>
  </conditionalFormatting>
  <conditionalFormatting sqref="E48:E66 AU50:AU60">
    <cfRule type="cellIs" dxfId="1235" priority="133" stopIfTrue="1" operator="notBetween">
      <formula>-0.5</formula>
      <formula>0.5</formula>
    </cfRule>
    <cfRule type="cellIs" dxfId="1234" priority="134" stopIfTrue="1" operator="between">
      <formula>-0.2</formula>
      <formula>0.2</formula>
    </cfRule>
  </conditionalFormatting>
  <conditionalFormatting sqref="E72:E80">
    <cfRule type="cellIs" dxfId="1233" priority="135" stopIfTrue="1" operator="notBetween">
      <formula>-0.5</formula>
      <formula>0.5</formula>
    </cfRule>
    <cfRule type="cellIs" dxfId="1232" priority="136" stopIfTrue="1" operator="between">
      <formula>-0.2</formula>
      <formula>0.2</formula>
    </cfRule>
  </conditionalFormatting>
  <conditionalFormatting sqref="BC4:BC34">
    <cfRule type="cellIs" dxfId="1231" priority="137" stopIfTrue="1" operator="equal">
      <formula>$BC$85</formula>
    </cfRule>
    <cfRule type="cellIs" dxfId="1230" priority="138" stopIfTrue="1" operator="equal">
      <formula>$BC$86</formula>
    </cfRule>
  </conditionalFormatting>
  <pageMargins left="0.75" right="0.75" top="1" bottom="1" header="0.5" footer="0.5"/>
  <pageSetup paperSize="9" orientation="portrait" horizontalDpi="4294967293" r:id="rId1"/>
  <headerFooter alignWithMargins="0"/>
  <ignoredErrors>
    <ignoredError sqref="X59" formulaRange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tabColor indexed="43"/>
  </sheetPr>
  <dimension ref="A1"/>
  <sheetViews>
    <sheetView zoomScale="74" workbookViewId="0"/>
  </sheetViews>
  <sheetFormatPr defaultRowHeight="12.75" x14ac:dyDescent="0.2"/>
  <sheetData/>
  <phoneticPr fontId="4" type="noConversion"/>
  <pageMargins left="0.75" right="0.75" top="1" bottom="1" header="0.5" footer="0.5"/>
  <headerFooter alignWithMargins="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>
    <tabColor indexed="13"/>
  </sheetPr>
  <dimension ref="A1:CK134"/>
  <sheetViews>
    <sheetView zoomScale="90" workbookViewId="0">
      <pane xSplit="1" topLeftCell="B1" activePane="topRight" state="frozen"/>
      <selection activeCell="AN72" sqref="AN72"/>
      <selection pane="topRight"/>
    </sheetView>
  </sheetViews>
  <sheetFormatPr defaultRowHeight="0" customHeight="1" zeroHeight="1" x14ac:dyDescent="0.2"/>
  <cols>
    <col min="1" max="1" width="2.85546875" style="1" customWidth="1"/>
    <col min="2" max="2" width="5.140625" style="1" customWidth="1"/>
    <col min="3" max="3" width="5.140625" style="7" customWidth="1"/>
    <col min="4" max="4" width="12" style="1" customWidth="1"/>
    <col min="5" max="5" width="8.85546875" style="1" customWidth="1"/>
    <col min="6" max="9" width="9.28515625" style="1" customWidth="1"/>
    <col min="10" max="10" width="0.7109375" style="1" customWidth="1"/>
    <col min="11" max="13" width="8.5703125" style="1" customWidth="1"/>
    <col min="14" max="14" width="7.85546875" style="1" customWidth="1"/>
    <col min="15" max="15" width="1" style="1" customWidth="1"/>
    <col min="16" max="17" width="7.28515625" style="1" customWidth="1"/>
    <col min="18" max="18" width="8.5703125" style="1" customWidth="1"/>
    <col min="19" max="19" width="7.140625" style="1" customWidth="1"/>
    <col min="20" max="20" width="0.7109375" style="1" customWidth="1"/>
    <col min="21" max="22" width="9.28515625" style="1" customWidth="1"/>
    <col min="23" max="23" width="9.7109375" style="1" customWidth="1"/>
    <col min="24" max="24" width="9.28515625" style="1" customWidth="1"/>
    <col min="25" max="25" width="0.85546875" style="1" customWidth="1"/>
    <col min="26" max="26" width="10.42578125" style="1" customWidth="1"/>
    <col min="27" max="27" width="9.42578125" style="1" customWidth="1"/>
    <col min="28" max="28" width="10.5703125" style="1" customWidth="1"/>
    <col min="29" max="29" width="9.28515625" style="1" customWidth="1"/>
    <col min="30" max="30" width="9.85546875" style="1" customWidth="1"/>
    <col min="31" max="31" width="10.140625" style="1" customWidth="1"/>
    <col min="32" max="32" width="0.85546875" style="1" customWidth="1"/>
    <col min="33" max="34" width="8.42578125" style="1" customWidth="1"/>
    <col min="35" max="35" width="8.85546875" style="1" customWidth="1"/>
    <col min="36" max="36" width="8.42578125" style="1" customWidth="1"/>
    <col min="37" max="37" width="0.5703125" style="1" customWidth="1"/>
    <col min="38" max="38" width="8.140625" style="1" customWidth="1"/>
    <col min="39" max="39" width="0.42578125" style="1" customWidth="1"/>
    <col min="40" max="40" width="39.5703125" style="1" customWidth="1"/>
    <col min="41" max="41" width="0.7109375" style="1" customWidth="1"/>
    <col min="42" max="43" width="7.85546875" style="1" customWidth="1"/>
    <col min="44" max="44" width="0.7109375" style="1" customWidth="1"/>
    <col min="45" max="48" width="8.85546875" style="1" customWidth="1"/>
    <col min="49" max="49" width="8.5703125" style="1" customWidth="1"/>
    <col min="50" max="51" width="9.140625" style="1" customWidth="1"/>
    <col min="52" max="52" width="0.5703125" style="1" customWidth="1"/>
    <col min="53" max="53" width="8.28515625" style="1" customWidth="1"/>
    <col min="54" max="54" width="7.7109375" style="1" customWidth="1"/>
    <col min="55" max="55" width="8.5703125" style="1" customWidth="1"/>
    <col min="56" max="56" width="8.85546875" style="1" customWidth="1"/>
    <col min="57" max="57" width="0.5703125" style="1" customWidth="1"/>
    <col min="58" max="62" width="8.85546875" style="1" customWidth="1"/>
    <col min="63" max="63" width="1" style="1" customWidth="1"/>
    <col min="64" max="64" width="2.140625" style="1" customWidth="1"/>
    <col min="65" max="89" width="1.140625" style="1" hidden="1" customWidth="1"/>
    <col min="90" max="91" width="0" style="1" hidden="1" customWidth="1"/>
    <col min="92" max="16384" width="9.140625" style="1"/>
  </cols>
  <sheetData>
    <row r="1" spans="1:64" ht="13.5" customHeight="1" x14ac:dyDescent="0.2">
      <c r="A1" s="88">
        <v>1</v>
      </c>
      <c r="B1" s="676" t="s">
        <v>100</v>
      </c>
      <c r="C1" s="677" t="s">
        <v>99</v>
      </c>
      <c r="D1" s="109">
        <f ca="1">D2/E1</f>
        <v>73.01496237456098</v>
      </c>
      <c r="E1" s="98">
        <f ca="1">COUNT(A3:BL88)</f>
        <v>2388</v>
      </c>
      <c r="F1" s="678" t="s">
        <v>186</v>
      </c>
      <c r="G1" s="678"/>
      <c r="H1" s="678"/>
      <c r="I1" s="678"/>
      <c r="J1" s="6"/>
      <c r="K1" s="679" t="s">
        <v>147</v>
      </c>
      <c r="L1" s="679"/>
      <c r="M1" s="679"/>
      <c r="N1" s="680"/>
      <c r="O1" s="2"/>
      <c r="P1" s="664" t="s">
        <v>0</v>
      </c>
      <c r="Q1" s="664"/>
      <c r="R1" s="664"/>
      <c r="S1" s="665"/>
      <c r="T1" s="3"/>
      <c r="U1" s="666" t="s">
        <v>139</v>
      </c>
      <c r="V1" s="666"/>
      <c r="W1" s="666"/>
      <c r="X1" s="666"/>
      <c r="Y1" s="86"/>
      <c r="Z1" s="674" t="s">
        <v>107</v>
      </c>
      <c r="AA1" s="674"/>
      <c r="AB1" s="674"/>
      <c r="AC1" s="675"/>
      <c r="AD1" s="673" t="s">
        <v>198</v>
      </c>
      <c r="AE1" s="673"/>
      <c r="AF1" s="137"/>
      <c r="AG1" s="672" t="s">
        <v>157</v>
      </c>
      <c r="AH1" s="672"/>
      <c r="AI1" s="672"/>
      <c r="AJ1" s="672"/>
      <c r="AK1" s="6"/>
      <c r="AL1" s="690" t="s">
        <v>252</v>
      </c>
      <c r="AM1" s="86"/>
      <c r="AN1" s="667" t="s">
        <v>1</v>
      </c>
      <c r="AO1" s="399"/>
      <c r="AP1" s="691" t="s">
        <v>122</v>
      </c>
      <c r="AQ1" s="671" t="s">
        <v>192</v>
      </c>
      <c r="AR1" s="86"/>
      <c r="AS1" s="670" t="s">
        <v>12</v>
      </c>
      <c r="AT1" s="670"/>
      <c r="AU1" s="670"/>
      <c r="AV1" s="670"/>
      <c r="AW1" s="670"/>
      <c r="AX1" s="670"/>
      <c r="AY1" s="670"/>
      <c r="AZ1" s="6"/>
      <c r="BA1" s="667" t="s">
        <v>366</v>
      </c>
      <c r="BB1" s="667"/>
      <c r="BC1" s="667"/>
      <c r="BD1" s="667"/>
      <c r="BE1" s="67"/>
      <c r="BF1" s="667" t="s">
        <v>20</v>
      </c>
      <c r="BG1" s="667"/>
      <c r="BH1" s="667"/>
      <c r="BI1" s="667"/>
      <c r="BJ1" s="667"/>
      <c r="BK1" s="88"/>
      <c r="BL1" s="78"/>
    </row>
    <row r="2" spans="1:64" ht="12.75" customHeight="1" x14ac:dyDescent="0.2">
      <c r="A2" s="67"/>
      <c r="B2" s="676"/>
      <c r="C2" s="677"/>
      <c r="D2" s="104">
        <f ca="1">SUM(A3:BL88)</f>
        <v>174359.73015045162</v>
      </c>
      <c r="E2" s="292" t="s">
        <v>150</v>
      </c>
      <c r="F2" s="468" t="s">
        <v>101</v>
      </c>
      <c r="G2" s="469" t="s">
        <v>102</v>
      </c>
      <c r="H2" s="470" t="s">
        <v>156</v>
      </c>
      <c r="I2" s="471" t="s">
        <v>5</v>
      </c>
      <c r="J2" s="6"/>
      <c r="K2" s="212" t="s">
        <v>2</v>
      </c>
      <c r="L2" s="213" t="s">
        <v>3</v>
      </c>
      <c r="M2" s="395" t="s">
        <v>156</v>
      </c>
      <c r="N2" s="398" t="s">
        <v>5</v>
      </c>
      <c r="O2" s="20"/>
      <c r="P2" s="264" t="s">
        <v>2</v>
      </c>
      <c r="Q2" s="258" t="s">
        <v>3</v>
      </c>
      <c r="R2" s="265" t="s">
        <v>4</v>
      </c>
      <c r="S2" s="4" t="s">
        <v>5</v>
      </c>
      <c r="T2" s="67"/>
      <c r="U2" s="217" t="s">
        <v>156</v>
      </c>
      <c r="V2" s="97" t="s">
        <v>3</v>
      </c>
      <c r="W2" s="97" t="s">
        <v>154</v>
      </c>
      <c r="X2" s="217" t="s">
        <v>104</v>
      </c>
      <c r="Y2" s="133"/>
      <c r="Z2" s="424" t="s">
        <v>152</v>
      </c>
      <c r="AA2" s="458" t="s">
        <v>108</v>
      </c>
      <c r="AB2" s="458" t="s">
        <v>197</v>
      </c>
      <c r="AC2" s="508" t="s">
        <v>141</v>
      </c>
      <c r="AD2" s="179" t="s">
        <v>4</v>
      </c>
      <c r="AE2" s="179" t="s">
        <v>3</v>
      </c>
      <c r="AF2" s="68"/>
      <c r="AG2" s="299" t="s">
        <v>2</v>
      </c>
      <c r="AH2" s="309" t="s">
        <v>3</v>
      </c>
      <c r="AI2" s="308" t="s">
        <v>156</v>
      </c>
      <c r="AJ2" s="99" t="s">
        <v>5</v>
      </c>
      <c r="AK2" s="310"/>
      <c r="AL2" s="690"/>
      <c r="AM2" s="86"/>
      <c r="AN2" s="667"/>
      <c r="AO2" s="399"/>
      <c r="AP2" s="692"/>
      <c r="AQ2" s="671"/>
      <c r="AR2" s="86"/>
      <c r="AS2" s="181" t="s">
        <v>21</v>
      </c>
      <c r="AT2" s="294" t="s">
        <v>22</v>
      </c>
      <c r="AU2" s="295" t="s">
        <v>23</v>
      </c>
      <c r="AV2" s="365" t="s">
        <v>24</v>
      </c>
      <c r="AW2" s="263" t="s">
        <v>187</v>
      </c>
      <c r="AX2" s="374" t="s">
        <v>188</v>
      </c>
      <c r="AY2" s="371" t="s">
        <v>124</v>
      </c>
      <c r="AZ2" s="6"/>
      <c r="BA2" s="181" t="s">
        <v>21</v>
      </c>
      <c r="BB2" s="294" t="s">
        <v>22</v>
      </c>
      <c r="BC2" s="295" t="s">
        <v>23</v>
      </c>
      <c r="BD2" s="365" t="s">
        <v>24</v>
      </c>
      <c r="BE2" s="67"/>
      <c r="BF2" s="181" t="s">
        <v>21</v>
      </c>
      <c r="BG2" s="294" t="s">
        <v>25</v>
      </c>
      <c r="BH2" s="365" t="s">
        <v>24</v>
      </c>
      <c r="BI2" s="179" t="s">
        <v>7</v>
      </c>
      <c r="BJ2" s="419" t="s">
        <v>196</v>
      </c>
      <c r="BK2" s="88"/>
      <c r="BL2" s="78"/>
    </row>
    <row r="3" spans="1:64" ht="1.5" customHeight="1" x14ac:dyDescent="0.2">
      <c r="A3" s="67"/>
      <c r="B3" s="128"/>
      <c r="C3" s="283"/>
      <c r="D3" s="67"/>
      <c r="E3" s="68"/>
      <c r="F3" s="68"/>
      <c r="G3" s="68"/>
      <c r="H3" s="68"/>
      <c r="I3" s="68"/>
      <c r="J3" s="6"/>
      <c r="K3" s="68"/>
      <c r="L3" s="68"/>
      <c r="M3" s="68"/>
      <c r="N3" s="84"/>
      <c r="O3" s="20"/>
      <c r="P3" s="257"/>
      <c r="Q3" s="68"/>
      <c r="R3" s="68"/>
      <c r="S3" s="68"/>
      <c r="T3" s="67"/>
      <c r="U3" s="63"/>
      <c r="V3" s="63"/>
      <c r="W3" s="63"/>
      <c r="X3" s="63"/>
      <c r="Y3" s="67"/>
      <c r="Z3" s="425"/>
      <c r="AA3" s="500"/>
      <c r="AB3" s="500"/>
      <c r="AC3" s="509"/>
      <c r="AD3" s="63"/>
      <c r="AE3" s="63"/>
      <c r="AF3" s="67"/>
      <c r="AG3" s="63"/>
      <c r="AH3" s="63"/>
      <c r="AI3" s="63"/>
      <c r="AJ3" s="63"/>
      <c r="AK3" s="67"/>
      <c r="AL3" s="132"/>
      <c r="AM3" s="6"/>
      <c r="AN3" s="67"/>
      <c r="AO3" s="88"/>
      <c r="AP3" s="63"/>
      <c r="AQ3" s="63"/>
      <c r="AR3" s="67"/>
      <c r="AS3" s="67"/>
      <c r="AT3" s="67"/>
      <c r="AU3" s="67"/>
      <c r="AV3" s="366"/>
      <c r="AW3" s="67"/>
      <c r="AX3" s="375"/>
      <c r="AY3" s="372"/>
      <c r="AZ3" s="6"/>
      <c r="BA3" s="67"/>
      <c r="BB3" s="67"/>
      <c r="BC3" s="6"/>
      <c r="BD3" s="366"/>
      <c r="BE3" s="67"/>
      <c r="BF3" s="67"/>
      <c r="BG3" s="67"/>
      <c r="BH3" s="366"/>
      <c r="BI3" s="6"/>
      <c r="BJ3" s="87"/>
      <c r="BK3" s="88"/>
      <c r="BL3" s="78"/>
    </row>
    <row r="4" spans="1:64" ht="12.75" customHeight="1" x14ac:dyDescent="0.2">
      <c r="A4" s="433">
        <v>1</v>
      </c>
      <c r="B4" s="131">
        <f>IF(ISBLANK(F4),"",F4)</f>
        <v>11.8</v>
      </c>
      <c r="C4" s="282">
        <f>IF(ISBLANK(G4),"",G4)</f>
        <v>15.7</v>
      </c>
      <c r="D4" s="685" t="s">
        <v>221</v>
      </c>
      <c r="E4" s="121">
        <v>1</v>
      </c>
      <c r="F4" s="23">
        <v>11.8</v>
      </c>
      <c r="G4" s="23">
        <v>15.7</v>
      </c>
      <c r="H4" s="553">
        <v>13.5</v>
      </c>
      <c r="I4" s="23">
        <f t="shared" ref="I4:I33" si="0">IF(ISBLANK(G4),"",G4-F4)</f>
        <v>3.8999999999999986</v>
      </c>
      <c r="J4" s="6">
        <f t="shared" ref="J4:J33" si="1">IF(C4=G4,0,1)</f>
        <v>0</v>
      </c>
      <c r="K4" s="24">
        <v>68</v>
      </c>
      <c r="L4" s="24">
        <v>90</v>
      </c>
      <c r="M4" s="554">
        <v>80</v>
      </c>
      <c r="N4" s="24">
        <f t="shared" ref="N4:N33" si="2">IF(ISBLANK(K4),"",L4-K4)</f>
        <v>22</v>
      </c>
      <c r="O4" s="50">
        <f t="shared" ref="O4:O33" si="3">IF(B4=F4,0,1)</f>
        <v>0</v>
      </c>
      <c r="P4" s="24">
        <v>1015</v>
      </c>
      <c r="Q4" s="24">
        <v>1019</v>
      </c>
      <c r="R4" s="24">
        <f>IF(ISBLANK(P4),"",AVERAGE(P4:Q4))</f>
        <v>1017</v>
      </c>
      <c r="S4" s="24">
        <f t="shared" ref="S4:S33" si="4">IF(ISBLANK(P4),"",Q4-P4)</f>
        <v>4</v>
      </c>
      <c r="T4" s="50"/>
      <c r="U4" s="553">
        <v>8.1</v>
      </c>
      <c r="V4" s="553">
        <v>17.8</v>
      </c>
      <c r="W4" s="553">
        <v>25.1</v>
      </c>
      <c r="X4" s="485" t="s">
        <v>110</v>
      </c>
      <c r="Y4" s="72">
        <f>IF(ISBLANK(Z4),"",IF(AQ4&lt;0.5,0,IF(Z4=0,0,IF(Z4&lt;1,1,2))))</f>
        <v>0</v>
      </c>
      <c r="Z4" s="539">
        <v>0</v>
      </c>
      <c r="AA4" s="23"/>
      <c r="AB4" s="23"/>
      <c r="AC4" s="510" t="str">
        <f t="shared" ref="AC4:AC33" si="5">IF(Z4=0,"",Z4/$Z$38)</f>
        <v/>
      </c>
      <c r="AD4" s="7" t="str">
        <f t="shared" ref="AD4:AD33" si="6">IF(Z4&lt;0.3,"",Z4/AQ4)</f>
        <v/>
      </c>
      <c r="AE4" s="485"/>
      <c r="AF4" s="54"/>
      <c r="AG4" s="553">
        <v>9.4</v>
      </c>
      <c r="AH4" s="553">
        <v>10.7</v>
      </c>
      <c r="AI4" s="553">
        <v>10</v>
      </c>
      <c r="AJ4" s="7">
        <f t="shared" ref="AJ4:AJ22" si="7">IF(ISBLANK(AH4),"",AH4-AG4)</f>
        <v>1.2999999999999989</v>
      </c>
      <c r="AK4" s="54"/>
      <c r="AL4" s="485" t="s">
        <v>463</v>
      </c>
      <c r="AM4" s="134"/>
      <c r="AN4" s="23" t="s">
        <v>8</v>
      </c>
      <c r="AO4" s="400"/>
      <c r="AP4" s="485">
        <v>2</v>
      </c>
      <c r="AQ4" s="485">
        <v>0</v>
      </c>
      <c r="AR4" s="134"/>
      <c r="AS4" s="26">
        <f>IF(ISBLANK(F4),"",(AVERAGE($F$4:F4)))</f>
        <v>11.8</v>
      </c>
      <c r="AT4" s="25">
        <f>IF(ISBLANK(G4),"",(AVERAGE($G$4:G4)))</f>
        <v>15.7</v>
      </c>
      <c r="AU4" s="25">
        <f>IF(ISBLANK(H4),"",(AVERAGE($H$4:H4)))</f>
        <v>13.5</v>
      </c>
      <c r="AV4" s="367">
        <f>IF(ISBLANK(G4),"",(AVERAGE($I$4:I4)))</f>
        <v>3.8999999999999986</v>
      </c>
      <c r="AW4" s="22">
        <f>IF(ISBLANK(M4),"",AVERAGE($M$4:M4))</f>
        <v>80</v>
      </c>
      <c r="AX4" s="376">
        <f>IF(ISBLANK(P4),"",(AVERAGE($R$4:R4)))</f>
        <v>1017</v>
      </c>
      <c r="AY4" s="368">
        <f>IF(ISBLANK(U4),"",(AVERAGE($U$4:U4)))</f>
        <v>8.1</v>
      </c>
      <c r="AZ4" s="6"/>
      <c r="BA4" s="25">
        <f>IF(ISBLANK(F4),"",F4-F91)</f>
        <v>7.2750000000000004</v>
      </c>
      <c r="BB4" s="25">
        <f>IF(ISBLANK(G4),"",G4-G91)</f>
        <v>4.0249999999999986</v>
      </c>
      <c r="BC4" s="25">
        <f>IF(ISBLANK(G4),"",AVERAGE(BA4:BB4))</f>
        <v>5.6499999999999995</v>
      </c>
      <c r="BD4" s="367">
        <f>IF(ISBLANK(G4),"",BB4-BA4)</f>
        <v>-3.2500000000000018</v>
      </c>
      <c r="BE4" s="67"/>
      <c r="BF4" s="25">
        <f>IF(ISBLANK(F4),"",AS4-AVERAGE($F$91:F91))</f>
        <v>7.2750000000000004</v>
      </c>
      <c r="BG4" s="25">
        <f>IF(ISBLANK(G4),"",AT4-AVERAGE($G$91:G91))</f>
        <v>4.0249999999999986</v>
      </c>
      <c r="BH4" s="367">
        <f>IF(ISBLANK(G4),"",BG4-BF4)</f>
        <v>-3.2500000000000018</v>
      </c>
      <c r="BI4" s="115">
        <f t="shared" ref="BI4:BI33" si="8">IF(ISBLANK(Z4),"",AB91/AA91)</f>
        <v>0</v>
      </c>
      <c r="BJ4" s="115">
        <f t="shared" ref="BJ4:BJ34" si="9">IF(ISBLANK(AP4),"",AG91/AH91)</f>
        <v>0.47101866068598264</v>
      </c>
      <c r="BK4" s="402"/>
      <c r="BL4" s="572">
        <v>1</v>
      </c>
    </row>
    <row r="5" spans="1:64" ht="12.75" customHeight="1" x14ac:dyDescent="0.2">
      <c r="A5" s="278">
        <f t="shared" ref="A5:A33" si="10">SUM(A4+1)</f>
        <v>2</v>
      </c>
      <c r="B5" s="131">
        <v>12.5</v>
      </c>
      <c r="C5" s="282">
        <f t="shared" ref="C5:C33" si="11">IF(ISBLANK(G5),"",G5)</f>
        <v>18.399999999999999</v>
      </c>
      <c r="D5" s="685"/>
      <c r="E5" s="99">
        <f t="shared" ref="E5:E33" si="12">SUM(E4+1)</f>
        <v>2</v>
      </c>
      <c r="F5" s="23">
        <v>11.1</v>
      </c>
      <c r="G5" s="23">
        <v>18.399999999999999</v>
      </c>
      <c r="H5" s="553">
        <v>15.1</v>
      </c>
      <c r="I5" s="23">
        <f t="shared" si="0"/>
        <v>7.2999999999999989</v>
      </c>
      <c r="J5" s="6">
        <f t="shared" si="1"/>
        <v>0</v>
      </c>
      <c r="K5" s="24">
        <v>48</v>
      </c>
      <c r="L5" s="24">
        <v>85</v>
      </c>
      <c r="M5" s="554">
        <v>68</v>
      </c>
      <c r="N5" s="24">
        <f t="shared" si="2"/>
        <v>37</v>
      </c>
      <c r="O5" s="50">
        <f t="shared" si="3"/>
        <v>1</v>
      </c>
      <c r="P5" s="24">
        <v>1008</v>
      </c>
      <c r="Q5" s="24">
        <v>1015</v>
      </c>
      <c r="R5" s="24">
        <f t="shared" ref="R5:R33" si="13">IF(ISBLANK(P5),"",AVERAGE(P5:Q5))</f>
        <v>1011.5</v>
      </c>
      <c r="S5" s="24">
        <f t="shared" si="4"/>
        <v>7</v>
      </c>
      <c r="T5" s="50"/>
      <c r="U5" s="553">
        <v>6.3</v>
      </c>
      <c r="V5" s="553">
        <v>15.2</v>
      </c>
      <c r="W5" s="553">
        <v>19.899999999999999</v>
      </c>
      <c r="X5" s="562" t="s">
        <v>110</v>
      </c>
      <c r="Y5" s="72">
        <f t="shared" ref="Y5:Y33" si="14">IF(ISBLANK(Z5),"",IF(AQ5&lt;0.5,0,IF(Z5=0,0,IF(Z5&lt;1,1,2))))</f>
        <v>0</v>
      </c>
      <c r="Z5" s="539">
        <v>0</v>
      </c>
      <c r="AA5" s="23"/>
      <c r="AB5" s="23"/>
      <c r="AC5" s="510" t="str">
        <f t="shared" si="5"/>
        <v/>
      </c>
      <c r="AD5" s="7" t="str">
        <f t="shared" si="6"/>
        <v/>
      </c>
      <c r="AE5" s="485"/>
      <c r="AF5" s="72"/>
      <c r="AG5" s="553">
        <v>3.7</v>
      </c>
      <c r="AH5" s="553">
        <v>11.4</v>
      </c>
      <c r="AI5" s="553">
        <v>9</v>
      </c>
      <c r="AJ5" s="7">
        <f t="shared" si="7"/>
        <v>7.7</v>
      </c>
      <c r="AK5" s="54"/>
      <c r="AL5" s="485" t="s">
        <v>464</v>
      </c>
      <c r="AM5" s="134"/>
      <c r="AN5" s="555" t="s">
        <v>8</v>
      </c>
      <c r="AO5" s="400"/>
      <c r="AP5" s="485">
        <v>1.5</v>
      </c>
      <c r="AQ5" s="485">
        <v>0</v>
      </c>
      <c r="AR5" s="134"/>
      <c r="AS5" s="26">
        <f>IF(ISBLANK(F5),"",(AVERAGE($F$4:F5)))</f>
        <v>11.45</v>
      </c>
      <c r="AT5" s="26">
        <f>IF(ISBLANK(G5),"",(AVERAGE($G$4:G5)))</f>
        <v>17.049999999999997</v>
      </c>
      <c r="AU5" s="25">
        <f>IF(ISBLANK(H5),"",(AVERAGE($H$4:H5)))</f>
        <v>14.3</v>
      </c>
      <c r="AV5" s="368">
        <f>IF(ISBLANK(G5),"",(AVERAGE($I$4:I5)))</f>
        <v>5.5999999999999988</v>
      </c>
      <c r="AW5" s="22">
        <f>IF(ISBLANK(M5),"",AVERAGE($M$4:M5))</f>
        <v>74</v>
      </c>
      <c r="AX5" s="376">
        <f>IF(ISBLANK(P5),"",(AVERAGE($R$4:R5)))</f>
        <v>1014.25</v>
      </c>
      <c r="AY5" s="368">
        <f>IF(ISBLANK(U5),"",(AVERAGE($U$4:U5)))</f>
        <v>7.1999999999999993</v>
      </c>
      <c r="AZ5" s="6"/>
      <c r="BA5" s="25">
        <f t="shared" ref="BA5:BA34" si="15">IF(ISBLANK(F5),"",F5-F92)</f>
        <v>6.55</v>
      </c>
      <c r="BB5" s="25">
        <f t="shared" ref="BB5:BB34" si="16">IF(ISBLANK(G5),"",G5-G92)</f>
        <v>6.6999999999999993</v>
      </c>
      <c r="BC5" s="25">
        <f>IF(ISBLANK(G5),"",AVERAGE(BA5:BB5))</f>
        <v>6.625</v>
      </c>
      <c r="BD5" s="367">
        <f>IF(ISBLANK(G5),"",BB5-BA5)</f>
        <v>0.14999999999999947</v>
      </c>
      <c r="BE5" s="72"/>
      <c r="BF5" s="25">
        <f>IF(ISBLANK(F5),"",AS5-AVERAGE($F$91:F92))</f>
        <v>6.9124999999999996</v>
      </c>
      <c r="BG5" s="25">
        <f>IF(ISBLANK(G5),"",AT5-AVERAGE($G$91:G92))</f>
        <v>5.3624999999999972</v>
      </c>
      <c r="BH5" s="367">
        <f t="shared" ref="BH5:BH10" si="17">IF(ISBLANK(G5),"",BG5-BF5)</f>
        <v>-1.5500000000000025</v>
      </c>
      <c r="BI5" s="115">
        <f t="shared" si="8"/>
        <v>0</v>
      </c>
      <c r="BJ5" s="115">
        <f t="shared" si="9"/>
        <v>0.41104692874289739</v>
      </c>
      <c r="BK5" s="420"/>
      <c r="BL5" s="572">
        <v>2</v>
      </c>
    </row>
    <row r="6" spans="1:64" ht="12.75" customHeight="1" x14ac:dyDescent="0.2">
      <c r="A6" s="278">
        <f t="shared" si="10"/>
        <v>3</v>
      </c>
      <c r="B6" s="131">
        <f t="shared" ref="B6:B33" si="18">IF(ISBLANK(F6),"",F6)</f>
        <v>6.9</v>
      </c>
      <c r="C6" s="282">
        <f t="shared" si="11"/>
        <v>15.4</v>
      </c>
      <c r="D6" s="685"/>
      <c r="E6" s="99">
        <f t="shared" si="12"/>
        <v>3</v>
      </c>
      <c r="F6" s="23">
        <v>6.9</v>
      </c>
      <c r="G6" s="23">
        <v>15.4</v>
      </c>
      <c r="H6" s="553">
        <v>11.5</v>
      </c>
      <c r="I6" s="23">
        <f t="shared" si="0"/>
        <v>8.5</v>
      </c>
      <c r="J6" s="6">
        <f t="shared" si="1"/>
        <v>0</v>
      </c>
      <c r="K6" s="24">
        <v>51</v>
      </c>
      <c r="L6" s="24">
        <v>78</v>
      </c>
      <c r="M6" s="554">
        <v>64</v>
      </c>
      <c r="N6" s="24">
        <f t="shared" si="2"/>
        <v>27</v>
      </c>
      <c r="O6" s="50">
        <f t="shared" si="3"/>
        <v>0</v>
      </c>
      <c r="P6" s="24">
        <v>1013</v>
      </c>
      <c r="Q6" s="24">
        <v>1017</v>
      </c>
      <c r="R6" s="24">
        <f t="shared" si="13"/>
        <v>1015</v>
      </c>
      <c r="S6" s="24">
        <f t="shared" si="4"/>
        <v>4</v>
      </c>
      <c r="T6" s="50"/>
      <c r="U6" s="553">
        <v>5</v>
      </c>
      <c r="V6" s="553">
        <v>13.5</v>
      </c>
      <c r="W6" s="553">
        <v>17.600000000000001</v>
      </c>
      <c r="X6" s="485" t="s">
        <v>110</v>
      </c>
      <c r="Y6" s="72">
        <f t="shared" si="14"/>
        <v>0</v>
      </c>
      <c r="Z6" s="539">
        <v>0</v>
      </c>
      <c r="AA6" s="23"/>
      <c r="AB6" s="23"/>
      <c r="AC6" s="510" t="str">
        <f t="shared" si="5"/>
        <v/>
      </c>
      <c r="AD6" s="7" t="str">
        <f t="shared" si="6"/>
        <v/>
      </c>
      <c r="AE6" s="485"/>
      <c r="AF6" s="72"/>
      <c r="AG6" s="553">
        <v>2.4</v>
      </c>
      <c r="AH6" s="553">
        <v>7.7</v>
      </c>
      <c r="AI6" s="553">
        <v>4.7</v>
      </c>
      <c r="AJ6" s="7">
        <f t="shared" si="7"/>
        <v>5.3000000000000007</v>
      </c>
      <c r="AK6" s="54"/>
      <c r="AL6" s="485" t="s">
        <v>465</v>
      </c>
      <c r="AM6" s="134"/>
      <c r="AN6" s="555" t="s">
        <v>8</v>
      </c>
      <c r="AO6" s="400"/>
      <c r="AP6" s="485">
        <v>4.5</v>
      </c>
      <c r="AQ6" s="485">
        <v>0</v>
      </c>
      <c r="AR6" s="134"/>
      <c r="AS6" s="26">
        <f>IF(ISBLANK(F6),"",(AVERAGE($F$4:F6)))</f>
        <v>9.9333333333333318</v>
      </c>
      <c r="AT6" s="26">
        <f>IF(ISBLANK(G6),"",(AVERAGE($G$4:G6)))</f>
        <v>16.499999999999996</v>
      </c>
      <c r="AU6" s="25">
        <f>IF(ISBLANK(H6),"",(AVERAGE($H$4:H6)))</f>
        <v>13.366666666666667</v>
      </c>
      <c r="AV6" s="368">
        <f>IF(ISBLANK(G6),"",(AVERAGE($I$4:I6)))</f>
        <v>6.5666666666666655</v>
      </c>
      <c r="AW6" s="22">
        <f>IF(ISBLANK(M6),"",AVERAGE($M$4:M6))</f>
        <v>70.666666666666671</v>
      </c>
      <c r="AX6" s="376">
        <f>IF(ISBLANK(P6),"",(AVERAGE($R$4:R6)))</f>
        <v>1014.5</v>
      </c>
      <c r="AY6" s="368">
        <f>IF(ISBLANK(U6),"",(AVERAGE($U$4:U6)))</f>
        <v>6.4666666666666659</v>
      </c>
      <c r="AZ6" s="6"/>
      <c r="BA6" s="25">
        <f t="shared" si="15"/>
        <v>2.3250000000000002</v>
      </c>
      <c r="BB6" s="25">
        <f t="shared" si="16"/>
        <v>3.6750000000000007</v>
      </c>
      <c r="BC6" s="25">
        <f>IF(ISBLANK(G6),"",AVERAGE(BA6:BB6))</f>
        <v>3.0000000000000004</v>
      </c>
      <c r="BD6" s="367">
        <f t="shared" ref="BD6:BD34" si="19">IF(ISBLANK(G6),"",BB6-BA6)</f>
        <v>1.3500000000000005</v>
      </c>
      <c r="BE6" s="72"/>
      <c r="BF6" s="25">
        <f>IF(ISBLANK(F6),"",AS6-AVERAGE($F$91:F93))</f>
        <v>5.383333333333332</v>
      </c>
      <c r="BG6" s="25">
        <f>IF(ISBLANK(G6),"",AT6-AVERAGE($G$91:G93))</f>
        <v>4.7999999999999954</v>
      </c>
      <c r="BH6" s="367">
        <f t="shared" si="17"/>
        <v>-0.58333333333333659</v>
      </c>
      <c r="BI6" s="115">
        <f t="shared" si="8"/>
        <v>0</v>
      </c>
      <c r="BJ6" s="115">
        <f t="shared" si="9"/>
        <v>0.62469986248094911</v>
      </c>
      <c r="BK6" s="402"/>
      <c r="BL6" s="572">
        <v>3</v>
      </c>
    </row>
    <row r="7" spans="1:64" ht="12.75" customHeight="1" x14ac:dyDescent="0.2">
      <c r="A7" s="278">
        <f t="shared" si="10"/>
        <v>4</v>
      </c>
      <c r="B7" s="131">
        <f t="shared" si="18"/>
        <v>6.1</v>
      </c>
      <c r="C7" s="282">
        <f t="shared" si="11"/>
        <v>13.6</v>
      </c>
      <c r="D7" s="685"/>
      <c r="E7" s="99">
        <f t="shared" si="12"/>
        <v>4</v>
      </c>
      <c r="F7" s="23">
        <v>6.1</v>
      </c>
      <c r="G7" s="23">
        <v>13.6</v>
      </c>
      <c r="H7" s="553">
        <v>10.1</v>
      </c>
      <c r="I7" s="23">
        <f t="shared" si="0"/>
        <v>7.5</v>
      </c>
      <c r="J7" s="6">
        <f t="shared" si="1"/>
        <v>0</v>
      </c>
      <c r="K7" s="24">
        <v>46</v>
      </c>
      <c r="L7" s="24">
        <v>86</v>
      </c>
      <c r="M7" s="554">
        <v>67</v>
      </c>
      <c r="N7" s="24">
        <f t="shared" si="2"/>
        <v>40</v>
      </c>
      <c r="O7" s="50">
        <f t="shared" si="3"/>
        <v>0</v>
      </c>
      <c r="P7" s="24">
        <v>1018</v>
      </c>
      <c r="Q7" s="24">
        <v>1023</v>
      </c>
      <c r="R7" s="24">
        <f t="shared" si="13"/>
        <v>1020.5</v>
      </c>
      <c r="S7" s="24">
        <f t="shared" si="4"/>
        <v>5</v>
      </c>
      <c r="T7" s="50"/>
      <c r="U7" s="553">
        <v>7.3</v>
      </c>
      <c r="V7" s="553">
        <v>16.3</v>
      </c>
      <c r="W7" s="553">
        <v>28.4</v>
      </c>
      <c r="X7" s="485" t="s">
        <v>110</v>
      </c>
      <c r="Y7" s="72">
        <f t="shared" si="14"/>
        <v>0</v>
      </c>
      <c r="Z7" s="539">
        <v>0</v>
      </c>
      <c r="AA7" s="23"/>
      <c r="AB7" s="23"/>
      <c r="AC7" s="510" t="str">
        <f t="shared" si="5"/>
        <v/>
      </c>
      <c r="AD7" s="7" t="str">
        <f t="shared" si="6"/>
        <v/>
      </c>
      <c r="AE7" s="485"/>
      <c r="AF7" s="72"/>
      <c r="AG7" s="553">
        <v>1.7</v>
      </c>
      <c r="AH7" s="553">
        <v>6.3</v>
      </c>
      <c r="AI7" s="553">
        <v>3.9</v>
      </c>
      <c r="AJ7" s="7">
        <f t="shared" si="7"/>
        <v>4.5999999999999996</v>
      </c>
      <c r="AK7" s="54"/>
      <c r="AL7" s="485" t="s">
        <v>466</v>
      </c>
      <c r="AM7" s="134"/>
      <c r="AN7" s="23" t="s">
        <v>8</v>
      </c>
      <c r="AO7" s="400"/>
      <c r="AP7" s="485">
        <v>4</v>
      </c>
      <c r="AQ7" s="485">
        <v>0</v>
      </c>
      <c r="AR7" s="134"/>
      <c r="AS7" s="26">
        <f>IF(ISBLANK(F7),"",(AVERAGE($F$4:F7)))</f>
        <v>8.9749999999999996</v>
      </c>
      <c r="AT7" s="26">
        <f>IF(ISBLANK(G7),"",(AVERAGE($G$4:G7)))</f>
        <v>15.774999999999999</v>
      </c>
      <c r="AU7" s="25">
        <f>IF(ISBLANK(H7),"",(AVERAGE($H$4:H7)))</f>
        <v>12.55</v>
      </c>
      <c r="AV7" s="368">
        <f>IF(ISBLANK(G7),"",(AVERAGE($I$4:I7)))</f>
        <v>6.7999999999999989</v>
      </c>
      <c r="AW7" s="22">
        <f>IF(ISBLANK(M7),"",AVERAGE($M$4:M7))</f>
        <v>69.75</v>
      </c>
      <c r="AX7" s="376">
        <f>IF(ISBLANK(P7),"",(AVERAGE($R$4:R7)))</f>
        <v>1016</v>
      </c>
      <c r="AY7" s="368">
        <f>IF(ISBLANK(U7),"",(AVERAGE($U$4:U7)))</f>
        <v>6.6749999999999998</v>
      </c>
      <c r="AZ7" s="6"/>
      <c r="BA7" s="25">
        <f t="shared" si="15"/>
        <v>1.5</v>
      </c>
      <c r="BB7" s="25">
        <f t="shared" si="16"/>
        <v>1.8499999999999996</v>
      </c>
      <c r="BC7" s="25">
        <f t="shared" ref="BC7:BC34" si="20">IF(ISBLANK(G7),"",AVERAGE(BA7:BB7))</f>
        <v>1.6749999999999998</v>
      </c>
      <c r="BD7" s="367">
        <f t="shared" si="19"/>
        <v>0.34999999999999964</v>
      </c>
      <c r="BE7" s="72"/>
      <c r="BF7" s="25">
        <f>IF(ISBLANK(F7),"",AS7-AVERAGE($F$91:F94))</f>
        <v>4.4124999999999996</v>
      </c>
      <c r="BG7" s="25">
        <f>IF(ISBLANK(G7),"",AT7-AVERAGE($G$91:G94))</f>
        <v>4.0624999999999982</v>
      </c>
      <c r="BH7" s="367">
        <f t="shared" si="17"/>
        <v>-0.35000000000000142</v>
      </c>
      <c r="BI7" s="115">
        <f t="shared" si="8"/>
        <v>0</v>
      </c>
      <c r="BJ7" s="115">
        <f t="shared" si="9"/>
        <v>0.70093441410211432</v>
      </c>
      <c r="BK7" s="402"/>
      <c r="BL7" s="572">
        <v>4</v>
      </c>
    </row>
    <row r="8" spans="1:64" ht="12.75" customHeight="1" x14ac:dyDescent="0.2">
      <c r="A8" s="278">
        <f t="shared" si="10"/>
        <v>5</v>
      </c>
      <c r="B8" s="131">
        <f t="shared" si="18"/>
        <v>9.1</v>
      </c>
      <c r="C8" s="282">
        <f t="shared" si="11"/>
        <v>12.6</v>
      </c>
      <c r="D8" s="685"/>
      <c r="E8" s="99">
        <f t="shared" si="12"/>
        <v>5</v>
      </c>
      <c r="F8" s="23">
        <v>9.1</v>
      </c>
      <c r="G8" s="23">
        <v>12.6</v>
      </c>
      <c r="H8" s="553">
        <v>10.9</v>
      </c>
      <c r="I8" s="23">
        <f t="shared" si="0"/>
        <v>3.5</v>
      </c>
      <c r="J8" s="6">
        <f t="shared" si="1"/>
        <v>0</v>
      </c>
      <c r="K8" s="24">
        <v>74</v>
      </c>
      <c r="L8" s="24">
        <v>91</v>
      </c>
      <c r="M8" s="554">
        <v>84</v>
      </c>
      <c r="N8" s="24">
        <f t="shared" si="2"/>
        <v>17</v>
      </c>
      <c r="O8" s="50">
        <f t="shared" si="3"/>
        <v>0</v>
      </c>
      <c r="P8" s="24">
        <v>1020</v>
      </c>
      <c r="Q8" s="24">
        <v>1024</v>
      </c>
      <c r="R8" s="24">
        <f t="shared" si="13"/>
        <v>1022</v>
      </c>
      <c r="S8" s="24">
        <f t="shared" si="4"/>
        <v>4</v>
      </c>
      <c r="T8" s="50"/>
      <c r="U8" s="553">
        <v>8.5</v>
      </c>
      <c r="V8" s="553">
        <v>16.3</v>
      </c>
      <c r="W8" s="553">
        <v>25.5</v>
      </c>
      <c r="X8" s="485" t="s">
        <v>110</v>
      </c>
      <c r="Y8" s="72">
        <f t="shared" si="14"/>
        <v>2</v>
      </c>
      <c r="Z8" s="539">
        <v>1.4</v>
      </c>
      <c r="AA8" s="23">
        <v>0.5</v>
      </c>
      <c r="AB8" s="23" t="s">
        <v>8</v>
      </c>
      <c r="AC8" s="510">
        <f t="shared" si="5"/>
        <v>0.77777777777777768</v>
      </c>
      <c r="AD8" s="7">
        <f t="shared" si="6"/>
        <v>0.46666666666666662</v>
      </c>
      <c r="AE8" s="485" t="s">
        <v>8</v>
      </c>
      <c r="AF8" s="72"/>
      <c r="AG8" s="553">
        <v>5.2</v>
      </c>
      <c r="AH8" s="553">
        <v>10.5</v>
      </c>
      <c r="AI8" s="553">
        <v>8.3000000000000007</v>
      </c>
      <c r="AJ8" s="7">
        <f t="shared" si="7"/>
        <v>5.3</v>
      </c>
      <c r="AK8" s="54"/>
      <c r="AL8" s="485" t="s">
        <v>239</v>
      </c>
      <c r="AM8" s="134"/>
      <c r="AN8" s="23" t="s">
        <v>467</v>
      </c>
      <c r="AO8" s="400"/>
      <c r="AP8" s="485">
        <v>0</v>
      </c>
      <c r="AQ8" s="485">
        <v>3</v>
      </c>
      <c r="AR8" s="134"/>
      <c r="AS8" s="26">
        <f>IF(ISBLANK(F8),"",(AVERAGE($F$4:F8)))</f>
        <v>9</v>
      </c>
      <c r="AT8" s="26">
        <f>IF(ISBLANK(G8),"",(AVERAGE($G$4:G8)))</f>
        <v>15.139999999999997</v>
      </c>
      <c r="AU8" s="25">
        <f>IF(ISBLANK(H8),"",(AVERAGE($H$4:H8)))</f>
        <v>12.22</v>
      </c>
      <c r="AV8" s="368">
        <f>IF(ISBLANK(G8),"",(AVERAGE($I$4:I8)))</f>
        <v>6.1399999999999988</v>
      </c>
      <c r="AW8" s="22">
        <f>IF(ISBLANK(M8),"",AVERAGE($M$4:M8))</f>
        <v>72.599999999999994</v>
      </c>
      <c r="AX8" s="376">
        <f>IF(ISBLANK(P8),"",(AVERAGE($R$4:R8)))</f>
        <v>1017.2</v>
      </c>
      <c r="AY8" s="368">
        <f>IF(ISBLANK(U8),"",(AVERAGE($U$4:U8)))</f>
        <v>7.0400000000000009</v>
      </c>
      <c r="AZ8" s="6"/>
      <c r="BA8" s="25">
        <f t="shared" si="15"/>
        <v>4.4749999999999996</v>
      </c>
      <c r="BB8" s="25">
        <f t="shared" si="16"/>
        <v>0.82499999999999929</v>
      </c>
      <c r="BC8" s="25">
        <f t="shared" si="20"/>
        <v>2.6499999999999995</v>
      </c>
      <c r="BD8" s="367">
        <f t="shared" si="19"/>
        <v>-3.6500000000000004</v>
      </c>
      <c r="BE8" s="72"/>
      <c r="BF8" s="25">
        <f>IF(ISBLANK(F8),"",AS8-AVERAGE($F$91:F95))</f>
        <v>4.4249999999999998</v>
      </c>
      <c r="BG8" s="25">
        <f>IF(ISBLANK(G8),"",AT8-AVERAGE($G$91:G95))</f>
        <v>3.4149999999999974</v>
      </c>
      <c r="BH8" s="367">
        <f t="shared" si="17"/>
        <v>-1.0100000000000025</v>
      </c>
      <c r="BI8" s="115">
        <f t="shared" si="8"/>
        <v>0.15</v>
      </c>
      <c r="BJ8" s="115">
        <f t="shared" si="9"/>
        <v>0.55927448474331332</v>
      </c>
      <c r="BK8" s="420"/>
      <c r="BL8" s="572">
        <v>5</v>
      </c>
    </row>
    <row r="9" spans="1:64" ht="12.75" customHeight="1" x14ac:dyDescent="0.2">
      <c r="A9" s="278">
        <f t="shared" si="10"/>
        <v>6</v>
      </c>
      <c r="B9" s="131">
        <f t="shared" si="18"/>
        <v>11.9</v>
      </c>
      <c r="C9" s="282">
        <f t="shared" si="11"/>
        <v>22.4</v>
      </c>
      <c r="D9" s="685"/>
      <c r="E9" s="99">
        <f t="shared" si="12"/>
        <v>6</v>
      </c>
      <c r="F9" s="23">
        <v>11.9</v>
      </c>
      <c r="G9" s="23">
        <v>22.4</v>
      </c>
      <c r="H9" s="553">
        <v>16.8</v>
      </c>
      <c r="I9" s="23">
        <f t="shared" si="0"/>
        <v>10.499999999999998</v>
      </c>
      <c r="J9" s="6">
        <f t="shared" si="1"/>
        <v>0</v>
      </c>
      <c r="K9" s="24">
        <v>31</v>
      </c>
      <c r="L9" s="24">
        <v>91</v>
      </c>
      <c r="M9" s="554">
        <v>60</v>
      </c>
      <c r="N9" s="24">
        <f t="shared" si="2"/>
        <v>60</v>
      </c>
      <c r="O9" s="50">
        <f t="shared" si="3"/>
        <v>0</v>
      </c>
      <c r="P9" s="24">
        <v>1024</v>
      </c>
      <c r="Q9" s="24">
        <v>1027</v>
      </c>
      <c r="R9" s="24">
        <f t="shared" si="13"/>
        <v>1025.5</v>
      </c>
      <c r="S9" s="24">
        <f t="shared" si="4"/>
        <v>3</v>
      </c>
      <c r="T9" s="50"/>
      <c r="U9" s="553">
        <v>6.6</v>
      </c>
      <c r="V9" s="553">
        <v>13.7</v>
      </c>
      <c r="W9" s="553">
        <v>21.9</v>
      </c>
      <c r="X9" s="485" t="s">
        <v>110</v>
      </c>
      <c r="Y9" s="72">
        <f t="shared" si="14"/>
        <v>0</v>
      </c>
      <c r="Z9" s="539">
        <v>0</v>
      </c>
      <c r="AA9" s="23"/>
      <c r="AB9" s="23"/>
      <c r="AC9" s="510" t="str">
        <f t="shared" si="5"/>
        <v/>
      </c>
      <c r="AD9" s="7" t="str">
        <f t="shared" si="6"/>
        <v/>
      </c>
      <c r="AE9" s="485"/>
      <c r="AF9" s="72"/>
      <c r="AG9" s="553">
        <v>3</v>
      </c>
      <c r="AH9" s="553">
        <v>12</v>
      </c>
      <c r="AI9" s="553">
        <v>7.8</v>
      </c>
      <c r="AJ9" s="7">
        <f t="shared" si="7"/>
        <v>9</v>
      </c>
      <c r="AK9" s="54"/>
      <c r="AL9" s="485" t="s">
        <v>468</v>
      </c>
      <c r="AM9" s="134"/>
      <c r="AN9" s="47" t="s">
        <v>253</v>
      </c>
      <c r="AO9" s="400"/>
      <c r="AP9" s="485">
        <v>11.5</v>
      </c>
      <c r="AQ9" s="485">
        <v>0</v>
      </c>
      <c r="AR9" s="134"/>
      <c r="AS9" s="26">
        <f>IF(ISBLANK(F9),"",(AVERAGE($F$4:F9)))</f>
        <v>9.4833333333333325</v>
      </c>
      <c r="AT9" s="26">
        <f>IF(ISBLANK(G9),"",(AVERAGE($G$4:G9)))</f>
        <v>16.349999999999998</v>
      </c>
      <c r="AU9" s="25">
        <f>IF(ISBLANK(H9),"",(AVERAGE($H$4:H9)))</f>
        <v>12.983333333333334</v>
      </c>
      <c r="AV9" s="368">
        <f>IF(ISBLANK(G9),"",(AVERAGE($I$4:I9)))</f>
        <v>6.8666666666666663</v>
      </c>
      <c r="AW9" s="22">
        <f>IF(ISBLANK(M9),"",AVERAGE($M$4:M9))</f>
        <v>70.5</v>
      </c>
      <c r="AX9" s="376">
        <f>IF(ISBLANK(P9),"",(AVERAGE($R$4:R9)))</f>
        <v>1018.5833333333334</v>
      </c>
      <c r="AY9" s="368">
        <f>IF(ISBLANK(U9),"",(AVERAGE($U$4:U9)))</f>
        <v>6.9666666666666677</v>
      </c>
      <c r="AZ9" s="6"/>
      <c r="BA9" s="25">
        <f t="shared" si="15"/>
        <v>7.25</v>
      </c>
      <c r="BB9" s="25">
        <f t="shared" si="16"/>
        <v>10.599999999999998</v>
      </c>
      <c r="BC9" s="25">
        <f t="shared" si="20"/>
        <v>8.9249999999999989</v>
      </c>
      <c r="BD9" s="367">
        <f t="shared" si="19"/>
        <v>3.3499999999999979</v>
      </c>
      <c r="BE9" s="72"/>
      <c r="BF9" s="25">
        <f>IF(ISBLANK(F9),"",AS9-AVERAGE($F$91:F96))</f>
        <v>4.895833333333333</v>
      </c>
      <c r="BG9" s="25">
        <f>IF(ISBLANK(G9),"",AT9-AVERAGE($G$91:G96))</f>
        <v>4.6124999999999989</v>
      </c>
      <c r="BH9" s="367">
        <f t="shared" si="17"/>
        <v>-0.2833333333333341</v>
      </c>
      <c r="BI9" s="115">
        <f t="shared" si="8"/>
        <v>0.125</v>
      </c>
      <c r="BJ9" s="115">
        <f t="shared" si="9"/>
        <v>0.91031616231896451</v>
      </c>
      <c r="BK9" s="402"/>
      <c r="BL9" s="572">
        <v>6</v>
      </c>
    </row>
    <row r="10" spans="1:64" ht="12.75" customHeight="1" x14ac:dyDescent="0.2">
      <c r="A10" s="278">
        <f t="shared" si="10"/>
        <v>7</v>
      </c>
      <c r="B10" s="131">
        <f t="shared" si="18"/>
        <v>9.8000000000000007</v>
      </c>
      <c r="C10" s="282">
        <f t="shared" si="11"/>
        <v>20.9</v>
      </c>
      <c r="D10" s="685"/>
      <c r="E10" s="99">
        <f t="shared" si="12"/>
        <v>7</v>
      </c>
      <c r="F10" s="23">
        <v>9.8000000000000007</v>
      </c>
      <c r="G10" s="23">
        <v>20.9</v>
      </c>
      <c r="H10" s="553">
        <v>15.2</v>
      </c>
      <c r="I10" s="23">
        <f t="shared" si="0"/>
        <v>11.099999999999998</v>
      </c>
      <c r="J10" s="6">
        <f t="shared" si="1"/>
        <v>0</v>
      </c>
      <c r="K10" s="24">
        <v>48</v>
      </c>
      <c r="L10" s="24">
        <v>76</v>
      </c>
      <c r="M10" s="554">
        <v>60</v>
      </c>
      <c r="N10" s="24">
        <f t="shared" si="2"/>
        <v>28</v>
      </c>
      <c r="O10" s="50">
        <f t="shared" si="3"/>
        <v>0</v>
      </c>
      <c r="P10" s="24">
        <v>1025</v>
      </c>
      <c r="Q10" s="24">
        <v>1029</v>
      </c>
      <c r="R10" s="24">
        <f t="shared" si="13"/>
        <v>1027</v>
      </c>
      <c r="S10" s="24">
        <f t="shared" si="4"/>
        <v>4</v>
      </c>
      <c r="T10" s="50"/>
      <c r="U10" s="553">
        <v>4</v>
      </c>
      <c r="V10" s="553">
        <v>11.2</v>
      </c>
      <c r="W10" s="553">
        <v>15.2</v>
      </c>
      <c r="X10" s="485" t="s">
        <v>128</v>
      </c>
      <c r="Y10" s="72">
        <f t="shared" si="14"/>
        <v>0</v>
      </c>
      <c r="Z10" s="539">
        <v>0</v>
      </c>
      <c r="AA10" s="23"/>
      <c r="AB10" s="23"/>
      <c r="AC10" s="510" t="str">
        <f t="shared" si="5"/>
        <v/>
      </c>
      <c r="AD10" s="7" t="str">
        <f t="shared" si="6"/>
        <v/>
      </c>
      <c r="AE10" s="485"/>
      <c r="AF10" s="72"/>
      <c r="AG10" s="553">
        <v>3.5</v>
      </c>
      <c r="AH10" s="553">
        <v>10.9</v>
      </c>
      <c r="AI10" s="553">
        <v>7.3</v>
      </c>
      <c r="AJ10" s="7">
        <f t="shared" si="7"/>
        <v>7.4</v>
      </c>
      <c r="AK10" s="54"/>
      <c r="AL10" s="485" t="s">
        <v>469</v>
      </c>
      <c r="AM10" s="134"/>
      <c r="AN10" s="23" t="s">
        <v>8</v>
      </c>
      <c r="AO10" s="400"/>
      <c r="AP10" s="485">
        <v>11</v>
      </c>
      <c r="AQ10" s="485">
        <v>0</v>
      </c>
      <c r="AR10" s="134"/>
      <c r="AS10" s="26">
        <f>IF(ISBLANK(F10),"",(AVERAGE($F$4:F10)))</f>
        <v>9.5285714285714285</v>
      </c>
      <c r="AT10" s="26">
        <f>IF(ISBLANK(G10),"",(AVERAGE($G$4:G10)))</f>
        <v>17</v>
      </c>
      <c r="AU10" s="25">
        <f>IF(ISBLANK(H10),"",(AVERAGE($H$4:H10)))</f>
        <v>13.3</v>
      </c>
      <c r="AV10" s="368">
        <f>IF(ISBLANK(G10),"",(AVERAGE($I$4:I10)))</f>
        <v>7.4714285714285706</v>
      </c>
      <c r="AW10" s="22">
        <f>IF(ISBLANK(M10),"",AVERAGE($M$4:M10))</f>
        <v>69</v>
      </c>
      <c r="AX10" s="376">
        <f>IF(ISBLANK(P10),"",(AVERAGE($R$4:R10)))</f>
        <v>1019.7857142857143</v>
      </c>
      <c r="AY10" s="368">
        <f>IF(ISBLANK(U10),"",(AVERAGE($U$4:U10)))</f>
        <v>6.5428571428571436</v>
      </c>
      <c r="AZ10" s="6"/>
      <c r="BA10" s="25">
        <f t="shared" si="15"/>
        <v>5.1250000000000009</v>
      </c>
      <c r="BB10" s="25">
        <f t="shared" si="16"/>
        <v>9.0071428571428545</v>
      </c>
      <c r="BC10" s="25">
        <f t="shared" si="20"/>
        <v>7.0660714285714281</v>
      </c>
      <c r="BD10" s="367">
        <f t="shared" si="19"/>
        <v>3.8821428571428536</v>
      </c>
      <c r="BE10" s="72"/>
      <c r="BF10" s="25">
        <f>IF(ISBLANK(F10),"",AS10-AVERAGE($F$91:F97))</f>
        <v>4.9285714285714288</v>
      </c>
      <c r="BG10" s="25">
        <f>IF(ISBLANK(G10),"",AT10-AVERAGE($G$91:G97))</f>
        <v>5.2403061224489811</v>
      </c>
      <c r="BH10" s="367">
        <f t="shared" si="17"/>
        <v>0.31173469387755226</v>
      </c>
      <c r="BI10" s="115">
        <f t="shared" si="8"/>
        <v>0.10714285714285714</v>
      </c>
      <c r="BJ10" s="115">
        <f t="shared" si="9"/>
        <v>1.1425175260603275</v>
      </c>
      <c r="BK10" s="402"/>
      <c r="BL10" s="572">
        <v>7</v>
      </c>
    </row>
    <row r="11" spans="1:64" ht="12.75" customHeight="1" x14ac:dyDescent="0.2">
      <c r="A11" s="278">
        <f t="shared" si="10"/>
        <v>8</v>
      </c>
      <c r="B11" s="131">
        <f t="shared" si="18"/>
        <v>7</v>
      </c>
      <c r="C11" s="282">
        <f t="shared" si="11"/>
        <v>20.9</v>
      </c>
      <c r="D11" s="685"/>
      <c r="E11" s="99">
        <f t="shared" si="12"/>
        <v>8</v>
      </c>
      <c r="F11" s="23">
        <v>7</v>
      </c>
      <c r="G11" s="23">
        <v>20.9</v>
      </c>
      <c r="H11" s="553">
        <v>14.5</v>
      </c>
      <c r="I11" s="23">
        <f t="shared" si="0"/>
        <v>13.899999999999999</v>
      </c>
      <c r="J11" s="6">
        <f t="shared" si="1"/>
        <v>0</v>
      </c>
      <c r="K11" s="24">
        <v>36</v>
      </c>
      <c r="L11" s="24">
        <v>80</v>
      </c>
      <c r="M11" s="554">
        <v>57</v>
      </c>
      <c r="N11" s="24">
        <f t="shared" si="2"/>
        <v>44</v>
      </c>
      <c r="O11" s="50">
        <f t="shared" si="3"/>
        <v>0</v>
      </c>
      <c r="P11" s="24">
        <v>1026</v>
      </c>
      <c r="Q11" s="24">
        <v>1029</v>
      </c>
      <c r="R11" s="24">
        <f t="shared" si="13"/>
        <v>1027.5</v>
      </c>
      <c r="S11" s="24">
        <f t="shared" si="4"/>
        <v>3</v>
      </c>
      <c r="T11" s="50"/>
      <c r="U11" s="553">
        <v>2.4</v>
      </c>
      <c r="V11" s="553">
        <v>9.8000000000000007</v>
      </c>
      <c r="W11" s="553">
        <v>12.5</v>
      </c>
      <c r="X11" s="485" t="s">
        <v>113</v>
      </c>
      <c r="Y11" s="72">
        <f t="shared" si="14"/>
        <v>0</v>
      </c>
      <c r="Z11" s="539">
        <v>0</v>
      </c>
      <c r="AA11" s="23"/>
      <c r="AB11" s="23"/>
      <c r="AC11" s="510" t="str">
        <f t="shared" si="5"/>
        <v/>
      </c>
      <c r="AD11" s="7" t="str">
        <f t="shared" si="6"/>
        <v/>
      </c>
      <c r="AE11" s="485"/>
      <c r="AF11" s="72"/>
      <c r="AG11" s="553">
        <v>3.1</v>
      </c>
      <c r="AH11" s="553">
        <v>8.5</v>
      </c>
      <c r="AI11" s="553">
        <v>5.6</v>
      </c>
      <c r="AJ11" s="7">
        <f t="shared" si="7"/>
        <v>5.4</v>
      </c>
      <c r="AK11" s="54"/>
      <c r="AL11" s="485" t="s">
        <v>238</v>
      </c>
      <c r="AM11" s="134"/>
      <c r="AN11" s="47" t="s">
        <v>253</v>
      </c>
      <c r="AO11" s="400"/>
      <c r="AP11" s="485">
        <v>12.1</v>
      </c>
      <c r="AQ11" s="485">
        <v>0</v>
      </c>
      <c r="AR11" s="134"/>
      <c r="AS11" s="26">
        <f>IF(ISBLANK(F11),"",(AVERAGE($F$4:F11)))</f>
        <v>9.2125000000000004</v>
      </c>
      <c r="AT11" s="26">
        <f>IF(ISBLANK(G11),"",(AVERAGE($G$4:G11)))</f>
        <v>17.487500000000001</v>
      </c>
      <c r="AU11" s="25">
        <f>IF(ISBLANK(H11),"",(AVERAGE($H$4:H11)))</f>
        <v>13.450000000000001</v>
      </c>
      <c r="AV11" s="368">
        <f>IF(ISBLANK(G11),"",(AVERAGE($I$4:I11)))</f>
        <v>8.2749999999999986</v>
      </c>
      <c r="AW11" s="22">
        <f>IF(ISBLANK(M11),"",AVERAGE($M$4:M11))</f>
        <v>67.5</v>
      </c>
      <c r="AX11" s="376">
        <f>IF(ISBLANK(P11),"",(AVERAGE($R$4:R11)))</f>
        <v>1020.75</v>
      </c>
      <c r="AY11" s="368">
        <f>IF(ISBLANK(U11),"",(AVERAGE($U$4:U11)))</f>
        <v>6.0250000000000004</v>
      </c>
      <c r="AZ11" s="6"/>
      <c r="BA11" s="25">
        <f t="shared" si="15"/>
        <v>2.2999999999999998</v>
      </c>
      <c r="BB11" s="25">
        <f t="shared" si="16"/>
        <v>8.914285714285711</v>
      </c>
      <c r="BC11" s="25">
        <f t="shared" si="20"/>
        <v>5.6071428571428559</v>
      </c>
      <c r="BD11" s="367">
        <f t="shared" si="19"/>
        <v>6.6142857142857112</v>
      </c>
      <c r="BE11" s="72"/>
      <c r="BF11" s="25">
        <f>IF(ISBLANK(F11),"",AS11-AVERAGE($F$91:F98))</f>
        <v>4.6000000000000005</v>
      </c>
      <c r="BG11" s="25">
        <f>IF(ISBLANK(G11),"",AT11-AVERAGE($G$91:G98))</f>
        <v>5.6995535714285737</v>
      </c>
      <c r="BH11" s="367">
        <f t="shared" ref="BH11:BH20" si="21">IF(ISBLANK(G11),"",BG11-BF11)</f>
        <v>1.0995535714285731</v>
      </c>
      <c r="BI11" s="115">
        <f t="shared" si="8"/>
        <v>9.3749999999999986E-2</v>
      </c>
      <c r="BJ11" s="115">
        <f t="shared" si="9"/>
        <v>1.346816021385894</v>
      </c>
      <c r="BK11" s="420"/>
      <c r="BL11" s="572">
        <v>8</v>
      </c>
    </row>
    <row r="12" spans="1:64" ht="12.75" customHeight="1" x14ac:dyDescent="0.2">
      <c r="A12" s="278">
        <f t="shared" si="10"/>
        <v>9</v>
      </c>
      <c r="B12" s="131">
        <f t="shared" si="18"/>
        <v>7.7</v>
      </c>
      <c r="C12" s="282">
        <f t="shared" si="11"/>
        <v>17.899999999999999</v>
      </c>
      <c r="D12" s="685"/>
      <c r="E12" s="99">
        <f t="shared" si="12"/>
        <v>9</v>
      </c>
      <c r="F12" s="23">
        <v>7.7</v>
      </c>
      <c r="G12" s="23">
        <v>17.899999999999999</v>
      </c>
      <c r="H12" s="553">
        <v>12.7</v>
      </c>
      <c r="I12" s="23">
        <f t="shared" si="0"/>
        <v>10.199999999999999</v>
      </c>
      <c r="J12" s="6">
        <f t="shared" si="1"/>
        <v>0</v>
      </c>
      <c r="K12" s="24">
        <v>42</v>
      </c>
      <c r="L12" s="24">
        <v>71</v>
      </c>
      <c r="M12" s="554">
        <v>55</v>
      </c>
      <c r="N12" s="24">
        <f t="shared" si="2"/>
        <v>29</v>
      </c>
      <c r="O12" s="50">
        <f t="shared" si="3"/>
        <v>0</v>
      </c>
      <c r="P12" s="24">
        <v>1024</v>
      </c>
      <c r="Q12" s="24">
        <v>1028</v>
      </c>
      <c r="R12" s="24">
        <f t="shared" si="13"/>
        <v>1026</v>
      </c>
      <c r="S12" s="24">
        <f t="shared" si="4"/>
        <v>4</v>
      </c>
      <c r="T12" s="50"/>
      <c r="U12" s="553">
        <v>5.3</v>
      </c>
      <c r="V12" s="553">
        <v>12.8</v>
      </c>
      <c r="W12" s="553">
        <v>17</v>
      </c>
      <c r="X12" s="485" t="s">
        <v>106</v>
      </c>
      <c r="Y12" s="72">
        <f t="shared" si="14"/>
        <v>0</v>
      </c>
      <c r="Z12" s="539">
        <v>0</v>
      </c>
      <c r="AA12" s="23"/>
      <c r="AB12" s="23"/>
      <c r="AC12" s="510" t="str">
        <f t="shared" si="5"/>
        <v/>
      </c>
      <c r="AD12" s="7" t="str">
        <f t="shared" si="6"/>
        <v/>
      </c>
      <c r="AE12" s="485"/>
      <c r="AF12" s="72"/>
      <c r="AG12" s="553">
        <v>0.4</v>
      </c>
      <c r="AH12" s="553">
        <v>8.3000000000000007</v>
      </c>
      <c r="AI12" s="553">
        <v>3.8</v>
      </c>
      <c r="AJ12" s="7">
        <f t="shared" si="7"/>
        <v>7.9</v>
      </c>
      <c r="AK12" s="54"/>
      <c r="AL12" s="485" t="s">
        <v>238</v>
      </c>
      <c r="AM12" s="134"/>
      <c r="AN12" s="47" t="s">
        <v>253</v>
      </c>
      <c r="AO12" s="400"/>
      <c r="AP12" s="485">
        <v>12</v>
      </c>
      <c r="AQ12" s="485">
        <v>0</v>
      </c>
      <c r="AR12" s="134"/>
      <c r="AS12" s="26">
        <f>IF(ISBLANK(F12),"",(AVERAGE($F$4:F12)))</f>
        <v>9.0444444444444443</v>
      </c>
      <c r="AT12" s="26">
        <f>IF(ISBLANK(G12),"",(AVERAGE($G$4:G12)))</f>
        <v>17.533333333333335</v>
      </c>
      <c r="AU12" s="25">
        <f>IF(ISBLANK(H12),"",(AVERAGE($H$4:H12)))</f>
        <v>13.366666666666667</v>
      </c>
      <c r="AV12" s="368">
        <f>IF(ISBLANK(G12),"",(AVERAGE($I$4:I12)))</f>
        <v>8.4888888888888872</v>
      </c>
      <c r="AW12" s="22">
        <f>IF(ISBLANK(M12),"",AVERAGE($M$4:M12))</f>
        <v>66.111111111111114</v>
      </c>
      <c r="AX12" s="376">
        <f>IF(ISBLANK(P12),"",(AVERAGE($R$4:R12)))</f>
        <v>1021.3333333333334</v>
      </c>
      <c r="AY12" s="368">
        <f>IF(ISBLANK(U12),"",(AVERAGE($U$4:U12)))</f>
        <v>5.9444444444444446</v>
      </c>
      <c r="AZ12" s="6"/>
      <c r="BA12" s="25">
        <f t="shared" si="15"/>
        <v>2.9750000000000005</v>
      </c>
      <c r="BB12" s="25">
        <f t="shared" si="16"/>
        <v>5.8214285714285676</v>
      </c>
      <c r="BC12" s="25">
        <f t="shared" si="20"/>
        <v>4.3982142857142836</v>
      </c>
      <c r="BD12" s="367">
        <f t="shared" si="19"/>
        <v>2.8464285714285671</v>
      </c>
      <c r="BE12" s="72"/>
      <c r="BF12" s="25">
        <f>IF(ISBLANK(F12),"",AS12-AVERAGE($F$91:F99))</f>
        <v>4.4194444444444443</v>
      </c>
      <c r="BG12" s="25">
        <f>IF(ISBLANK(G12),"",AT12-AVERAGE($G$91:G99))</f>
        <v>5.7130952380952404</v>
      </c>
      <c r="BH12" s="367">
        <f t="shared" si="21"/>
        <v>1.2936507936507962</v>
      </c>
      <c r="BI12" s="115">
        <f t="shared" si="8"/>
        <v>8.3333333333333329E-2</v>
      </c>
      <c r="BJ12" s="115">
        <f t="shared" si="9"/>
        <v>1.5015589689478159</v>
      </c>
      <c r="BK12" s="402"/>
      <c r="BL12" s="572">
        <v>9</v>
      </c>
    </row>
    <row r="13" spans="1:64" ht="12.75" customHeight="1" x14ac:dyDescent="0.2">
      <c r="A13" s="278">
        <f t="shared" si="10"/>
        <v>10</v>
      </c>
      <c r="B13" s="131">
        <f t="shared" si="18"/>
        <v>6.1</v>
      </c>
      <c r="C13" s="282">
        <f t="shared" si="11"/>
        <v>19</v>
      </c>
      <c r="D13" s="685"/>
      <c r="E13" s="99">
        <f t="shared" si="12"/>
        <v>10</v>
      </c>
      <c r="F13" s="23">
        <v>6.1</v>
      </c>
      <c r="G13" s="23">
        <v>19</v>
      </c>
      <c r="H13" s="553">
        <v>12.3</v>
      </c>
      <c r="I13" s="23">
        <f t="shared" si="0"/>
        <v>12.9</v>
      </c>
      <c r="J13" s="6">
        <f t="shared" si="1"/>
        <v>0</v>
      </c>
      <c r="K13" s="24">
        <v>33</v>
      </c>
      <c r="L13" s="24">
        <v>81</v>
      </c>
      <c r="M13" s="554">
        <v>59</v>
      </c>
      <c r="N13" s="24">
        <f t="shared" si="2"/>
        <v>48</v>
      </c>
      <c r="O13" s="50">
        <f t="shared" si="3"/>
        <v>0</v>
      </c>
      <c r="P13" s="24">
        <v>1024</v>
      </c>
      <c r="Q13" s="24">
        <v>1025</v>
      </c>
      <c r="R13" s="24">
        <f t="shared" si="13"/>
        <v>1024.5</v>
      </c>
      <c r="S13" s="24">
        <f t="shared" si="4"/>
        <v>1</v>
      </c>
      <c r="T13" s="50"/>
      <c r="U13" s="553">
        <v>4</v>
      </c>
      <c r="V13" s="553">
        <v>10</v>
      </c>
      <c r="W13" s="553">
        <v>13.2</v>
      </c>
      <c r="X13" s="485" t="s">
        <v>106</v>
      </c>
      <c r="Y13" s="72">
        <f t="shared" si="14"/>
        <v>0</v>
      </c>
      <c r="Z13" s="539">
        <v>0</v>
      </c>
      <c r="AA13" s="23"/>
      <c r="AB13" s="23"/>
      <c r="AC13" s="510" t="str">
        <f t="shared" si="5"/>
        <v/>
      </c>
      <c r="AD13" s="7" t="str">
        <f t="shared" si="6"/>
        <v/>
      </c>
      <c r="AE13" s="485"/>
      <c r="AF13" s="72"/>
      <c r="AG13" s="553">
        <v>0.7</v>
      </c>
      <c r="AH13" s="553">
        <v>8.3000000000000007</v>
      </c>
      <c r="AI13" s="553">
        <v>3.7</v>
      </c>
      <c r="AJ13" s="7">
        <f t="shared" si="7"/>
        <v>7.6000000000000005</v>
      </c>
      <c r="AK13" s="54"/>
      <c r="AL13" s="485" t="s">
        <v>470</v>
      </c>
      <c r="AM13" s="134"/>
      <c r="AN13" s="23" t="s">
        <v>8</v>
      </c>
      <c r="AO13" s="400"/>
      <c r="AP13" s="485">
        <v>11</v>
      </c>
      <c r="AQ13" s="485">
        <v>0</v>
      </c>
      <c r="AR13" s="134"/>
      <c r="AS13" s="26">
        <f>IF(ISBLANK(F13),"",(AVERAGE($F$4:F13)))</f>
        <v>8.75</v>
      </c>
      <c r="AT13" s="26">
        <f>IF(ISBLANK(G13),"",(AVERAGE($G$4:G13)))</f>
        <v>17.68</v>
      </c>
      <c r="AU13" s="25">
        <f>IF(ISBLANK(H13),"",(AVERAGE($H$4:H13)))</f>
        <v>13.260000000000002</v>
      </c>
      <c r="AV13" s="368">
        <f>IF(ISBLANK(G13),"",(AVERAGE($I$4:I13)))</f>
        <v>8.93</v>
      </c>
      <c r="AW13" s="22">
        <f>IF(ISBLANK(M13),"",AVERAGE($M$4:M13))</f>
        <v>65.400000000000006</v>
      </c>
      <c r="AX13" s="376">
        <f>IF(ISBLANK(P13),"",(AVERAGE($R$4:R13)))</f>
        <v>1021.65</v>
      </c>
      <c r="AY13" s="368">
        <f>IF(ISBLANK(U13),"",(AVERAGE($U$4:U13)))</f>
        <v>5.75</v>
      </c>
      <c r="AZ13" s="6"/>
      <c r="BA13" s="25">
        <f t="shared" si="15"/>
        <v>1.3499999999999996</v>
      </c>
      <c r="BB13" s="25">
        <f t="shared" si="16"/>
        <v>6.8285714285714256</v>
      </c>
      <c r="BC13" s="25">
        <f t="shared" si="20"/>
        <v>4.0892857142857126</v>
      </c>
      <c r="BD13" s="367">
        <f t="shared" si="19"/>
        <v>5.478571428571426</v>
      </c>
      <c r="BE13" s="72"/>
      <c r="BF13" s="25">
        <f>IF(ISBLANK(F13),"",AS13-AVERAGE($F$91:F100))</f>
        <v>4.1124999999999998</v>
      </c>
      <c r="BG13" s="25">
        <f>IF(ISBLANK(G13),"",AT13-AVERAGE($G$91:G100))</f>
        <v>5.824642857142857</v>
      </c>
      <c r="BH13" s="367">
        <f t="shared" si="21"/>
        <v>1.7121428571428572</v>
      </c>
      <c r="BI13" s="115">
        <f t="shared" si="8"/>
        <v>7.4999999999999997E-2</v>
      </c>
      <c r="BJ13" s="115">
        <f t="shared" si="9"/>
        <v>1.6009432584757035</v>
      </c>
      <c r="BK13" s="402"/>
      <c r="BL13" s="572">
        <v>10</v>
      </c>
    </row>
    <row r="14" spans="1:64" ht="12.75" customHeight="1" x14ac:dyDescent="0.2">
      <c r="A14" s="278">
        <f t="shared" si="10"/>
        <v>11</v>
      </c>
      <c r="B14" s="131">
        <f t="shared" si="18"/>
        <v>6.1</v>
      </c>
      <c r="C14" s="282">
        <f t="shared" si="11"/>
        <v>20</v>
      </c>
      <c r="D14" s="685"/>
      <c r="E14" s="99">
        <f t="shared" si="12"/>
        <v>11</v>
      </c>
      <c r="F14" s="23">
        <v>6.1</v>
      </c>
      <c r="G14" s="23">
        <v>20</v>
      </c>
      <c r="H14" s="553">
        <v>12.5</v>
      </c>
      <c r="I14" s="23">
        <f t="shared" si="0"/>
        <v>13.9</v>
      </c>
      <c r="J14" s="6">
        <f t="shared" si="1"/>
        <v>0</v>
      </c>
      <c r="K14" s="24">
        <v>47</v>
      </c>
      <c r="L14" s="24">
        <v>77</v>
      </c>
      <c r="M14" s="554">
        <v>61</v>
      </c>
      <c r="N14" s="24">
        <f t="shared" si="2"/>
        <v>30</v>
      </c>
      <c r="O14" s="50">
        <f t="shared" si="3"/>
        <v>0</v>
      </c>
      <c r="P14" s="24">
        <v>1021</v>
      </c>
      <c r="Q14" s="24">
        <v>1025</v>
      </c>
      <c r="R14" s="24">
        <f t="shared" si="13"/>
        <v>1023</v>
      </c>
      <c r="S14" s="24">
        <f t="shared" si="4"/>
        <v>4</v>
      </c>
      <c r="T14" s="50"/>
      <c r="U14" s="553">
        <v>4</v>
      </c>
      <c r="V14" s="553">
        <v>14.5</v>
      </c>
      <c r="W14" s="553">
        <v>20.399999999999999</v>
      </c>
      <c r="X14" s="485" t="s">
        <v>114</v>
      </c>
      <c r="Y14" s="72">
        <f t="shared" si="14"/>
        <v>1</v>
      </c>
      <c r="Z14" s="539">
        <v>0.3</v>
      </c>
      <c r="AA14" s="23" t="s">
        <v>8</v>
      </c>
      <c r="AB14" s="23" t="s">
        <v>8</v>
      </c>
      <c r="AC14" s="510">
        <f t="shared" si="5"/>
        <v>0.16666666666666666</v>
      </c>
      <c r="AD14" s="7">
        <f t="shared" si="6"/>
        <v>0.6</v>
      </c>
      <c r="AE14" s="485" t="s">
        <v>8</v>
      </c>
      <c r="AF14" s="72"/>
      <c r="AG14" s="553">
        <v>0.4</v>
      </c>
      <c r="AH14" s="553">
        <v>10</v>
      </c>
      <c r="AI14" s="553">
        <v>5</v>
      </c>
      <c r="AJ14" s="7">
        <f t="shared" si="7"/>
        <v>9.6</v>
      </c>
      <c r="AK14" s="54"/>
      <c r="AL14" s="485" t="s">
        <v>471</v>
      </c>
      <c r="AM14" s="134"/>
      <c r="AN14" s="609" t="s">
        <v>472</v>
      </c>
      <c r="AO14" s="400"/>
      <c r="AP14" s="485">
        <v>5</v>
      </c>
      <c r="AQ14" s="485">
        <v>0.5</v>
      </c>
      <c r="AR14" s="134"/>
      <c r="AS14" s="26">
        <f>IF(ISBLANK(F14),"",(AVERAGE($F$4:F14)))</f>
        <v>8.5090909090909079</v>
      </c>
      <c r="AT14" s="26">
        <f>IF(ISBLANK(G14),"",(AVERAGE($G$4:G14)))</f>
        <v>17.890909090909091</v>
      </c>
      <c r="AU14" s="25">
        <f>IF(ISBLANK(H14),"",(AVERAGE($H$4:H14)))</f>
        <v>13.190909090909093</v>
      </c>
      <c r="AV14" s="368">
        <f>IF(ISBLANK(G14),"",(AVERAGE($I$4:I14)))</f>
        <v>9.3818181818181827</v>
      </c>
      <c r="AW14" s="22">
        <f>IF(ISBLANK(M14),"",AVERAGE($M$4:M14))</f>
        <v>65</v>
      </c>
      <c r="AX14" s="376">
        <f>IF(ISBLANK(P14),"",(AVERAGE($R$4:R14)))</f>
        <v>1021.7727272727273</v>
      </c>
      <c r="AY14" s="368">
        <f>IF(ISBLANK(U14),"",(AVERAGE($U$4:U14)))</f>
        <v>5.5909090909090908</v>
      </c>
      <c r="AZ14" s="6"/>
      <c r="BA14" s="25">
        <f t="shared" si="15"/>
        <v>1.3249999999999993</v>
      </c>
      <c r="BB14" s="25">
        <f t="shared" si="16"/>
        <v>7.7357142857142822</v>
      </c>
      <c r="BC14" s="25">
        <f t="shared" si="20"/>
        <v>4.5303571428571408</v>
      </c>
      <c r="BD14" s="367">
        <f t="shared" si="19"/>
        <v>6.4107142857142829</v>
      </c>
      <c r="BE14" s="72"/>
      <c r="BF14" s="25">
        <f>IF(ISBLANK(F14),"",AS14-AVERAGE($F$91:F101))</f>
        <v>3.8590909090909085</v>
      </c>
      <c r="BG14" s="25">
        <f>IF(ISBLANK(G14),"",AT14-AVERAGE($G$91:G101))</f>
        <v>5.9983766233766218</v>
      </c>
      <c r="BH14" s="367">
        <f t="shared" si="21"/>
        <v>2.1392857142857133</v>
      </c>
      <c r="BI14" s="115">
        <f t="shared" si="8"/>
        <v>8.2792207792207778E-2</v>
      </c>
      <c r="BJ14" s="115">
        <f t="shared" si="9"/>
        <v>1.5559541327832682</v>
      </c>
      <c r="BK14" s="402"/>
      <c r="BL14" s="572">
        <v>11</v>
      </c>
    </row>
    <row r="15" spans="1:64" ht="12.75" customHeight="1" x14ac:dyDescent="0.2">
      <c r="A15" s="278">
        <f t="shared" si="10"/>
        <v>12</v>
      </c>
      <c r="B15" s="131">
        <f t="shared" si="18"/>
        <v>5.3</v>
      </c>
      <c r="C15" s="282">
        <f t="shared" si="11"/>
        <v>14</v>
      </c>
      <c r="D15" s="685"/>
      <c r="E15" s="99">
        <f t="shared" si="12"/>
        <v>12</v>
      </c>
      <c r="F15" s="23">
        <v>5.3</v>
      </c>
      <c r="G15" s="23">
        <v>14</v>
      </c>
      <c r="H15" s="553">
        <v>9.8000000000000007</v>
      </c>
      <c r="I15" s="23">
        <f t="shared" si="0"/>
        <v>8.6999999999999993</v>
      </c>
      <c r="J15" s="6">
        <f t="shared" si="1"/>
        <v>0</v>
      </c>
      <c r="K15" s="24">
        <v>36</v>
      </c>
      <c r="L15" s="24">
        <v>76</v>
      </c>
      <c r="M15" s="554">
        <v>54</v>
      </c>
      <c r="N15" s="24">
        <f t="shared" si="2"/>
        <v>40</v>
      </c>
      <c r="O15" s="50">
        <f t="shared" si="3"/>
        <v>0</v>
      </c>
      <c r="P15" s="24">
        <v>1026</v>
      </c>
      <c r="Q15" s="24">
        <v>1030</v>
      </c>
      <c r="R15" s="24">
        <f t="shared" si="13"/>
        <v>1028</v>
      </c>
      <c r="S15" s="24">
        <f t="shared" si="4"/>
        <v>4</v>
      </c>
      <c r="T15" s="50"/>
      <c r="U15" s="553">
        <v>5.7</v>
      </c>
      <c r="V15" s="553">
        <v>14.7</v>
      </c>
      <c r="W15" s="553">
        <v>22.1</v>
      </c>
      <c r="X15" s="485" t="s">
        <v>128</v>
      </c>
      <c r="Y15" s="72">
        <f t="shared" si="14"/>
        <v>0</v>
      </c>
      <c r="Z15" s="539">
        <v>0</v>
      </c>
      <c r="AA15" s="23"/>
      <c r="AB15" s="23"/>
      <c r="AC15" s="510" t="str">
        <f t="shared" si="5"/>
        <v/>
      </c>
      <c r="AD15" s="7" t="str">
        <f t="shared" si="6"/>
        <v/>
      </c>
      <c r="AE15" s="485"/>
      <c r="AF15" s="72"/>
      <c r="AG15" s="553">
        <v>-2.6</v>
      </c>
      <c r="AH15" s="553">
        <v>2.9</v>
      </c>
      <c r="AI15" s="553">
        <v>0.3</v>
      </c>
      <c r="AJ15" s="7">
        <f t="shared" si="7"/>
        <v>5.5</v>
      </c>
      <c r="AK15" s="54"/>
      <c r="AL15" s="485" t="s">
        <v>473</v>
      </c>
      <c r="AM15" s="134"/>
      <c r="AN15" s="555" t="s">
        <v>8</v>
      </c>
      <c r="AO15" s="400"/>
      <c r="AP15" s="485">
        <v>11</v>
      </c>
      <c r="AQ15" s="485">
        <v>0</v>
      </c>
      <c r="AR15" s="134"/>
      <c r="AS15" s="26">
        <f>IF(ISBLANK(F15),"",(AVERAGE($F$4:F15)))</f>
        <v>8.2416666666666654</v>
      </c>
      <c r="AT15" s="26">
        <f>IF(ISBLANK(G15),"",(AVERAGE($G$4:G15)))</f>
        <v>17.566666666666666</v>
      </c>
      <c r="AU15" s="25">
        <f>IF(ISBLANK(H15),"",(AVERAGE($H$4:H15)))</f>
        <v>12.908333333333337</v>
      </c>
      <c r="AV15" s="368">
        <f>IF(ISBLANK(G15),"",(AVERAGE($I$4:I15)))</f>
        <v>9.3250000000000011</v>
      </c>
      <c r="AW15" s="22">
        <f>IF(ISBLANK(M15),"",AVERAGE($M$4:M15))</f>
        <v>64.083333333333329</v>
      </c>
      <c r="AX15" s="376">
        <f>IF(ISBLANK(P15),"",(AVERAGE($R$4:R15)))</f>
        <v>1022.2916666666666</v>
      </c>
      <c r="AY15" s="368">
        <f>IF(ISBLANK(U15),"",(AVERAGE($U$4:U15)))</f>
        <v>5.6000000000000005</v>
      </c>
      <c r="AZ15" s="6"/>
      <c r="BA15" s="25">
        <f t="shared" si="15"/>
        <v>0.5</v>
      </c>
      <c r="BB15" s="25">
        <f t="shared" si="16"/>
        <v>1.6428571428571388</v>
      </c>
      <c r="BC15" s="25">
        <f t="shared" si="20"/>
        <v>1.0714285714285694</v>
      </c>
      <c r="BD15" s="367">
        <f t="shared" si="19"/>
        <v>1.1428571428571388</v>
      </c>
      <c r="BE15" s="72"/>
      <c r="BF15" s="25">
        <f>IF(ISBLANK(F15),"",AS15-AVERAGE($F$91:F102))</f>
        <v>3.5791666666666657</v>
      </c>
      <c r="BG15" s="25">
        <f>IF(ISBLANK(G15),"",AT15-AVERAGE($G$91:G102))</f>
        <v>5.6354166666666661</v>
      </c>
      <c r="BH15" s="367">
        <f t="shared" si="21"/>
        <v>2.0562500000000004</v>
      </c>
      <c r="BI15" s="115">
        <f t="shared" si="8"/>
        <v>7.5892857142857151E-2</v>
      </c>
      <c r="BJ15" s="115">
        <f t="shared" si="9"/>
        <v>1.6324192643446973</v>
      </c>
      <c r="BK15" s="402"/>
      <c r="BL15" s="572">
        <v>12</v>
      </c>
    </row>
    <row r="16" spans="1:64" ht="12.75" customHeight="1" x14ac:dyDescent="0.2">
      <c r="A16" s="278">
        <f t="shared" si="10"/>
        <v>13</v>
      </c>
      <c r="B16" s="131">
        <f t="shared" si="18"/>
        <v>4.0999999999999996</v>
      </c>
      <c r="C16" s="282">
        <f t="shared" si="11"/>
        <v>13</v>
      </c>
      <c r="D16" s="685"/>
      <c r="E16" s="99">
        <f t="shared" si="12"/>
        <v>13</v>
      </c>
      <c r="F16" s="23">
        <v>4.0999999999999996</v>
      </c>
      <c r="G16" s="23">
        <v>13</v>
      </c>
      <c r="H16" s="553">
        <v>8.6999999999999993</v>
      </c>
      <c r="I16" s="23">
        <f t="shared" si="0"/>
        <v>8.9</v>
      </c>
      <c r="J16" s="6">
        <f t="shared" si="1"/>
        <v>0</v>
      </c>
      <c r="K16" s="24">
        <v>45</v>
      </c>
      <c r="L16" s="24">
        <v>72</v>
      </c>
      <c r="M16" s="554">
        <v>57</v>
      </c>
      <c r="N16" s="24">
        <f t="shared" si="2"/>
        <v>27</v>
      </c>
      <c r="O16" s="50">
        <f t="shared" si="3"/>
        <v>0</v>
      </c>
      <c r="P16" s="24">
        <v>1020</v>
      </c>
      <c r="Q16" s="24">
        <v>1029</v>
      </c>
      <c r="R16" s="24">
        <f t="shared" si="13"/>
        <v>1024.5</v>
      </c>
      <c r="S16" s="24">
        <f t="shared" si="4"/>
        <v>9</v>
      </c>
      <c r="T16" s="50"/>
      <c r="U16" s="553">
        <v>4.5999999999999996</v>
      </c>
      <c r="V16" s="553">
        <v>12.8</v>
      </c>
      <c r="W16" s="553">
        <v>16.600000000000001</v>
      </c>
      <c r="X16" s="485" t="s">
        <v>110</v>
      </c>
      <c r="Y16" s="72">
        <f t="shared" si="14"/>
        <v>0</v>
      </c>
      <c r="Z16" s="539">
        <v>0</v>
      </c>
      <c r="AA16" s="23"/>
      <c r="AB16" s="23"/>
      <c r="AC16" s="510" t="str">
        <f t="shared" si="5"/>
        <v/>
      </c>
      <c r="AD16" s="7" t="str">
        <f t="shared" si="6"/>
        <v/>
      </c>
      <c r="AE16" s="485"/>
      <c r="AF16" s="72"/>
      <c r="AG16" s="553">
        <v>-3.9</v>
      </c>
      <c r="AH16" s="553">
        <v>2.9</v>
      </c>
      <c r="AI16" s="553">
        <v>0.6</v>
      </c>
      <c r="AJ16" s="7">
        <f t="shared" si="7"/>
        <v>6.8</v>
      </c>
      <c r="AK16" s="54"/>
      <c r="AL16" s="485" t="s">
        <v>239</v>
      </c>
      <c r="AM16" s="134"/>
      <c r="AN16" s="555" t="s">
        <v>8</v>
      </c>
      <c r="AO16" s="400"/>
      <c r="AP16" s="485">
        <v>1</v>
      </c>
      <c r="AQ16" s="485">
        <v>0</v>
      </c>
      <c r="AR16" s="134"/>
      <c r="AS16" s="26">
        <f>IF(ISBLANK(F16),"",(AVERAGE($F$4:F16)))</f>
        <v>7.9230769230769216</v>
      </c>
      <c r="AT16" s="26">
        <f>IF(ISBLANK(G16),"",(AVERAGE($G$4:G16)))</f>
        <v>17.215384615384615</v>
      </c>
      <c r="AU16" s="25">
        <f>IF(ISBLANK(H16),"",(AVERAGE($H$4:H16)))</f>
        <v>12.584615384615386</v>
      </c>
      <c r="AV16" s="368">
        <f>IF(ISBLANK(G16),"",(AVERAGE($I$4:I16)))</f>
        <v>9.292307692307693</v>
      </c>
      <c r="AW16" s="22">
        <f>IF(ISBLANK(M16),"",AVERAGE($M$4:M16))</f>
        <v>63.53846153846154</v>
      </c>
      <c r="AX16" s="376">
        <f>IF(ISBLANK(P16),"",(AVERAGE($R$4:R16)))</f>
        <v>1022.4615384615385</v>
      </c>
      <c r="AY16" s="368">
        <f>IF(ISBLANK(U16),"",(AVERAGE($U$4:U16)))</f>
        <v>5.523076923076923</v>
      </c>
      <c r="AZ16" s="6"/>
      <c r="BA16" s="25">
        <f t="shared" si="15"/>
        <v>-0.72500000000000053</v>
      </c>
      <c r="BB16" s="25">
        <f t="shared" si="16"/>
        <v>0.55000000000000071</v>
      </c>
      <c r="BC16" s="25">
        <f t="shared" si="20"/>
        <v>-8.7499999999999911E-2</v>
      </c>
      <c r="BD16" s="367">
        <f t="shared" si="19"/>
        <v>1.2750000000000012</v>
      </c>
      <c r="BE16" s="72"/>
      <c r="BF16" s="25">
        <f>IF(ISBLANK(F16),"",AS16-AVERAGE($F$91:F103))</f>
        <v>3.2480769230769218</v>
      </c>
      <c r="BG16" s="25">
        <f>IF(ISBLANK(G16),"",AT16-AVERAGE($G$91:G103))</f>
        <v>5.2442307692307679</v>
      </c>
      <c r="BH16" s="367">
        <f t="shared" si="21"/>
        <v>1.9961538461538462</v>
      </c>
      <c r="BI16" s="115">
        <f t="shared" si="8"/>
        <v>7.0054945054945056E-2</v>
      </c>
      <c r="BJ16" s="115">
        <f t="shared" si="9"/>
        <v>1.5205718186437867</v>
      </c>
      <c r="BK16" s="402"/>
      <c r="BL16" s="572">
        <v>13</v>
      </c>
    </row>
    <row r="17" spans="1:64" ht="12.75" customHeight="1" x14ac:dyDescent="0.2">
      <c r="A17" s="278">
        <f t="shared" si="10"/>
        <v>14</v>
      </c>
      <c r="B17" s="131">
        <f t="shared" si="18"/>
        <v>8</v>
      </c>
      <c r="C17" s="282">
        <f t="shared" si="11"/>
        <v>14.1</v>
      </c>
      <c r="D17" s="685"/>
      <c r="E17" s="99">
        <f t="shared" si="12"/>
        <v>14</v>
      </c>
      <c r="F17" s="23">
        <v>8</v>
      </c>
      <c r="G17" s="23">
        <v>14.1</v>
      </c>
      <c r="H17" s="553">
        <v>11</v>
      </c>
      <c r="I17" s="23">
        <f t="shared" si="0"/>
        <v>6.1</v>
      </c>
      <c r="J17" s="6">
        <f t="shared" si="1"/>
        <v>0</v>
      </c>
      <c r="K17" s="24">
        <v>54</v>
      </c>
      <c r="L17" s="24">
        <v>73</v>
      </c>
      <c r="M17" s="554">
        <v>65</v>
      </c>
      <c r="N17" s="24">
        <f t="shared" si="2"/>
        <v>19</v>
      </c>
      <c r="O17" s="50">
        <f t="shared" si="3"/>
        <v>0</v>
      </c>
      <c r="P17" s="24">
        <v>1018</v>
      </c>
      <c r="Q17" s="24">
        <v>1020</v>
      </c>
      <c r="R17" s="24">
        <f t="shared" si="13"/>
        <v>1019</v>
      </c>
      <c r="S17" s="24">
        <f t="shared" si="4"/>
        <v>2</v>
      </c>
      <c r="T17" s="50"/>
      <c r="U17" s="553">
        <v>3.9</v>
      </c>
      <c r="V17" s="553">
        <v>9.4</v>
      </c>
      <c r="W17" s="553">
        <v>13.2</v>
      </c>
      <c r="X17" s="485" t="s">
        <v>110</v>
      </c>
      <c r="Y17" s="72">
        <f t="shared" si="14"/>
        <v>0</v>
      </c>
      <c r="Z17" s="539">
        <v>0</v>
      </c>
      <c r="AA17" s="23"/>
      <c r="AB17" s="23"/>
      <c r="AC17" s="510" t="str">
        <f t="shared" si="5"/>
        <v/>
      </c>
      <c r="AD17" s="7" t="str">
        <f t="shared" si="6"/>
        <v/>
      </c>
      <c r="AE17" s="485"/>
      <c r="AF17" s="72"/>
      <c r="AG17" s="553">
        <v>2.1</v>
      </c>
      <c r="AH17" s="553">
        <v>6.2</v>
      </c>
      <c r="AI17" s="553">
        <v>4.5999999999999996</v>
      </c>
      <c r="AJ17" s="26">
        <f t="shared" si="7"/>
        <v>4.0999999999999996</v>
      </c>
      <c r="AK17" s="54"/>
      <c r="AL17" s="485" t="s">
        <v>239</v>
      </c>
      <c r="AM17" s="134"/>
      <c r="AN17" s="555" t="s">
        <v>8</v>
      </c>
      <c r="AO17" s="400"/>
      <c r="AP17" s="565">
        <v>0</v>
      </c>
      <c r="AQ17" s="485">
        <v>0</v>
      </c>
      <c r="AR17" s="134"/>
      <c r="AS17" s="26">
        <f>IF(ISBLANK(F17),"",(AVERAGE($F$4:F17)))</f>
        <v>7.9285714285714279</v>
      </c>
      <c r="AT17" s="26">
        <f>IF(ISBLANK(G17),"",(AVERAGE($G$4:G17)))</f>
        <v>16.992857142857144</v>
      </c>
      <c r="AU17" s="25">
        <f>IF(ISBLANK(H17),"",(AVERAGE($H$4:H17)))</f>
        <v>12.471428571428573</v>
      </c>
      <c r="AV17" s="368">
        <f>IF(ISBLANK(G17),"",(AVERAGE($I$4:I17)))</f>
        <v>9.0642857142857149</v>
      </c>
      <c r="AW17" s="22">
        <f>IF(ISBLANK(M17),"",AVERAGE($M$4:M17))</f>
        <v>63.642857142857146</v>
      </c>
      <c r="AX17" s="376">
        <f>IF(ISBLANK(P17),"",(AVERAGE($R$4:R17)))</f>
        <v>1022.2142857142857</v>
      </c>
      <c r="AY17" s="368">
        <f>IF(ISBLANK(U17),"",(AVERAGE($U$4:U17)))</f>
        <v>5.4071428571428575</v>
      </c>
      <c r="AZ17" s="6"/>
      <c r="BA17" s="25">
        <f t="shared" si="15"/>
        <v>3.149999999999995</v>
      </c>
      <c r="BB17" s="25">
        <f t="shared" si="16"/>
        <v>1.5571428571428516</v>
      </c>
      <c r="BC17" s="25">
        <f t="shared" si="20"/>
        <v>2.3535714285714233</v>
      </c>
      <c r="BD17" s="367">
        <f t="shared" si="19"/>
        <v>-1.5928571428571434</v>
      </c>
      <c r="BE17" s="72"/>
      <c r="BF17" s="25">
        <f>IF(ISBLANK(F17),"",AS17-AVERAGE($F$91:F104))</f>
        <v>3.2410714285714279</v>
      </c>
      <c r="BG17" s="25">
        <f>IF(ISBLANK(G17),"",AT17-AVERAGE($G$91:G104))</f>
        <v>4.9808673469387763</v>
      </c>
      <c r="BH17" s="367">
        <f t="shared" si="21"/>
        <v>1.7397959183673484</v>
      </c>
      <c r="BI17" s="115">
        <f t="shared" si="8"/>
        <v>6.5051020408163268E-2</v>
      </c>
      <c r="BJ17" s="115">
        <f t="shared" si="9"/>
        <v>1.4083810886652397</v>
      </c>
      <c r="BK17" s="402"/>
      <c r="BL17" s="572">
        <v>14</v>
      </c>
    </row>
    <row r="18" spans="1:64" ht="12.75" customHeight="1" x14ac:dyDescent="0.2">
      <c r="A18" s="278">
        <f t="shared" si="10"/>
        <v>15</v>
      </c>
      <c r="B18" s="131">
        <f t="shared" si="18"/>
        <v>9.9</v>
      </c>
      <c r="C18" s="282">
        <f t="shared" si="11"/>
        <v>16.8</v>
      </c>
      <c r="D18" s="685"/>
      <c r="E18" s="99">
        <f t="shared" si="12"/>
        <v>15</v>
      </c>
      <c r="F18" s="23">
        <v>9.9</v>
      </c>
      <c r="G18" s="23">
        <v>16.8</v>
      </c>
      <c r="H18" s="553">
        <v>13.1</v>
      </c>
      <c r="I18" s="23">
        <f t="shared" si="0"/>
        <v>6.9</v>
      </c>
      <c r="J18" s="6">
        <f t="shared" si="1"/>
        <v>0</v>
      </c>
      <c r="K18" s="24">
        <v>45</v>
      </c>
      <c r="L18" s="24">
        <v>71</v>
      </c>
      <c r="M18" s="554">
        <v>58</v>
      </c>
      <c r="N18" s="24">
        <f t="shared" si="2"/>
        <v>26</v>
      </c>
      <c r="O18" s="50">
        <f t="shared" si="3"/>
        <v>0</v>
      </c>
      <c r="P18" s="24">
        <v>1019</v>
      </c>
      <c r="Q18" s="24">
        <v>1022</v>
      </c>
      <c r="R18" s="24">
        <f t="shared" si="13"/>
        <v>1020.5</v>
      </c>
      <c r="S18" s="24">
        <f t="shared" si="4"/>
        <v>3</v>
      </c>
      <c r="T18" s="50"/>
      <c r="U18" s="553">
        <v>2.4</v>
      </c>
      <c r="V18" s="553">
        <v>8.1</v>
      </c>
      <c r="W18" s="553">
        <v>10.7</v>
      </c>
      <c r="X18" s="485" t="s">
        <v>110</v>
      </c>
      <c r="Y18" s="72">
        <f t="shared" si="14"/>
        <v>0</v>
      </c>
      <c r="Z18" s="539">
        <v>0</v>
      </c>
      <c r="AA18" s="23"/>
      <c r="AB18" s="23"/>
      <c r="AC18" s="510" t="str">
        <f t="shared" si="5"/>
        <v/>
      </c>
      <c r="AD18" s="7" t="str">
        <f t="shared" si="6"/>
        <v/>
      </c>
      <c r="AE18" s="485"/>
      <c r="AF18" s="72"/>
      <c r="AG18" s="553">
        <v>3.3</v>
      </c>
      <c r="AH18" s="553">
        <v>6.2</v>
      </c>
      <c r="AI18" s="553">
        <v>4.8</v>
      </c>
      <c r="AJ18" s="26">
        <f t="shared" si="7"/>
        <v>2.9000000000000004</v>
      </c>
      <c r="AK18" s="54"/>
      <c r="AL18" s="485" t="s">
        <v>335</v>
      </c>
      <c r="AM18" s="134"/>
      <c r="AN18" s="555" t="s">
        <v>8</v>
      </c>
      <c r="AO18" s="400"/>
      <c r="AP18" s="485">
        <v>0.1</v>
      </c>
      <c r="AQ18" s="485">
        <v>0</v>
      </c>
      <c r="AR18" s="134"/>
      <c r="AS18" s="26">
        <f>IF(ISBLANK(F18),"",(AVERAGE($F$4:F18)))</f>
        <v>8.0599999999999987</v>
      </c>
      <c r="AT18" s="26">
        <f>IF(ISBLANK(G18),"",(AVERAGE($G$4:G18)))</f>
        <v>16.98</v>
      </c>
      <c r="AU18" s="25">
        <f>IF(ISBLANK(H18),"",(AVERAGE($H$4:H18)))</f>
        <v>12.513333333333334</v>
      </c>
      <c r="AV18" s="368">
        <f>IF(ISBLANK(G18),"",(AVERAGE($I$4:I18)))</f>
        <v>8.92</v>
      </c>
      <c r="AW18" s="22">
        <f>IF(ISBLANK(M18),"",AVERAGE($M$4:M18))</f>
        <v>63.266666666666666</v>
      </c>
      <c r="AX18" s="376">
        <f>IF(ISBLANK(P18),"",(AVERAGE($R$4:R18)))</f>
        <v>1022.1</v>
      </c>
      <c r="AY18" s="368">
        <f>IF(ISBLANK(U18),"",(AVERAGE($U$4:U18)))</f>
        <v>5.206666666666667</v>
      </c>
      <c r="AZ18" s="6"/>
      <c r="BA18" s="25">
        <f t="shared" si="15"/>
        <v>5.024999999999995</v>
      </c>
      <c r="BB18" s="25">
        <f t="shared" si="16"/>
        <v>4.1642857142857093</v>
      </c>
      <c r="BC18" s="25">
        <f t="shared" si="20"/>
        <v>4.5946428571428521</v>
      </c>
      <c r="BD18" s="367">
        <f t="shared" si="19"/>
        <v>-0.86071428571428577</v>
      </c>
      <c r="BE18" s="72"/>
      <c r="BF18" s="25">
        <f>IF(ISBLANK(F18),"",AS18-AVERAGE($F$91:F105))</f>
        <v>3.3599999999999985</v>
      </c>
      <c r="BG18" s="25">
        <f>IF(ISBLANK(G18),"",AT18-AVERAGE($G$91:G105))</f>
        <v>4.9264285714285716</v>
      </c>
      <c r="BH18" s="367">
        <f t="shared" si="21"/>
        <v>1.5664285714285731</v>
      </c>
      <c r="BI18" s="115">
        <f t="shared" si="8"/>
        <v>6.0714285714285714E-2</v>
      </c>
      <c r="BJ18" s="115">
        <f t="shared" si="9"/>
        <v>1.3126861141183326</v>
      </c>
      <c r="BK18" s="402"/>
      <c r="BL18" s="572">
        <v>15</v>
      </c>
    </row>
    <row r="19" spans="1:64" ht="12.75" customHeight="1" x14ac:dyDescent="0.2">
      <c r="A19" s="278">
        <f t="shared" si="10"/>
        <v>16</v>
      </c>
      <c r="B19" s="131">
        <v>10.5</v>
      </c>
      <c r="C19" s="282">
        <f t="shared" si="11"/>
        <v>17.899999999999999</v>
      </c>
      <c r="D19" s="685"/>
      <c r="E19" s="99">
        <f t="shared" si="12"/>
        <v>16</v>
      </c>
      <c r="F19" s="23">
        <v>9.8000000000000007</v>
      </c>
      <c r="G19" s="23">
        <v>17.899999999999999</v>
      </c>
      <c r="H19" s="553">
        <v>13.6</v>
      </c>
      <c r="I19" s="23">
        <f t="shared" si="0"/>
        <v>8.0999999999999979</v>
      </c>
      <c r="J19" s="6">
        <f t="shared" si="1"/>
        <v>0</v>
      </c>
      <c r="K19" s="24">
        <v>46</v>
      </c>
      <c r="L19" s="24">
        <v>72</v>
      </c>
      <c r="M19" s="554">
        <v>60</v>
      </c>
      <c r="N19" s="24">
        <f t="shared" si="2"/>
        <v>26</v>
      </c>
      <c r="O19" s="50">
        <f t="shared" si="3"/>
        <v>1</v>
      </c>
      <c r="P19" s="24">
        <v>1021</v>
      </c>
      <c r="Q19" s="24">
        <v>1024</v>
      </c>
      <c r="R19" s="24">
        <f t="shared" si="13"/>
        <v>1022.5</v>
      </c>
      <c r="S19" s="24">
        <f t="shared" si="4"/>
        <v>3</v>
      </c>
      <c r="T19" s="50"/>
      <c r="U19" s="553">
        <v>1.8</v>
      </c>
      <c r="V19" s="553">
        <v>7.8</v>
      </c>
      <c r="W19" s="553">
        <v>10.199999999999999</v>
      </c>
      <c r="X19" s="562" t="s">
        <v>114</v>
      </c>
      <c r="Y19" s="72">
        <f t="shared" si="14"/>
        <v>0</v>
      </c>
      <c r="Z19" s="539">
        <v>0</v>
      </c>
      <c r="AA19" s="23"/>
      <c r="AB19" s="23"/>
      <c r="AC19" s="510" t="str">
        <f t="shared" si="5"/>
        <v/>
      </c>
      <c r="AD19" s="7" t="str">
        <f t="shared" si="6"/>
        <v/>
      </c>
      <c r="AE19" s="485"/>
      <c r="AF19" s="72"/>
      <c r="AG19" s="553">
        <v>3.9</v>
      </c>
      <c r="AH19" s="553">
        <v>7.5</v>
      </c>
      <c r="AI19" s="553">
        <v>5.7</v>
      </c>
      <c r="AJ19" s="26">
        <f t="shared" si="7"/>
        <v>3.6</v>
      </c>
      <c r="AK19" s="54"/>
      <c r="AL19" s="485" t="s">
        <v>243</v>
      </c>
      <c r="AM19" s="134"/>
      <c r="AN19" s="555" t="s">
        <v>8</v>
      </c>
      <c r="AO19" s="400"/>
      <c r="AP19" s="485">
        <v>2</v>
      </c>
      <c r="AQ19" s="485">
        <v>0</v>
      </c>
      <c r="AR19" s="134"/>
      <c r="AS19" s="26">
        <f>IF(ISBLANK(F19),"",(AVERAGE($F$4:F19)))</f>
        <v>8.1687499999999993</v>
      </c>
      <c r="AT19" s="26">
        <f>IF(ISBLANK(G19),"",(AVERAGE($G$4:G19)))</f>
        <v>17.037500000000001</v>
      </c>
      <c r="AU19" s="25">
        <f>IF(ISBLANK(H19),"",(AVERAGE($H$4:H19)))</f>
        <v>12.581250000000001</v>
      </c>
      <c r="AV19" s="368">
        <f>IF(ISBLANK(G19),"",(AVERAGE($I$4:I19)))</f>
        <v>8.8687500000000004</v>
      </c>
      <c r="AW19" s="22">
        <f>IF(ISBLANK(M19),"",AVERAGE($M$4:M19))</f>
        <v>63.0625</v>
      </c>
      <c r="AX19" s="376">
        <f>IF(ISBLANK(P19),"",(AVERAGE($R$4:R19)))</f>
        <v>1022.125</v>
      </c>
      <c r="AY19" s="368">
        <f>IF(ISBLANK(U19),"",(AVERAGE($U$4:U19)))</f>
        <v>4.9937500000000004</v>
      </c>
      <c r="AZ19" s="6"/>
      <c r="BA19" s="25">
        <f t="shared" si="15"/>
        <v>4.899999999999995</v>
      </c>
      <c r="BB19" s="25">
        <f t="shared" si="16"/>
        <v>5.1714285714285637</v>
      </c>
      <c r="BC19" s="25">
        <f t="shared" si="20"/>
        <v>5.0357142857142794</v>
      </c>
      <c r="BD19" s="367">
        <f t="shared" si="19"/>
        <v>0.27142857142856869</v>
      </c>
      <c r="BE19" s="72"/>
      <c r="BF19" s="25">
        <f>IF(ISBLANK(F19),"",AS19-AVERAGE($F$91:F106))</f>
        <v>3.4562499999999989</v>
      </c>
      <c r="BG19" s="25">
        <f>IF(ISBLANK(G19),"",AT19-AVERAGE($G$91:G106))</f>
        <v>4.9417410714285719</v>
      </c>
      <c r="BH19" s="367">
        <f t="shared" si="21"/>
        <v>1.485491071428573</v>
      </c>
      <c r="BI19" s="115">
        <f t="shared" si="8"/>
        <v>5.6919642857142856E-2</v>
      </c>
      <c r="BJ19" s="115">
        <f t="shared" si="9"/>
        <v>1.2558688153216147</v>
      </c>
      <c r="BK19" s="402"/>
      <c r="BL19" s="572">
        <v>16</v>
      </c>
    </row>
    <row r="20" spans="1:64" ht="12.75" customHeight="1" x14ac:dyDescent="0.2">
      <c r="A20" s="278">
        <f t="shared" si="10"/>
        <v>17</v>
      </c>
      <c r="B20" s="131">
        <f t="shared" si="18"/>
        <v>7.3</v>
      </c>
      <c r="C20" s="282">
        <f t="shared" si="11"/>
        <v>19</v>
      </c>
      <c r="D20" s="685"/>
      <c r="E20" s="99">
        <f t="shared" si="12"/>
        <v>17</v>
      </c>
      <c r="F20" s="23">
        <v>7.3</v>
      </c>
      <c r="G20" s="23">
        <v>19</v>
      </c>
      <c r="H20" s="553">
        <v>13.3</v>
      </c>
      <c r="I20" s="23">
        <f t="shared" si="0"/>
        <v>11.7</v>
      </c>
      <c r="J20" s="6">
        <f t="shared" si="1"/>
        <v>0</v>
      </c>
      <c r="K20" s="24">
        <v>43</v>
      </c>
      <c r="L20" s="24">
        <v>86</v>
      </c>
      <c r="M20" s="554">
        <v>64</v>
      </c>
      <c r="N20" s="24">
        <f t="shared" si="2"/>
        <v>43</v>
      </c>
      <c r="O20" s="50">
        <f t="shared" si="3"/>
        <v>0</v>
      </c>
      <c r="P20" s="24">
        <v>1024</v>
      </c>
      <c r="Q20" s="24">
        <v>1026</v>
      </c>
      <c r="R20" s="24">
        <f t="shared" si="13"/>
        <v>1025</v>
      </c>
      <c r="S20" s="24">
        <f t="shared" si="4"/>
        <v>2</v>
      </c>
      <c r="T20" s="50"/>
      <c r="U20" s="553">
        <v>2.2999999999999998</v>
      </c>
      <c r="V20" s="553">
        <v>11.5</v>
      </c>
      <c r="W20" s="553">
        <v>15.6</v>
      </c>
      <c r="X20" s="485" t="s">
        <v>106</v>
      </c>
      <c r="Y20" s="72">
        <f t="shared" si="14"/>
        <v>0</v>
      </c>
      <c r="Z20" s="539">
        <v>0</v>
      </c>
      <c r="AA20" s="23"/>
      <c r="AB20" s="23"/>
      <c r="AC20" s="510" t="str">
        <f t="shared" si="5"/>
        <v/>
      </c>
      <c r="AD20" s="7" t="str">
        <f t="shared" si="6"/>
        <v/>
      </c>
      <c r="AE20" s="485"/>
      <c r="AF20" s="72"/>
      <c r="AG20" s="553">
        <v>4.0999999999999996</v>
      </c>
      <c r="AH20" s="553">
        <v>10</v>
      </c>
      <c r="AI20" s="553">
        <v>6.1</v>
      </c>
      <c r="AJ20" s="26">
        <f t="shared" si="7"/>
        <v>5.9</v>
      </c>
      <c r="AK20" s="54"/>
      <c r="AL20" s="485" t="s">
        <v>476</v>
      </c>
      <c r="AM20" s="134"/>
      <c r="AN20" s="555" t="s">
        <v>8</v>
      </c>
      <c r="AO20" s="400"/>
      <c r="AP20" s="485">
        <v>7</v>
      </c>
      <c r="AQ20" s="485">
        <v>0</v>
      </c>
      <c r="AR20" s="134"/>
      <c r="AS20" s="26">
        <f>IF(ISBLANK(F20),"",(AVERAGE($F$4:F20)))</f>
        <v>8.117647058823529</v>
      </c>
      <c r="AT20" s="26">
        <f>IF(ISBLANK(G20),"",(AVERAGE($G$4:G20)))</f>
        <v>17.152941176470591</v>
      </c>
      <c r="AU20" s="25">
        <f>IF(ISBLANK(H20),"",(AVERAGE($H$4:H20)))</f>
        <v>12.623529411764707</v>
      </c>
      <c r="AV20" s="368">
        <f>IF(ISBLANK(G20),"",(AVERAGE($I$4:I20)))</f>
        <v>9.0352941176470587</v>
      </c>
      <c r="AW20" s="22">
        <f>IF(ISBLANK(M20),"",AVERAGE($M$4:M20))</f>
        <v>63.117647058823529</v>
      </c>
      <c r="AX20" s="376">
        <f>IF(ISBLANK(P20),"",(AVERAGE($R$4:R20)))</f>
        <v>1022.2941176470588</v>
      </c>
      <c r="AY20" s="368">
        <f>IF(ISBLANK(U20),"",(AVERAGE($U$4:U20)))</f>
        <v>4.8352941176470594</v>
      </c>
      <c r="AZ20" s="6"/>
      <c r="BA20" s="25">
        <f t="shared" si="15"/>
        <v>2.3749999999999938</v>
      </c>
      <c r="BB20" s="25">
        <f t="shared" si="16"/>
        <v>6.1785714285714217</v>
      </c>
      <c r="BC20" s="25">
        <f t="shared" si="20"/>
        <v>4.2767857142857082</v>
      </c>
      <c r="BD20" s="367">
        <f t="shared" si="19"/>
        <v>3.8035714285714279</v>
      </c>
      <c r="BE20" s="72"/>
      <c r="BF20" s="25">
        <f>IF(ISBLANK(F20),"",AS20-AVERAGE($F$91:F107))</f>
        <v>3.3926470588235276</v>
      </c>
      <c r="BG20" s="25">
        <f>IF(ISBLANK(G20),"",AT20-AVERAGE($G$91:G107))</f>
        <v>5.014495798319329</v>
      </c>
      <c r="BH20" s="367">
        <f t="shared" si="21"/>
        <v>1.6218487394958014</v>
      </c>
      <c r="BI20" s="115">
        <f t="shared" si="8"/>
        <v>5.3571428571428568E-2</v>
      </c>
      <c r="BJ20" s="115">
        <f t="shared" si="9"/>
        <v>1.2720851284148906</v>
      </c>
      <c r="BK20" s="402"/>
      <c r="BL20" s="572">
        <v>17</v>
      </c>
    </row>
    <row r="21" spans="1:64" ht="12.75" customHeight="1" x14ac:dyDescent="0.2">
      <c r="A21" s="278">
        <f t="shared" si="10"/>
        <v>18</v>
      </c>
      <c r="B21" s="131">
        <f t="shared" si="18"/>
        <v>6.7</v>
      </c>
      <c r="C21" s="282">
        <f t="shared" si="11"/>
        <v>18.100000000000001</v>
      </c>
      <c r="D21" s="685"/>
      <c r="E21" s="99">
        <f t="shared" si="12"/>
        <v>18</v>
      </c>
      <c r="F21" s="23">
        <v>6.7</v>
      </c>
      <c r="G21" s="23">
        <v>18.100000000000001</v>
      </c>
      <c r="H21" s="553">
        <v>12.6</v>
      </c>
      <c r="I21" s="23">
        <f t="shared" si="0"/>
        <v>11.400000000000002</v>
      </c>
      <c r="J21" s="6">
        <f t="shared" si="1"/>
        <v>0</v>
      </c>
      <c r="K21" s="24">
        <v>33</v>
      </c>
      <c r="L21" s="24">
        <v>86</v>
      </c>
      <c r="M21" s="554">
        <v>59</v>
      </c>
      <c r="N21" s="24">
        <f t="shared" si="2"/>
        <v>53</v>
      </c>
      <c r="O21" s="50">
        <f t="shared" si="3"/>
        <v>0</v>
      </c>
      <c r="P21" s="24">
        <v>1013</v>
      </c>
      <c r="Q21" s="24">
        <v>1024</v>
      </c>
      <c r="R21" s="24">
        <f t="shared" si="13"/>
        <v>1018.5</v>
      </c>
      <c r="S21" s="24">
        <f t="shared" si="4"/>
        <v>11</v>
      </c>
      <c r="T21" s="50"/>
      <c r="U21" s="553">
        <v>4.5999999999999996</v>
      </c>
      <c r="V21" s="553">
        <v>13.5</v>
      </c>
      <c r="W21" s="553">
        <v>19.899999999999999</v>
      </c>
      <c r="X21" s="485" t="s">
        <v>106</v>
      </c>
      <c r="Y21" s="72">
        <f t="shared" si="14"/>
        <v>0</v>
      </c>
      <c r="Z21" s="539">
        <v>0</v>
      </c>
      <c r="AA21" s="23"/>
      <c r="AB21" s="23"/>
      <c r="AC21" s="510" t="str">
        <f t="shared" si="5"/>
        <v/>
      </c>
      <c r="AD21" s="7" t="str">
        <f t="shared" si="6"/>
        <v/>
      </c>
      <c r="AE21" s="485"/>
      <c r="AF21" s="72"/>
      <c r="AG21" s="553">
        <v>1</v>
      </c>
      <c r="AH21" s="553">
        <v>9.1</v>
      </c>
      <c r="AI21" s="553">
        <v>3.9</v>
      </c>
      <c r="AJ21" s="26">
        <f t="shared" si="7"/>
        <v>8.1</v>
      </c>
      <c r="AK21" s="54"/>
      <c r="AL21" s="485" t="s">
        <v>477</v>
      </c>
      <c r="AM21" s="134"/>
      <c r="AN21" s="555" t="s">
        <v>8</v>
      </c>
      <c r="AO21" s="400"/>
      <c r="AP21" s="485">
        <v>7</v>
      </c>
      <c r="AQ21" s="485">
        <v>0</v>
      </c>
      <c r="AR21" s="134"/>
      <c r="AS21" s="26">
        <f>IF(ISBLANK(F21),"",(AVERAGE($F$4:F21)))</f>
        <v>8.0388888888888879</v>
      </c>
      <c r="AT21" s="26">
        <f>IF(ISBLANK(G21),"",(AVERAGE($G$4:G21)))</f>
        <v>17.205555555555559</v>
      </c>
      <c r="AU21" s="25">
        <f>IF(ISBLANK(H21),"",(AVERAGE($H$4:H21)))</f>
        <v>12.622222222222224</v>
      </c>
      <c r="AV21" s="368">
        <f>IF(ISBLANK(G21),"",(AVERAGE($I$4:I21)))</f>
        <v>9.1666666666666661</v>
      </c>
      <c r="AW21" s="22">
        <f>IF(ISBLANK(M21),"",AVERAGE($M$4:M21))</f>
        <v>62.888888888888886</v>
      </c>
      <c r="AX21" s="376">
        <f>IF(ISBLANK(P21),"",(AVERAGE($R$4:R21)))</f>
        <v>1022.0833333333334</v>
      </c>
      <c r="AY21" s="368">
        <f>IF(ISBLANK(U21),"",(AVERAGE($U$4:U21)))</f>
        <v>4.822222222222222</v>
      </c>
      <c r="AZ21" s="6"/>
      <c r="BA21" s="25">
        <f t="shared" si="15"/>
        <v>1.7499999999999938</v>
      </c>
      <c r="BB21" s="25">
        <f t="shared" si="16"/>
        <v>5.1857142857142797</v>
      </c>
      <c r="BC21" s="25">
        <f t="shared" si="20"/>
        <v>3.4678571428571368</v>
      </c>
      <c r="BD21" s="367">
        <f t="shared" si="19"/>
        <v>3.4357142857142859</v>
      </c>
      <c r="BE21" s="72"/>
      <c r="BF21" s="25">
        <f>IF(ISBLANK(F21),"",AS21-AVERAGE($F$91:F108))</f>
        <v>3.3013888888888872</v>
      </c>
      <c r="BG21" s="25">
        <f>IF(ISBLANK(G21),"",AT21-AVERAGE($G$91:G108))</f>
        <v>5.0240079365079389</v>
      </c>
      <c r="BH21" s="367">
        <f t="shared" ref="BH21:BH29" si="22">IF(ISBLANK(G21),"",BG21-BF21)</f>
        <v>1.7226190476190517</v>
      </c>
      <c r="BI21" s="115">
        <f t="shared" si="8"/>
        <v>5.0595238095238089E-2</v>
      </c>
      <c r="BJ21" s="115">
        <f t="shared" si="9"/>
        <v>1.2860818906290021</v>
      </c>
      <c r="BK21" s="402"/>
      <c r="BL21" s="572">
        <v>18</v>
      </c>
    </row>
    <row r="22" spans="1:64" ht="12.75" customHeight="1" x14ac:dyDescent="0.2">
      <c r="A22" s="278">
        <f t="shared" si="10"/>
        <v>19</v>
      </c>
      <c r="B22" s="131">
        <f t="shared" si="18"/>
        <v>9.3000000000000007</v>
      </c>
      <c r="C22" s="282">
        <f t="shared" si="11"/>
        <v>24.4</v>
      </c>
      <c r="D22" s="685"/>
      <c r="E22" s="99">
        <f t="shared" si="12"/>
        <v>19</v>
      </c>
      <c r="F22" s="23">
        <v>9.3000000000000007</v>
      </c>
      <c r="G22" s="23">
        <v>24.4</v>
      </c>
      <c r="H22" s="553">
        <v>16.600000000000001</v>
      </c>
      <c r="I22" s="23">
        <f t="shared" si="0"/>
        <v>15.099999999999998</v>
      </c>
      <c r="J22" s="6">
        <f t="shared" si="1"/>
        <v>0</v>
      </c>
      <c r="K22" s="24">
        <v>26</v>
      </c>
      <c r="L22" s="24">
        <v>73</v>
      </c>
      <c r="M22" s="554">
        <v>52</v>
      </c>
      <c r="N22" s="24">
        <f t="shared" si="2"/>
        <v>47</v>
      </c>
      <c r="O22" s="50">
        <f t="shared" si="3"/>
        <v>0</v>
      </c>
      <c r="P22" s="24">
        <v>1012</v>
      </c>
      <c r="Q22" s="24">
        <v>1016</v>
      </c>
      <c r="R22" s="24">
        <f t="shared" si="13"/>
        <v>1014</v>
      </c>
      <c r="S22" s="24">
        <f t="shared" si="4"/>
        <v>4</v>
      </c>
      <c r="T22" s="50"/>
      <c r="U22" s="553">
        <v>2.5</v>
      </c>
      <c r="V22" s="553">
        <v>9.1999999999999993</v>
      </c>
      <c r="W22" s="553">
        <v>12.1</v>
      </c>
      <c r="X22" s="562" t="s">
        <v>112</v>
      </c>
      <c r="Y22" s="72">
        <f t="shared" si="14"/>
        <v>0</v>
      </c>
      <c r="Z22" s="539">
        <v>0</v>
      </c>
      <c r="AA22" s="23"/>
      <c r="AB22" s="23"/>
      <c r="AC22" s="510" t="str">
        <f t="shared" si="5"/>
        <v/>
      </c>
      <c r="AD22" s="7" t="str">
        <f t="shared" si="6"/>
        <v/>
      </c>
      <c r="AE22" s="485"/>
      <c r="AF22" s="72"/>
      <c r="AG22" s="553">
        <v>1.8</v>
      </c>
      <c r="AH22" s="553">
        <v>9.5</v>
      </c>
      <c r="AI22" s="553">
        <v>6</v>
      </c>
      <c r="AJ22" s="26">
        <f t="shared" si="7"/>
        <v>7.7</v>
      </c>
      <c r="AK22" s="54"/>
      <c r="AL22" s="485" t="s">
        <v>478</v>
      </c>
      <c r="AM22" s="134"/>
      <c r="AN22" s="23" t="s">
        <v>8</v>
      </c>
      <c r="AO22" s="400"/>
      <c r="AP22" s="485">
        <v>12</v>
      </c>
      <c r="AQ22" s="485">
        <v>0</v>
      </c>
      <c r="AR22" s="134"/>
      <c r="AS22" s="26">
        <f>IF(ISBLANK(F22),"",(AVERAGE($F$4:F22)))</f>
        <v>8.1052631578947363</v>
      </c>
      <c r="AT22" s="26">
        <f>IF(ISBLANK(G22),"",(AVERAGE($G$4:G22)))</f>
        <v>17.58421052631579</v>
      </c>
      <c r="AU22" s="25">
        <f>IF(ISBLANK(H22),"",(AVERAGE($H$4:H22)))</f>
        <v>12.831578947368422</v>
      </c>
      <c r="AV22" s="368">
        <f>IF(ISBLANK(G22),"",(AVERAGE($I$4:I22)))</f>
        <v>9.4789473684210517</v>
      </c>
      <c r="AW22" s="22">
        <f>IF(ISBLANK(M22),"",AVERAGE($M$4:M22))</f>
        <v>62.315789473684212</v>
      </c>
      <c r="AX22" s="376">
        <f>IF(ISBLANK(P22),"",(AVERAGE($R$4:R22)))</f>
        <v>1021.6578947368421</v>
      </c>
      <c r="AY22" s="368">
        <f>IF(ISBLANK(U22),"",(AVERAGE($U$4:U22)))</f>
        <v>4.7</v>
      </c>
      <c r="AZ22" s="6"/>
      <c r="BA22" s="25">
        <f t="shared" si="15"/>
        <v>4.324999999999994</v>
      </c>
      <c r="BB22" s="25">
        <f t="shared" si="16"/>
        <v>11.392857142857133</v>
      </c>
      <c r="BC22" s="25">
        <f t="shared" si="20"/>
        <v>7.8589285714285637</v>
      </c>
      <c r="BD22" s="367">
        <f t="shared" si="19"/>
        <v>7.0678571428571395</v>
      </c>
      <c r="BE22" s="72"/>
      <c r="BF22" s="25">
        <f>IF(ISBLANK(F22),"",AS22-AVERAGE($F$91:F109))</f>
        <v>3.3552631578947345</v>
      </c>
      <c r="BG22" s="25">
        <f>IF(ISBLANK(G22),"",AT22-AVERAGE($G$91:G109))</f>
        <v>5.3592105263157883</v>
      </c>
      <c r="BH22" s="367">
        <f t="shared" si="22"/>
        <v>2.0039473684210538</v>
      </c>
      <c r="BI22" s="115">
        <f t="shared" si="8"/>
        <v>4.7932330827067667E-2</v>
      </c>
      <c r="BJ22" s="115">
        <f t="shared" si="9"/>
        <v>1.3573851922857405</v>
      </c>
      <c r="BK22" s="402"/>
      <c r="BL22" s="572">
        <v>19</v>
      </c>
    </row>
    <row r="23" spans="1:64" ht="12.75" customHeight="1" x14ac:dyDescent="0.2">
      <c r="A23" s="278">
        <f t="shared" si="10"/>
        <v>20</v>
      </c>
      <c r="B23" s="131">
        <f t="shared" si="18"/>
        <v>9.1</v>
      </c>
      <c r="C23" s="282">
        <f t="shared" si="11"/>
        <v>24.4</v>
      </c>
      <c r="D23" s="685"/>
      <c r="E23" s="99">
        <f t="shared" si="12"/>
        <v>20</v>
      </c>
      <c r="F23" s="23">
        <v>9.1</v>
      </c>
      <c r="G23" s="23">
        <v>24.4</v>
      </c>
      <c r="H23" s="553">
        <v>16.8</v>
      </c>
      <c r="I23" s="23">
        <f t="shared" si="0"/>
        <v>15.299999999999999</v>
      </c>
      <c r="J23" s="6">
        <f t="shared" si="1"/>
        <v>0</v>
      </c>
      <c r="K23" s="24">
        <v>33</v>
      </c>
      <c r="L23" s="24">
        <v>79</v>
      </c>
      <c r="M23" s="554">
        <v>54</v>
      </c>
      <c r="N23" s="24">
        <f t="shared" si="2"/>
        <v>46</v>
      </c>
      <c r="O23" s="50">
        <f t="shared" si="3"/>
        <v>0</v>
      </c>
      <c r="P23" s="24">
        <v>1014</v>
      </c>
      <c r="Q23" s="24">
        <v>1016</v>
      </c>
      <c r="R23" s="24">
        <f t="shared" si="13"/>
        <v>1015</v>
      </c>
      <c r="S23" s="24">
        <f t="shared" si="4"/>
        <v>2</v>
      </c>
      <c r="T23" s="50"/>
      <c r="U23" s="553">
        <v>2.2999999999999998</v>
      </c>
      <c r="V23" s="553">
        <v>10.7</v>
      </c>
      <c r="W23" s="553">
        <v>13.4</v>
      </c>
      <c r="X23" s="485" t="s">
        <v>106</v>
      </c>
      <c r="Y23" s="72">
        <f t="shared" si="14"/>
        <v>0</v>
      </c>
      <c r="Z23" s="539">
        <v>0</v>
      </c>
      <c r="AA23" s="23"/>
      <c r="AB23" s="23"/>
      <c r="AC23" s="510" t="str">
        <f t="shared" si="5"/>
        <v/>
      </c>
      <c r="AD23" s="7" t="str">
        <f t="shared" si="6"/>
        <v/>
      </c>
      <c r="AE23" s="485"/>
      <c r="AF23" s="72"/>
      <c r="AG23" s="553">
        <v>4.3</v>
      </c>
      <c r="AH23" s="553">
        <v>9.9</v>
      </c>
      <c r="AI23" s="553">
        <v>6.7</v>
      </c>
      <c r="AJ23" s="26">
        <f t="shared" ref="AJ23:AJ28" si="23">IF(ISBLANK(AG23),"",AH23-AG23)</f>
        <v>5.6000000000000005</v>
      </c>
      <c r="AK23" s="54"/>
      <c r="AL23" s="485" t="s">
        <v>322</v>
      </c>
      <c r="AM23" s="134"/>
      <c r="AN23" s="23" t="s">
        <v>8</v>
      </c>
      <c r="AO23" s="400"/>
      <c r="AP23" s="485">
        <v>9</v>
      </c>
      <c r="AQ23" s="485">
        <v>0</v>
      </c>
      <c r="AR23" s="134"/>
      <c r="AS23" s="26">
        <f>IF(ISBLANK(F23),"",(AVERAGE($F$4:F23)))</f>
        <v>8.1549999999999994</v>
      </c>
      <c r="AT23" s="26">
        <f>IF(ISBLANK(G23),"",(AVERAGE($G$4:G23)))</f>
        <v>17.925000000000001</v>
      </c>
      <c r="AU23" s="25">
        <f>IF(ISBLANK(H23),"",(AVERAGE($H$4:H23)))</f>
        <v>13.030000000000001</v>
      </c>
      <c r="AV23" s="368">
        <f>IF(ISBLANK(G23),"",(AVERAGE($I$4:I23)))</f>
        <v>9.77</v>
      </c>
      <c r="AW23" s="22">
        <f>IF(ISBLANK(M23),"",AVERAGE($M$4:M23))</f>
        <v>61.9</v>
      </c>
      <c r="AX23" s="376">
        <f>IF(ISBLANK(P23),"",(AVERAGE($R$4:R23)))</f>
        <v>1021.325</v>
      </c>
      <c r="AY23" s="368">
        <f>IF(ISBLANK(U23),"",(AVERAGE($U$4:U23)))</f>
        <v>4.58</v>
      </c>
      <c r="AZ23" s="6"/>
      <c r="BA23" s="25">
        <f t="shared" si="15"/>
        <v>4.0999999999999996</v>
      </c>
      <c r="BB23" s="25">
        <f t="shared" si="16"/>
        <v>11.299999999999999</v>
      </c>
      <c r="BC23" s="25">
        <f t="shared" si="20"/>
        <v>7.6999999999999993</v>
      </c>
      <c r="BD23" s="367">
        <f t="shared" si="19"/>
        <v>7.1999999999999993</v>
      </c>
      <c r="BE23" s="72"/>
      <c r="BF23" s="25">
        <f>IF(ISBLANK(F23),"",AS23-AVERAGE($F$91:F110))</f>
        <v>3.3924999999999983</v>
      </c>
      <c r="BG23" s="25">
        <f>IF(ISBLANK(G23),"",AT23-AVERAGE($G$91:G110))</f>
        <v>5.65625</v>
      </c>
      <c r="BH23" s="367">
        <f t="shared" si="22"/>
        <v>2.2637500000000017</v>
      </c>
      <c r="BI23" s="115">
        <f t="shared" si="8"/>
        <v>4.5535714285714284E-2</v>
      </c>
      <c r="BJ23" s="115">
        <f t="shared" si="9"/>
        <v>1.3872692402660303</v>
      </c>
      <c r="BK23" s="88"/>
      <c r="BL23" s="572">
        <v>20</v>
      </c>
    </row>
    <row r="24" spans="1:64" ht="12.75" customHeight="1" x14ac:dyDescent="0.2">
      <c r="A24" s="278">
        <f t="shared" si="10"/>
        <v>21</v>
      </c>
      <c r="B24" s="131">
        <f t="shared" si="18"/>
        <v>11.6</v>
      </c>
      <c r="C24" s="282">
        <f t="shared" si="11"/>
        <v>24.4</v>
      </c>
      <c r="D24" s="685"/>
      <c r="E24" s="99">
        <f t="shared" si="12"/>
        <v>21</v>
      </c>
      <c r="F24" s="23">
        <v>11.6</v>
      </c>
      <c r="G24" s="23">
        <v>24.4</v>
      </c>
      <c r="H24" s="553">
        <v>17.5</v>
      </c>
      <c r="I24" s="23">
        <f t="shared" si="0"/>
        <v>12.799999999999999</v>
      </c>
      <c r="J24" s="6">
        <f t="shared" si="1"/>
        <v>0</v>
      </c>
      <c r="K24" s="24">
        <v>31</v>
      </c>
      <c r="L24" s="24">
        <v>66</v>
      </c>
      <c r="M24" s="554">
        <v>48</v>
      </c>
      <c r="N24" s="24">
        <f t="shared" si="2"/>
        <v>35</v>
      </c>
      <c r="O24" s="50">
        <f t="shared" si="3"/>
        <v>0</v>
      </c>
      <c r="P24" s="24">
        <v>1011</v>
      </c>
      <c r="Q24" s="24">
        <v>1016</v>
      </c>
      <c r="R24" s="24">
        <f t="shared" si="13"/>
        <v>1013.5</v>
      </c>
      <c r="S24" s="24">
        <f t="shared" si="4"/>
        <v>5</v>
      </c>
      <c r="T24" s="50"/>
      <c r="U24" s="553">
        <v>3.5</v>
      </c>
      <c r="V24" s="553">
        <v>10.9</v>
      </c>
      <c r="W24" s="553">
        <v>17.2</v>
      </c>
      <c r="X24" s="555" t="s">
        <v>106</v>
      </c>
      <c r="Y24" s="72">
        <f t="shared" si="14"/>
        <v>0</v>
      </c>
      <c r="Z24" s="539">
        <v>0</v>
      </c>
      <c r="AA24" s="23"/>
      <c r="AB24" s="23"/>
      <c r="AC24" s="510" t="str">
        <f t="shared" si="5"/>
        <v/>
      </c>
      <c r="AD24" s="7" t="str">
        <f t="shared" si="6"/>
        <v/>
      </c>
      <c r="AE24" s="485"/>
      <c r="AF24" s="72"/>
      <c r="AG24" s="553">
        <v>3.2</v>
      </c>
      <c r="AH24" s="553">
        <v>9.5</v>
      </c>
      <c r="AI24" s="553">
        <v>5.8</v>
      </c>
      <c r="AJ24" s="26">
        <f t="shared" si="23"/>
        <v>6.3</v>
      </c>
      <c r="AK24" s="54"/>
      <c r="AL24" s="485" t="s">
        <v>479</v>
      </c>
      <c r="AM24" s="134"/>
      <c r="AN24" s="555" t="s">
        <v>8</v>
      </c>
      <c r="AO24" s="400"/>
      <c r="AP24" s="485">
        <v>8</v>
      </c>
      <c r="AQ24" s="485">
        <v>0</v>
      </c>
      <c r="AR24" s="134"/>
      <c r="AS24" s="26">
        <f>IF(ISBLANK(F24),"",(AVERAGE($F$4:F24)))</f>
        <v>8.3190476190476179</v>
      </c>
      <c r="AT24" s="26">
        <f>IF(ISBLANK(G24),"",(AVERAGE($G$4:G24)))</f>
        <v>18.233333333333331</v>
      </c>
      <c r="AU24" s="25">
        <f>IF(ISBLANK(H24),"",(AVERAGE($H$4:H24)))</f>
        <v>13.242857142857144</v>
      </c>
      <c r="AV24" s="368">
        <f>IF(ISBLANK(G24),"",(AVERAGE($I$4:I24)))</f>
        <v>9.9142857142857146</v>
      </c>
      <c r="AW24" s="22">
        <f>IF(ISBLANK(M24),"",AVERAGE($M$4:M24))</f>
        <v>61.238095238095241</v>
      </c>
      <c r="AX24" s="376">
        <f>IF(ISBLANK(P24),"",(AVERAGE($R$4:R24)))</f>
        <v>1020.952380952381</v>
      </c>
      <c r="AY24" s="368">
        <f>IF(ISBLANK(U24),"",(AVERAGE($U$4:U24)))</f>
        <v>4.5285714285714285</v>
      </c>
      <c r="AZ24" s="6"/>
      <c r="BA24" s="25">
        <f t="shared" si="15"/>
        <v>6.4899999999999993</v>
      </c>
      <c r="BB24" s="25">
        <f t="shared" si="16"/>
        <v>11.139999999999999</v>
      </c>
      <c r="BC24" s="25">
        <f t="shared" si="20"/>
        <v>8.8149999999999995</v>
      </c>
      <c r="BD24" s="367">
        <f t="shared" si="19"/>
        <v>4.6499999999999995</v>
      </c>
      <c r="BE24" s="72"/>
      <c r="BF24" s="25">
        <f>IF(ISBLANK(F24),"",AS24-AVERAGE($F$91:F111))</f>
        <v>3.5399999999999974</v>
      </c>
      <c r="BG24" s="25">
        <f>IF(ISBLANK(G24),"",AT24-AVERAGE($G$91:G111))</f>
        <v>5.9173809523809471</v>
      </c>
      <c r="BH24" s="367">
        <f t="shared" si="22"/>
        <v>2.3773809523809497</v>
      </c>
      <c r="BI24" s="115">
        <f t="shared" si="8"/>
        <v>4.3367346938775503E-2</v>
      </c>
      <c r="BJ24" s="115">
        <f t="shared" si="9"/>
        <v>1.4032030863572365</v>
      </c>
      <c r="BK24" s="88"/>
      <c r="BL24" s="572">
        <v>21</v>
      </c>
    </row>
    <row r="25" spans="1:64" ht="12.75" customHeight="1" x14ac:dyDescent="0.2">
      <c r="A25" s="278">
        <f t="shared" si="10"/>
        <v>22</v>
      </c>
      <c r="B25" s="131">
        <f t="shared" si="18"/>
        <v>9.6</v>
      </c>
      <c r="C25" s="282">
        <f t="shared" si="11"/>
        <v>25.6</v>
      </c>
      <c r="D25" s="685"/>
      <c r="E25" s="99">
        <f t="shared" si="12"/>
        <v>22</v>
      </c>
      <c r="F25" s="23">
        <v>9.6</v>
      </c>
      <c r="G25" s="23">
        <v>25.6</v>
      </c>
      <c r="H25" s="553">
        <v>18</v>
      </c>
      <c r="I25" s="23">
        <f t="shared" si="0"/>
        <v>16</v>
      </c>
      <c r="J25" s="6">
        <f t="shared" si="1"/>
        <v>0</v>
      </c>
      <c r="K25" s="24">
        <v>31</v>
      </c>
      <c r="L25" s="24">
        <v>75</v>
      </c>
      <c r="M25" s="554">
        <v>50</v>
      </c>
      <c r="N25" s="24">
        <f t="shared" si="2"/>
        <v>44</v>
      </c>
      <c r="O25" s="50">
        <f t="shared" si="3"/>
        <v>0</v>
      </c>
      <c r="P25" s="24">
        <v>1008</v>
      </c>
      <c r="Q25" s="24">
        <v>1011</v>
      </c>
      <c r="R25" s="24">
        <f t="shared" si="13"/>
        <v>1009.5</v>
      </c>
      <c r="S25" s="24">
        <f t="shared" si="4"/>
        <v>3</v>
      </c>
      <c r="T25" s="50"/>
      <c r="U25" s="553">
        <v>2.7</v>
      </c>
      <c r="V25" s="553">
        <v>10.199999999999999</v>
      </c>
      <c r="W25" s="553">
        <v>13.2</v>
      </c>
      <c r="X25" s="591" t="s">
        <v>112</v>
      </c>
      <c r="Y25" s="72">
        <f t="shared" si="14"/>
        <v>0</v>
      </c>
      <c r="Z25" s="539">
        <v>0</v>
      </c>
      <c r="AA25" s="23"/>
      <c r="AB25" s="23"/>
      <c r="AC25" s="510" t="str">
        <f t="shared" si="5"/>
        <v/>
      </c>
      <c r="AD25" s="7" t="str">
        <f t="shared" si="6"/>
        <v/>
      </c>
      <c r="AE25" s="485"/>
      <c r="AF25" s="72"/>
      <c r="AG25" s="553">
        <v>3.9</v>
      </c>
      <c r="AH25" s="553">
        <v>9.6999999999999993</v>
      </c>
      <c r="AI25" s="553">
        <v>6.7</v>
      </c>
      <c r="AJ25" s="26">
        <f t="shared" si="23"/>
        <v>5.7999999999999989</v>
      </c>
      <c r="AK25" s="54"/>
      <c r="AL25" s="485" t="s">
        <v>238</v>
      </c>
      <c r="AM25" s="134"/>
      <c r="AN25" s="564" t="s">
        <v>480</v>
      </c>
      <c r="AO25" s="400"/>
      <c r="AP25" s="485">
        <v>12.9</v>
      </c>
      <c r="AQ25" s="485">
        <v>0</v>
      </c>
      <c r="AR25" s="134"/>
      <c r="AS25" s="26">
        <f>IF(ISBLANK(F25),"",(AVERAGE($F$4:F25)))</f>
        <v>8.377272727272727</v>
      </c>
      <c r="AT25" s="26">
        <f>IF(ISBLANK(G25),"",(AVERAGE($G$4:G25)))</f>
        <v>18.568181818181817</v>
      </c>
      <c r="AU25" s="25">
        <f>IF(ISBLANK(H25),"",(AVERAGE($H$4:H25)))</f>
        <v>13.459090909090911</v>
      </c>
      <c r="AV25" s="368">
        <f>IF(ISBLANK(G25),"",(AVERAGE($I$4:I25)))</f>
        <v>10.190909090909091</v>
      </c>
      <c r="AW25" s="22">
        <f>IF(ISBLANK(M25),"",AVERAGE($M$4:M25))</f>
        <v>60.727272727272727</v>
      </c>
      <c r="AX25" s="376">
        <f>IF(ISBLANK(P25),"",(AVERAGE($R$4:R25)))</f>
        <v>1020.4318181818181</v>
      </c>
      <c r="AY25" s="368">
        <f>IF(ISBLANK(U25),"",(AVERAGE($U$4:U25)))</f>
        <v>4.4454545454545453</v>
      </c>
      <c r="AZ25" s="6"/>
      <c r="BA25" s="25">
        <f t="shared" si="15"/>
        <v>4.38</v>
      </c>
      <c r="BB25" s="25">
        <f t="shared" si="16"/>
        <v>12.180000000000001</v>
      </c>
      <c r="BC25" s="25">
        <f t="shared" si="20"/>
        <v>8.2800000000000011</v>
      </c>
      <c r="BD25" s="367">
        <f t="shared" si="19"/>
        <v>7.8000000000000016</v>
      </c>
      <c r="BE25" s="72"/>
      <c r="BF25" s="25">
        <f>IF(ISBLANK(F25),"",AS25-AVERAGE($F$91:F112))</f>
        <v>3.5781818181818164</v>
      </c>
      <c r="BG25" s="25">
        <f>IF(ISBLANK(G25),"",AT25-AVERAGE($G$91:G112))</f>
        <v>6.2020454545454502</v>
      </c>
      <c r="BH25" s="367">
        <f t="shared" si="22"/>
        <v>2.6238636363636338</v>
      </c>
      <c r="BI25" s="115">
        <f t="shared" si="8"/>
        <v>4.1396103896103889E-2</v>
      </c>
      <c r="BJ25" s="115">
        <f t="shared" si="9"/>
        <v>1.4670265630652688</v>
      </c>
      <c r="BK25" s="88"/>
      <c r="BL25" s="572">
        <v>22</v>
      </c>
    </row>
    <row r="26" spans="1:64" ht="12.75" customHeight="1" x14ac:dyDescent="0.2">
      <c r="A26" s="278">
        <f t="shared" si="10"/>
        <v>23</v>
      </c>
      <c r="B26" s="131">
        <f t="shared" si="18"/>
        <v>10.1</v>
      </c>
      <c r="C26" s="282">
        <f t="shared" si="11"/>
        <v>26.5</v>
      </c>
      <c r="D26" s="685"/>
      <c r="E26" s="99">
        <f t="shared" si="12"/>
        <v>23</v>
      </c>
      <c r="F26" s="23">
        <v>10.1</v>
      </c>
      <c r="G26" s="23">
        <v>26.5</v>
      </c>
      <c r="H26" s="553">
        <v>18.600000000000001</v>
      </c>
      <c r="I26" s="23">
        <f t="shared" si="0"/>
        <v>16.399999999999999</v>
      </c>
      <c r="J26" s="6">
        <f t="shared" si="1"/>
        <v>0</v>
      </c>
      <c r="K26" s="24">
        <v>30</v>
      </c>
      <c r="L26" s="24">
        <v>79</v>
      </c>
      <c r="M26" s="554">
        <v>52</v>
      </c>
      <c r="N26" s="24">
        <f t="shared" si="2"/>
        <v>49</v>
      </c>
      <c r="O26" s="50">
        <f t="shared" si="3"/>
        <v>0</v>
      </c>
      <c r="P26" s="24">
        <v>1010</v>
      </c>
      <c r="Q26" s="24">
        <v>1015</v>
      </c>
      <c r="R26" s="24">
        <f t="shared" si="13"/>
        <v>1012.5</v>
      </c>
      <c r="S26" s="24">
        <f t="shared" si="4"/>
        <v>5</v>
      </c>
      <c r="T26" s="50"/>
      <c r="U26" s="553">
        <v>1.7</v>
      </c>
      <c r="V26" s="553">
        <v>10.199999999999999</v>
      </c>
      <c r="W26" s="553">
        <v>15.4</v>
      </c>
      <c r="X26" s="591" t="s">
        <v>114</v>
      </c>
      <c r="Y26" s="72">
        <f t="shared" si="14"/>
        <v>0</v>
      </c>
      <c r="Z26" s="539">
        <v>0.1</v>
      </c>
      <c r="AA26" s="23"/>
      <c r="AB26" s="23"/>
      <c r="AC26" s="510">
        <f t="shared" si="5"/>
        <v>5.5555555555555559E-2</v>
      </c>
      <c r="AD26" s="7" t="str">
        <f t="shared" si="6"/>
        <v/>
      </c>
      <c r="AE26" s="485"/>
      <c r="AF26" s="72"/>
      <c r="AG26" s="553">
        <v>5.4</v>
      </c>
      <c r="AH26" s="553">
        <v>10.9</v>
      </c>
      <c r="AI26" s="553">
        <v>7.8</v>
      </c>
      <c r="AJ26" s="26">
        <f t="shared" si="23"/>
        <v>5.5</v>
      </c>
      <c r="AK26" s="54"/>
      <c r="AL26" s="485" t="s">
        <v>481</v>
      </c>
      <c r="AM26" s="134"/>
      <c r="AN26" s="564" t="s">
        <v>482</v>
      </c>
      <c r="AO26" s="400"/>
      <c r="AP26" s="485">
        <v>9</v>
      </c>
      <c r="AQ26" s="485">
        <v>0.4</v>
      </c>
      <c r="AR26" s="134"/>
      <c r="AS26" s="26">
        <f>IF(ISBLANK(F26),"",(AVERAGE($F$4:F26)))</f>
        <v>8.4521739130434774</v>
      </c>
      <c r="AT26" s="26">
        <f>IF(ISBLANK(G26),"",(AVERAGE($G$4:G26)))</f>
        <v>18.913043478260871</v>
      </c>
      <c r="AU26" s="25">
        <f>IF(ISBLANK(H26),"",(AVERAGE($H$4:H26)))</f>
        <v>13.682608695652176</v>
      </c>
      <c r="AV26" s="368">
        <f>IF(ISBLANK(G26),"",(AVERAGE($I$4:I26)))</f>
        <v>10.460869565217392</v>
      </c>
      <c r="AW26" s="22">
        <f>IF(ISBLANK(M26),"",AVERAGE($M$4:M26))</f>
        <v>60.347826086956523</v>
      </c>
      <c r="AX26" s="376">
        <f>IF(ISBLANK(P26),"",(AVERAGE($R$4:R26)))</f>
        <v>1020.0869565217391</v>
      </c>
      <c r="AY26" s="368">
        <f>IF(ISBLANK(U26),"",(AVERAGE($U$4:U26)))</f>
        <v>4.3260869565217392</v>
      </c>
      <c r="AZ26" s="6"/>
      <c r="BA26" s="25">
        <f t="shared" si="15"/>
        <v>4.7699999999999996</v>
      </c>
      <c r="BB26" s="25">
        <f t="shared" si="16"/>
        <v>12.92</v>
      </c>
      <c r="BC26" s="25">
        <f t="shared" si="20"/>
        <v>8.8449999999999989</v>
      </c>
      <c r="BD26" s="367">
        <f t="shared" si="19"/>
        <v>8.15</v>
      </c>
      <c r="BE26" s="72"/>
      <c r="BF26" s="25">
        <f>IF(ISBLANK(F26),"",AS26-AVERAGE($F$91:F113))</f>
        <v>3.6299999999999981</v>
      </c>
      <c r="BG26" s="25">
        <f>IF(ISBLANK(G26),"",AT26-AVERAGE($G$91:G113))</f>
        <v>6.4941304347826083</v>
      </c>
      <c r="BH26" s="367">
        <f t="shared" si="22"/>
        <v>2.8641304347826102</v>
      </c>
      <c r="BI26" s="115">
        <f t="shared" si="8"/>
        <v>4.1925465838509313E-2</v>
      </c>
      <c r="BJ26" s="115">
        <f t="shared" si="9"/>
        <v>1.4869605913425146</v>
      </c>
      <c r="BK26" s="88"/>
      <c r="BL26" s="572">
        <v>23</v>
      </c>
    </row>
    <row r="27" spans="1:64" ht="12.75" customHeight="1" x14ac:dyDescent="0.2">
      <c r="A27" s="278">
        <f t="shared" si="10"/>
        <v>24</v>
      </c>
      <c r="B27" s="131">
        <f t="shared" si="18"/>
        <v>12.4</v>
      </c>
      <c r="C27" s="282">
        <f t="shared" si="11"/>
        <v>22.7</v>
      </c>
      <c r="D27" s="685"/>
      <c r="E27" s="99">
        <f t="shared" si="12"/>
        <v>24</v>
      </c>
      <c r="F27" s="23">
        <v>12.4</v>
      </c>
      <c r="G27" s="23">
        <v>22.7</v>
      </c>
      <c r="H27" s="553">
        <v>16.7</v>
      </c>
      <c r="I27" s="23">
        <f t="shared" si="0"/>
        <v>10.299999999999999</v>
      </c>
      <c r="J27" s="6">
        <f t="shared" si="1"/>
        <v>0</v>
      </c>
      <c r="K27" s="24">
        <v>48</v>
      </c>
      <c r="L27" s="24">
        <v>83</v>
      </c>
      <c r="M27" s="555">
        <v>65</v>
      </c>
      <c r="N27" s="24">
        <f t="shared" si="2"/>
        <v>35</v>
      </c>
      <c r="O27" s="50">
        <f t="shared" si="3"/>
        <v>0</v>
      </c>
      <c r="P27" s="24">
        <v>1015</v>
      </c>
      <c r="Q27" s="24">
        <v>1023</v>
      </c>
      <c r="R27" s="24">
        <f t="shared" si="13"/>
        <v>1019</v>
      </c>
      <c r="S27" s="24">
        <f t="shared" si="4"/>
        <v>8</v>
      </c>
      <c r="T27" s="50"/>
      <c r="U27" s="553">
        <v>2.8</v>
      </c>
      <c r="V27" s="553">
        <v>9.4</v>
      </c>
      <c r="W27" s="553">
        <v>14.8</v>
      </c>
      <c r="X27" s="555" t="s">
        <v>113</v>
      </c>
      <c r="Y27" s="72">
        <f t="shared" si="14"/>
        <v>0</v>
      </c>
      <c r="Z27" s="539">
        <v>0</v>
      </c>
      <c r="AA27" s="23"/>
      <c r="AB27" s="23"/>
      <c r="AC27" s="510" t="str">
        <f t="shared" si="5"/>
        <v/>
      </c>
      <c r="AD27" s="7" t="str">
        <f t="shared" si="6"/>
        <v/>
      </c>
      <c r="AE27" s="485"/>
      <c r="AF27" s="72"/>
      <c r="AG27" s="553">
        <v>7.5</v>
      </c>
      <c r="AH27" s="553">
        <v>12.5</v>
      </c>
      <c r="AI27" s="553">
        <v>10</v>
      </c>
      <c r="AJ27" s="26">
        <f t="shared" si="23"/>
        <v>5</v>
      </c>
      <c r="AK27" s="6"/>
      <c r="AL27" s="485" t="s">
        <v>238</v>
      </c>
      <c r="AM27" s="134"/>
      <c r="AN27" s="47" t="s">
        <v>253</v>
      </c>
      <c r="AO27" s="400"/>
      <c r="AP27" s="485">
        <v>12.5</v>
      </c>
      <c r="AQ27" s="485">
        <v>0</v>
      </c>
      <c r="AR27" s="134"/>
      <c r="AS27" s="26">
        <f>IF(ISBLANK(F27),"",(AVERAGE($F$4:F27)))</f>
        <v>8.6166666666666654</v>
      </c>
      <c r="AT27" s="26">
        <f>IF(ISBLANK(G27),"",(AVERAGE($G$4:G27)))</f>
        <v>19.070833333333333</v>
      </c>
      <c r="AU27" s="25">
        <f>IF(ISBLANK(H27),"",(AVERAGE($H$4:H27)))</f>
        <v>13.808333333333335</v>
      </c>
      <c r="AV27" s="368">
        <f>IF(ISBLANK(G27),"",(AVERAGE($I$4:I27)))</f>
        <v>10.454166666666667</v>
      </c>
      <c r="AW27" s="22">
        <f>IF(ISBLANK(M27),"",AVERAGE($M$4:M27))</f>
        <v>60.541666666666664</v>
      </c>
      <c r="AX27" s="376">
        <f>IF(ISBLANK(P27),"",(AVERAGE($R$4:R27)))</f>
        <v>1020.0416666666666</v>
      </c>
      <c r="AY27" s="368">
        <f>IF(ISBLANK(U27),"",(AVERAGE($U$4:U27)))</f>
        <v>4.2625000000000002</v>
      </c>
      <c r="AZ27" s="6"/>
      <c r="BA27" s="25">
        <f t="shared" si="15"/>
        <v>6.96</v>
      </c>
      <c r="BB27" s="25">
        <f t="shared" si="16"/>
        <v>8.9599999999999991</v>
      </c>
      <c r="BC27" s="25">
        <f t="shared" si="20"/>
        <v>7.9599999999999991</v>
      </c>
      <c r="BD27" s="367">
        <f t="shared" si="19"/>
        <v>1.9999999999999991</v>
      </c>
      <c r="BE27" s="72"/>
      <c r="BF27" s="25">
        <f>IF(ISBLANK(F27),"",AS27-AVERAGE($F$91:F114))</f>
        <v>3.768749999999998</v>
      </c>
      <c r="BG27" s="25">
        <f>IF(ISBLANK(G27),"",AT27-AVERAGE($G$91:G114))</f>
        <v>6.5968749999999972</v>
      </c>
      <c r="BH27" s="367">
        <f t="shared" si="22"/>
        <v>2.8281249999999991</v>
      </c>
      <c r="BI27" s="115">
        <f t="shared" si="8"/>
        <v>4.0178571428571432E-2</v>
      </c>
      <c r="BJ27" s="115">
        <f t="shared" si="9"/>
        <v>1.5372470470318313</v>
      </c>
      <c r="BK27" s="88"/>
      <c r="BL27" s="572">
        <v>24</v>
      </c>
    </row>
    <row r="28" spans="1:64" ht="12.75" customHeight="1" x14ac:dyDescent="0.2">
      <c r="A28" s="394">
        <f t="shared" si="10"/>
        <v>25</v>
      </c>
      <c r="B28" s="131">
        <f t="shared" si="18"/>
        <v>9.6999999999999993</v>
      </c>
      <c r="C28" s="282">
        <f t="shared" si="11"/>
        <v>20.3</v>
      </c>
      <c r="D28" s="685"/>
      <c r="E28" s="97">
        <f t="shared" si="12"/>
        <v>25</v>
      </c>
      <c r="F28" s="23">
        <v>9.6999999999999993</v>
      </c>
      <c r="G28" s="23">
        <v>20.3</v>
      </c>
      <c r="H28" s="553">
        <v>14.5</v>
      </c>
      <c r="I28" s="23">
        <f t="shared" si="0"/>
        <v>10.600000000000001</v>
      </c>
      <c r="J28" s="6">
        <f t="shared" si="1"/>
        <v>0</v>
      </c>
      <c r="K28" s="24">
        <v>33</v>
      </c>
      <c r="L28" s="24">
        <v>84</v>
      </c>
      <c r="M28" s="555">
        <v>58</v>
      </c>
      <c r="N28" s="24">
        <f t="shared" si="2"/>
        <v>51</v>
      </c>
      <c r="O28" s="50">
        <f t="shared" si="3"/>
        <v>0</v>
      </c>
      <c r="P28" s="24">
        <v>1022</v>
      </c>
      <c r="Q28" s="24">
        <v>1025</v>
      </c>
      <c r="R28" s="24">
        <f t="shared" si="13"/>
        <v>1023.5</v>
      </c>
      <c r="S28" s="24">
        <f t="shared" si="4"/>
        <v>3</v>
      </c>
      <c r="T28" s="50"/>
      <c r="U28" s="553">
        <v>4.5999999999999996</v>
      </c>
      <c r="V28" s="553">
        <v>12.1</v>
      </c>
      <c r="W28" s="553">
        <v>21.9</v>
      </c>
      <c r="X28" s="555" t="s">
        <v>113</v>
      </c>
      <c r="Y28" s="72">
        <f t="shared" si="14"/>
        <v>0</v>
      </c>
      <c r="Z28" s="539">
        <v>0</v>
      </c>
      <c r="AA28" s="23"/>
      <c r="AB28" s="23"/>
      <c r="AC28" s="510" t="str">
        <f t="shared" si="5"/>
        <v/>
      </c>
      <c r="AD28" s="7" t="str">
        <f t="shared" si="6"/>
        <v/>
      </c>
      <c r="AE28" s="485"/>
      <c r="AF28" s="72"/>
      <c r="AG28" s="553">
        <v>1.7</v>
      </c>
      <c r="AH28" s="553">
        <v>8.1</v>
      </c>
      <c r="AI28" s="553">
        <v>5.5</v>
      </c>
      <c r="AJ28" s="26">
        <f t="shared" si="23"/>
        <v>6.3999999999999995</v>
      </c>
      <c r="AK28" s="6"/>
      <c r="AL28" s="485" t="s">
        <v>238</v>
      </c>
      <c r="AM28" s="134"/>
      <c r="AN28" s="47" t="s">
        <v>253</v>
      </c>
      <c r="AO28" s="400"/>
      <c r="AP28" s="485">
        <v>13</v>
      </c>
      <c r="AQ28" s="485">
        <v>0</v>
      </c>
      <c r="AR28" s="134"/>
      <c r="AS28" s="26">
        <f>IF(ISBLANK(F28),"",(AVERAGE($F$4:F28)))</f>
        <v>8.6599999999999984</v>
      </c>
      <c r="AT28" s="26">
        <f>IF(ISBLANK(G28),"",(AVERAGE($G$4:G28)))</f>
        <v>19.12</v>
      </c>
      <c r="AU28" s="25">
        <f>IF(ISBLANK(H28),"",(AVERAGE($H$4:H28)))</f>
        <v>13.836000000000002</v>
      </c>
      <c r="AV28" s="368">
        <f>IF(ISBLANK(G28),"",(AVERAGE($I$4:I28)))</f>
        <v>10.460000000000003</v>
      </c>
      <c r="AW28" s="22">
        <f>IF(ISBLANK(M28),"",AVERAGE($M$4:M28))</f>
        <v>60.44</v>
      </c>
      <c r="AX28" s="376">
        <f>IF(ISBLANK(P28),"",(AVERAGE($R$4:R28)))</f>
        <v>1020.18</v>
      </c>
      <c r="AY28" s="368">
        <f>IF(ISBLANK(U28),"",(AVERAGE($U$4:U28)))</f>
        <v>4.2759999999999998</v>
      </c>
      <c r="AZ28" s="6"/>
      <c r="BA28" s="25">
        <f t="shared" si="15"/>
        <v>4.1499999999999995</v>
      </c>
      <c r="BB28" s="25">
        <f t="shared" si="16"/>
        <v>6.4</v>
      </c>
      <c r="BC28" s="25">
        <f t="shared" si="20"/>
        <v>5.2750000000000004</v>
      </c>
      <c r="BD28" s="367">
        <f t="shared" si="19"/>
        <v>2.2500000000000009</v>
      </c>
      <c r="BE28" s="72"/>
      <c r="BF28" s="25">
        <f>IF(ISBLANK(F28),"",AS28-AVERAGE($F$91:F115))</f>
        <v>3.7839999999999971</v>
      </c>
      <c r="BG28" s="25">
        <f>IF(ISBLANK(G28),"",AT28-AVERAGE($G$91:G115))</f>
        <v>6.5890000000000004</v>
      </c>
      <c r="BH28" s="367">
        <f t="shared" si="22"/>
        <v>2.8050000000000033</v>
      </c>
      <c r="BI28" s="115">
        <f t="shared" si="8"/>
        <v>3.8571428571428576E-2</v>
      </c>
      <c r="BJ28" s="115">
        <f t="shared" si="9"/>
        <v>1.5874338002691204</v>
      </c>
      <c r="BK28" s="88"/>
      <c r="BL28" s="572">
        <v>25</v>
      </c>
    </row>
    <row r="29" spans="1:64" ht="12.75" customHeight="1" x14ac:dyDescent="0.2">
      <c r="A29" s="394">
        <f t="shared" si="10"/>
        <v>26</v>
      </c>
      <c r="B29" s="131">
        <f t="shared" si="18"/>
        <v>8.5</v>
      </c>
      <c r="C29" s="282">
        <f t="shared" si="11"/>
        <v>15.6</v>
      </c>
      <c r="D29" s="685"/>
      <c r="E29" s="97">
        <f t="shared" si="12"/>
        <v>26</v>
      </c>
      <c r="F29" s="23">
        <v>8.5</v>
      </c>
      <c r="G29" s="23">
        <v>15.6</v>
      </c>
      <c r="H29" s="553">
        <v>11.4</v>
      </c>
      <c r="I29" s="23">
        <f t="shared" si="0"/>
        <v>7.1</v>
      </c>
      <c r="J29" s="6">
        <f t="shared" si="1"/>
        <v>0</v>
      </c>
      <c r="K29" s="24">
        <v>63</v>
      </c>
      <c r="L29" s="24">
        <v>82</v>
      </c>
      <c r="M29" s="555">
        <v>73</v>
      </c>
      <c r="N29" s="24">
        <f t="shared" si="2"/>
        <v>19</v>
      </c>
      <c r="O29" s="50">
        <f t="shared" si="3"/>
        <v>0</v>
      </c>
      <c r="P29" s="24">
        <v>1024</v>
      </c>
      <c r="Q29" s="24">
        <v>1026</v>
      </c>
      <c r="R29" s="24">
        <f t="shared" si="13"/>
        <v>1025</v>
      </c>
      <c r="S29" s="24">
        <f t="shared" si="4"/>
        <v>2</v>
      </c>
      <c r="T29" s="50"/>
      <c r="U29" s="553">
        <v>4.5</v>
      </c>
      <c r="V29" s="553">
        <v>11.2</v>
      </c>
      <c r="W29" s="553">
        <v>18.100000000000001</v>
      </c>
      <c r="X29" s="555" t="s">
        <v>113</v>
      </c>
      <c r="Y29" s="72">
        <f t="shared" si="14"/>
        <v>0</v>
      </c>
      <c r="Z29" s="539">
        <v>0</v>
      </c>
      <c r="AA29" s="23"/>
      <c r="AB29" s="23"/>
      <c r="AC29" s="510" t="str">
        <f t="shared" si="5"/>
        <v/>
      </c>
      <c r="AD29" s="7" t="str">
        <f t="shared" si="6"/>
        <v/>
      </c>
      <c r="AE29" s="485"/>
      <c r="AF29" s="72"/>
      <c r="AG29" s="553">
        <v>5</v>
      </c>
      <c r="AH29" s="553">
        <v>9</v>
      </c>
      <c r="AI29" s="553">
        <v>6.6</v>
      </c>
      <c r="AJ29" s="7">
        <f>IF(ISBLANK(AH29),"",AH29-AG29)</f>
        <v>4</v>
      </c>
      <c r="AK29" s="6"/>
      <c r="AL29" s="485" t="s">
        <v>483</v>
      </c>
      <c r="AM29" s="134"/>
      <c r="AN29" s="23" t="s">
        <v>8</v>
      </c>
      <c r="AO29" s="400"/>
      <c r="AP29" s="485">
        <v>4</v>
      </c>
      <c r="AQ29" s="485">
        <v>0</v>
      </c>
      <c r="AR29" s="134"/>
      <c r="AS29" s="26">
        <f>IF(ISBLANK(F29),"",(AVERAGE($F$4:F29)))</f>
        <v>8.6538461538461533</v>
      </c>
      <c r="AT29" s="26">
        <f>IF(ISBLANK(G29),"",(AVERAGE($G$4:G29)))</f>
        <v>18.984615384615385</v>
      </c>
      <c r="AU29" s="25">
        <f>IF(ISBLANK(H29),"",(AVERAGE($H$4:H29)))</f>
        <v>13.742307692307692</v>
      </c>
      <c r="AV29" s="368">
        <f>IF(ISBLANK(G29),"",(AVERAGE($I$4:I29)))</f>
        <v>10.330769230769233</v>
      </c>
      <c r="AW29" s="22">
        <f>IF(ISBLANK(M29),"",AVERAGE($M$4:M29))</f>
        <v>60.92307692307692</v>
      </c>
      <c r="AX29" s="376">
        <f>IF(ISBLANK(P29),"",(AVERAGE($R$4:R29)))</f>
        <v>1020.3653846153846</v>
      </c>
      <c r="AY29" s="368">
        <f>IF(ISBLANK(U29),"",(AVERAGE($U$4:U29)))</f>
        <v>4.2846153846153845</v>
      </c>
      <c r="AZ29" s="6"/>
      <c r="BA29" s="25">
        <f t="shared" si="15"/>
        <v>2.84</v>
      </c>
      <c r="BB29" s="25">
        <f t="shared" si="16"/>
        <v>1.5399999999999991</v>
      </c>
      <c r="BC29" s="25">
        <f t="shared" si="20"/>
        <v>2.1899999999999995</v>
      </c>
      <c r="BD29" s="367">
        <f t="shared" si="19"/>
        <v>-1.3000000000000007</v>
      </c>
      <c r="BE29" s="72"/>
      <c r="BF29" s="25">
        <f>IF(ISBLANK(F29),"",AS29-AVERAGE($F$91:F116))</f>
        <v>3.7476923076923061</v>
      </c>
      <c r="BG29" s="25">
        <f>IF(ISBLANK(G29),"",AT29-AVERAGE($G$91:G116))</f>
        <v>6.3948076923076904</v>
      </c>
      <c r="BH29" s="367">
        <f t="shared" si="22"/>
        <v>2.6471153846153843</v>
      </c>
      <c r="BI29" s="115">
        <f t="shared" si="8"/>
        <v>3.7087912087912088E-2</v>
      </c>
      <c r="BJ29" s="115">
        <f t="shared" si="9"/>
        <v>1.5567378075084564</v>
      </c>
      <c r="BK29" s="88"/>
      <c r="BL29" s="572">
        <v>26</v>
      </c>
    </row>
    <row r="30" spans="1:64" ht="12.75" customHeight="1" x14ac:dyDescent="0.2">
      <c r="A30" s="394">
        <f t="shared" si="10"/>
        <v>27</v>
      </c>
      <c r="B30" s="131">
        <v>7.9</v>
      </c>
      <c r="C30" s="282">
        <f t="shared" si="11"/>
        <v>16.3</v>
      </c>
      <c r="D30" s="685"/>
      <c r="E30" s="97">
        <f t="shared" si="12"/>
        <v>27</v>
      </c>
      <c r="F30" s="23">
        <v>7</v>
      </c>
      <c r="G30" s="23">
        <v>16.3</v>
      </c>
      <c r="H30" s="553">
        <v>11.5</v>
      </c>
      <c r="I30" s="23">
        <f t="shared" si="0"/>
        <v>9.3000000000000007</v>
      </c>
      <c r="J30" s="6">
        <f t="shared" si="1"/>
        <v>0</v>
      </c>
      <c r="K30" s="24">
        <v>36</v>
      </c>
      <c r="L30" s="24">
        <v>78</v>
      </c>
      <c r="M30" s="554">
        <v>59</v>
      </c>
      <c r="N30" s="24">
        <f t="shared" si="2"/>
        <v>42</v>
      </c>
      <c r="O30" s="50">
        <f t="shared" si="3"/>
        <v>1</v>
      </c>
      <c r="P30" s="24">
        <v>1023</v>
      </c>
      <c r="Q30" s="24">
        <v>1026</v>
      </c>
      <c r="R30" s="24">
        <f t="shared" si="13"/>
        <v>1024.5</v>
      </c>
      <c r="S30" s="24">
        <f t="shared" si="4"/>
        <v>3</v>
      </c>
      <c r="T30" s="50"/>
      <c r="U30" s="553">
        <v>5.3</v>
      </c>
      <c r="V30" s="553">
        <v>13.5</v>
      </c>
      <c r="W30" s="553">
        <v>22.5</v>
      </c>
      <c r="X30" s="555" t="s">
        <v>105</v>
      </c>
      <c r="Y30" s="72">
        <f t="shared" si="14"/>
        <v>0</v>
      </c>
      <c r="Z30" s="539">
        <v>0</v>
      </c>
      <c r="AA30" s="23"/>
      <c r="AB30" s="23"/>
      <c r="AC30" s="510" t="str">
        <f t="shared" si="5"/>
        <v/>
      </c>
      <c r="AD30" s="7" t="str">
        <f t="shared" si="6"/>
        <v/>
      </c>
      <c r="AE30" s="485"/>
      <c r="AF30" s="72"/>
      <c r="AG30" s="553">
        <v>0.3</v>
      </c>
      <c r="AH30" s="553">
        <v>5.8</v>
      </c>
      <c r="AI30" s="553">
        <v>3.3</v>
      </c>
      <c r="AJ30" s="26">
        <f>IF(ISBLANK(AH30),"",AH30-AG30)</f>
        <v>5.5</v>
      </c>
      <c r="AK30" s="72"/>
      <c r="AL30" s="485" t="s">
        <v>484</v>
      </c>
      <c r="AM30" s="134"/>
      <c r="AN30" s="23" t="s">
        <v>8</v>
      </c>
      <c r="AO30" s="400"/>
      <c r="AP30" s="485">
        <v>11</v>
      </c>
      <c r="AQ30" s="485">
        <v>0</v>
      </c>
      <c r="AR30" s="134"/>
      <c r="AS30" s="26">
        <f>IF(ISBLANK(F30),"",(AVERAGE($F$4:F30)))</f>
        <v>8.5925925925925917</v>
      </c>
      <c r="AT30" s="26">
        <f>IF(ISBLANK(G30),"",(AVERAGE($G$4:G30)))</f>
        <v>18.885185185185186</v>
      </c>
      <c r="AU30" s="25">
        <f>IF(ISBLANK(H30),"",(AVERAGE($H$4:H30)))</f>
        <v>13.65925925925926</v>
      </c>
      <c r="AV30" s="368">
        <f>IF(ISBLANK(G30),"",(AVERAGE($I$4:I30)))</f>
        <v>10.292592592592596</v>
      </c>
      <c r="AW30" s="22">
        <f>IF(ISBLANK(M30),"",AVERAGE($M$4:M30))</f>
        <v>60.851851851851855</v>
      </c>
      <c r="AX30" s="376">
        <f>IF(ISBLANK(P30),"",(AVERAGE($R$4:R30)))</f>
        <v>1020.5185185185185</v>
      </c>
      <c r="AY30" s="368">
        <f>IF(ISBLANK(U30),"",(AVERAGE($U$4:U30)))</f>
        <v>4.322222222222222</v>
      </c>
      <c r="AZ30" s="6"/>
      <c r="BA30" s="25">
        <f t="shared" si="15"/>
        <v>1.2300000000000004</v>
      </c>
      <c r="BB30" s="25">
        <f t="shared" si="16"/>
        <v>2.08</v>
      </c>
      <c r="BC30" s="25">
        <f t="shared" si="20"/>
        <v>1.6550000000000002</v>
      </c>
      <c r="BD30" s="367">
        <f t="shared" si="19"/>
        <v>0.84999999999999964</v>
      </c>
      <c r="BE30" s="72"/>
      <c r="BF30" s="25">
        <f>IF(ISBLANK(F30),"",AS30-AVERAGE($F$91:F117))</f>
        <v>3.6544444444444428</v>
      </c>
      <c r="BG30" s="25">
        <f>IF(ISBLANK(G30),"",AT30-AVERAGE($G$91:G117))</f>
        <v>6.2349999999999994</v>
      </c>
      <c r="BH30" s="367">
        <f>IF(ISBLANK(G30),"",BG30-BF30)</f>
        <v>2.5805555555555566</v>
      </c>
      <c r="BI30" s="115">
        <f t="shared" si="8"/>
        <v>3.5714285714285719E-2</v>
      </c>
      <c r="BJ30" s="115">
        <f t="shared" si="9"/>
        <v>1.5853619542495647</v>
      </c>
      <c r="BK30" s="421"/>
      <c r="BL30" s="572">
        <v>27</v>
      </c>
    </row>
    <row r="31" spans="1:64" ht="12.75" customHeight="1" x14ac:dyDescent="0.2">
      <c r="A31" s="394">
        <f t="shared" si="10"/>
        <v>28</v>
      </c>
      <c r="B31" s="131">
        <f t="shared" si="18"/>
        <v>6</v>
      </c>
      <c r="C31" s="282">
        <f t="shared" si="11"/>
        <v>15.1</v>
      </c>
      <c r="D31" s="685"/>
      <c r="E31" s="97">
        <f t="shared" si="12"/>
        <v>28</v>
      </c>
      <c r="F31" s="23">
        <v>6</v>
      </c>
      <c r="G31" s="23">
        <v>15.1</v>
      </c>
      <c r="H31" s="553">
        <v>10.4</v>
      </c>
      <c r="I31" s="23">
        <f t="shared" si="0"/>
        <v>9.1</v>
      </c>
      <c r="J31" s="6">
        <f t="shared" si="1"/>
        <v>0</v>
      </c>
      <c r="K31" s="24">
        <v>59</v>
      </c>
      <c r="L31" s="24">
        <v>87</v>
      </c>
      <c r="M31" s="554">
        <v>74</v>
      </c>
      <c r="N31" s="24">
        <f t="shared" si="2"/>
        <v>28</v>
      </c>
      <c r="O31" s="50">
        <f t="shared" si="3"/>
        <v>0</v>
      </c>
      <c r="P31" s="24">
        <v>1016</v>
      </c>
      <c r="Q31" s="24">
        <v>1024</v>
      </c>
      <c r="R31" s="24">
        <f t="shared" si="13"/>
        <v>1020</v>
      </c>
      <c r="S31" s="24">
        <f t="shared" si="4"/>
        <v>8</v>
      </c>
      <c r="T31" s="50"/>
      <c r="U31" s="553">
        <v>6.1</v>
      </c>
      <c r="V31" s="553">
        <v>13.2</v>
      </c>
      <c r="W31" s="553">
        <v>19.2</v>
      </c>
      <c r="X31" s="555" t="s">
        <v>113</v>
      </c>
      <c r="Y31" s="72">
        <f t="shared" si="14"/>
        <v>0</v>
      </c>
      <c r="Z31" s="539">
        <v>0</v>
      </c>
      <c r="AA31" s="23"/>
      <c r="AB31" s="23"/>
      <c r="AC31" s="510" t="str">
        <f t="shared" si="5"/>
        <v/>
      </c>
      <c r="AD31" s="7" t="str">
        <f t="shared" si="6"/>
        <v/>
      </c>
      <c r="AE31" s="485"/>
      <c r="AF31" s="72"/>
      <c r="AG31" s="553">
        <v>2.2999999999999998</v>
      </c>
      <c r="AH31" s="553">
        <v>8.1999999999999993</v>
      </c>
      <c r="AI31" s="553">
        <v>5.8</v>
      </c>
      <c r="AJ31" s="26">
        <f>IF(ISBLANK(AH31),"",AH31-AG31)</f>
        <v>5.8999999999999995</v>
      </c>
      <c r="AK31" s="72"/>
      <c r="AL31" s="485" t="s">
        <v>485</v>
      </c>
      <c r="AM31" s="134"/>
      <c r="AN31" s="23" t="s">
        <v>8</v>
      </c>
      <c r="AO31" s="400"/>
      <c r="AP31" s="485">
        <v>5</v>
      </c>
      <c r="AQ31" s="485">
        <v>0</v>
      </c>
      <c r="AR31" s="134"/>
      <c r="AS31" s="26">
        <f>IF(ISBLANK(F31),"",(AVERAGE($F$4:F31)))</f>
        <v>8.4999999999999982</v>
      </c>
      <c r="AT31" s="26">
        <f>IF(ISBLANK(G31),"",(AVERAGE($G$4:G31)))</f>
        <v>18.75</v>
      </c>
      <c r="AU31" s="25">
        <f>IF(ISBLANK(H31),"",(AVERAGE($H$4:H31)))</f>
        <v>13.542857142857143</v>
      </c>
      <c r="AV31" s="368">
        <f>IF(ISBLANK(G31),"",(AVERAGE($I$4:I31)))</f>
        <v>10.250000000000004</v>
      </c>
      <c r="AW31" s="22">
        <f>IF(ISBLANK(M31),"",AVERAGE($M$4:M31))</f>
        <v>61.321428571428569</v>
      </c>
      <c r="AX31" s="376">
        <f>IF(ISBLANK(P31),"",(AVERAGE($R$4:R31)))</f>
        <v>1020.5</v>
      </c>
      <c r="AY31" s="368">
        <f>IF(ISBLANK(U31),"",(AVERAGE($U$4:U31)))</f>
        <v>4.3857142857142852</v>
      </c>
      <c r="AZ31" s="6"/>
      <c r="BA31" s="25">
        <f t="shared" si="15"/>
        <v>0.12000000000000011</v>
      </c>
      <c r="BB31" s="25">
        <f t="shared" si="16"/>
        <v>0.71999999999999886</v>
      </c>
      <c r="BC31" s="25">
        <f t="shared" si="20"/>
        <v>0.41999999999999948</v>
      </c>
      <c r="BD31" s="367">
        <f t="shared" si="19"/>
        <v>0.59999999999999876</v>
      </c>
      <c r="BE31" s="72"/>
      <c r="BF31" s="25">
        <f>IF(ISBLANK(F31),"",AS31-AVERAGE($F$91:F118))</f>
        <v>3.5282142857142835</v>
      </c>
      <c r="BG31" s="25">
        <f>IF(ISBLANK(G31),"",AT31-AVERAGE($G$91:G118))</f>
        <v>6.0380357142857122</v>
      </c>
      <c r="BH31" s="367">
        <f>IF(ISBLANK(G31),"",BG31-BF31)</f>
        <v>2.5098214285714286</v>
      </c>
      <c r="BI31" s="115">
        <f t="shared" si="8"/>
        <v>3.4438775510204085E-2</v>
      </c>
      <c r="BJ31" s="115">
        <f t="shared" si="9"/>
        <v>1.5644148171533523</v>
      </c>
      <c r="BK31" s="421"/>
      <c r="BL31" s="572">
        <v>28</v>
      </c>
    </row>
    <row r="32" spans="1:64" ht="12.75" customHeight="1" x14ac:dyDescent="0.2">
      <c r="A32" s="394">
        <f t="shared" si="10"/>
        <v>29</v>
      </c>
      <c r="B32" s="131">
        <f t="shared" si="18"/>
        <v>9.1</v>
      </c>
      <c r="C32" s="282">
        <f t="shared" si="11"/>
        <v>19.5</v>
      </c>
      <c r="D32" s="685"/>
      <c r="E32" s="97">
        <f t="shared" si="12"/>
        <v>29</v>
      </c>
      <c r="F32" s="23">
        <v>9.1</v>
      </c>
      <c r="G32" s="23">
        <v>19.5</v>
      </c>
      <c r="H32" s="553">
        <v>13.7</v>
      </c>
      <c r="I32" s="23">
        <f t="shared" si="0"/>
        <v>10.4</v>
      </c>
      <c r="J32" s="6">
        <f t="shared" si="1"/>
        <v>0</v>
      </c>
      <c r="K32" s="24">
        <v>51</v>
      </c>
      <c r="L32" s="24">
        <v>88</v>
      </c>
      <c r="M32" s="554">
        <v>73</v>
      </c>
      <c r="N32" s="24">
        <f t="shared" si="2"/>
        <v>37</v>
      </c>
      <c r="O32" s="50">
        <f t="shared" si="3"/>
        <v>0</v>
      </c>
      <c r="P32" s="24">
        <v>1010</v>
      </c>
      <c r="Q32" s="24">
        <v>1016</v>
      </c>
      <c r="R32" s="24">
        <f t="shared" si="13"/>
        <v>1013</v>
      </c>
      <c r="S32" s="24">
        <f t="shared" si="4"/>
        <v>6</v>
      </c>
      <c r="T32" s="50"/>
      <c r="U32" s="553">
        <v>4.3</v>
      </c>
      <c r="V32" s="553">
        <v>15.2</v>
      </c>
      <c r="W32" s="553">
        <v>20.8</v>
      </c>
      <c r="X32" s="555" t="s">
        <v>105</v>
      </c>
      <c r="Y32" s="72">
        <f t="shared" si="14"/>
        <v>0</v>
      </c>
      <c r="Z32" s="557">
        <v>0</v>
      </c>
      <c r="AA32" s="558"/>
      <c r="AB32" s="23"/>
      <c r="AC32" s="510" t="str">
        <f t="shared" si="5"/>
        <v/>
      </c>
      <c r="AD32" s="7" t="str">
        <f t="shared" si="6"/>
        <v/>
      </c>
      <c r="AE32" s="559"/>
      <c r="AF32" s="72"/>
      <c r="AG32" s="553">
        <v>6.1</v>
      </c>
      <c r="AH32" s="553">
        <v>12.4</v>
      </c>
      <c r="AI32" s="553">
        <v>8.8000000000000007</v>
      </c>
      <c r="AJ32" s="26">
        <f>IF(ISBLANK(AH32),"",AH32-AG32)</f>
        <v>6.3000000000000007</v>
      </c>
      <c r="AK32" s="72"/>
      <c r="AL32" s="485" t="s">
        <v>486</v>
      </c>
      <c r="AM32" s="134"/>
      <c r="AN32" s="23" t="s">
        <v>8</v>
      </c>
      <c r="AO32" s="400"/>
      <c r="AP32" s="485">
        <v>3.5</v>
      </c>
      <c r="AQ32" s="485">
        <v>0</v>
      </c>
      <c r="AR32" s="134"/>
      <c r="AS32" s="26">
        <f>IF(ISBLANK(F32),"",(AVERAGE($F$4:F32)))</f>
        <v>8.5206896551724132</v>
      </c>
      <c r="AT32" s="26">
        <f>IF(ISBLANK(G32),"",(AVERAGE($G$4:G32)))</f>
        <v>18.775862068965516</v>
      </c>
      <c r="AU32" s="25">
        <f>IF(ISBLANK(H32),"",(AVERAGE($H$4:H32)))</f>
        <v>13.548275862068964</v>
      </c>
      <c r="AV32" s="368">
        <f>IF(ISBLANK(G32),"",(AVERAGE($I$4:I32)))</f>
        <v>10.255172413793106</v>
      </c>
      <c r="AW32" s="22">
        <f>IF(ISBLANK(M32),"",AVERAGE($M$4:M32))</f>
        <v>61.724137931034484</v>
      </c>
      <c r="AX32" s="376">
        <f>IF(ISBLANK(P32),"",(AVERAGE($R$4:R32)))</f>
        <v>1020.2413793103449</v>
      </c>
      <c r="AY32" s="368">
        <f>IF(ISBLANK(U32),"",(AVERAGE($U$4:U32)))</f>
        <v>4.3827586206896543</v>
      </c>
      <c r="AZ32" s="6"/>
      <c r="BA32" s="25">
        <f t="shared" si="15"/>
        <v>3.1099999999999994</v>
      </c>
      <c r="BB32" s="25">
        <f t="shared" si="16"/>
        <v>4.9600000000000009</v>
      </c>
      <c r="BC32" s="25">
        <f t="shared" si="20"/>
        <v>4.0350000000000001</v>
      </c>
      <c r="BD32" s="367">
        <f t="shared" si="19"/>
        <v>1.8500000000000014</v>
      </c>
      <c r="BE32" s="72"/>
      <c r="BF32" s="25">
        <f>IF(ISBLANK(F32),"",AS32-AVERAGE($F$91:F119))</f>
        <v>3.5137931034482746</v>
      </c>
      <c r="BG32" s="25">
        <f>IF(ISBLANK(G32),"",AT32-AVERAGE($G$91:G119))</f>
        <v>6.0008620689655139</v>
      </c>
      <c r="BH32" s="367">
        <f>IF(ISBLANK(G32),"",BG32-BF32)</f>
        <v>2.4870689655172393</v>
      </c>
      <c r="BI32" s="115">
        <f t="shared" si="8"/>
        <v>3.3251231527093597E-2</v>
      </c>
      <c r="BJ32" s="115">
        <f t="shared" si="9"/>
        <v>1.5334093641087319</v>
      </c>
      <c r="BK32" s="88"/>
      <c r="BL32" s="572">
        <v>29</v>
      </c>
    </row>
    <row r="33" spans="1:64" ht="12.75" customHeight="1" x14ac:dyDescent="0.2">
      <c r="A33" s="394">
        <f t="shared" si="10"/>
        <v>30</v>
      </c>
      <c r="B33" s="131">
        <f t="shared" si="18"/>
        <v>10.9</v>
      </c>
      <c r="C33" s="282">
        <f t="shared" si="11"/>
        <v>19.7</v>
      </c>
      <c r="D33" s="685"/>
      <c r="E33" s="97">
        <f t="shared" si="12"/>
        <v>30</v>
      </c>
      <c r="F33" s="23">
        <v>10.9</v>
      </c>
      <c r="G33" s="23">
        <v>19.7</v>
      </c>
      <c r="H33" s="553">
        <v>15</v>
      </c>
      <c r="I33" s="23">
        <f t="shared" si="0"/>
        <v>8.7999999999999989</v>
      </c>
      <c r="J33" s="6">
        <f t="shared" si="1"/>
        <v>0</v>
      </c>
      <c r="K33" s="24">
        <v>43</v>
      </c>
      <c r="L33" s="24">
        <v>82</v>
      </c>
      <c r="M33" s="554">
        <v>62</v>
      </c>
      <c r="N33" s="24">
        <f t="shared" si="2"/>
        <v>39</v>
      </c>
      <c r="O33" s="50">
        <f t="shared" si="3"/>
        <v>0</v>
      </c>
      <c r="P33" s="24">
        <v>1007</v>
      </c>
      <c r="Q33" s="24">
        <v>1010</v>
      </c>
      <c r="R33" s="24">
        <f t="shared" si="13"/>
        <v>1008.5</v>
      </c>
      <c r="S33" s="24">
        <f t="shared" si="4"/>
        <v>3</v>
      </c>
      <c r="T33" s="50"/>
      <c r="U33" s="553">
        <v>7.5</v>
      </c>
      <c r="V33" s="553">
        <v>17</v>
      </c>
      <c r="W33" s="553">
        <v>25.1</v>
      </c>
      <c r="X33" s="485" t="s">
        <v>105</v>
      </c>
      <c r="Y33" s="72">
        <f t="shared" si="14"/>
        <v>0</v>
      </c>
      <c r="Z33" s="557">
        <v>0</v>
      </c>
      <c r="AA33" s="558"/>
      <c r="AB33" s="23"/>
      <c r="AC33" s="510" t="str">
        <f t="shared" si="5"/>
        <v/>
      </c>
      <c r="AD33" s="7" t="str">
        <f t="shared" si="6"/>
        <v/>
      </c>
      <c r="AE33" s="559"/>
      <c r="AF33" s="72"/>
      <c r="AG33" s="553">
        <v>5.2</v>
      </c>
      <c r="AH33" s="553">
        <v>8.9</v>
      </c>
      <c r="AI33" s="553">
        <v>7.8</v>
      </c>
      <c r="AJ33" s="26">
        <f>IF(ISBLANK(AH33),"",AH33-AG33)</f>
        <v>3.7</v>
      </c>
      <c r="AK33" s="72"/>
      <c r="AL33" s="485" t="s">
        <v>238</v>
      </c>
      <c r="AM33" s="134"/>
      <c r="AN33" s="47" t="s">
        <v>253</v>
      </c>
      <c r="AO33" s="400"/>
      <c r="AP33" s="485">
        <v>13.4</v>
      </c>
      <c r="AQ33" s="485">
        <v>0</v>
      </c>
      <c r="AR33" s="134"/>
      <c r="AS33" s="26">
        <f>IF(ISBLANK(F33),"",(AVERAGE($F$4:F33)))</f>
        <v>8.5999999999999979</v>
      </c>
      <c r="AT33" s="26">
        <f>IF(ISBLANK(G33),"",(AVERAGE($G$4:G33)))</f>
        <v>18.806666666666668</v>
      </c>
      <c r="AU33" s="25">
        <f>IF(ISBLANK(H33),"",(AVERAGE($H$4:H33)))</f>
        <v>13.596666666666666</v>
      </c>
      <c r="AV33" s="368">
        <f>IF(ISBLANK(G33),"",(AVERAGE($I$4:I33)))</f>
        <v>10.206666666666671</v>
      </c>
      <c r="AW33" s="22">
        <f>IF(ISBLANK(M33),"",AVERAGE($M$4:M33))</f>
        <v>61.733333333333334</v>
      </c>
      <c r="AX33" s="376">
        <f>IF(ISBLANK(P33),"",(AVERAGE($R$4:R33)))</f>
        <v>1019.85</v>
      </c>
      <c r="AY33" s="368">
        <f>IF(ISBLANK(U33),"",(AVERAGE($U$4:U33)))</f>
        <v>4.4866666666666655</v>
      </c>
      <c r="AZ33" s="6"/>
      <c r="BA33" s="25">
        <f t="shared" si="15"/>
        <v>4.8000000000000007</v>
      </c>
      <c r="BB33" s="25">
        <f t="shared" si="16"/>
        <v>5</v>
      </c>
      <c r="BC33" s="25">
        <f t="shared" si="20"/>
        <v>4.9000000000000004</v>
      </c>
      <c r="BD33" s="367">
        <f t="shared" si="19"/>
        <v>0.19999999999999929</v>
      </c>
      <c r="BE33" s="72"/>
      <c r="BF33" s="25">
        <f>IF(ISBLANK(F33),"",AS33-AVERAGE($F$91:F120))</f>
        <v>3.556666666666664</v>
      </c>
      <c r="BG33" s="25">
        <f>IF(ISBLANK(G33),"",AT33-AVERAGE($G$91:G120))</f>
        <v>5.9674999999999994</v>
      </c>
      <c r="BH33" s="367">
        <f>IF(ISBLANK(G33),"",BG33-BF33)</f>
        <v>2.4108333333333354</v>
      </c>
      <c r="BI33" s="377">
        <f t="shared" si="8"/>
        <v>3.2142857142857147E-2</v>
      </c>
      <c r="BJ33" s="115">
        <f t="shared" si="9"/>
        <v>1.5766423357664228</v>
      </c>
      <c r="BK33" s="88"/>
      <c r="BL33" s="572">
        <v>30</v>
      </c>
    </row>
    <row r="34" spans="1:64" ht="12.75" hidden="1" customHeight="1" x14ac:dyDescent="0.2">
      <c r="A34" s="278">
        <v>31</v>
      </c>
      <c r="B34" s="131" t="str">
        <f>IF(ISBLANK(F34),"",F34)</f>
        <v/>
      </c>
      <c r="C34" s="282" t="str">
        <f>IF(ISBLANK(G34),"",G34)</f>
        <v/>
      </c>
      <c r="D34" s="685"/>
      <c r="E34" s="99">
        <v>30</v>
      </c>
      <c r="F34" s="23"/>
      <c r="G34" s="23"/>
      <c r="H34" s="553"/>
      <c r="I34" s="23"/>
      <c r="J34" s="6"/>
      <c r="K34" s="24"/>
      <c r="L34" s="24"/>
      <c r="M34" s="554"/>
      <c r="N34" s="24"/>
      <c r="O34" s="50"/>
      <c r="P34" s="24"/>
      <c r="Q34" s="24"/>
      <c r="R34" s="24" t="str">
        <f>IF(ISBLANK(P34),"",AVERAGE(P34:Q34))</f>
        <v/>
      </c>
      <c r="S34" s="24"/>
      <c r="T34" s="50"/>
      <c r="U34" s="553"/>
      <c r="V34" s="553"/>
      <c r="W34" s="553"/>
      <c r="X34" s="485"/>
      <c r="Y34" s="72" t="str">
        <f>IF(ISBLANK(Z34),"",IF(AQ34&lt;0.5,0,IF(Z34=0,0,IF(Z34&lt;1,1,2))))</f>
        <v/>
      </c>
      <c r="Z34" s="557"/>
      <c r="AA34" s="558"/>
      <c r="AB34" s="558"/>
      <c r="AC34" s="563"/>
      <c r="AD34" s="7"/>
      <c r="AE34" s="559"/>
      <c r="AF34" s="72"/>
      <c r="AG34" s="553"/>
      <c r="AH34" s="553"/>
      <c r="AI34" s="553"/>
      <c r="AJ34" s="26"/>
      <c r="AK34" s="72"/>
      <c r="AL34" s="485"/>
      <c r="AM34" s="134"/>
      <c r="AN34" s="23"/>
      <c r="AO34" s="400"/>
      <c r="AP34" s="485"/>
      <c r="AQ34" s="485"/>
      <c r="AR34" s="134"/>
      <c r="AS34" s="26"/>
      <c r="AT34" s="26"/>
      <c r="AU34" s="25"/>
      <c r="AV34" s="368"/>
      <c r="AW34" s="22"/>
      <c r="AX34" s="376"/>
      <c r="AY34" s="368"/>
      <c r="AZ34" s="6"/>
      <c r="BA34" s="25" t="str">
        <f t="shared" si="15"/>
        <v/>
      </c>
      <c r="BB34" s="25" t="str">
        <f t="shared" si="16"/>
        <v/>
      </c>
      <c r="BC34" s="25" t="str">
        <f t="shared" si="20"/>
        <v/>
      </c>
      <c r="BD34" s="367" t="str">
        <f t="shared" si="19"/>
        <v/>
      </c>
      <c r="BE34" s="72"/>
      <c r="BF34" s="25" t="str">
        <f>IF(ISBLANK(F34),"",AS34-AVERAGE($F$91:F121))</f>
        <v/>
      </c>
      <c r="BG34" s="25" t="str">
        <f>IF(ISBLANK(G34),"",AT34-AVERAGE($G$91:G121))</f>
        <v/>
      </c>
      <c r="BH34" s="367" t="str">
        <f>IF(ISBLANK(G34),"",BG34-BF34)</f>
        <v/>
      </c>
      <c r="BI34" s="138"/>
      <c r="BJ34" s="115" t="str">
        <f t="shared" si="9"/>
        <v/>
      </c>
      <c r="BK34" s="88"/>
      <c r="BL34" s="572">
        <v>31</v>
      </c>
    </row>
    <row r="35" spans="1:64" s="10" customFormat="1" ht="3" customHeight="1" x14ac:dyDescent="0.2">
      <c r="A35" s="67"/>
      <c r="B35" s="284"/>
      <c r="C35" s="285"/>
      <c r="D35" s="685"/>
      <c r="E35" s="15"/>
      <c r="F35" s="29"/>
      <c r="G35" s="29"/>
      <c r="H35" s="28"/>
      <c r="I35" s="29"/>
      <c r="J35" s="6"/>
      <c r="K35" s="30"/>
      <c r="L35" s="30"/>
      <c r="M35" s="30"/>
      <c r="N35" s="30"/>
      <c r="O35" s="17"/>
      <c r="P35" s="30"/>
      <c r="Q35" s="30"/>
      <c r="R35" s="30"/>
      <c r="S35" s="30"/>
      <c r="T35" s="50"/>
      <c r="U35" s="28"/>
      <c r="V35" s="28"/>
      <c r="W35" s="32"/>
      <c r="X35" s="28"/>
      <c r="Y35" s="67"/>
      <c r="Z35" s="501"/>
      <c r="AA35" s="501"/>
      <c r="AB35" s="501"/>
      <c r="AC35" s="511"/>
      <c r="AD35" s="28"/>
      <c r="AE35" s="28"/>
      <c r="AF35" s="6"/>
      <c r="AG35" s="28"/>
      <c r="AH35" s="28"/>
      <c r="AI35" s="28"/>
      <c r="AJ35" s="28"/>
      <c r="AK35" s="67"/>
      <c r="AL35" s="95"/>
      <c r="AM35" s="6"/>
      <c r="AN35" s="29"/>
      <c r="AO35" s="400"/>
      <c r="AP35" s="28"/>
      <c r="AQ35" s="28"/>
      <c r="AR35" s="67"/>
      <c r="AS35" s="31"/>
      <c r="AT35" s="32"/>
      <c r="AU35" s="83"/>
      <c r="AV35" s="33"/>
      <c r="AW35" s="33"/>
      <c r="AX35" s="32"/>
      <c r="AY35" s="112"/>
      <c r="AZ35" s="54"/>
      <c r="BA35" s="112"/>
      <c r="BB35" s="112"/>
      <c r="BC35" s="112"/>
      <c r="BD35" s="82"/>
      <c r="BE35" s="402"/>
      <c r="BF35" s="32"/>
      <c r="BG35" s="32"/>
      <c r="BH35" s="32"/>
      <c r="BI35" s="28"/>
      <c r="BJ35" s="584"/>
      <c r="BK35" s="88"/>
      <c r="BL35" s="78"/>
    </row>
    <row r="36" spans="1:64" ht="12.75" customHeight="1" x14ac:dyDescent="0.2">
      <c r="A36" s="67"/>
      <c r="B36" s="697"/>
      <c r="C36" s="698"/>
      <c r="D36" s="685"/>
      <c r="E36" s="4"/>
      <c r="F36" s="25"/>
      <c r="G36" s="25"/>
      <c r="H36" s="21"/>
      <c r="I36" s="25"/>
      <c r="J36" s="18"/>
      <c r="K36" s="22"/>
      <c r="L36" s="22"/>
      <c r="M36" s="22"/>
      <c r="N36" s="22"/>
      <c r="O36" s="18"/>
      <c r="P36" s="48"/>
      <c r="Q36" s="48"/>
      <c r="R36" s="48"/>
      <c r="S36" s="48"/>
      <c r="T36" s="67"/>
      <c r="U36" s="21"/>
      <c r="V36" s="21"/>
      <c r="W36" s="21"/>
      <c r="X36" s="21"/>
      <c r="Y36" s="67"/>
      <c r="Z36" s="458" t="s">
        <v>34</v>
      </c>
      <c r="AA36" s="502"/>
      <c r="AB36" s="502"/>
      <c r="AC36" s="512"/>
      <c r="AD36" s="430" t="s">
        <v>202</v>
      </c>
      <c r="AE36" s="111"/>
      <c r="AF36" s="6"/>
      <c r="AG36" s="21"/>
      <c r="AJ36" s="21"/>
      <c r="AK36" s="67"/>
      <c r="AM36" s="6"/>
      <c r="AN36" s="182" t="s">
        <v>121</v>
      </c>
      <c r="AO36" s="402"/>
      <c r="AP36" s="185" t="s">
        <v>34</v>
      </c>
      <c r="AQ36" s="520" t="s">
        <v>34</v>
      </c>
      <c r="AR36" s="67"/>
      <c r="AS36" s="271" t="s">
        <v>16</v>
      </c>
      <c r="AT36" s="152" t="s">
        <v>26</v>
      </c>
      <c r="AU36" s="11" t="s">
        <v>41</v>
      </c>
      <c r="AV36" s="416" t="s">
        <v>81</v>
      </c>
      <c r="AW36" s="11" t="s">
        <v>6</v>
      </c>
      <c r="AX36" s="296" t="s">
        <v>79</v>
      </c>
      <c r="AY36" s="182" t="s">
        <v>201</v>
      </c>
      <c r="AZ36" s="71"/>
      <c r="BA36" s="699" t="s">
        <v>78</v>
      </c>
      <c r="BB36" s="699"/>
      <c r="BC36" s="569" t="s">
        <v>200</v>
      </c>
      <c r="BD36" s="419" t="s">
        <v>253</v>
      </c>
      <c r="BE36" s="402"/>
      <c r="BH36" s="21"/>
      <c r="BK36" s="88"/>
      <c r="BL36" s="78"/>
    </row>
    <row r="37" spans="1:64" ht="3" customHeight="1" x14ac:dyDescent="0.2">
      <c r="A37" s="73"/>
      <c r="B37" s="284"/>
      <c r="C37" s="286"/>
      <c r="D37" s="685"/>
      <c r="E37" s="35"/>
      <c r="F37" s="36"/>
      <c r="G37" s="36"/>
      <c r="H37" s="34"/>
      <c r="I37" s="36"/>
      <c r="J37" s="60"/>
      <c r="K37" s="37"/>
      <c r="L37" s="37"/>
      <c r="M37" s="37"/>
      <c r="N37" s="37"/>
      <c r="O37" s="18"/>
      <c r="P37" s="37"/>
      <c r="Q37" s="37"/>
      <c r="R37" s="37"/>
      <c r="S37" s="37"/>
      <c r="T37" s="73"/>
      <c r="U37" s="34"/>
      <c r="V37" s="34"/>
      <c r="W37" s="34"/>
      <c r="X37" s="34"/>
      <c r="Y37" s="73"/>
      <c r="Z37" s="503"/>
      <c r="AA37" s="503"/>
      <c r="AB37" s="503"/>
      <c r="AC37" s="513"/>
      <c r="AD37" s="261"/>
      <c r="AE37" s="261"/>
      <c r="AF37" s="6"/>
      <c r="AG37" s="34"/>
      <c r="AH37" s="34"/>
      <c r="AI37" s="34"/>
      <c r="AJ37" s="34"/>
      <c r="AK37" s="73"/>
      <c r="AL37" s="95"/>
      <c r="AM37" s="6"/>
      <c r="AN37" s="34"/>
      <c r="AO37" s="403"/>
      <c r="AP37" s="34"/>
      <c r="AQ37" s="34"/>
      <c r="AR37" s="73"/>
      <c r="AS37" s="272"/>
      <c r="AT37" s="270"/>
      <c r="AU37" s="36"/>
      <c r="AV37" s="269"/>
      <c r="AW37" s="36"/>
      <c r="AX37" s="297"/>
      <c r="AY37" s="269"/>
      <c r="AZ37" s="76"/>
      <c r="BA37" s="687"/>
      <c r="BB37" s="687"/>
      <c r="BC37" s="36"/>
      <c r="BD37" s="34"/>
      <c r="BE37" s="522"/>
      <c r="BF37" s="95"/>
      <c r="BG37" s="34"/>
      <c r="BH37" s="34"/>
      <c r="BI37" s="364"/>
      <c r="BJ37" s="364"/>
      <c r="BK37" s="403"/>
      <c r="BL37" s="79"/>
    </row>
    <row r="38" spans="1:64" ht="12.75" customHeight="1" x14ac:dyDescent="0.2">
      <c r="A38" s="67"/>
      <c r="B38" s="700" t="s">
        <v>4</v>
      </c>
      <c r="C38" s="701"/>
      <c r="D38" s="685"/>
      <c r="E38" s="4" t="s">
        <v>4</v>
      </c>
      <c r="F38" s="152">
        <f>IF(ISBLANK(F4),"",AVERAGE(F4:F34))</f>
        <v>8.5999999999999979</v>
      </c>
      <c r="G38" s="151">
        <f>IF(ISBLANK(G4),"",AVERAGE(G4:G34))</f>
        <v>18.806666666666668</v>
      </c>
      <c r="H38" s="14">
        <f>IF(ISBLANK(H4),"",AVERAGE(H4:H34))</f>
        <v>13.596666666666666</v>
      </c>
      <c r="I38" s="129">
        <f>IF(ISBLANK(F4),"",AVERAGE(I4:I34))</f>
        <v>10.206666666666671</v>
      </c>
      <c r="J38" s="19"/>
      <c r="K38" s="156">
        <f>IF(ISBLANK(K4),"",AVERAGE(K4:K34))</f>
        <v>43.666666666666664</v>
      </c>
      <c r="L38" s="153">
        <f>IF(ISBLANK(K4),"",AVERAGE(L4:L34))</f>
        <v>79.933333333333337</v>
      </c>
      <c r="M38" s="9">
        <f>IF(ISBLANK(M4),"",AVERAGE(M4:M34))</f>
        <v>61.733333333333334</v>
      </c>
      <c r="N38" s="398">
        <f>IF(ISBLANK(K4),"",AVERAGE(N4:N34))</f>
        <v>36.266666666666666</v>
      </c>
      <c r="O38" s="18"/>
      <c r="P38" s="154">
        <f>IF(ISBLANK(P4),"",AVERAGE(P4:P34))</f>
        <v>1017.7</v>
      </c>
      <c r="Q38" s="155">
        <f>IF(ISBLANK(P4),"",AVERAGE(Q4:Q34))</f>
        <v>1022</v>
      </c>
      <c r="R38" s="378">
        <f>IF(ISBLANK(P4),"",AVERAGE(P4:Q34))</f>
        <v>1019.85</v>
      </c>
      <c r="S38" s="130">
        <f>IF(ISBLANK(P4),"",AVERAGE(S4:S34))</f>
        <v>4.3</v>
      </c>
      <c r="T38" s="70"/>
      <c r="U38" s="266">
        <f>IF(ISBLANK(U4),"",AVERAGE(U4:U34))</f>
        <v>4.4866666666666655</v>
      </c>
      <c r="V38" s="266">
        <f>IF(ISBLANK(V4),"",AVERAGE(V4:V34))</f>
        <v>12.389999999999997</v>
      </c>
      <c r="W38" s="266">
        <f>IF(ISBLANK(U4),"",AVERAGE(W4:W34))</f>
        <v>17.956666666666663</v>
      </c>
      <c r="X38" s="266" t="s">
        <v>110</v>
      </c>
      <c r="Y38" s="56"/>
      <c r="Z38" s="466">
        <f>SUM(Z4:Z34)</f>
        <v>1.8</v>
      </c>
      <c r="AA38" s="466">
        <f>IF($AN$38=0,"",AVERAGE(AA4:AA34))</f>
        <v>0.5</v>
      </c>
      <c r="AB38" s="466" t="str">
        <f>IF($AN$38=0,"",IF(AA86&lt;0.6,"n/a",AVERAGE(AB4:AB34)))</f>
        <v>n/a</v>
      </c>
      <c r="AC38" s="514">
        <f>IF($AN$38=0,"",AVERAGE(AC4:AC34))</f>
        <v>0.33333333333333331</v>
      </c>
      <c r="AD38" s="182">
        <f>IF(Z38=0,"",Z38/AQ38)</f>
        <v>0.46153846153846156</v>
      </c>
      <c r="AE38" s="182" t="str">
        <f>IF($Z$38=0,"",IF(AA86&lt;0.6,"n/a",AVERAGE(AE4:AE34)))</f>
        <v>n/a</v>
      </c>
      <c r="AF38" s="6"/>
      <c r="AG38" s="263">
        <f>IF(ISBLANK(AG4),"",AVERAGE(AG4:AG34))</f>
        <v>2.9366666666666665</v>
      </c>
      <c r="AH38" s="321">
        <f>IF(ISBLANK(AH4),"",AVERAGE(AH4:AH34))</f>
        <v>8.793333333333333</v>
      </c>
      <c r="AI38" s="301">
        <f>IF(ISBLANK(AI4),"",AVERAGE(AI4:AI34))</f>
        <v>5.8633333333333342</v>
      </c>
      <c r="AJ38" s="46">
        <f>IF(ISBLANK(AG4),"",AVERAGE(AJ4:AJ34))</f>
        <v>5.8566666666666665</v>
      </c>
      <c r="AK38" s="311"/>
      <c r="AL38" s="669" t="s">
        <v>487</v>
      </c>
      <c r="AM38" s="6"/>
      <c r="AN38" s="254">
        <f>COUNTIF(AL91:AL120,1)</f>
        <v>1</v>
      </c>
      <c r="AO38" s="224"/>
      <c r="AP38" s="528">
        <f>SUM(AP4:AP34)</f>
        <v>216</v>
      </c>
      <c r="AQ38" s="432">
        <f>SUM(AQ4:AQ34)</f>
        <v>3.9</v>
      </c>
      <c r="AR38" s="56"/>
      <c r="AS38" s="358">
        <f>COUNTIF(G4:G34, "&gt;25")</f>
        <v>2</v>
      </c>
      <c r="AT38" s="357">
        <f>COUNTIF(B4:B34,"&lt;0")</f>
        <v>0</v>
      </c>
      <c r="AU38" s="145">
        <f>SUM(COUNTIF(AN4:AN34,"Thunder"),COUNTIF(AN4:AN34,"*Thunder*"),COUNTIF(AN4:AN34,"*Storm*"))</f>
        <v>1</v>
      </c>
      <c r="AV38" s="396">
        <f xml:space="preserve"> SUM(COUNTIF(AN4:AN34,"*Slt*"),COUNTIF(AN4:AN34,"*Snw*"))</f>
        <v>0</v>
      </c>
      <c r="AW38" s="145">
        <f>COUNTIF(W4:W34, "&gt;38")</f>
        <v>0</v>
      </c>
      <c r="AX38" s="359">
        <f xml:space="preserve"> SUM(COUNTIF(AN4:AN34,"Hail"),COUNTIF(AN4:AN34,"*Hail*"))</f>
        <v>0</v>
      </c>
      <c r="AY38" s="396">
        <f>COUNTIF(Z4:Z34,"&gt;19.9")</f>
        <v>0</v>
      </c>
      <c r="AZ38" s="360"/>
      <c r="BA38" s="689">
        <f xml:space="preserve"> SUM(COUNTIF(AN4:AN34,"cm"),COUNTIF(AN4:AN34,"*cm*"))</f>
        <v>0</v>
      </c>
      <c r="BB38" s="689"/>
      <c r="BC38" s="568">
        <f xml:space="preserve"> SUM(COUNTIF(AN4:AN34,"Dense"),COUNTIF(AN4:AN34,"*Dense*"))</f>
        <v>0</v>
      </c>
      <c r="BD38" s="417">
        <f t="array" ref="BD38">SUM(IF(AP4:AP34&gt;0.95*AT91:AT121,1,0))</f>
        <v>7</v>
      </c>
      <c r="BE38" s="523"/>
      <c r="BH38" s="25"/>
      <c r="BK38" s="88"/>
      <c r="BL38" s="78"/>
    </row>
    <row r="39" spans="1:64" ht="12.75" customHeight="1" x14ac:dyDescent="0.2">
      <c r="A39" s="67"/>
      <c r="B39" s="214">
        <f>IF(ISBLANK(F4),"",AVERAGE(B4:B34))</f>
        <v>8.6999999999999993</v>
      </c>
      <c r="C39" s="287">
        <f>IF(ISBLANK(P4),"",AVERAGE(C4:C34))</f>
        <v>18.806666666666668</v>
      </c>
      <c r="D39" s="686"/>
      <c r="E39" s="4" t="s">
        <v>9</v>
      </c>
      <c r="F39" s="163">
        <v>5</v>
      </c>
      <c r="G39" s="94">
        <v>12.8</v>
      </c>
      <c r="H39" s="390" t="s">
        <v>4</v>
      </c>
      <c r="I39" s="162">
        <f>G39-F39</f>
        <v>7.8000000000000007</v>
      </c>
      <c r="J39" s="19"/>
      <c r="K39" s="22"/>
      <c r="L39" s="22"/>
      <c r="M39" s="538" t="s">
        <v>4</v>
      </c>
      <c r="N39" s="22"/>
      <c r="O39" s="18"/>
      <c r="P39" s="22"/>
      <c r="Q39" s="22"/>
      <c r="R39" s="380">
        <v>1013.25</v>
      </c>
      <c r="S39" s="22"/>
      <c r="T39" s="70"/>
      <c r="U39" s="259">
        <v>4.9000000000000004</v>
      </c>
      <c r="V39" s="259"/>
      <c r="X39" s="260"/>
      <c r="Y39" s="70"/>
      <c r="Z39" s="504">
        <v>56</v>
      </c>
      <c r="AA39" s="105"/>
      <c r="AB39" s="505"/>
      <c r="AC39" s="515"/>
      <c r="AD39" s="490">
        <f>Z39/AQ39</f>
        <v>1.3333333333333333</v>
      </c>
      <c r="AF39" s="6"/>
      <c r="AG39" s="25"/>
      <c r="AI39" s="25"/>
      <c r="AJ39" s="25"/>
      <c r="AK39" s="56"/>
      <c r="AL39" s="669"/>
      <c r="AM39" s="6"/>
      <c r="AN39" s="253">
        <v>10</v>
      </c>
      <c r="AO39" s="224"/>
      <c r="AP39" s="529">
        <v>137</v>
      </c>
      <c r="AQ39" s="460">
        <v>42</v>
      </c>
      <c r="AR39" s="67"/>
      <c r="AT39" s="357">
        <v>1</v>
      </c>
      <c r="AU39" s="22">
        <v>1</v>
      </c>
      <c r="AV39" s="396">
        <v>2</v>
      </c>
      <c r="AW39" s="145"/>
      <c r="AX39" s="359"/>
      <c r="AZ39" s="360"/>
      <c r="BA39" s="689">
        <v>0.2</v>
      </c>
      <c r="BB39" s="689"/>
      <c r="BC39" s="145"/>
      <c r="BD39" s="145"/>
      <c r="BE39" s="360"/>
      <c r="BF39" s="147"/>
      <c r="BG39" s="147"/>
      <c r="BH39" s="147"/>
      <c r="BI39" s="147"/>
      <c r="BK39" s="88"/>
      <c r="BL39" s="78"/>
    </row>
    <row r="40" spans="1:64" ht="12.75" customHeight="1" x14ac:dyDescent="0.2">
      <c r="A40" s="67"/>
      <c r="B40" s="215">
        <f>IF(ISBLANK(F4),"",B39-F38)</f>
        <v>0.10000000000000142</v>
      </c>
      <c r="C40" s="288">
        <f>IF(ISBLANK(P4),"",C39-G38)</f>
        <v>0</v>
      </c>
      <c r="D40" s="686"/>
      <c r="E40" s="4" t="s">
        <v>10</v>
      </c>
      <c r="F40" s="152">
        <f>IF(ISBLANK(F4),"",F38-F39)</f>
        <v>3.5999999999999979</v>
      </c>
      <c r="G40" s="151">
        <f>IF(ISBLANK(G4),"",G38-G39)</f>
        <v>6.0066666666666677</v>
      </c>
      <c r="H40" s="383">
        <f>IF(M53&lt;1,"",AVERAGE(F4:G34))</f>
        <v>13.703333333333337</v>
      </c>
      <c r="I40" s="129">
        <f>IF(ISBLANK(F4),"",SUM(I38-I39))</f>
        <v>2.4066666666666698</v>
      </c>
      <c r="J40" s="19"/>
      <c r="K40" s="22"/>
      <c r="L40" s="22"/>
      <c r="M40" s="537">
        <f>IF(M53&lt;1,"",AVERAGE(K4:L34))</f>
        <v>61.8</v>
      </c>
      <c r="N40" s="25"/>
      <c r="O40" s="18"/>
      <c r="P40" s="102">
        <f>Q52</f>
        <v>0.38694576166120326</v>
      </c>
      <c r="Q40" s="22"/>
      <c r="R40" s="378">
        <f>IF(ISBLANK(P4),"",R38-R39)</f>
        <v>6.6000000000000227</v>
      </c>
      <c r="S40" s="22"/>
      <c r="T40" s="70"/>
      <c r="U40" s="266">
        <f>IF(ISBLANK(U4),"",U38-U39)</f>
        <v>-0.41333333333333488</v>
      </c>
      <c r="V40" s="435">
        <f>IF(ISBLANK(U5),"",CORREL(U4:U34,V4:V34))</f>
        <v>0.88079856704760495</v>
      </c>
      <c r="W40" s="435">
        <f>IF(ISBLANK(U5),"",CORREL(U4:U34,W4:W34))</f>
        <v>0.87363432195675794</v>
      </c>
      <c r="X40" s="435">
        <f>IF(ISBLANK(V5),"",CORREL(V4:V34,W4:W34))</f>
        <v>0.92608054232338921</v>
      </c>
      <c r="Y40" s="70"/>
      <c r="Z40" s="465">
        <f>IF(ISBLANK(Z4),"",AB47/AB48)</f>
        <v>3.2142857142857147E-2</v>
      </c>
      <c r="AA40" s="506">
        <f>Z38/Z39</f>
        <v>3.2142857142857147E-2</v>
      </c>
      <c r="AB40" s="506"/>
      <c r="AC40" s="516"/>
      <c r="AD40" s="262">
        <f>IF(Z38&lt;0.3,"",AD38/(Z39/AQ39))</f>
        <v>0.3461538461538462</v>
      </c>
      <c r="AE40" s="527">
        <f>IF($AN$38=0,"",AVERAGE(AD4:AD34))</f>
        <v>0.53333333333333333</v>
      </c>
      <c r="AF40" s="6"/>
      <c r="AI40" s="25"/>
      <c r="AJ40" s="25"/>
      <c r="AK40" s="56"/>
      <c r="AL40" s="669"/>
      <c r="AM40" s="6"/>
      <c r="AN40" s="254">
        <f>SUM(AN38-AN39)</f>
        <v>-9</v>
      </c>
      <c r="AO40" s="224"/>
      <c r="AP40" s="530">
        <f>IF(ISBLANK(AP4),"",AP47/AP54)</f>
        <v>1.5766423357664234</v>
      </c>
      <c r="AQ40" s="427">
        <f>IF(ISBLANK(AQ4),"",AQ47/(AQ39/E34))</f>
        <v>9.285714285714286E-2</v>
      </c>
      <c r="AR40" s="521"/>
      <c r="AT40" s="357">
        <f>SUM(AT38-AT39)</f>
        <v>-1</v>
      </c>
      <c r="AU40" s="145">
        <f>SUM(AU38-AU39)</f>
        <v>0</v>
      </c>
      <c r="AV40" s="396">
        <f>AV38-AV39</f>
        <v>-2</v>
      </c>
      <c r="AW40" s="145"/>
      <c r="AX40" s="359"/>
      <c r="AZ40" s="360"/>
      <c r="BA40" s="689">
        <f>BA38-BA39</f>
        <v>-0.2</v>
      </c>
      <c r="BB40" s="689"/>
      <c r="BC40" s="145"/>
      <c r="BD40" s="145"/>
      <c r="BE40" s="360"/>
      <c r="BI40" s="25"/>
      <c r="BK40" s="88"/>
      <c r="BL40" s="78"/>
    </row>
    <row r="41" spans="1:64" ht="4.5" customHeight="1" x14ac:dyDescent="0.2">
      <c r="A41" s="74"/>
      <c r="B41" s="289"/>
      <c r="C41" s="290"/>
      <c r="D41" s="686"/>
      <c r="E41" s="40"/>
      <c r="F41" s="41"/>
      <c r="G41" s="41"/>
      <c r="H41" s="42"/>
      <c r="I41" s="41"/>
      <c r="J41" s="61"/>
      <c r="K41" s="43"/>
      <c r="L41" s="43"/>
      <c r="M41" s="44"/>
      <c r="N41" s="43"/>
      <c r="O41" s="18"/>
      <c r="P41" s="43"/>
      <c r="Q41" s="43"/>
      <c r="R41" s="44"/>
      <c r="S41" s="43"/>
      <c r="T41" s="74"/>
      <c r="U41" s="41"/>
      <c r="V41" s="41"/>
      <c r="W41" s="41"/>
      <c r="X41" s="41"/>
      <c r="Y41" s="77"/>
      <c r="Z41" s="507"/>
      <c r="AA41" s="507"/>
      <c r="AB41" s="507"/>
      <c r="AC41" s="517"/>
      <c r="AD41" s="41"/>
      <c r="AE41" s="41"/>
      <c r="AF41" s="6"/>
      <c r="AG41" s="41"/>
      <c r="AH41" s="41"/>
      <c r="AI41" s="41"/>
      <c r="AJ41" s="41"/>
      <c r="AK41" s="77"/>
      <c r="AL41" s="669"/>
      <c r="AM41" s="6"/>
      <c r="AN41" s="39"/>
      <c r="AO41" s="39"/>
      <c r="AP41" s="39"/>
      <c r="AQ41" s="39"/>
      <c r="AR41" s="39"/>
      <c r="AS41" s="41"/>
      <c r="AT41" s="43"/>
      <c r="AU41" s="41"/>
      <c r="AV41" s="41"/>
      <c r="AW41" s="41"/>
      <c r="AX41" s="41"/>
      <c r="AY41" s="41"/>
      <c r="AZ41" s="77"/>
      <c r="BA41" s="41"/>
      <c r="BB41" s="41"/>
      <c r="BC41" s="41"/>
      <c r="BD41" s="41"/>
      <c r="BE41" s="77"/>
      <c r="BF41" s="41"/>
      <c r="BG41" s="41"/>
      <c r="BH41" s="39"/>
      <c r="BI41" s="41"/>
      <c r="BJ41" s="41"/>
      <c r="BK41" s="39"/>
      <c r="BL41" s="80"/>
    </row>
    <row r="42" spans="1:64" ht="12.75" customHeight="1" x14ac:dyDescent="0.2">
      <c r="A42" s="67"/>
      <c r="B42" s="705" t="s">
        <v>98</v>
      </c>
      <c r="C42" s="706"/>
      <c r="D42" s="686"/>
      <c r="E42" s="4" t="s">
        <v>5</v>
      </c>
      <c r="F42" s="25">
        <f>F86-F85</f>
        <v>8.3000000000000007</v>
      </c>
      <c r="G42" s="25">
        <f>G86-G85</f>
        <v>13.9</v>
      </c>
      <c r="H42" s="25">
        <f>H86-H85</f>
        <v>9.9000000000000021</v>
      </c>
      <c r="I42" s="25">
        <f>I86-I85</f>
        <v>12.899999999999999</v>
      </c>
      <c r="J42" s="20"/>
      <c r="K42" s="22">
        <f>K86-K85</f>
        <v>48</v>
      </c>
      <c r="L42" s="22">
        <f>L86-L85</f>
        <v>25</v>
      </c>
      <c r="M42" s="22">
        <f>M86-M85</f>
        <v>36</v>
      </c>
      <c r="N42" s="22">
        <f>N86-N85</f>
        <v>43</v>
      </c>
      <c r="O42" s="20"/>
      <c r="P42" s="22">
        <f>P86-P85</f>
        <v>19</v>
      </c>
      <c r="Q42" s="22">
        <f>Q86-Q85</f>
        <v>20</v>
      </c>
      <c r="R42" s="22">
        <f>R86-R85</f>
        <v>19.5</v>
      </c>
      <c r="S42" s="22">
        <f>S86-S85</f>
        <v>10</v>
      </c>
      <c r="T42" s="75"/>
      <c r="U42" s="25">
        <f>U86-U85</f>
        <v>6.8</v>
      </c>
      <c r="V42" s="25">
        <f>V86-V85</f>
        <v>10</v>
      </c>
      <c r="W42" s="25">
        <f>W86-W85</f>
        <v>18.2</v>
      </c>
      <c r="X42" s="25"/>
      <c r="Y42" s="135"/>
      <c r="Z42" s="38">
        <f>Z86-Z85</f>
        <v>1.4</v>
      </c>
      <c r="AA42" s="38">
        <f>AA86-AA85</f>
        <v>0</v>
      </c>
      <c r="AB42" s="38">
        <f>AB86-AB85</f>
        <v>0</v>
      </c>
      <c r="AC42" s="510">
        <f>AC86-AC85</f>
        <v>0.7222222222222221</v>
      </c>
      <c r="AD42" s="25">
        <f>AE86-AE85</f>
        <v>0.13333333333333336</v>
      </c>
      <c r="AE42" s="22">
        <f>AD86-AD85</f>
        <v>0</v>
      </c>
      <c r="AF42" s="6"/>
      <c r="AG42" s="25">
        <f>AG86-AG85</f>
        <v>13.3</v>
      </c>
      <c r="AH42" s="25">
        <f>AH86-AH85</f>
        <v>9.6</v>
      </c>
      <c r="AI42" s="25">
        <f>AI86-AI85</f>
        <v>9.6999999999999993</v>
      </c>
      <c r="AJ42" s="25">
        <f>AJ86-AJ85</f>
        <v>8.3000000000000007</v>
      </c>
      <c r="AK42" s="56"/>
      <c r="AL42" s="669"/>
      <c r="AM42" s="6"/>
      <c r="AN42" s="4" t="s">
        <v>80</v>
      </c>
      <c r="AO42" s="223"/>
      <c r="AP42" s="25">
        <f>AP86-AP85</f>
        <v>13.4</v>
      </c>
      <c r="AQ42" s="22">
        <f>AQ86-AQ85</f>
        <v>3</v>
      </c>
      <c r="AR42" s="70"/>
      <c r="AS42" s="25">
        <f t="shared" ref="AS42:AY42" si="24">AS86-AS85</f>
        <v>1.6054945054945069</v>
      </c>
      <c r="AT42" s="25">
        <f t="shared" si="24"/>
        <v>3.980000000000004</v>
      </c>
      <c r="AU42" s="25">
        <f t="shared" si="24"/>
        <v>1.6160000000000014</v>
      </c>
      <c r="AV42" s="25">
        <f t="shared" si="24"/>
        <v>4.320869565217393</v>
      </c>
      <c r="AW42" s="25">
        <f t="shared" si="24"/>
        <v>12.252173913043471</v>
      </c>
      <c r="AX42" s="25">
        <f t="shared" si="24"/>
        <v>5.2615384615384073</v>
      </c>
      <c r="AY42" s="25">
        <f t="shared" si="24"/>
        <v>2.7775000000000007</v>
      </c>
      <c r="AZ42" s="56"/>
      <c r="BA42" s="25">
        <f>G42</f>
        <v>13.9</v>
      </c>
      <c r="BB42" s="25">
        <f>H42</f>
        <v>9.9000000000000021</v>
      </c>
      <c r="BC42" s="25">
        <f>I42</f>
        <v>12.899999999999999</v>
      </c>
      <c r="BD42" s="22"/>
      <c r="BE42" s="67"/>
      <c r="BF42" s="13">
        <f>AS42</f>
        <v>1.6054945054945069</v>
      </c>
      <c r="BG42" s="13">
        <f>AT42</f>
        <v>3.980000000000004</v>
      </c>
      <c r="BH42" s="13">
        <f>BH86-BH85</f>
        <v>3.8741304347826127</v>
      </c>
      <c r="BI42" s="93">
        <f>BI86-BI85</f>
        <v>0.11785714285714285</v>
      </c>
      <c r="BJ42" s="93">
        <f>BJ86-BJ85</f>
        <v>1.073144779601384</v>
      </c>
      <c r="BK42" s="88"/>
      <c r="BL42" s="78"/>
    </row>
    <row r="43" spans="1:64" ht="12.75" customHeight="1" x14ac:dyDescent="0.2">
      <c r="A43" s="67"/>
      <c r="B43" s="216">
        <f>COUNTIF(O4:O34,1)</f>
        <v>3</v>
      </c>
      <c r="C43" s="291">
        <f>COUNTIF(J4:J34,1)</f>
        <v>0</v>
      </c>
      <c r="D43" s="686"/>
      <c r="E43" s="12" t="s">
        <v>174</v>
      </c>
      <c r="F43" s="25">
        <f>IF(ISBLANK($G$6),"",STDEV(F4:F34))</f>
        <v>2.1776292075367816</v>
      </c>
      <c r="G43" s="25">
        <f>IF(ISBLANK($G$6),"",STDEV(G4:G34))</f>
        <v>3.9108102461777698</v>
      </c>
      <c r="H43" s="25">
        <f>IF(ISBLANK($H$6),"",STDEV(H4:H34))</f>
        <v>2.6311769142387655</v>
      </c>
      <c r="I43" s="25">
        <f>IF(ISBLANK($G$6),"",STDEV(I4:I34))</f>
        <v>3.3277240159659756</v>
      </c>
      <c r="J43" s="56"/>
      <c r="K43" s="25">
        <f>IF(ISBLANK($G$6),"",STDEV(K4:K34))</f>
        <v>11.792263195178766</v>
      </c>
      <c r="L43" s="25">
        <f>IF(ISBLANK($G$6),"",STDEV(L4:L34))</f>
        <v>6.6484809430857741</v>
      </c>
      <c r="M43" s="25">
        <f>IF(ISBLANK($H$6),"",STDEV(M4:M34))</f>
        <v>8.5457524570672732</v>
      </c>
      <c r="N43" s="25">
        <f>IF(ISBLANK($G$6),"",STDEV(N4:N34))</f>
        <v>11.126028300661764</v>
      </c>
      <c r="O43" s="56"/>
      <c r="P43" s="25">
        <f>IF(ISBLANK($G$6),"",STDEV(P4:P34))</f>
        <v>6.0008620070441703</v>
      </c>
      <c r="Q43" s="25">
        <f>IF(ISBLANK($G$6),"",STDEV(Q4:Q34))</f>
        <v>5.6017238725973977</v>
      </c>
      <c r="R43" s="25">
        <f>IF(ISBLANK($G$6),"",STDEV(R4:R34))</f>
        <v>5.6905093402721123</v>
      </c>
      <c r="S43" s="25">
        <f>IF(ISBLANK($G$6),"",STDEV(S4:S34))</f>
        <v>2.2916640543349791</v>
      </c>
      <c r="T43" s="75"/>
      <c r="U43" s="25">
        <f>IF(ISBLANK($G$6),"",STDEV(U4:U34))</f>
        <v>1.9020376248741226</v>
      </c>
      <c r="V43" s="25">
        <f>IF(ISBLANK($G$6),"",STDEV(V4:V34))</f>
        <v>2.6999808428439218</v>
      </c>
      <c r="W43" s="25">
        <f>IF(ISBLANK($G$6),"",STDEV(W4:W34))</f>
        <v>4.766093125208628</v>
      </c>
      <c r="X43" s="25"/>
      <c r="Y43" s="135"/>
      <c r="Z43" s="38">
        <f>IF(ISBLANK($G$6),"",STDEV(Z4:Z34))</f>
        <v>0.25944237284527405</v>
      </c>
      <c r="AA43" s="38" t="str">
        <f>IF(AA86-AA85=0,"",STDEV(AA4:AA34))</f>
        <v/>
      </c>
      <c r="AB43" s="38" t="str">
        <f>IF(AB86-AB85=0,"",STDEV(AB4:AB34))</f>
        <v/>
      </c>
      <c r="AC43" s="510">
        <f>IF(AC86-AC85=0,"",STDEV(AC4:AC34))</f>
        <v>0.38888888888888884</v>
      </c>
      <c r="AD43" s="25">
        <f>IF(AE86-AE85=0,"",STDEV(AD4:AD34))</f>
        <v>9.4280904158206058E-2</v>
      </c>
      <c r="AE43" s="25" t="str">
        <f>IF(AD86-AD85=0,"",STDEV(AE4:AE34))</f>
        <v/>
      </c>
      <c r="AF43" s="6"/>
      <c r="AG43" s="25">
        <f>IF(ISBLANK($AG$6),"",STDEV(AG4:AG34))</f>
        <v>2.6979536732472829</v>
      </c>
      <c r="AH43" s="25">
        <f>IF(ISBLANK($AH$6),"",STDEV(AH4:AH34))</f>
        <v>2.4048705368170182</v>
      </c>
      <c r="AI43" s="25">
        <f>IF(ISBLANK($AI$6),"",STDEV(AI4:AI34))</f>
        <v>2.3554022034951632</v>
      </c>
      <c r="AJ43" s="25">
        <f>IF(ISBLANK($AH$6),"",STDEV(AJ4:AJ34))</f>
        <v>1.8220267860806558</v>
      </c>
      <c r="AK43" s="56"/>
      <c r="AL43" s="669"/>
      <c r="AM43" s="6"/>
      <c r="AN43" s="22">
        <f>M53-AN91</f>
        <v>9</v>
      </c>
      <c r="AO43" s="224"/>
      <c r="AP43" s="25">
        <f>IF(ISBLANK($AP$6),"",STDEV(AP4:AP34))</f>
        <v>4.6104828081382045</v>
      </c>
      <c r="AQ43" s="25">
        <f>IF(ISBLANK($AQ$6),"",STDEV(AQ4:AQ34))</f>
        <v>0.55407580708780269</v>
      </c>
      <c r="AR43" s="56"/>
      <c r="AS43" s="25">
        <f>IF(ISBLANK($G$6),"",STDEV(AS4:AS34))</f>
        <v>0.91493510609831141</v>
      </c>
      <c r="AT43" s="25">
        <f>IF(ISBLANK($G$6),"",STDEV(AT4:AT34))</f>
        <v>1.074484613582092</v>
      </c>
      <c r="AU43" s="25">
        <f>IF(ISBLANK($G$6),"",STDEV(AU4:AU34))</f>
        <v>0.50913136431089001</v>
      </c>
      <c r="AV43" s="25">
        <f>IF(ISBLANK($G$6),"",STDEV(AV4:AV34))</f>
        <v>1.6706218677314415</v>
      </c>
      <c r="AW43" s="25">
        <f>IF(ISBLANK($M$6),"",STDEV(AW4:AW34))</f>
        <v>4.8141127635165244</v>
      </c>
      <c r="AX43" s="25">
        <f>IF(ISBLANK($G$6),"",STDEV(AX4:AX34))</f>
        <v>2.2501894922598837</v>
      </c>
      <c r="AY43" s="25">
        <f>IF(ISBLANK($G$6),"",STDEV(BA4:BA34))</f>
        <v>2.1716346668896174</v>
      </c>
      <c r="AZ43" s="56"/>
      <c r="BA43" s="25">
        <f>IF(ISBLANK($G$6),"",STDEV(BB4:BB34))</f>
        <v>3.7746120490309529</v>
      </c>
      <c r="BB43" s="25">
        <f>IF(ISBLANK($G$6),"",STDEV(BD4:BD34))</f>
        <v>3.2124610972451682</v>
      </c>
      <c r="BC43" s="25">
        <f>IF(ISBLANK($G$6),"",STDEV(BD4:BD34))</f>
        <v>3.2124610972451682</v>
      </c>
      <c r="BD43" s="25"/>
      <c r="BE43" s="56"/>
      <c r="BF43" s="25">
        <f>IF(ISBLANK($G$6),"",STDEV(BF4:BF34))</f>
        <v>0.99519747944227854</v>
      </c>
      <c r="BG43" s="25">
        <f>IF(ISBLANK($G$6),"",STDEV(BG4:BG34))</f>
        <v>0.78787500396296317</v>
      </c>
      <c r="BH43" s="25">
        <f>IF(ISBLANK($G$6),"",STDEV(BH4:BH34))</f>
        <v>1.4981303528253418</v>
      </c>
      <c r="BI43" s="93">
        <f>IF(ISBLANK($Z$6),"",STDEV(BI4:BI34))</f>
        <v>3.5353719170109869E-2</v>
      </c>
      <c r="BJ43" s="93">
        <f>IF(ISBLANK($Z$6),"",STDEV(BJ4:BJ34))</f>
        <v>0.36932325793890519</v>
      </c>
      <c r="BK43" s="402"/>
      <c r="BL43" s="78"/>
    </row>
    <row r="44" spans="1:64" ht="4.5" customHeight="1" x14ac:dyDescent="0.2">
      <c r="A44" s="67"/>
      <c r="B44" s="63"/>
      <c r="C44" s="66"/>
      <c r="D44" s="63"/>
      <c r="E44" s="64"/>
      <c r="F44" s="66"/>
      <c r="G44" s="66"/>
      <c r="H44" s="66"/>
      <c r="I44" s="66"/>
      <c r="J44" s="62"/>
      <c r="K44" s="66"/>
      <c r="L44" s="66"/>
      <c r="M44" s="66"/>
      <c r="N44" s="65"/>
      <c r="O44" s="62"/>
      <c r="P44" s="66"/>
      <c r="Q44" s="66"/>
      <c r="R44" s="66"/>
      <c r="S44" s="66"/>
      <c r="T44" s="66"/>
      <c r="U44" s="66"/>
      <c r="V44" s="66"/>
      <c r="W44" s="66"/>
      <c r="X44" s="66"/>
      <c r="Y44" s="135"/>
      <c r="Z44" s="66"/>
      <c r="AA44" s="66"/>
      <c r="AB44" s="66"/>
      <c r="AC44" s="66"/>
      <c r="AD44" s="66"/>
      <c r="AE44" s="66"/>
      <c r="AF44" s="6"/>
      <c r="AG44" s="66"/>
      <c r="AH44" s="66"/>
      <c r="AI44" s="132"/>
      <c r="AJ44" s="132"/>
      <c r="AK44" s="6"/>
      <c r="AL44" s="132"/>
      <c r="AM44" s="6"/>
      <c r="AN44" s="66"/>
      <c r="AO44" s="402"/>
      <c r="AP44" s="63"/>
      <c r="AQ44" s="63"/>
      <c r="AR44" s="67"/>
      <c r="AS44" s="66"/>
      <c r="AT44" s="65"/>
      <c r="AU44" s="66"/>
      <c r="AV44" s="66"/>
      <c r="AW44" s="66"/>
      <c r="AX44" s="66"/>
      <c r="AY44" s="66"/>
      <c r="AZ44" s="56"/>
      <c r="BA44" s="66"/>
      <c r="BB44" s="66"/>
      <c r="BC44" s="66"/>
      <c r="BD44" s="66"/>
      <c r="BE44" s="56"/>
      <c r="BF44" s="66"/>
      <c r="BG44" s="66"/>
      <c r="BH44" s="63"/>
      <c r="BI44" s="63"/>
      <c r="BJ44" s="66"/>
      <c r="BK44" s="88"/>
      <c r="BL44" s="78"/>
    </row>
    <row r="45" spans="1:64" ht="5.25" customHeight="1" thickBot="1" x14ac:dyDescent="0.25">
      <c r="A45" s="67"/>
      <c r="B45" s="21"/>
      <c r="C45" s="25"/>
      <c r="D45" s="21"/>
      <c r="E45" s="4"/>
      <c r="F45" s="25"/>
      <c r="G45" s="25"/>
      <c r="H45" s="25"/>
      <c r="I45" s="25"/>
      <c r="J45" s="18"/>
      <c r="K45" s="25"/>
      <c r="L45" s="25"/>
      <c r="M45" s="25"/>
      <c r="N45" s="22"/>
      <c r="O45" s="18"/>
      <c r="P45" s="25"/>
      <c r="Q45" s="25"/>
      <c r="R45" s="25"/>
      <c r="S45" s="25"/>
      <c r="T45" s="56"/>
      <c r="U45" s="25"/>
      <c r="V45" s="25"/>
      <c r="W45" s="25"/>
      <c r="X45" s="25"/>
      <c r="Y45" s="135"/>
      <c r="AF45" s="56"/>
      <c r="AG45" s="25"/>
      <c r="AH45" s="25"/>
      <c r="AK45" s="6"/>
      <c r="AM45" s="6"/>
      <c r="AN45" s="25"/>
      <c r="AO45" s="402"/>
      <c r="AP45" s="21"/>
      <c r="AQ45" s="21"/>
      <c r="AR45" s="67"/>
      <c r="AS45" s="25"/>
      <c r="AT45" s="22"/>
      <c r="AU45" s="25"/>
      <c r="AV45" s="25"/>
      <c r="AW45" s="25"/>
      <c r="AX45" s="25"/>
      <c r="AY45" s="25"/>
      <c r="AZ45" s="56"/>
      <c r="BA45" s="25"/>
      <c r="BB45" s="25"/>
      <c r="BC45" s="25"/>
      <c r="BD45" s="25"/>
      <c r="BE45" s="56"/>
      <c r="BF45" s="25"/>
      <c r="BG45" s="25"/>
      <c r="BH45" s="21"/>
      <c r="BI45" s="21"/>
      <c r="BJ45" s="25"/>
      <c r="BK45" s="67"/>
      <c r="BL45" s="78"/>
    </row>
    <row r="46" spans="1:64" ht="15" customHeight="1" x14ac:dyDescent="0.2">
      <c r="A46" s="67"/>
      <c r="B46" s="702" t="s">
        <v>132</v>
      </c>
      <c r="C46" s="703"/>
      <c r="D46" s="703"/>
      <c r="E46" s="704"/>
      <c r="F46" s="349">
        <f>F40</f>
        <v>3.5999999999999979</v>
      </c>
      <c r="G46" s="350">
        <f>G40</f>
        <v>6.0066666666666677</v>
      </c>
      <c r="H46" s="382">
        <f>AY82</f>
        <v>4.8033333333333363</v>
      </c>
      <c r="I46" s="352">
        <f>I40</f>
        <v>2.4066666666666698</v>
      </c>
      <c r="J46" s="18"/>
      <c r="K46" s="353">
        <f>K38</f>
        <v>43.666666666666664</v>
      </c>
      <c r="L46" s="298">
        <f>L38</f>
        <v>79.933333333333337</v>
      </c>
      <c r="M46" s="354">
        <f>M38</f>
        <v>61.733333333333334</v>
      </c>
      <c r="N46" s="25">
        <f>N38</f>
        <v>36.266666666666666</v>
      </c>
      <c r="O46" s="18"/>
      <c r="P46" s="25"/>
      <c r="Q46" s="25"/>
      <c r="R46" s="381">
        <f>R40</f>
        <v>6.6000000000000227</v>
      </c>
      <c r="S46" s="162">
        <f>S38</f>
        <v>4.3</v>
      </c>
      <c r="T46" s="56"/>
      <c r="U46" s="355">
        <f>U38</f>
        <v>4.4866666666666655</v>
      </c>
      <c r="W46" s="304" t="s">
        <v>113</v>
      </c>
      <c r="X46" s="22">
        <f>COUNTIF(X4:X34,"N")</f>
        <v>5</v>
      </c>
      <c r="Y46" s="135"/>
      <c r="Z46" s="681" t="s">
        <v>151</v>
      </c>
      <c r="AA46" s="668">
        <f>IF(AN48=0,"n/a",Z38/AN48)</f>
        <v>0.9</v>
      </c>
      <c r="AB46" s="385" t="s">
        <v>189</v>
      </c>
      <c r="AC46" s="268" t="s">
        <v>282</v>
      </c>
      <c r="AF46" s="135"/>
      <c r="AG46" s="392">
        <f>AG38</f>
        <v>2.9366666666666665</v>
      </c>
      <c r="AH46" s="393">
        <f>AH38</f>
        <v>8.793333333333333</v>
      </c>
      <c r="AI46" s="348">
        <f>AI38</f>
        <v>5.8633333333333342</v>
      </c>
      <c r="AJ46" s="49">
        <f>AJ38</f>
        <v>5.8566666666666665</v>
      </c>
      <c r="AK46" s="126"/>
      <c r="AL46" s="356"/>
      <c r="AM46" s="6"/>
      <c r="AO46" s="404"/>
      <c r="AP46" s="428">
        <f>AP38/AP39</f>
        <v>1.5766423357664234</v>
      </c>
      <c r="AQ46" s="429">
        <f>AQ38/AQ39</f>
        <v>9.285714285714286E-2</v>
      </c>
      <c r="AR46" s="6"/>
      <c r="AS46" s="696" t="s">
        <v>131</v>
      </c>
      <c r="AT46" s="650"/>
      <c r="AU46" s="650"/>
      <c r="AV46" s="650"/>
      <c r="AW46" s="650"/>
      <c r="AX46" s="650"/>
      <c r="AY46" s="25"/>
      <c r="AZ46" s="56"/>
      <c r="BC46" s="25"/>
      <c r="BD46" s="25"/>
      <c r="BE46" s="56"/>
      <c r="BF46" s="693" t="s">
        <v>232</v>
      </c>
      <c r="BG46" s="693"/>
      <c r="BH46" s="693"/>
      <c r="BI46" s="693"/>
      <c r="BJ46" s="693"/>
      <c r="BK46" s="67"/>
      <c r="BL46" s="78"/>
    </row>
    <row r="47" spans="1:64" ht="12.75" customHeight="1" x14ac:dyDescent="0.2">
      <c r="A47" s="67"/>
      <c r="B47" s="682" t="s">
        <v>17</v>
      </c>
      <c r="C47" s="683"/>
      <c r="D47" s="684"/>
      <c r="E47" s="581" t="s">
        <v>15</v>
      </c>
      <c r="F47" s="349">
        <f>F38</f>
        <v>8.5999999999999979</v>
      </c>
      <c r="G47" s="350">
        <f>G38</f>
        <v>18.806666666666668</v>
      </c>
      <c r="H47" s="351">
        <f>H38</f>
        <v>13.596666666666666</v>
      </c>
      <c r="I47" s="352">
        <f>I38</f>
        <v>10.206666666666671</v>
      </c>
      <c r="J47" s="18"/>
      <c r="K47" s="21"/>
      <c r="L47" s="170"/>
      <c r="M47" s="52"/>
      <c r="N47" s="118"/>
      <c r="O47" s="18"/>
      <c r="P47" s="21"/>
      <c r="Q47" s="21"/>
      <c r="R47" s="381">
        <f>R38</f>
        <v>1019.85</v>
      </c>
      <c r="S47" s="21"/>
      <c r="T47" s="56"/>
      <c r="U47" s="7"/>
      <c r="W47" s="143" t="s">
        <v>105</v>
      </c>
      <c r="X47" s="22">
        <f>COUNTIF(X4:X34,"NE")</f>
        <v>3</v>
      </c>
      <c r="Y47" s="56"/>
      <c r="Z47" s="681"/>
      <c r="AA47" s="668"/>
      <c r="AB47" s="384">
        <f>IF(M53=0,"",AVERAGE(Z4:Z34))</f>
        <v>6.0000000000000005E-2</v>
      </c>
      <c r="AC47" s="323" t="str">
        <f>IF(M54&gt;0,IF(Z38&gt;Z39,"",AC48/M54/AB48),"n/a")</f>
        <v>n/a</v>
      </c>
      <c r="AE47" s="548"/>
      <c r="AF47" s="56"/>
      <c r="AH47" s="124"/>
      <c r="AI47" s="124"/>
      <c r="AJ47" s="124"/>
      <c r="AK47" s="126"/>
      <c r="AL47" s="124"/>
      <c r="AM47" s="6"/>
      <c r="AN47" s="179" t="s">
        <v>67</v>
      </c>
      <c r="AO47" s="405"/>
      <c r="AP47" s="456">
        <f>IF(ISBLANK(AP4),"",AVERAGE(AP4:AP34))</f>
        <v>7.2</v>
      </c>
      <c r="AQ47" s="443">
        <f>IF(ISBLANK(AQ4),"",AVERAGE(AQ4:AQ34))</f>
        <v>0.13</v>
      </c>
      <c r="AR47" s="6"/>
      <c r="AS47" s="25"/>
      <c r="AT47" s="22"/>
      <c r="AU47" s="25"/>
      <c r="AV47" s="25"/>
      <c r="AW47" s="25"/>
      <c r="AX47" s="25"/>
      <c r="AY47" s="695" t="s">
        <v>35</v>
      </c>
      <c r="AZ47" s="695"/>
      <c r="BA47" s="695"/>
      <c r="BB47" s="695"/>
      <c r="BC47" s="695"/>
      <c r="BD47" s="695"/>
      <c r="BE47" s="67"/>
      <c r="BF47" s="694" t="s">
        <v>169</v>
      </c>
      <c r="BG47" s="694"/>
      <c r="BH47" s="694"/>
      <c r="BI47" s="694"/>
      <c r="BJ47" s="694"/>
      <c r="BK47" s="2"/>
      <c r="BL47" s="78"/>
    </row>
    <row r="48" spans="1:64" ht="12.75" customHeight="1" x14ac:dyDescent="0.2">
      <c r="A48" s="67"/>
      <c r="B48" s="707" t="s">
        <v>51</v>
      </c>
      <c r="C48" s="708"/>
      <c r="D48" s="709"/>
      <c r="E48" s="142">
        <f>IF(ISBLANK(H5),"",CORREL(H4:H34,R4:R34))</f>
        <v>-0.5031328580394846</v>
      </c>
      <c r="F48" s="576">
        <f>IF(ISBLANK(H5),"",ABS(E48))</f>
        <v>0.5031328580394846</v>
      </c>
      <c r="J48" s="18"/>
      <c r="K48" s="636" t="s">
        <v>377</v>
      </c>
      <c r="L48" s="636"/>
      <c r="M48" s="636"/>
      <c r="N48" s="636"/>
      <c r="O48" s="17"/>
      <c r="R48" s="25"/>
      <c r="S48" s="25"/>
      <c r="T48" s="56"/>
      <c r="U48" s="97"/>
      <c r="W48" s="304" t="s">
        <v>106</v>
      </c>
      <c r="X48" s="22">
        <f>COUNTIF(X4:X34,"E")</f>
        <v>6</v>
      </c>
      <c r="Y48" s="6"/>
      <c r="AB48" s="438">
        <f>Z39/E34</f>
        <v>1.8666666666666667</v>
      </c>
      <c r="AC48" s="579">
        <f>ABS(Z39-Z38)</f>
        <v>54.2</v>
      </c>
      <c r="AD48" s="578" t="str">
        <f>IF(Z38&gt;Z39,"Excess","Deficit")</f>
        <v>Deficit</v>
      </c>
      <c r="AE48" s="547"/>
      <c r="AF48" s="6"/>
      <c r="AK48" s="6"/>
      <c r="AL48" s="124"/>
      <c r="AM48" s="6"/>
      <c r="AN48" s="5">
        <f>SUM(AJ91:AJ121)</f>
        <v>2</v>
      </c>
      <c r="AO48" s="406"/>
      <c r="AR48" s="6"/>
      <c r="AS48" s="641" t="s">
        <v>447</v>
      </c>
      <c r="AT48" s="642"/>
      <c r="AU48" s="643"/>
      <c r="AV48" s="139"/>
      <c r="AY48" s="4" t="s">
        <v>164</v>
      </c>
      <c r="AZ48" s="68"/>
      <c r="BA48" s="4" t="s">
        <v>199</v>
      </c>
      <c r="BB48" s="329" t="s">
        <v>166</v>
      </c>
      <c r="BC48" s="147" t="s">
        <v>326</v>
      </c>
      <c r="BD48" s="147" t="s">
        <v>10</v>
      </c>
      <c r="BE48" s="67"/>
      <c r="BF48" s="181" t="s">
        <v>21</v>
      </c>
      <c r="BG48" s="294" t="s">
        <v>22</v>
      </c>
      <c r="BH48" s="335" t="s">
        <v>171</v>
      </c>
      <c r="BI48" s="336" t="s">
        <v>170</v>
      </c>
      <c r="BJ48" s="97" t="s">
        <v>172</v>
      </c>
      <c r="BK48" s="16"/>
      <c r="BL48" s="78"/>
    </row>
    <row r="49" spans="1:64" ht="12.75" customHeight="1" x14ac:dyDescent="0.2">
      <c r="A49" s="67"/>
      <c r="B49" s="707" t="s">
        <v>50</v>
      </c>
      <c r="C49" s="708"/>
      <c r="D49" s="709"/>
      <c r="E49" s="89">
        <f>IF(ISBLANK(H5),"",CORREL(H4:H34,M4:M34))</f>
        <v>-0.44124699213756241</v>
      </c>
      <c r="F49" s="576">
        <f>IF(ISBLANK(H5),"",ABS(E49))</f>
        <v>0.44124699213756241</v>
      </c>
      <c r="H49" s="4"/>
      <c r="I49" s="4"/>
      <c r="J49" s="18"/>
      <c r="K49" s="152">
        <f ca="1">IF(ISBLANK(F4),"",F38-AVERAGE(OFFSET(F91,0,0,M53)))</f>
        <v>3.556666666666664</v>
      </c>
      <c r="L49" s="151">
        <f ca="1">IF(ISBLANK(G4),"",G38-AVERAGE(OFFSET(G91,0,0,M53)))</f>
        <v>5.9674999999999994</v>
      </c>
      <c r="M49" s="14">
        <f ca="1">IF(ISBLANK(G4),"",AVERAGE(K49:L49))</f>
        <v>4.7620833333333312</v>
      </c>
      <c r="N49" s="129">
        <f ca="1">IF(ISBLANK(H4),"",I38-AVERAGE(OFFSET(I91,0,0,M53)))</f>
        <v>2.4108333333333363</v>
      </c>
      <c r="O49" s="18"/>
      <c r="R49" s="21"/>
      <c r="S49" s="21"/>
      <c r="T49" s="56"/>
      <c r="U49" s="300"/>
      <c r="W49" s="304" t="s">
        <v>112</v>
      </c>
      <c r="X49" s="22">
        <f>COUNTIF(X4:X34,"SE")</f>
        <v>2</v>
      </c>
      <c r="Y49" s="67"/>
      <c r="Z49" s="648" t="s">
        <v>115</v>
      </c>
      <c r="AA49" s="648"/>
      <c r="AE49" s="547"/>
      <c r="AF49" s="67"/>
      <c r="AG49" s="710" t="s">
        <v>179</v>
      </c>
      <c r="AH49" s="710"/>
      <c r="AI49" s="710"/>
      <c r="AJ49" s="710"/>
      <c r="AK49" s="313"/>
      <c r="AL49" s="124"/>
      <c r="AM49" s="67"/>
      <c r="AO49" s="224"/>
      <c r="AP49" s="457" t="s">
        <v>215</v>
      </c>
      <c r="AR49" s="6"/>
      <c r="AS49" s="644" t="s">
        <v>17</v>
      </c>
      <c r="AT49" s="645"/>
      <c r="AU49" s="280" t="s">
        <v>15</v>
      </c>
      <c r="AX49" s="361">
        <v>1</v>
      </c>
      <c r="AY49" s="23">
        <f t="shared" ref="AY49:AY79" si="25">IF(ISBLANK(G4),"",AVERAGE(F4:G4))</f>
        <v>13.75</v>
      </c>
      <c r="AZ49" s="50"/>
      <c r="BA49" s="26">
        <f>BC4</f>
        <v>5.6499999999999995</v>
      </c>
      <c r="BB49" s="7">
        <f t="shared" ref="BB49:BB79" si="26">IF(ISBLANK(H4),"",AY49-H4)</f>
        <v>0.25</v>
      </c>
      <c r="BC49" s="25">
        <f>IF(ISBLANK(G4),"",(AVERAGE($AY$49:AY49)))</f>
        <v>13.75</v>
      </c>
      <c r="BD49" s="13">
        <f>IF(ISBLANK(G4),"",AVERAGE(BF4:BG4))</f>
        <v>5.6499999999999995</v>
      </c>
      <c r="BE49" s="67"/>
      <c r="BF49" s="556">
        <v>0.3125</v>
      </c>
      <c r="BG49" s="556">
        <v>0.71875</v>
      </c>
      <c r="BH49" s="556">
        <v>0.72569444444444453</v>
      </c>
      <c r="BI49" s="556">
        <v>0.26041666666666669</v>
      </c>
      <c r="BJ49" s="556">
        <v>0.43055555555555558</v>
      </c>
      <c r="BK49" s="20"/>
      <c r="BL49" s="78"/>
    </row>
    <row r="50" spans="1:64" ht="12.75" customHeight="1" x14ac:dyDescent="0.2">
      <c r="A50" s="67"/>
      <c r="B50" s="707" t="s">
        <v>56</v>
      </c>
      <c r="C50" s="708"/>
      <c r="D50" s="709"/>
      <c r="E50" s="89">
        <f>IF(ISBLANK(H5),"",CORREL(M4:M34,R4:R34))</f>
        <v>4.7367123905170526E-2</v>
      </c>
      <c r="F50" s="576">
        <f>IF(ISBLANK(H5),"",ABS(E50))</f>
        <v>4.7367123905170526E-2</v>
      </c>
      <c r="G50" s="607" t="s">
        <v>427</v>
      </c>
      <c r="H50" s="820" t="s">
        <v>423</v>
      </c>
      <c r="I50" s="821"/>
      <c r="J50" s="18"/>
      <c r="K50" s="8"/>
      <c r="L50" s="118"/>
      <c r="M50" s="118"/>
      <c r="N50" s="118"/>
      <c r="O50" s="18"/>
      <c r="Q50" s="662" t="s">
        <v>132</v>
      </c>
      <c r="R50" s="662"/>
      <c r="T50" s="68"/>
      <c r="U50" s="300"/>
      <c r="W50" s="305" t="s">
        <v>111</v>
      </c>
      <c r="X50" s="22">
        <f>COUNTIF(X4:X34,"S")</f>
        <v>0</v>
      </c>
      <c r="Y50" s="84"/>
      <c r="Z50" s="661" t="s">
        <v>120</v>
      </c>
      <c r="AA50" s="660">
        <v>1</v>
      </c>
      <c r="AB50" s="322"/>
      <c r="AC50" s="646" t="s">
        <v>285</v>
      </c>
      <c r="AD50" s="647"/>
      <c r="AF50" s="67"/>
      <c r="AH50" s="713">
        <f>SUM(AW91:AW121)</f>
        <v>0</v>
      </c>
      <c r="AI50" s="713"/>
      <c r="AJ50" s="93">
        <f>IF(M53=0,"",AH50/M53)</f>
        <v>0</v>
      </c>
      <c r="AK50" s="68"/>
      <c r="AM50" s="67"/>
      <c r="AN50" s="180" t="s">
        <v>68</v>
      </c>
      <c r="AO50" s="87"/>
      <c r="AP50" s="397">
        <f>IF(M53=0,"",AP38/SUM(AT91:AT121))</f>
        <v>0.57394142055848063</v>
      </c>
      <c r="AR50" s="6"/>
      <c r="AS50" s="637" t="s">
        <v>44</v>
      </c>
      <c r="AT50" s="638"/>
      <c r="AU50" s="92">
        <f>IF(AP4=AP5,"",IF(AP42=0,"",CORREL(G4:G34,AP4:AP34)))</f>
        <v>0.61628525463849126</v>
      </c>
      <c r="AV50" s="577">
        <f>IF(AP4=AP5,"",IF(AP42=0,"",ABS(AU50)))</f>
        <v>0.61628525463849126</v>
      </c>
      <c r="AX50" s="361">
        <v>2</v>
      </c>
      <c r="AY50" s="23">
        <f t="shared" si="25"/>
        <v>14.75</v>
      </c>
      <c r="AZ50" s="50"/>
      <c r="BA50" s="26">
        <f t="shared" ref="BA50:BA79" si="27">BC5</f>
        <v>6.625</v>
      </c>
      <c r="BB50" s="7">
        <f t="shared" si="26"/>
        <v>-0.34999999999999964</v>
      </c>
      <c r="BC50" s="25">
        <f>IF(ISBLANK(G5),"",(AVERAGE($AY$49:AY50)))</f>
        <v>14.25</v>
      </c>
      <c r="BD50" s="13">
        <f t="shared" ref="BD50:BD79" si="28">IF(ISBLANK(G5),"",AVERAGE(BF5:BG5))</f>
        <v>6.1374999999999984</v>
      </c>
      <c r="BE50" s="67"/>
      <c r="BF50" s="556">
        <v>0.19791666666666666</v>
      </c>
      <c r="BG50" s="556">
        <v>0.56597222222222221</v>
      </c>
      <c r="BH50" s="556">
        <v>0.83333333333333337</v>
      </c>
      <c r="BI50" s="556">
        <v>0.22916666666666666</v>
      </c>
      <c r="BJ50" s="556">
        <v>0.44722222222222219</v>
      </c>
      <c r="BK50" s="55"/>
      <c r="BL50" s="78"/>
    </row>
    <row r="51" spans="1:64" ht="12.75" customHeight="1" x14ac:dyDescent="0.2">
      <c r="A51" s="67"/>
      <c r="B51" s="707" t="s">
        <v>11</v>
      </c>
      <c r="C51" s="708"/>
      <c r="D51" s="709"/>
      <c r="E51" s="89">
        <f>IF(ISBLANK(H5),"",CORREL(F4:F34,G4:G34))</f>
        <v>0.52621233902456455</v>
      </c>
      <c r="F51" s="576">
        <f>IF(ISBLANK(H5),"",ABS(E51))</f>
        <v>0.52621233902456455</v>
      </c>
      <c r="H51" s="821" t="s">
        <v>424</v>
      </c>
      <c r="I51" s="821"/>
      <c r="J51" s="18"/>
      <c r="K51" s="8"/>
      <c r="N51" s="187"/>
      <c r="O51" s="18"/>
      <c r="P51" s="21"/>
      <c r="Q51" s="649" t="s">
        <v>143</v>
      </c>
      <c r="R51" s="649"/>
      <c r="S51" s="21"/>
      <c r="T51" s="68"/>
      <c r="W51" s="304" t="s">
        <v>110</v>
      </c>
      <c r="X51" s="22">
        <f>COUNTIF(X4:X34,"SW")</f>
        <v>9</v>
      </c>
      <c r="Y51" s="67"/>
      <c r="Z51" s="661"/>
      <c r="AA51" s="660"/>
      <c r="AC51" s="714" t="s">
        <v>286</v>
      </c>
      <c r="AD51" s="717">
        <v>0</v>
      </c>
      <c r="AF51" s="67"/>
      <c r="AG51" s="650"/>
      <c r="AH51" s="650"/>
      <c r="AI51" s="650"/>
      <c r="AJ51" s="650"/>
      <c r="AK51" s="6"/>
      <c r="AM51" s="67"/>
      <c r="AN51" s="5">
        <f>M53-AN48</f>
        <v>28</v>
      </c>
      <c r="AO51" s="406"/>
      <c r="AR51" s="6"/>
      <c r="AS51" s="637" t="s">
        <v>39</v>
      </c>
      <c r="AT51" s="638"/>
      <c r="AU51" s="92">
        <f>IF(AP4=AP5,"",IF(AP42=0,"",CORREL(AP4:AP34,I4:I34)))</f>
        <v>0.63551567537476727</v>
      </c>
      <c r="AV51" s="577">
        <f>IF(AP4=AP5,"",IF(AP42=0,"",ABS(AU51)))</f>
        <v>0.63551567537476727</v>
      </c>
      <c r="AX51" s="361">
        <v>3</v>
      </c>
      <c r="AY51" s="23">
        <f t="shared" si="25"/>
        <v>11.15</v>
      </c>
      <c r="AZ51" s="50"/>
      <c r="BA51" s="26">
        <f t="shared" si="27"/>
        <v>3.0000000000000004</v>
      </c>
      <c r="BB51" s="7">
        <f t="shared" si="26"/>
        <v>-0.34999999999999964</v>
      </c>
      <c r="BC51" s="25">
        <f>IF(ISBLANK(G6),"",(AVERAGE($AY$49:AY51)))</f>
        <v>13.216666666666667</v>
      </c>
      <c r="BD51" s="13">
        <f t="shared" si="28"/>
        <v>5.0916666666666632</v>
      </c>
      <c r="BE51" s="67"/>
      <c r="BF51" s="556">
        <v>0.27083333333333331</v>
      </c>
      <c r="BG51" s="556">
        <v>0.69791666666666663</v>
      </c>
      <c r="BH51" s="556">
        <v>0.6875</v>
      </c>
      <c r="BI51" s="556">
        <v>0.32291666666666669</v>
      </c>
      <c r="BJ51" s="556">
        <v>0.74305555555555547</v>
      </c>
      <c r="BK51" s="18"/>
      <c r="BL51" s="78"/>
    </row>
    <row r="52" spans="1:64" ht="12.75" customHeight="1" x14ac:dyDescent="0.2">
      <c r="A52" s="67"/>
      <c r="B52" s="707" t="s">
        <v>92</v>
      </c>
      <c r="C52" s="708"/>
      <c r="D52" s="709"/>
      <c r="E52" s="89">
        <f>IF(ISBLANK(H5),"",CORREL(K4:K34,L4:L34))</f>
        <v>0.37927794049660618</v>
      </c>
      <c r="F52" s="576">
        <f>IF(ISBLANK(H5),"",ABS(E52))</f>
        <v>0.37927794049660618</v>
      </c>
      <c r="H52" s="598"/>
      <c r="I52" s="598"/>
      <c r="J52" s="18"/>
      <c r="K52" s="8"/>
      <c r="L52" s="187" t="s">
        <v>346</v>
      </c>
      <c r="M52" s="118"/>
      <c r="N52" s="118"/>
      <c r="O52" s="18"/>
      <c r="P52" s="25"/>
      <c r="Q52" s="715">
        <f>IF(ISBLANK(H5),"",AVERAGE(F48:F66,F72:F80,AV50:AV60))</f>
        <v>0.38694576166120326</v>
      </c>
      <c r="R52" s="716"/>
      <c r="S52" s="25"/>
      <c r="T52" s="67"/>
      <c r="W52" s="304" t="s">
        <v>114</v>
      </c>
      <c r="X52" s="22">
        <f>COUNTIF(X4:X34,"W")</f>
        <v>3</v>
      </c>
      <c r="Y52" s="67"/>
      <c r="Z52" s="659" t="s">
        <v>116</v>
      </c>
      <c r="AA52" s="711">
        <f>(Z38+AA50)/Z39</f>
        <v>4.9999999999999996E-2</v>
      </c>
      <c r="AC52" s="714"/>
      <c r="AD52" s="717"/>
      <c r="AF52" s="67"/>
      <c r="AG52" s="712" t="s">
        <v>180</v>
      </c>
      <c r="AH52" s="712"/>
      <c r="AI52" s="712"/>
      <c r="AJ52" s="712"/>
      <c r="AK52" s="314"/>
      <c r="AM52" s="67"/>
      <c r="AO52" s="407"/>
      <c r="AP52" s="639" t="s">
        <v>190</v>
      </c>
      <c r="AQ52" s="640"/>
      <c r="AR52" s="6"/>
      <c r="AS52" s="637" t="s">
        <v>40</v>
      </c>
      <c r="AT52" s="638"/>
      <c r="AU52" s="92">
        <f>IF(AP4=AP5,"",IF(AP42=0,"",CORREL(AP4:AP34,K4:K34)))</f>
        <v>-0.67566334420726737</v>
      </c>
      <c r="AV52" s="577">
        <f>IF(AP4=AP5,"",IF(AP42=0,"",ABS(AU52)))</f>
        <v>0.67566334420726737</v>
      </c>
      <c r="AX52" s="361">
        <v>4</v>
      </c>
      <c r="AY52" s="23">
        <f t="shared" si="25"/>
        <v>9.85</v>
      </c>
      <c r="AZ52" s="50"/>
      <c r="BA52" s="26">
        <f t="shared" si="27"/>
        <v>1.6749999999999998</v>
      </c>
      <c r="BB52" s="7">
        <f t="shared" si="26"/>
        <v>-0.25</v>
      </c>
      <c r="BC52" s="25">
        <f>IF(ISBLANK(G7),"",(AVERAGE($AY$49:AY52)))</f>
        <v>12.375</v>
      </c>
      <c r="BD52" s="13">
        <f t="shared" si="28"/>
        <v>4.2374999999999989</v>
      </c>
      <c r="BE52" s="6"/>
      <c r="BF52" s="556">
        <v>0.28819444444444448</v>
      </c>
      <c r="BG52" s="556">
        <v>0.68402777777777779</v>
      </c>
      <c r="BH52" s="556">
        <v>0.70486111111111116</v>
      </c>
      <c r="BI52" s="556">
        <v>0.30555555555555552</v>
      </c>
      <c r="BJ52" s="556">
        <v>0.64861111111111114</v>
      </c>
      <c r="BK52" s="18"/>
      <c r="BL52" s="78"/>
    </row>
    <row r="53" spans="1:64" ht="12.75" customHeight="1" x14ac:dyDescent="0.2">
      <c r="A53" s="67"/>
      <c r="B53" s="707" t="s">
        <v>93</v>
      </c>
      <c r="C53" s="708"/>
      <c r="D53" s="709"/>
      <c r="E53" s="89">
        <f>IF(ISBLANK(H5),"",CORREL(P4:P34,Q4:Q34))</f>
        <v>0.92425424904167985</v>
      </c>
      <c r="F53" s="576">
        <f>IF(ISBLANK(H5),"",ABS(E53))</f>
        <v>0.92425424904167985</v>
      </c>
      <c r="H53" s="598"/>
      <c r="I53" s="598"/>
      <c r="J53" s="18"/>
      <c r="K53" s="8"/>
      <c r="L53" s="21" t="s">
        <v>88</v>
      </c>
      <c r="M53" s="21">
        <f>COUNT(H4:H34)</f>
        <v>30</v>
      </c>
      <c r="N53" s="118"/>
      <c r="O53" s="18"/>
      <c r="Q53" s="663" t="s">
        <v>34</v>
      </c>
      <c r="R53" s="663"/>
      <c r="S53" s="22"/>
      <c r="T53" s="67"/>
      <c r="U53" s="7"/>
      <c r="W53" s="304" t="s">
        <v>128</v>
      </c>
      <c r="X53" s="22">
        <f>COUNTIF(X4:X34,"NW")</f>
        <v>2</v>
      </c>
      <c r="Y53" s="136"/>
      <c r="Z53" s="659"/>
      <c r="AA53" s="711"/>
      <c r="AB53" s="323"/>
      <c r="AC53" s="542" t="s">
        <v>281</v>
      </c>
      <c r="AD53" s="549">
        <f>IF(Z38=0,"",AD51/Z38)</f>
        <v>0</v>
      </c>
      <c r="AF53" s="67"/>
      <c r="AH53" s="713">
        <f>SUM(AX91:AX121)</f>
        <v>23</v>
      </c>
      <c r="AI53" s="713"/>
      <c r="AJ53" s="93">
        <f>IF(M53=0,"",AH53/M53)</f>
        <v>0.76666666666666672</v>
      </c>
      <c r="AK53" s="68"/>
      <c r="AL53" s="4"/>
      <c r="AM53" s="67"/>
      <c r="AN53" s="179" t="s">
        <v>77</v>
      </c>
      <c r="AO53" s="88"/>
      <c r="AP53" s="718" t="str">
        <f>IF(M54=0,"n/a",(AP39-AP38)/M54/(AP39/E34))</f>
        <v>n/a</v>
      </c>
      <c r="AQ53" s="719"/>
      <c r="AR53" s="6"/>
      <c r="AS53" s="637" t="s">
        <v>38</v>
      </c>
      <c r="AT53" s="638"/>
      <c r="AU53" s="92">
        <f>IF(AQ38=0,"",CORREL(AP4:AP34,AQ4:AQ34))</f>
        <v>-0.29669764249984643</v>
      </c>
      <c r="AV53" s="577">
        <f>IF(AQ38=0,"",ABS(AU53))</f>
        <v>0.29669764249984643</v>
      </c>
      <c r="AX53" s="361">
        <v>5</v>
      </c>
      <c r="AY53" s="23">
        <f t="shared" si="25"/>
        <v>10.85</v>
      </c>
      <c r="AZ53" s="50"/>
      <c r="BA53" s="26">
        <f t="shared" si="27"/>
        <v>2.6499999999999995</v>
      </c>
      <c r="BB53" s="7">
        <f t="shared" si="26"/>
        <v>-5.0000000000000711E-2</v>
      </c>
      <c r="BC53" s="25">
        <f>IF(ISBLANK(G8),"",(AVERAGE($AY$49:AY53)))</f>
        <v>12.07</v>
      </c>
      <c r="BD53" s="13">
        <f t="shared" si="28"/>
        <v>3.9199999999999986</v>
      </c>
      <c r="BE53" s="6"/>
      <c r="BF53" s="556">
        <v>0.20138888888888887</v>
      </c>
      <c r="BG53" s="556">
        <v>0.76041666666666663</v>
      </c>
      <c r="BH53" s="556" t="s">
        <v>274</v>
      </c>
      <c r="BI53" s="556" t="s">
        <v>233</v>
      </c>
      <c r="BJ53" s="556">
        <v>0.43611111111111112</v>
      </c>
      <c r="BK53" s="18"/>
      <c r="BL53" s="78"/>
    </row>
    <row r="54" spans="1:64" ht="12.75" customHeight="1" x14ac:dyDescent="0.2">
      <c r="A54" s="67"/>
      <c r="B54" s="707" t="s">
        <v>53</v>
      </c>
      <c r="C54" s="708"/>
      <c r="D54" s="709"/>
      <c r="E54" s="89">
        <f>IF(ISBLANK(H5),"",(CORREL(G4:G34,R4:R34)))</f>
        <v>-0.41095132774730642</v>
      </c>
      <c r="F54" s="576">
        <f>IF(ISBLANK(H5),"",ABS(E54))</f>
        <v>0.41095132774730642</v>
      </c>
      <c r="H54" s="598"/>
      <c r="I54" s="598"/>
      <c r="J54" s="18"/>
      <c r="K54" s="8"/>
      <c r="L54" s="21" t="s">
        <v>89</v>
      </c>
      <c r="M54" s="21">
        <f>SUM(E34-M53)</f>
        <v>0</v>
      </c>
      <c r="N54" s="187"/>
      <c r="O54" s="18"/>
      <c r="Q54" s="5">
        <f>SUM(E69,E83,AU63)</f>
        <v>13</v>
      </c>
      <c r="R54" s="21" t="s">
        <v>193</v>
      </c>
      <c r="S54" s="608"/>
      <c r="T54" s="67"/>
      <c r="U54" s="7"/>
      <c r="W54" s="300"/>
      <c r="X54" s="25"/>
      <c r="Y54" s="136"/>
      <c r="Z54" s="659" t="s">
        <v>153</v>
      </c>
      <c r="AA54" s="659" t="str">
        <f>IF(M54&gt;0,(Z39-Z38)/M54,"n/a")</f>
        <v>n/a</v>
      </c>
      <c r="AB54" s="267"/>
      <c r="AC54" s="542" t="s">
        <v>283</v>
      </c>
      <c r="AD54" s="549">
        <f>IF(AT67=0,"",AV38/AT67)</f>
        <v>0</v>
      </c>
      <c r="AF54" s="67"/>
      <c r="AK54" s="6"/>
      <c r="AM54" s="67"/>
      <c r="AN54" s="138">
        <f>IF(M53=0,"",AN48/M53)</f>
        <v>6.6666666666666666E-2</v>
      </c>
      <c r="AO54" s="406"/>
      <c r="AP54" s="531">
        <f>AP39/E34</f>
        <v>4.5666666666666664</v>
      </c>
      <c r="AQ54" s="532" t="str">
        <f>IF(M54=0,"",(AP39-AP38)/M54)</f>
        <v/>
      </c>
      <c r="AR54" s="6"/>
      <c r="AS54" s="637" t="s">
        <v>49</v>
      </c>
      <c r="AT54" s="638"/>
      <c r="AU54" s="92">
        <f>IF(AQ38=0,"",CORREL(AQ4:AQ34,I4:I34))</f>
        <v>-0.29541506471915541</v>
      </c>
      <c r="AV54" s="577">
        <f>IF(AQ38=0,"",ABS(AU54))</f>
        <v>0.29541506471915541</v>
      </c>
      <c r="AX54" s="361">
        <v>6</v>
      </c>
      <c r="AY54" s="23">
        <f t="shared" si="25"/>
        <v>17.149999999999999</v>
      </c>
      <c r="AZ54" s="50"/>
      <c r="BA54" s="26">
        <f t="shared" si="27"/>
        <v>8.9249999999999989</v>
      </c>
      <c r="BB54" s="7">
        <f t="shared" si="26"/>
        <v>0.34999999999999787</v>
      </c>
      <c r="BC54" s="25">
        <f>IF(ISBLANK(G9),"",(AVERAGE($AY$49:AY54)))</f>
        <v>12.916666666666666</v>
      </c>
      <c r="BD54" s="13">
        <f t="shared" si="28"/>
        <v>4.7541666666666664</v>
      </c>
      <c r="BE54" s="6"/>
      <c r="BF54" s="556">
        <v>6.9444444444444441E-3</v>
      </c>
      <c r="BG54" s="556">
        <v>0.625</v>
      </c>
      <c r="BH54" s="556">
        <v>0.77777777777777779</v>
      </c>
      <c r="BI54" s="556">
        <v>6.9444444444444441E-3</v>
      </c>
      <c r="BJ54" s="556">
        <v>0.67986111111111114</v>
      </c>
      <c r="BK54" s="18"/>
      <c r="BL54" s="78"/>
    </row>
    <row r="55" spans="1:64" ht="12.75" customHeight="1" x14ac:dyDescent="0.2">
      <c r="A55" s="67"/>
      <c r="B55" s="707" t="s">
        <v>54</v>
      </c>
      <c r="C55" s="708"/>
      <c r="D55" s="709"/>
      <c r="E55" s="89">
        <f>IF(ISBLANK(H5),"",CORREL(F4:F34,R4:R34))</f>
        <v>-0.45580682745228857</v>
      </c>
      <c r="F55" s="576">
        <f>IF(ISBLANK(H5),"",ABS(E55))</f>
        <v>0.45580682745228857</v>
      </c>
      <c r="H55" s="598"/>
      <c r="I55" s="598"/>
      <c r="J55" s="20"/>
      <c r="K55" s="8"/>
      <c r="L55" s="118"/>
      <c r="M55" s="118"/>
      <c r="N55" s="118"/>
      <c r="O55" s="18"/>
      <c r="Q55" s="21"/>
      <c r="S55" s="21"/>
      <c r="T55" s="67"/>
      <c r="U55" s="7"/>
      <c r="W55" s="300" t="s">
        <v>129</v>
      </c>
      <c r="X55" s="22">
        <f>MAX(X46:X53)</f>
        <v>9</v>
      </c>
      <c r="Y55" s="136"/>
      <c r="Z55" s="659"/>
      <c r="AA55" s="659"/>
      <c r="AB55" s="267"/>
      <c r="AC55" s="543" t="s">
        <v>284</v>
      </c>
      <c r="AD55" s="546" t="s">
        <v>205</v>
      </c>
      <c r="AE55" s="267"/>
      <c r="AF55" s="67"/>
      <c r="AK55" s="6"/>
      <c r="AM55" s="67"/>
      <c r="AO55" s="408"/>
      <c r="AR55" s="6"/>
      <c r="AS55" s="637" t="s">
        <v>96</v>
      </c>
      <c r="AT55" s="638"/>
      <c r="AU55" s="92">
        <f>IF(AQ38=0,"",CORREL(M4:M34,AQ4:AQ34))</f>
        <v>0.45544966053994596</v>
      </c>
      <c r="AV55" s="577">
        <f>IF(AQ38=0,"",ABS(AU55))</f>
        <v>0.45544966053994596</v>
      </c>
      <c r="AX55" s="361">
        <v>7</v>
      </c>
      <c r="AY55" s="23">
        <f t="shared" si="25"/>
        <v>15.35</v>
      </c>
      <c r="AZ55" s="50"/>
      <c r="BA55" s="26">
        <f t="shared" si="27"/>
        <v>7.0660714285714281</v>
      </c>
      <c r="BB55" s="7">
        <f t="shared" si="26"/>
        <v>0.15000000000000036</v>
      </c>
      <c r="BC55" s="25">
        <f>IF(ISBLANK(G10),"",(AVERAGE($AY$49:AY55)))</f>
        <v>13.264285714285714</v>
      </c>
      <c r="BD55" s="13">
        <f t="shared" si="28"/>
        <v>5.084438775510205</v>
      </c>
      <c r="BE55" s="6"/>
      <c r="BF55" s="556">
        <v>0.27083333333333331</v>
      </c>
      <c r="BG55" s="556">
        <v>0.57638888888888895</v>
      </c>
      <c r="BH55" s="556">
        <v>0.55208333333333337</v>
      </c>
      <c r="BI55" s="556" t="s">
        <v>475</v>
      </c>
      <c r="BJ55" s="556">
        <v>0.66527777777777775</v>
      </c>
      <c r="BK55" s="18"/>
      <c r="BL55" s="78"/>
    </row>
    <row r="56" spans="1:64" ht="12.75" customHeight="1" thickBot="1" x14ac:dyDescent="0.25">
      <c r="A56" s="67"/>
      <c r="B56" s="707" t="s">
        <v>55</v>
      </c>
      <c r="C56" s="708"/>
      <c r="D56" s="709"/>
      <c r="E56" s="89">
        <f>IF(ISBLANK(H5),"",CORREL(I4:I34,R4:R34))</f>
        <v>-0.18468310467788387</v>
      </c>
      <c r="F56" s="576">
        <f>IF(ISBLANK(H5),"",ABS(E56))</f>
        <v>0.18468310467788387</v>
      </c>
      <c r="J56" s="20"/>
      <c r="O56" s="20"/>
      <c r="T56" s="67"/>
      <c r="U56" s="7"/>
      <c r="V56" s="7"/>
      <c r="W56" s="25"/>
      <c r="X56" s="25"/>
      <c r="Y56" s="136"/>
      <c r="AD56" s="267"/>
      <c r="AE56" s="267"/>
      <c r="AF56" s="166"/>
      <c r="AG56" s="710" t="s">
        <v>126</v>
      </c>
      <c r="AH56" s="710"/>
      <c r="AI56" s="710"/>
      <c r="AJ56" s="710"/>
      <c r="AK56" s="313"/>
      <c r="AL56" s="152"/>
      <c r="AM56" s="67"/>
      <c r="AN56" s="179" t="s">
        <v>109</v>
      </c>
      <c r="AO56" s="88"/>
      <c r="AR56" s="6"/>
      <c r="AS56" s="637" t="s">
        <v>37</v>
      </c>
      <c r="AT56" s="638"/>
      <c r="AU56" s="92">
        <f>IF(AQ38=0,"",CORREL(Z4:Z34,AQ4:AQ34))</f>
        <v>0.99693638242893512</v>
      </c>
      <c r="AV56" s="577">
        <f>IF(AQ38=0,"",ABS(AU56))</f>
        <v>0.99693638242893512</v>
      </c>
      <c r="AX56" s="361">
        <v>8</v>
      </c>
      <c r="AY56" s="23">
        <f t="shared" si="25"/>
        <v>13.95</v>
      </c>
      <c r="AZ56" s="50"/>
      <c r="BA56" s="26">
        <f t="shared" si="27"/>
        <v>5.6071428571428559</v>
      </c>
      <c r="BB56" s="7">
        <f t="shared" si="26"/>
        <v>-0.55000000000000071</v>
      </c>
      <c r="BC56" s="25">
        <f>IF(ISBLANK(G11),"",(AVERAGE($AY$49:AY56)))</f>
        <v>13.35</v>
      </c>
      <c r="BD56" s="13">
        <f t="shared" si="28"/>
        <v>5.1497767857142875</v>
      </c>
      <c r="BE56" s="6"/>
      <c r="BF56" s="556">
        <v>0.27083333333333331</v>
      </c>
      <c r="BG56" s="556">
        <v>0.72569444444444453</v>
      </c>
      <c r="BH56" s="556">
        <v>0.69444444444444453</v>
      </c>
      <c r="BI56" s="556">
        <v>0.30208333333333331</v>
      </c>
      <c r="BJ56" s="556">
        <v>0.98541666666666661</v>
      </c>
      <c r="BK56" s="18"/>
      <c r="BL56" s="78"/>
    </row>
    <row r="57" spans="1:64" ht="12.75" customHeight="1" x14ac:dyDescent="0.2">
      <c r="A57" s="67"/>
      <c r="B57" s="707" t="s">
        <v>94</v>
      </c>
      <c r="C57" s="708"/>
      <c r="D57" s="709"/>
      <c r="E57" s="89">
        <f>IF(ISBLANK(H5),"",CORREL(N4:N34,R4:R34))</f>
        <v>-9.5475648601305793E-2</v>
      </c>
      <c r="F57" s="576">
        <f>IF(ISBLANK(H5),"",ABS(E57))</f>
        <v>9.5475648601305793E-2</v>
      </c>
      <c r="H57" s="720" t="s">
        <v>135</v>
      </c>
      <c r="I57" s="721"/>
      <c r="J57" s="193"/>
      <c r="K57" s="721" t="s">
        <v>35</v>
      </c>
      <c r="L57" s="721"/>
      <c r="M57" s="721"/>
      <c r="N57" s="721"/>
      <c r="O57" s="194"/>
      <c r="P57" s="721" t="s">
        <v>136</v>
      </c>
      <c r="Q57" s="721"/>
      <c r="R57" s="721"/>
      <c r="S57" s="721"/>
      <c r="T57" s="195"/>
      <c r="U57" s="651" t="s">
        <v>159</v>
      </c>
      <c r="V57" s="653" t="s">
        <v>134</v>
      </c>
      <c r="W57" s="655" t="s">
        <v>160</v>
      </c>
      <c r="X57" s="657" t="s">
        <v>181</v>
      </c>
      <c r="Y57" s="196"/>
      <c r="Z57" s="724" t="s">
        <v>133</v>
      </c>
      <c r="AA57" s="724"/>
      <c r="AB57" s="725"/>
      <c r="AC57" s="726" t="s">
        <v>122</v>
      </c>
      <c r="AD57" s="727"/>
      <c r="AE57" s="728"/>
      <c r="AF57" s="166"/>
      <c r="AH57" s="713">
        <f t="array" ref="AH57">MAX(FREQUENCY(IF(AW91:AW121=1,ROW(91:121)),IF(AW91:AW121&lt;&gt;1,ROW(91:121))))</f>
        <v>0</v>
      </c>
      <c r="AI57" s="713"/>
      <c r="AJ57" s="4"/>
      <c r="AK57" s="68"/>
      <c r="AL57" s="4"/>
      <c r="AM57" s="67"/>
      <c r="AN57" s="138">
        <f>IF(AN48=0,"",AN38/AN48)</f>
        <v>0.5</v>
      </c>
      <c r="AO57" s="223"/>
      <c r="AR57" s="6"/>
      <c r="AS57" s="637" t="s">
        <v>45</v>
      </c>
      <c r="AT57" s="638"/>
      <c r="AU57" s="92">
        <f>IF(AP4=AP5,"",IF(AP42=0,"",CORREL(AP4:AP34,R4:R34)))</f>
        <v>4.5541538036428637E-2</v>
      </c>
      <c r="AV57" s="577">
        <f>IF(AP4=AP5,"",IF(AP42=0,"",ABS(AU57)))</f>
        <v>4.5541538036428637E-2</v>
      </c>
      <c r="AX57" s="361">
        <v>9</v>
      </c>
      <c r="AY57" s="23">
        <f t="shared" si="25"/>
        <v>12.799999999999999</v>
      </c>
      <c r="AZ57" s="50"/>
      <c r="BA57" s="26">
        <f t="shared" si="27"/>
        <v>4.3982142857142836</v>
      </c>
      <c r="BB57" s="7">
        <f t="shared" si="26"/>
        <v>9.9999999999999645E-2</v>
      </c>
      <c r="BC57" s="25">
        <f>IF(ISBLANK(G12),"",(AVERAGE($AY$49:AY57)))</f>
        <v>13.288888888888888</v>
      </c>
      <c r="BD57" s="13">
        <f t="shared" si="28"/>
        <v>5.0662698412698424</v>
      </c>
      <c r="BE57" s="6"/>
      <c r="BF57" s="556">
        <v>0.28125</v>
      </c>
      <c r="BG57" s="556">
        <v>0.57986111111111105</v>
      </c>
      <c r="BH57" s="556">
        <v>0.76041666666666663</v>
      </c>
      <c r="BI57" s="556" t="s">
        <v>233</v>
      </c>
      <c r="BJ57" s="556">
        <v>0.57638888888888895</v>
      </c>
      <c r="BK57" s="18"/>
      <c r="BL57" s="78"/>
    </row>
    <row r="58" spans="1:64" ht="12.75" x14ac:dyDescent="0.2">
      <c r="A58" s="67"/>
      <c r="B58" s="707" t="s">
        <v>14</v>
      </c>
      <c r="C58" s="708"/>
      <c r="D58" s="709"/>
      <c r="E58" s="89">
        <f>IF(ISBLANK(H5),"",CORREL(I4:I34,N4:N34))</f>
        <v>0.65608885320677302</v>
      </c>
      <c r="F58" s="576">
        <f>IF(ISBLANK(H5),"",ABS(E58))</f>
        <v>0.65608885320677302</v>
      </c>
      <c r="H58" s="722"/>
      <c r="I58" s="723"/>
      <c r="J58" s="204"/>
      <c r="K58" s="205" t="s">
        <v>2</v>
      </c>
      <c r="L58" s="206" t="s">
        <v>3</v>
      </c>
      <c r="M58" s="207" t="s">
        <v>156</v>
      </c>
      <c r="N58" s="208" t="s">
        <v>5</v>
      </c>
      <c r="O58" s="204"/>
      <c r="P58" s="205" t="s">
        <v>2</v>
      </c>
      <c r="Q58" s="206" t="s">
        <v>3</v>
      </c>
      <c r="R58" s="207" t="s">
        <v>4</v>
      </c>
      <c r="S58" s="208" t="s">
        <v>5</v>
      </c>
      <c r="T58" s="209"/>
      <c r="U58" s="652"/>
      <c r="V58" s="654"/>
      <c r="W58" s="656"/>
      <c r="X58" s="658"/>
      <c r="Y58" s="210"/>
      <c r="Z58" s="211" t="s">
        <v>137</v>
      </c>
      <c r="AA58" s="211" t="s">
        <v>235</v>
      </c>
      <c r="AB58" s="495" t="s">
        <v>138</v>
      </c>
      <c r="AC58" s="533" t="s">
        <v>140</v>
      </c>
      <c r="AD58" s="534" t="s">
        <v>235</v>
      </c>
      <c r="AE58" s="535" t="s">
        <v>141</v>
      </c>
      <c r="AF58" s="166"/>
      <c r="AG58" s="650"/>
      <c r="AH58" s="650"/>
      <c r="AI58" s="650"/>
      <c r="AJ58" s="650"/>
      <c r="AK58" s="6"/>
      <c r="AM58" s="67"/>
      <c r="AO58" s="224"/>
      <c r="AR58" s="6"/>
      <c r="AS58" s="637" t="s">
        <v>46</v>
      </c>
      <c r="AT58" s="638"/>
      <c r="AU58" s="92">
        <f>IF(ISBLANK(U5),"",CORREL(U4:U34,R4:R34))</f>
        <v>2.4658844313316493E-2</v>
      </c>
      <c r="AV58" s="577">
        <f>IF(ISBLANK(U5),"",ABS(AU58))</f>
        <v>2.4658844313316493E-2</v>
      </c>
      <c r="AX58" s="361">
        <v>10</v>
      </c>
      <c r="AY58" s="23">
        <f t="shared" si="25"/>
        <v>12.55</v>
      </c>
      <c r="AZ58" s="50"/>
      <c r="BA58" s="26">
        <f t="shared" si="27"/>
        <v>4.0892857142857126</v>
      </c>
      <c r="BB58" s="7">
        <f t="shared" si="26"/>
        <v>0.25</v>
      </c>
      <c r="BC58" s="25">
        <f>IF(ISBLANK(G13),"",(AVERAGE($AY$49:AY58)))</f>
        <v>13.215</v>
      </c>
      <c r="BD58" s="13">
        <f t="shared" si="28"/>
        <v>4.968571428571428</v>
      </c>
      <c r="BE58" s="6"/>
      <c r="BF58" s="556">
        <v>0.27430555555555552</v>
      </c>
      <c r="BG58" s="556">
        <v>0.68055555555555547</v>
      </c>
      <c r="BH58" s="556">
        <v>0.75694444444444453</v>
      </c>
      <c r="BI58" s="556">
        <v>0.30902777777777779</v>
      </c>
      <c r="BJ58" s="556">
        <v>0.50694444444444442</v>
      </c>
      <c r="BK58" s="18"/>
      <c r="BL58" s="78"/>
    </row>
    <row r="59" spans="1:64" ht="12.75" x14ac:dyDescent="0.2">
      <c r="A59" s="67"/>
      <c r="B59" s="707" t="s">
        <v>52</v>
      </c>
      <c r="C59" s="708"/>
      <c r="D59" s="709"/>
      <c r="E59" s="89">
        <f>IF(ISBLANK(H5),"",CORREL(L4:L34,R4:R34))</f>
        <v>2.4608899773415336E-3</v>
      </c>
      <c r="F59" s="576">
        <f>IF(ISBLANK(H5),"",ABS(E59))</f>
        <v>2.4608899773415336E-3</v>
      </c>
      <c r="H59" s="729" t="s">
        <v>19</v>
      </c>
      <c r="I59" s="830"/>
      <c r="J59" s="191"/>
      <c r="K59" s="100">
        <f>IF(ISBLANK(F4),"",AVERAGE(F4:F18))</f>
        <v>8.0599999999999987</v>
      </c>
      <c r="L59" s="100">
        <f>IF(ISBLANK(G4),"",AVERAGE(G4:G18))</f>
        <v>16.98</v>
      </c>
      <c r="M59" s="100">
        <f>IF(ISBLANK(H4),"",AVERAGE(H4:H18))</f>
        <v>12.513333333333334</v>
      </c>
      <c r="N59" s="100">
        <f>IF(ISBLANK(G4),"",AVERAGE(I4:I18))</f>
        <v>8.92</v>
      </c>
      <c r="O59" s="191"/>
      <c r="P59" s="100">
        <f>IF(ISBLANK(F4),"",K59-AVERAGE(F91:F105))</f>
        <v>3.3599999999999985</v>
      </c>
      <c r="Q59" s="100">
        <f>IF(ISBLANK(G4),"",L59-AVERAGE(G91:G105))</f>
        <v>4.9264285714285716</v>
      </c>
      <c r="R59" s="100">
        <f>IF(ISBLANK(H4),"",M59-AVERAGE(H91:H105))</f>
        <v>4.1365476190476169</v>
      </c>
      <c r="S59" s="100">
        <f>IF(ISBLANK(G4),"",N59-AVERAGE(I91:I105))</f>
        <v>1.5664285714285713</v>
      </c>
      <c r="T59" s="166"/>
      <c r="U59" s="342">
        <f>IF(ISBLANK(M4),"",AVERAGE(M4:M18))</f>
        <v>63.266666666666666</v>
      </c>
      <c r="V59" s="342">
        <f>IF(ISBLANK(P4),"",AVERAGE(R4:R18))</f>
        <v>1022.1</v>
      </c>
      <c r="W59" s="345">
        <f>IF(ISBLANK(U4),"",AVERAGE(U4:U18))</f>
        <v>5.206666666666667</v>
      </c>
      <c r="X59" s="100">
        <f>IF(ISBLANK(AI4),"",AVERAGE(AI4:AI18))</f>
        <v>5.2933333333333321</v>
      </c>
      <c r="Y59" s="192"/>
      <c r="Z59" s="38">
        <f>IF(ISBLANK(Z4),"",SUM(Z4:Z18))</f>
        <v>1.7</v>
      </c>
      <c r="AA59" s="492">
        <f>IF(ISBLANK(Z4),"",Z59/($Z$39/$E$34*15))</f>
        <v>6.0714285714285714E-2</v>
      </c>
      <c r="AB59" s="496">
        <f>IF(Z38=0,"",Z59/$Z$38)</f>
        <v>0.94444444444444442</v>
      </c>
      <c r="AC59" s="499">
        <f>IF(ISBLANK(AP4),"",SUM(AP4:AP18))</f>
        <v>86.699999999999989</v>
      </c>
      <c r="AD59" s="492">
        <f>IF(ISBLANK(AP4),"",AC59/SUM(AS91:AS105))</f>
        <v>1.3126861141183326</v>
      </c>
      <c r="AE59" s="197">
        <f>IF(ISBLANK(AP4),"",AC59/$AP$38)</f>
        <v>0.40138888888888885</v>
      </c>
      <c r="AF59" s="166"/>
      <c r="AG59" s="712" t="s">
        <v>127</v>
      </c>
      <c r="AH59" s="712"/>
      <c r="AI59" s="712"/>
      <c r="AJ59" s="712"/>
      <c r="AK59" s="314"/>
      <c r="AL59" s="151"/>
      <c r="AM59" s="67"/>
      <c r="AN59" s="182" t="s">
        <v>66</v>
      </c>
      <c r="AO59" s="87"/>
      <c r="AP59" s="800" t="s">
        <v>97</v>
      </c>
      <c r="AQ59" s="800"/>
      <c r="AR59" s="6"/>
      <c r="AS59" s="637" t="s">
        <v>47</v>
      </c>
      <c r="AT59" s="638"/>
      <c r="AU59" s="92">
        <f>IF(AQ38=0,"",CORREL(AQ4:AQ34,R4:R34))</f>
        <v>5.561252719135882E-2</v>
      </c>
      <c r="AV59" s="577">
        <f>IF(AQ38=0,"",ABS(AU59))</f>
        <v>5.561252719135882E-2</v>
      </c>
      <c r="AX59" s="361">
        <v>11</v>
      </c>
      <c r="AY59" s="23">
        <f t="shared" si="25"/>
        <v>13.05</v>
      </c>
      <c r="AZ59" s="50"/>
      <c r="BA59" s="26">
        <f t="shared" si="27"/>
        <v>4.5303571428571408</v>
      </c>
      <c r="BB59" s="7">
        <f t="shared" si="26"/>
        <v>0.55000000000000071</v>
      </c>
      <c r="BC59" s="25">
        <f>IF(ISBLANK(G14),"",(AVERAGE($AY$49:AY59)))</f>
        <v>13.200000000000001</v>
      </c>
      <c r="BD59" s="13">
        <f t="shared" si="28"/>
        <v>4.9287337662337656</v>
      </c>
      <c r="BE59" s="6"/>
      <c r="BF59" s="556">
        <v>0.22569444444444445</v>
      </c>
      <c r="BG59" s="556">
        <v>0.62847222222222221</v>
      </c>
      <c r="BH59" s="556">
        <v>0.56597222222222221</v>
      </c>
      <c r="BI59" s="556">
        <v>0.30555555555555552</v>
      </c>
      <c r="BJ59" s="556">
        <v>0.66388888888888886</v>
      </c>
      <c r="BK59" s="18"/>
      <c r="BL59" s="78"/>
    </row>
    <row r="60" spans="1:64" ht="12.75" customHeight="1" x14ac:dyDescent="0.2">
      <c r="A60" s="67"/>
      <c r="B60" s="707" t="s">
        <v>57</v>
      </c>
      <c r="C60" s="708"/>
      <c r="D60" s="709"/>
      <c r="E60" s="89">
        <f>IF(ISBLANK(H5),"",CORREL(G4:G34,N4:N34))</f>
        <v>0.59226654180795124</v>
      </c>
      <c r="F60" s="576">
        <f>IF(ISBLANK(H5),"",ABS(E60))</f>
        <v>0.59226654180795124</v>
      </c>
      <c r="H60" s="729" t="s">
        <v>182</v>
      </c>
      <c r="I60" s="830"/>
      <c r="J60" s="191"/>
      <c r="K60" s="100">
        <f>IF(ISBLANK(F19),"",AVERAGE(F19:F34))</f>
        <v>9.1399999999999988</v>
      </c>
      <c r="L60" s="100">
        <f>IF(ISBLANK(G19),"",AVERAGE(G19:G34))</f>
        <v>20.633333333333333</v>
      </c>
      <c r="M60" s="100">
        <f>IF(ISBLANK(H19),"",AVERAGE(H19:H34))</f>
        <v>14.68</v>
      </c>
      <c r="N60" s="100">
        <f>IF(ISBLANK(G19),"",AVERAGE(I19:I34))</f>
        <v>11.493333333333334</v>
      </c>
      <c r="O60" s="191"/>
      <c r="P60" s="100">
        <f>IF(ISBLANK(F19),"",K60-AVERAGE(F106:F121))</f>
        <v>3.7533333333333321</v>
      </c>
      <c r="Q60" s="100">
        <f>IF(ISBLANK(G19),"",L60-AVERAGE(G106:G121))</f>
        <v>7.0085714285714289</v>
      </c>
      <c r="R60" s="100">
        <f>IF(ISBLANK(H19),"",M60-AVERAGE(H106:H121))</f>
        <v>5.1742857142857126</v>
      </c>
      <c r="S60" s="100">
        <f>IF(ISBLANK(G19),"",N60-AVERAGE(I106:I121))</f>
        <v>3.255238095238095</v>
      </c>
      <c r="T60" s="166"/>
      <c r="U60" s="342">
        <f>IF(ISBLANK(M19),"",AVERAGE(M19:M34))</f>
        <v>60.2</v>
      </c>
      <c r="V60" s="342">
        <f>IF(ISBLANK(P19),"",AVERAGE(R19:R34))</f>
        <v>1017.6</v>
      </c>
      <c r="W60" s="345">
        <f>IF(ISBLANK(U19),"",AVERAGE(U19:U34))</f>
        <v>3.7666666666666662</v>
      </c>
      <c r="X60" s="100">
        <f>IF(ISBLANK(AI19),"",AVERAGE(AI19:AI34))</f>
        <v>6.4333333333333327</v>
      </c>
      <c r="Y60" s="192"/>
      <c r="Z60" s="38">
        <f>IF(ISBLANK(Z19),"",SUM(Z19:Z34))</f>
        <v>0.1</v>
      </c>
      <c r="AA60" s="492">
        <f>IF(ISBLANK(Z19),"",(Z60/($Z$39/$E$34*15)))</f>
        <v>3.5714285714285718E-3</v>
      </c>
      <c r="AB60" s="496">
        <f>IF(ISBLANK(Z19),"",Z60/$Z$38)</f>
        <v>5.5555555555555559E-2</v>
      </c>
      <c r="AC60" s="118">
        <f>IF(ISBLANK(AP19),"",SUM(AP19:AP34))</f>
        <v>129.30000000000001</v>
      </c>
      <c r="AD60" s="492">
        <f>IF(ISBLANK(AP19),"",AC60/SUM(AS106:AS121))</f>
        <v>1.8223530553243796</v>
      </c>
      <c r="AE60" s="197">
        <f>IF(ISBLANK(AP19),"",AC60/$AP$38)</f>
        <v>0.5986111111111112</v>
      </c>
      <c r="AF60" s="166"/>
      <c r="AH60" s="713">
        <f t="array" ref="AH60">MAX(FREQUENCY(IF(AX91:AX121=1,ROW(91:121)),IF(AX91:AX121&lt;&gt;1,ROW(91:121))))</f>
        <v>11</v>
      </c>
      <c r="AI60" s="713"/>
      <c r="AJ60" s="4"/>
      <c r="AK60" s="68"/>
      <c r="AL60" s="4"/>
      <c r="AM60" s="67"/>
      <c r="AN60" s="53">
        <f t="array" ref="AN60">MAX(FREQUENCY(IF(AJ91:AJ121=1,ROW(53:83)),IF(AJ91:AJ121&lt;&gt;1,ROW(53:83))))</f>
        <v>1</v>
      </c>
      <c r="AO60" s="223"/>
      <c r="AP60" s="767" t="s">
        <v>268</v>
      </c>
      <c r="AQ60" s="767"/>
      <c r="AR60" s="6"/>
      <c r="AS60" s="801" t="s">
        <v>48</v>
      </c>
      <c r="AT60" s="802"/>
      <c r="AU60" s="96">
        <f>IF(U42=0,"",CORREL(U4:U34,S4:S34))</f>
        <v>0.15125851547565497</v>
      </c>
      <c r="AV60" s="577">
        <f>IF(U42=0,"",ABS(AU60))</f>
        <v>0.15125851547565497</v>
      </c>
      <c r="AX60" s="361">
        <v>12</v>
      </c>
      <c r="AY60" s="23">
        <f t="shared" si="25"/>
        <v>9.65</v>
      </c>
      <c r="AZ60" s="50"/>
      <c r="BA60" s="26">
        <f t="shared" si="27"/>
        <v>1.0714285714285694</v>
      </c>
      <c r="BB60" s="7">
        <f t="shared" si="26"/>
        <v>-0.15000000000000036</v>
      </c>
      <c r="BC60" s="25">
        <f>IF(ISBLANK(G15),"",(AVERAGE($AY$49:AY60)))</f>
        <v>12.904166666666669</v>
      </c>
      <c r="BD60" s="13">
        <f t="shared" si="28"/>
        <v>4.6072916666666659</v>
      </c>
      <c r="BE60" s="6"/>
      <c r="BF60" s="556">
        <v>0.2673611111111111</v>
      </c>
      <c r="BG60" s="556">
        <v>0.75347222222222221</v>
      </c>
      <c r="BH60" s="556">
        <v>0.77083333333333337</v>
      </c>
      <c r="BI60" s="556">
        <v>0.28125</v>
      </c>
      <c r="BJ60" s="556">
        <v>0.56180555555555556</v>
      </c>
      <c r="BK60" s="18"/>
      <c r="BL60" s="78"/>
    </row>
    <row r="61" spans="1:64" ht="12.75" x14ac:dyDescent="0.2">
      <c r="A61" s="67"/>
      <c r="B61" s="707" t="s">
        <v>58</v>
      </c>
      <c r="C61" s="708"/>
      <c r="D61" s="709"/>
      <c r="E61" s="89">
        <f>IF(ISBLANK(H5),"",CORREL(G4:G34,K4:K34))</f>
        <v>-0.66055939804282471</v>
      </c>
      <c r="F61" s="576">
        <f>IF(ISBLANK(H5),"",ABS(E61))</f>
        <v>0.66055939804282471</v>
      </c>
      <c r="H61" s="198"/>
      <c r="I61" s="434"/>
      <c r="J61" s="191"/>
      <c r="K61" s="50"/>
      <c r="L61" s="50"/>
      <c r="M61" s="50"/>
      <c r="N61" s="50"/>
      <c r="O61" s="191"/>
      <c r="P61" s="50"/>
      <c r="Q61" s="50"/>
      <c r="R61" s="50"/>
      <c r="S61" s="50"/>
      <c r="T61" s="166"/>
      <c r="U61" s="343"/>
      <c r="V61" s="343"/>
      <c r="W61" s="346"/>
      <c r="X61" s="50"/>
      <c r="Y61" s="192"/>
      <c r="Z61" s="110"/>
      <c r="AA61" s="493"/>
      <c r="AB61" s="497"/>
      <c r="AC61" s="69"/>
      <c r="AD61" s="493"/>
      <c r="AE61" s="199"/>
      <c r="AF61" s="166"/>
      <c r="AK61" s="6"/>
      <c r="AM61" s="136"/>
      <c r="AO61" s="225"/>
      <c r="AP61" s="767"/>
      <c r="AQ61" s="767"/>
      <c r="AR61" s="6"/>
      <c r="AX61" s="361">
        <v>13</v>
      </c>
      <c r="AY61" s="23">
        <f t="shared" si="25"/>
        <v>8.5500000000000007</v>
      </c>
      <c r="AZ61" s="50"/>
      <c r="BA61" s="26">
        <f t="shared" si="27"/>
        <v>-8.7499999999999911E-2</v>
      </c>
      <c r="BB61" s="25">
        <f t="shared" si="26"/>
        <v>-0.14999999999999858</v>
      </c>
      <c r="BC61" s="25">
        <f>IF(ISBLANK(G16),"",(AVERAGE($AY$49:AY61)))</f>
        <v>12.569230769230773</v>
      </c>
      <c r="BD61" s="13">
        <f t="shared" si="28"/>
        <v>4.2461538461538453</v>
      </c>
      <c r="BE61" s="6"/>
      <c r="BF61" s="556">
        <v>0.16666666666666666</v>
      </c>
      <c r="BG61" s="556">
        <v>0.625</v>
      </c>
      <c r="BH61" s="556">
        <v>0.625</v>
      </c>
      <c r="BI61" s="556">
        <v>0.2986111111111111</v>
      </c>
      <c r="BJ61" s="556">
        <v>0.53194444444444444</v>
      </c>
      <c r="BK61" s="18"/>
      <c r="BL61" s="78"/>
    </row>
    <row r="62" spans="1:64" ht="12.75" x14ac:dyDescent="0.2">
      <c r="A62" s="67"/>
      <c r="B62" s="707" t="s">
        <v>59</v>
      </c>
      <c r="C62" s="708"/>
      <c r="D62" s="709"/>
      <c r="E62" s="89">
        <f>IF(ISBLANK(H5),"",CORREL(I4:I34,K4:K34))</f>
        <v>-0.78359659175174556</v>
      </c>
      <c r="F62" s="576">
        <f>IF(ISBLANK(H5),"",ABS(E62))</f>
        <v>0.78359659175174556</v>
      </c>
      <c r="H62" s="729" t="s">
        <v>27</v>
      </c>
      <c r="I62" s="830"/>
      <c r="J62" s="191"/>
      <c r="K62" s="100">
        <f>IF(ISBLANK(F4),"",AVERAGE(F4:F13))</f>
        <v>8.75</v>
      </c>
      <c r="L62" s="100">
        <f>IF(ISBLANK(G4),"",AVERAGE(G4:G13))</f>
        <v>17.68</v>
      </c>
      <c r="M62" s="100">
        <f>IF(ISBLANK(H4),"",AVERAGE(H4:H13))</f>
        <v>13.260000000000002</v>
      </c>
      <c r="N62" s="100">
        <f>IF(ISBLANK(G4),"",AVERAGE(I4:I13))</f>
        <v>8.93</v>
      </c>
      <c r="O62" s="191"/>
      <c r="P62" s="100">
        <f>IF(ISBLANK(F4),"",K62-AVERAGE(F91:F100))</f>
        <v>4.1124999999999998</v>
      </c>
      <c r="Q62" s="100">
        <f>IF(ISBLANK(G4),"",L62-AVERAGE(G91:G100))</f>
        <v>5.824642857142857</v>
      </c>
      <c r="R62" s="100">
        <f>IF(ISBLANK(H4),"",M62-AVERAGE(H91:H100))</f>
        <v>5.0135714285714297</v>
      </c>
      <c r="S62" s="100">
        <f>IF(ISBLANK(G4),"",N62-AVERAGE(I91:I100))</f>
        <v>1.7121428571428563</v>
      </c>
      <c r="T62" s="166"/>
      <c r="U62" s="342">
        <f>IF(ISBLANK(M4),"",AVERAGE(M4:M13))</f>
        <v>65.400000000000006</v>
      </c>
      <c r="V62" s="342">
        <f>IF(ISBLANK(P4),"",AVERAGE(R4:R13))</f>
        <v>1021.65</v>
      </c>
      <c r="W62" s="345">
        <f>IF(ISBLANK(U4),"",AVERAGE(U4:U13))</f>
        <v>5.75</v>
      </c>
      <c r="X62" s="100">
        <f>IF(ISBLANK(AI4),"",AVERAGE(AI4:AI13))</f>
        <v>6.4099999999999993</v>
      </c>
      <c r="Y62" s="192"/>
      <c r="Z62" s="38">
        <f>IF(ISBLANK(Z4),"",SUM(Z4:Z13))</f>
        <v>1.4</v>
      </c>
      <c r="AA62" s="492">
        <f>IF(ISBLANK(Z4),"",Z62/($Z$39/$E$34*10))</f>
        <v>7.4999999999999997E-2</v>
      </c>
      <c r="AB62" s="496">
        <f>IF(Z38=0,"",Z62/$Z$38)</f>
        <v>0.77777777777777768</v>
      </c>
      <c r="AC62" s="118">
        <f>IF(ISBLANK(AP4),"",SUM(AP4:AP13))</f>
        <v>69.599999999999994</v>
      </c>
      <c r="AD62" s="492">
        <f>IF(ISBLANK(AP4),"",AC62/SUM(AS91:AS100))</f>
        <v>1.6009432584757035</v>
      </c>
      <c r="AE62" s="197">
        <f>IF(ISBLANK(AP4),"",AC62/$AP$38)</f>
        <v>0.32222222222222219</v>
      </c>
      <c r="AF62" s="222"/>
      <c r="AK62" s="6"/>
      <c r="AM62" s="136"/>
      <c r="AN62" s="180" t="s">
        <v>65</v>
      </c>
      <c r="AO62" s="226"/>
      <c r="AP62" s="767"/>
      <c r="AQ62" s="767"/>
      <c r="AR62" s="6"/>
      <c r="AS62" s="785" t="s">
        <v>4</v>
      </c>
      <c r="AT62" s="785"/>
      <c r="AU62" s="220">
        <f>IF(AQ38=0,"",AVERAGE(AV50:AV60))</f>
        <v>0.38627585903865164</v>
      </c>
      <c r="AV62" s="577">
        <f>AU62</f>
        <v>0.38627585903865164</v>
      </c>
      <c r="AX62" s="361">
        <v>14</v>
      </c>
      <c r="AY62" s="23">
        <f t="shared" si="25"/>
        <v>11.05</v>
      </c>
      <c r="AZ62" s="50"/>
      <c r="BA62" s="26">
        <f t="shared" si="27"/>
        <v>2.3535714285714233</v>
      </c>
      <c r="BB62" s="7">
        <f t="shared" si="26"/>
        <v>5.0000000000000711E-2</v>
      </c>
      <c r="BC62" s="25">
        <f>IF(ISBLANK(G17),"",(AVERAGE($AY$49:AY62)))</f>
        <v>12.460714285714289</v>
      </c>
      <c r="BD62" s="13">
        <f t="shared" si="28"/>
        <v>4.1109693877551017</v>
      </c>
      <c r="BE62" s="6"/>
      <c r="BF62" s="556">
        <v>0.125</v>
      </c>
      <c r="BG62" s="556">
        <v>0.625</v>
      </c>
      <c r="BH62" s="556">
        <v>0.68402777777777779</v>
      </c>
      <c r="BI62" s="556">
        <v>0.27083333333333331</v>
      </c>
      <c r="BJ62" s="556">
        <v>5.2083333333333336E-2</v>
      </c>
      <c r="BK62" s="55"/>
      <c r="BL62" s="78"/>
    </row>
    <row r="63" spans="1:64" ht="12.75" customHeight="1" x14ac:dyDescent="0.2">
      <c r="A63" s="67"/>
      <c r="B63" s="707" t="s">
        <v>72</v>
      </c>
      <c r="C63" s="708"/>
      <c r="D63" s="709"/>
      <c r="E63" s="89">
        <f>IF(ISBLANK(H5),"",CORREL(R4:R34,K4:K34))</f>
        <v>9.1468951347740052E-2</v>
      </c>
      <c r="F63" s="576">
        <f>IF(ISBLANK(H5),"",ABS(E63))</f>
        <v>9.1468951347740052E-2</v>
      </c>
      <c r="H63" s="729" t="s">
        <v>28</v>
      </c>
      <c r="I63" s="830"/>
      <c r="J63" s="191"/>
      <c r="K63" s="100">
        <f>IF(ISBLANK(F14),"",AVERAGE(F14:F23))</f>
        <v>7.56</v>
      </c>
      <c r="L63" s="100">
        <f>IF(ISBLANK(G14),"",AVERAGE(G14:G23))</f>
        <v>18.170000000000002</v>
      </c>
      <c r="M63" s="100">
        <f>IF(ISBLANK(H14),"",AVERAGE(H14:H23))</f>
        <v>12.799999999999999</v>
      </c>
      <c r="N63" s="100">
        <f>IF(ISBLANK(G14),"",AVERAGE(I14:I23))</f>
        <v>10.61</v>
      </c>
      <c r="O63" s="191"/>
      <c r="P63" s="100">
        <f>IF(ISBLANK(F14),"",K63-AVERAGE(F101:F110))</f>
        <v>2.6724999999999968</v>
      </c>
      <c r="Q63" s="100">
        <f>IF(ISBLANK(G14),"",L63-AVERAGE(G101:G110))</f>
        <v>5.4878571428571394</v>
      </c>
      <c r="R63" s="100">
        <f>IF(ISBLANK(H14),"",M63-AVERAGE(H101:H110))</f>
        <v>4.015178571428569</v>
      </c>
      <c r="S63" s="100">
        <f>IF(ISBLANK(G14),"",N63-AVERAGE(I101:I110))</f>
        <v>2.8153571428571409</v>
      </c>
      <c r="T63" s="166"/>
      <c r="U63" s="342">
        <f>IF(ISBLANK(M14),"",AVERAGE(M14:M23))</f>
        <v>58.4</v>
      </c>
      <c r="V63" s="342">
        <f>IF(ISBLANK(P14),"",AVERAGE(R14:R23))</f>
        <v>1021</v>
      </c>
      <c r="W63" s="345">
        <f>IF(ISBLANK(U14),"",AVERAGE(U14:U23))</f>
        <v>3.4099999999999993</v>
      </c>
      <c r="X63" s="100">
        <f>IF(ISBLANK(AI14),"",AVERAGE(AI14:AI23))</f>
        <v>4.37</v>
      </c>
      <c r="Y63" s="192"/>
      <c r="Z63" s="38">
        <f>IF(ISBLANK(Z14),"",SUM(Z14:Z23))</f>
        <v>0.3</v>
      </c>
      <c r="AA63" s="492">
        <f>IF(ISBLANK(Z14),"",Z63/($Z$39/$E$34*10))</f>
        <v>1.607142857142857E-2</v>
      </c>
      <c r="AB63" s="496">
        <f>IF(ISBLANK(Z14),"",Z63/$Z$38)</f>
        <v>0.16666666666666666</v>
      </c>
      <c r="AC63" s="118">
        <f>IF(ISBLANK(AP14),"",SUM(AP14:AP23))</f>
        <v>54.1</v>
      </c>
      <c r="AD63" s="492">
        <f>IF(ISBLANK(AP14),"",AC63/SUM(AS101:AS110))</f>
        <v>1.1839729186485464</v>
      </c>
      <c r="AE63" s="197">
        <f>IF(ISBLANK(AP14),"",AC63/$AP$38)</f>
        <v>0.25046296296296294</v>
      </c>
      <c r="AF63" s="222"/>
      <c r="AK63" s="315"/>
      <c r="AL63" s="306"/>
      <c r="AM63" s="136"/>
      <c r="AN63" s="5">
        <f>MIN(AT79,AN92)</f>
        <v>19</v>
      </c>
      <c r="AO63" s="227"/>
      <c r="AP63" s="784" t="s">
        <v>228</v>
      </c>
      <c r="AQ63" s="784"/>
      <c r="AR63" s="6"/>
      <c r="AS63" s="785" t="s">
        <v>34</v>
      </c>
      <c r="AT63" s="785"/>
      <c r="AU63" s="9">
        <f>AN96+AN101</f>
        <v>4</v>
      </c>
      <c r="AV63" s="103" t="s">
        <v>69</v>
      </c>
      <c r="AX63" s="361">
        <v>15</v>
      </c>
      <c r="AY63" s="23">
        <f t="shared" si="25"/>
        <v>13.350000000000001</v>
      </c>
      <c r="AZ63" s="50"/>
      <c r="BA63" s="26">
        <f t="shared" si="27"/>
        <v>4.5946428571428521</v>
      </c>
      <c r="BB63" s="7">
        <f t="shared" si="26"/>
        <v>0.25000000000000178</v>
      </c>
      <c r="BC63" s="25">
        <f>IF(ISBLANK(G18),"",(AVERAGE($AY$49:AY63)))</f>
        <v>12.520000000000003</v>
      </c>
      <c r="BD63" s="13">
        <f t="shared" si="28"/>
        <v>4.1432142857142846</v>
      </c>
      <c r="BE63" s="6"/>
      <c r="BF63" s="556">
        <v>0.28472222222222221</v>
      </c>
      <c r="BG63" s="556">
        <v>0.625</v>
      </c>
      <c r="BH63" s="556">
        <v>0.64930555555555558</v>
      </c>
      <c r="BI63" s="556">
        <v>0.2673611111111111</v>
      </c>
      <c r="BJ63" s="556">
        <v>0.56180555555555556</v>
      </c>
      <c r="BK63" s="18"/>
      <c r="BL63" s="78"/>
    </row>
    <row r="64" spans="1:64" ht="12.75" x14ac:dyDescent="0.2">
      <c r="A64" s="67"/>
      <c r="B64" s="707" t="s">
        <v>74</v>
      </c>
      <c r="C64" s="708"/>
      <c r="D64" s="709"/>
      <c r="E64" s="89">
        <f>IF(ISBLANK(H5),"",CORREL(K4:K34,N4:N34))</f>
        <v>-0.83323903059844429</v>
      </c>
      <c r="F64" s="576">
        <f>IF(ISBLANK(H5),"",ABS(E64))</f>
        <v>0.83323903059844429</v>
      </c>
      <c r="H64" s="729" t="s">
        <v>161</v>
      </c>
      <c r="I64" s="830"/>
      <c r="J64" s="191"/>
      <c r="K64" s="100">
        <f>IF(ISBLANK(F24),"",AVERAGE(F24:F34))</f>
        <v>9.4899999999999984</v>
      </c>
      <c r="L64" s="100">
        <f>IF(ISBLANK(G24),"",AVERAGE(G24:G34))</f>
        <v>20.57</v>
      </c>
      <c r="M64" s="100">
        <f>IF(ISBLANK(H24),"",AVERAGE(H24:H34))</f>
        <v>14.73</v>
      </c>
      <c r="N64" s="100">
        <f>IF(ISBLANK(G24),"",AVERAGE(I24:I34))</f>
        <v>11.079999999999998</v>
      </c>
      <c r="O64" s="191"/>
      <c r="P64" s="100">
        <f>IF(ISBLANK(F24),"",K64-AVERAGE(F111:F121))</f>
        <v>3.884999999999998</v>
      </c>
      <c r="Q64" s="100">
        <f>IF(ISBLANK(G24),"",L64-AVERAGE(G111:G121))</f>
        <v>6.5900000000000016</v>
      </c>
      <c r="R64" s="100">
        <f>IF(ISBLANK(H24),"",M64-AVERAGE(H111:H121))</f>
        <v>4.9375000000000018</v>
      </c>
      <c r="S64" s="100">
        <f>IF(ISBLANK(G24),"",N64-AVERAGE(I111:I121))</f>
        <v>2.7050000000000001</v>
      </c>
      <c r="T64" s="166"/>
      <c r="U64" s="342">
        <f>IF(ISBLANK(M24),"",AVERAGE(M24:M34))</f>
        <v>61.4</v>
      </c>
      <c r="V64" s="342">
        <f>IF(ISBLANK(P24),"",AVERAGE(R24:R34))</f>
        <v>1016.9</v>
      </c>
      <c r="W64" s="345">
        <f>IF(ISBLANK(U24),"",AVERAGE(U24:U34))</f>
        <v>4.2999999999999989</v>
      </c>
      <c r="X64" s="100">
        <f>IF(ISBLANK(AI24),"",AVERAGE(AI24:AI34))</f>
        <v>6.81</v>
      </c>
      <c r="Y64" s="192"/>
      <c r="Z64" s="38">
        <f>IF(ISBLANK(Z24),"",SUM(Z24:Z34))</f>
        <v>0.1</v>
      </c>
      <c r="AA64" s="492">
        <f>IF(ISBLANK(Z24),"",Z64/($Z$39/$E$34*10))</f>
        <v>5.3571428571428572E-3</v>
      </c>
      <c r="AB64" s="496">
        <f>IF(ISBLANK(Z24),"",Z64/$Z$38)</f>
        <v>5.5555555555555559E-2</v>
      </c>
      <c r="AC64" s="118">
        <f>IF(ISBLANK(AP24),"",SUM(AP24:AP34))</f>
        <v>92.300000000000011</v>
      </c>
      <c r="AD64" s="492">
        <f>IF(ISBLANK(AP24),"",AC64/SUM(AS111:AS121))</f>
        <v>1.9296698266945882</v>
      </c>
      <c r="AE64" s="197">
        <f>IF(ISBLANK(AP24),"",AC64/$AP$38)</f>
        <v>0.42731481481481487</v>
      </c>
      <c r="AF64" s="50"/>
      <c r="AG64" s="739" t="s">
        <v>177</v>
      </c>
      <c r="AH64" s="739"/>
      <c r="AI64" s="739"/>
      <c r="AJ64" s="739"/>
      <c r="AK64" s="68"/>
      <c r="AL64" s="4"/>
      <c r="AM64" s="136"/>
      <c r="AN64" s="105"/>
      <c r="AO64" s="228"/>
      <c r="AP64" s="784"/>
      <c r="AQ64" s="784"/>
      <c r="AR64" s="6"/>
      <c r="AX64" s="361">
        <v>16</v>
      </c>
      <c r="AY64" s="23">
        <f t="shared" si="25"/>
        <v>13.85</v>
      </c>
      <c r="AZ64" s="50"/>
      <c r="BA64" s="26">
        <f t="shared" si="27"/>
        <v>5.0357142857142794</v>
      </c>
      <c r="BB64" s="7">
        <f t="shared" si="26"/>
        <v>0.25</v>
      </c>
      <c r="BC64" s="25">
        <f>IF(ISBLANK(G19),"",(AVERAGE($AY$49:AY64)))</f>
        <v>12.603125000000002</v>
      </c>
      <c r="BD64" s="13">
        <f t="shared" si="28"/>
        <v>4.1989955357142854</v>
      </c>
      <c r="BE64" s="6"/>
      <c r="BF64" s="556">
        <v>0.30555555555555552</v>
      </c>
      <c r="BG64" s="556">
        <v>0.59027777777777779</v>
      </c>
      <c r="BH64" s="556">
        <v>0.59375</v>
      </c>
      <c r="BI64" s="556">
        <v>0.35069444444444442</v>
      </c>
      <c r="BJ64" s="556">
        <v>0.56805555555555554</v>
      </c>
      <c r="BK64" s="18"/>
      <c r="BL64" s="78"/>
    </row>
    <row r="65" spans="1:64" ht="12.75" customHeight="1" thickBot="1" x14ac:dyDescent="0.25">
      <c r="A65" s="67"/>
      <c r="B65" s="707" t="s">
        <v>73</v>
      </c>
      <c r="C65" s="708"/>
      <c r="D65" s="709"/>
      <c r="E65" s="89">
        <f>IF(ISBLANK(H5),"",CORREL(F4:F34,I4:I34))</f>
        <v>-3.5974317533533556E-2</v>
      </c>
      <c r="F65" s="576">
        <f>IF(ISBLANK(H5),"",ABS(E65))</f>
        <v>3.5974317533533556E-2</v>
      </c>
      <c r="G65" s="21"/>
      <c r="H65" s="198"/>
      <c r="I65" s="434"/>
      <c r="J65" s="191"/>
      <c r="K65" s="50"/>
      <c r="L65" s="50"/>
      <c r="M65" s="50"/>
      <c r="N65" s="50"/>
      <c r="O65" s="191"/>
      <c r="P65" s="50"/>
      <c r="Q65" s="50"/>
      <c r="R65" s="50"/>
      <c r="S65" s="50"/>
      <c r="T65" s="166"/>
      <c r="U65" s="343"/>
      <c r="V65" s="343"/>
      <c r="W65" s="346"/>
      <c r="X65" s="50"/>
      <c r="Y65" s="192"/>
      <c r="Z65" s="110"/>
      <c r="AA65" s="493"/>
      <c r="AB65" s="497"/>
      <c r="AC65" s="69"/>
      <c r="AD65" s="493"/>
      <c r="AE65" s="199"/>
      <c r="AF65" s="50"/>
      <c r="AH65" s="713">
        <f>SUM(BH91:BH121)</f>
        <v>2</v>
      </c>
      <c r="AI65" s="713"/>
      <c r="AJ65" s="93">
        <f>IF(M53=0,"",AH65/M53)</f>
        <v>6.6666666666666666E-2</v>
      </c>
      <c r="AK65" s="6"/>
      <c r="AM65" s="136"/>
      <c r="AO65" s="229"/>
      <c r="AP65" s="784"/>
      <c r="AQ65" s="784"/>
      <c r="AR65" s="6"/>
      <c r="AV65" s="332"/>
      <c r="AW65" s="332"/>
      <c r="AX65" s="361">
        <v>17</v>
      </c>
      <c r="AY65" s="23">
        <f t="shared" si="25"/>
        <v>13.15</v>
      </c>
      <c r="AZ65" s="50"/>
      <c r="BA65" s="26">
        <f t="shared" si="27"/>
        <v>4.2767857142857082</v>
      </c>
      <c r="BB65" s="7">
        <f t="shared" si="26"/>
        <v>-0.15000000000000036</v>
      </c>
      <c r="BC65" s="25">
        <f>IF(ISBLANK(G20),"",(AVERAGE($AY$49:AY65)))</f>
        <v>12.635294117647062</v>
      </c>
      <c r="BD65" s="13">
        <f t="shared" si="28"/>
        <v>4.2035714285714283</v>
      </c>
      <c r="BE65" s="6"/>
      <c r="BF65" s="556">
        <v>0.20486111111111113</v>
      </c>
      <c r="BG65" s="556">
        <v>0.55555555555555558</v>
      </c>
      <c r="BH65" s="556">
        <v>0.62152777777777779</v>
      </c>
      <c r="BI65" s="556">
        <v>0.29166666666666669</v>
      </c>
      <c r="BJ65" s="556">
        <v>0.71805555555555556</v>
      </c>
      <c r="BK65" s="18"/>
      <c r="BL65" s="78"/>
    </row>
    <row r="66" spans="1:64" ht="12.75" customHeight="1" thickTop="1" x14ac:dyDescent="0.2">
      <c r="A66" s="67"/>
      <c r="B66" s="707" t="s">
        <v>82</v>
      </c>
      <c r="C66" s="708"/>
      <c r="D66" s="709"/>
      <c r="E66" s="89">
        <f>IF(ISBLANK(H5),"",CORREL(G4:G34,I4:I34))</f>
        <v>0.83087265472916516</v>
      </c>
      <c r="F66" s="576">
        <f>IF(ISBLANK(H5),"",ABS(E66))</f>
        <v>0.83087265472916516</v>
      </c>
      <c r="H66" s="729" t="s">
        <v>29</v>
      </c>
      <c r="I66" s="830"/>
      <c r="J66" s="191"/>
      <c r="K66" s="100">
        <f>IF(ISBLANK(F4),"",AVERAGE(F4:F8))</f>
        <v>9</v>
      </c>
      <c r="L66" s="100">
        <f>IF(ISBLANK(G4),"",AVERAGE(G4:G8))</f>
        <v>15.139999999999997</v>
      </c>
      <c r="M66" s="100">
        <f>IF(ISBLANK(H4),"",AVERAGE(H4:H8))</f>
        <v>12.22</v>
      </c>
      <c r="N66" s="100">
        <f>IF(ISBLANK(G4),"",AVERAGE(I4:I8))</f>
        <v>6.1399999999999988</v>
      </c>
      <c r="O66" s="191"/>
      <c r="P66" s="100">
        <f>IF(ISBLANK(F4),"",K66-AVERAGE(F91:F95))</f>
        <v>4.4249999999999998</v>
      </c>
      <c r="Q66" s="100">
        <f>IF(ISBLANK(G4),"",L66-AVERAGE(G91:G95))</f>
        <v>3.4149999999999974</v>
      </c>
      <c r="R66" s="100">
        <f>IF(ISBLANK(H4),"",M66-AVERAGE(H91:H95))</f>
        <v>4.07</v>
      </c>
      <c r="S66" s="100">
        <f>IF(ISBLANK(G4),"",N66-AVERAGE(I91:I95))</f>
        <v>-1.0100000000000016</v>
      </c>
      <c r="T66" s="166"/>
      <c r="U66" s="342">
        <f>IF(ISBLANK(M4),"",AVERAGE(M4:M8))</f>
        <v>72.599999999999994</v>
      </c>
      <c r="V66" s="342">
        <f>IF(ISBLANK(P4),"",AVERAGE(R4:R8))</f>
        <v>1017.2</v>
      </c>
      <c r="W66" s="345">
        <f>IF(ISBLANK(U4),"",AVERAGE(U4:U8))</f>
        <v>7.0400000000000009</v>
      </c>
      <c r="X66" s="100">
        <f>IF(ISBLANK(AI4),"",AVERAGE(AI4:AI8))</f>
        <v>7.18</v>
      </c>
      <c r="Y66" s="192"/>
      <c r="Z66" s="100">
        <f>IF(ISBLANK(Z4),"",SUM(Z4:Z8))</f>
        <v>1.4</v>
      </c>
      <c r="AA66" s="492">
        <f>IF(ISBLANK(Z4),"",Z66/($Z$39/$E$34*5))</f>
        <v>0.15</v>
      </c>
      <c r="AB66" s="496">
        <f>IF(Z38=0,"",Z66/$Z$38)</f>
        <v>0.77777777777777768</v>
      </c>
      <c r="AC66" s="165">
        <f>IF(ISBLANK(AP4),"",SUM(AP4:AP8))</f>
        <v>12</v>
      </c>
      <c r="AD66" s="492">
        <f>IF(ISBLANK(AP4),"",AC66/SUM(AS91:AS95))</f>
        <v>0.55927448474331332</v>
      </c>
      <c r="AE66" s="197">
        <f>IF(ISBLANK(AP4),"",AC66/$AP$38)</f>
        <v>5.5555555555555552E-2</v>
      </c>
      <c r="AF66" s="50"/>
      <c r="AG66" s="650"/>
      <c r="AH66" s="650"/>
      <c r="AI66" s="650"/>
      <c r="AJ66" s="650"/>
      <c r="AK66" s="316"/>
      <c r="AM66" s="136"/>
      <c r="AN66" s="190" t="s">
        <v>254</v>
      </c>
      <c r="AO66" s="229"/>
      <c r="AP66" s="784"/>
      <c r="AQ66" s="784"/>
      <c r="AR66" s="6"/>
      <c r="AT66" s="186" t="s">
        <v>86</v>
      </c>
      <c r="AU66" s="186"/>
      <c r="AV66" s="571"/>
      <c r="AW66" s="571"/>
      <c r="AX66" s="361">
        <v>18</v>
      </c>
      <c r="AY66" s="23">
        <f t="shared" si="25"/>
        <v>12.4</v>
      </c>
      <c r="AZ66" s="50"/>
      <c r="BA66" s="26">
        <f t="shared" si="27"/>
        <v>3.4678571428571368</v>
      </c>
      <c r="BB66" s="7">
        <f t="shared" si="26"/>
        <v>-0.19999999999999929</v>
      </c>
      <c r="BC66" s="25">
        <f>IF(ISBLANK(G21),"",(AVERAGE($AY$49:AY66)))</f>
        <v>12.622222222222225</v>
      </c>
      <c r="BD66" s="13">
        <f t="shared" si="28"/>
        <v>4.162698412698413</v>
      </c>
      <c r="BE66" s="6"/>
      <c r="BF66" s="556">
        <v>0.25694444444444448</v>
      </c>
      <c r="BG66" s="556">
        <v>0.57986111111111105</v>
      </c>
      <c r="BH66" s="556">
        <v>0.65277777777777779</v>
      </c>
      <c r="BI66" s="556">
        <v>0.3125</v>
      </c>
      <c r="BJ66" s="556">
        <v>0.51249999999999996</v>
      </c>
      <c r="BK66" s="18"/>
      <c r="BL66" s="78"/>
    </row>
    <row r="67" spans="1:64" ht="12.75" x14ac:dyDescent="0.2">
      <c r="A67" s="67"/>
      <c r="B67" s="740"/>
      <c r="C67" s="741"/>
      <c r="D67" s="741"/>
      <c r="E67" s="157"/>
      <c r="F67" s="576"/>
      <c r="H67" s="729" t="s">
        <v>36</v>
      </c>
      <c r="I67" s="830"/>
      <c r="J67" s="191"/>
      <c r="K67" s="100">
        <f>IF(ISBLANK(F9),"",AVERAGE(F9:F13))</f>
        <v>8.5000000000000018</v>
      </c>
      <c r="L67" s="100">
        <f>IF(ISBLANK(G9),"",AVERAGE(G9:G13))</f>
        <v>20.22</v>
      </c>
      <c r="M67" s="100">
        <f>IF(ISBLANK(H9),"",AVERAGE(H9:H13))</f>
        <v>14.3</v>
      </c>
      <c r="N67" s="100">
        <f>IF(ISBLANK(G9),"",AVERAGE(I9:I13))</f>
        <v>11.719999999999997</v>
      </c>
      <c r="O67" s="191"/>
      <c r="P67" s="100">
        <f>IF(ISBLANK(F9),"",K67-AVERAGE(F96:F100))</f>
        <v>3.8000000000000016</v>
      </c>
      <c r="Q67" s="100">
        <f>IF(ISBLANK(G9),"",L67-AVERAGE(G96:G100))</f>
        <v>8.2342857142857131</v>
      </c>
      <c r="R67" s="100">
        <f>IF(ISBLANK(H9),"",M67-AVERAGE(H96:H100))</f>
        <v>5.9571428571428555</v>
      </c>
      <c r="S67" s="100">
        <f>IF(ISBLANK(G9),"",N67-AVERAGE(I96:I100))</f>
        <v>4.4342857142857097</v>
      </c>
      <c r="T67" s="166"/>
      <c r="U67" s="342">
        <f>IF(ISBLANK(M9),"",AVERAGE(M9:M13))</f>
        <v>58.2</v>
      </c>
      <c r="V67" s="342">
        <f>IF(ISBLANK(P9),"",AVERAGE(R9:R13))</f>
        <v>1026.0999999999999</v>
      </c>
      <c r="W67" s="345">
        <f>IF(ISBLANK(U9),"",AVERAGE(U9:U13))</f>
        <v>4.46</v>
      </c>
      <c r="X67" s="100">
        <f>IF(ISBLANK(AI9),"",AVERAGE(AI9:AI13))</f>
        <v>5.64</v>
      </c>
      <c r="Y67" s="192"/>
      <c r="Z67" s="100">
        <f>IF(ISBLANK(Z9),"",SUM(Z9:Z13))</f>
        <v>0</v>
      </c>
      <c r="AA67" s="492">
        <f>IF(ISBLANK(Z9),"",Z67/($Z$39/$E$34*5))</f>
        <v>0</v>
      </c>
      <c r="AB67" s="496">
        <f>IF(ISBLANK(Z9),"",Z67/$Z$38)</f>
        <v>0</v>
      </c>
      <c r="AC67" s="165">
        <f>IF(ISBLANK(AP9),"",SUM(AP9:AP13))</f>
        <v>57.6</v>
      </c>
      <c r="AD67" s="492">
        <f>IF(ISBLANK(AP9),"",AC67/SUM(AS96:AS100))</f>
        <v>2.6160413299142218</v>
      </c>
      <c r="AE67" s="197">
        <f>IF(ISBLANK(AP9),"",AC67/$AP$38)</f>
        <v>0.26666666666666666</v>
      </c>
      <c r="AF67" s="50"/>
      <c r="AG67" s="780" t="s">
        <v>178</v>
      </c>
      <c r="AH67" s="780"/>
      <c r="AI67" s="780"/>
      <c r="AJ67" s="780"/>
      <c r="AK67" s="84"/>
      <c r="AM67" s="71"/>
      <c r="AN67" s="5">
        <f t="array" ref="AN67">SUM(IF(AP4:AP34&gt;0.25*AT91:AT121,1,0))</f>
        <v>23</v>
      </c>
      <c r="AO67" s="229"/>
      <c r="AP67" s="784"/>
      <c r="AQ67" s="784"/>
      <c r="AR67" s="6"/>
      <c r="AT67" s="187">
        <f>M53-AT70</f>
        <v>2</v>
      </c>
      <c r="AU67" s="187"/>
      <c r="AV67" s="571"/>
      <c r="AW67" s="571"/>
      <c r="AX67" s="361">
        <v>19</v>
      </c>
      <c r="AY67" s="23">
        <f t="shared" si="25"/>
        <v>16.850000000000001</v>
      </c>
      <c r="AZ67" s="50"/>
      <c r="BA67" s="26">
        <f t="shared" si="27"/>
        <v>7.8589285714285637</v>
      </c>
      <c r="BB67" s="7">
        <f t="shared" si="26"/>
        <v>0.25</v>
      </c>
      <c r="BC67" s="25">
        <f>IF(ISBLANK(G22),"",(AVERAGE($AY$49:AY67)))</f>
        <v>12.844736842105265</v>
      </c>
      <c r="BD67" s="13">
        <f t="shared" si="28"/>
        <v>4.3572368421052614</v>
      </c>
      <c r="BE67" s="6"/>
      <c r="BF67" s="556">
        <v>0.27430555555555552</v>
      </c>
      <c r="BG67" s="556">
        <v>0.69097222222222221</v>
      </c>
      <c r="BH67" s="556">
        <v>0.73611111111111116</v>
      </c>
      <c r="BI67" s="556">
        <v>0.30555555555555552</v>
      </c>
      <c r="BJ67" s="556">
        <v>0.62222222222222223</v>
      </c>
      <c r="BK67" s="18"/>
      <c r="BL67" s="78"/>
    </row>
    <row r="68" spans="1:64" ht="12.75" customHeight="1" x14ac:dyDescent="0.2">
      <c r="A68" s="67"/>
      <c r="B68" s="731" t="s">
        <v>4</v>
      </c>
      <c r="C68" s="732"/>
      <c r="D68" s="732"/>
      <c r="E68" s="582">
        <f>IF(ISBLANK(H5),"",AVERAGE(F48:F66))</f>
        <v>0.44499661263786167</v>
      </c>
      <c r="F68" s="576">
        <f>IF(ISBLANK(H5),"",ABS(E68))</f>
        <v>0.44499661263786167</v>
      </c>
      <c r="H68" s="729" t="s">
        <v>30</v>
      </c>
      <c r="I68" s="830"/>
      <c r="J68" s="191"/>
      <c r="K68" s="100">
        <f>IF(ISBLANK(F14),"",AVERAGE(F14:F18))</f>
        <v>6.68</v>
      </c>
      <c r="L68" s="100">
        <f>IF(ISBLANK(G14),"",AVERAGE(G14:G18))</f>
        <v>15.580000000000002</v>
      </c>
      <c r="M68" s="100">
        <f>IF(ISBLANK(H14),"",AVERAGE(H14:H18))</f>
        <v>11.02</v>
      </c>
      <c r="N68" s="100">
        <f>IF(ISBLANK(G14),"",AVERAGE(I14:I18))</f>
        <v>8.9</v>
      </c>
      <c r="O68" s="191"/>
      <c r="P68" s="100">
        <f>IF(ISBLANK(F14),"",K68-AVERAGE(F101:F105))</f>
        <v>1.8549999999999986</v>
      </c>
      <c r="Q68" s="100">
        <f>IF(ISBLANK(G14),"",L68-AVERAGE(G101:G105))</f>
        <v>3.1299999999999972</v>
      </c>
      <c r="R68" s="100">
        <f>IF(ISBLANK(H14),"",M68-AVERAGE(H101:H105))</f>
        <v>2.3824999999999967</v>
      </c>
      <c r="S68" s="100">
        <f>IF(ISBLANK(G14),"",N68-AVERAGE(I101:I105))</f>
        <v>1.2749999999999986</v>
      </c>
      <c r="T68" s="166"/>
      <c r="U68" s="342">
        <f>IF(ISBLANK(M14),"",AVERAGE(M14:M18))</f>
        <v>59</v>
      </c>
      <c r="V68" s="342">
        <f>IF(ISBLANK(P14),"",AVERAGE(R14:R18))</f>
        <v>1023</v>
      </c>
      <c r="W68" s="345">
        <f>IF(ISBLANK(U14),"",AVERAGE(U14:U18))</f>
        <v>4.1199999999999992</v>
      </c>
      <c r="X68" s="100">
        <f>IF(ISBLANK(AI14),"",AVERAGE(AI14:AI18))</f>
        <v>3.06</v>
      </c>
      <c r="Y68" s="192"/>
      <c r="Z68" s="100">
        <f>IF(ISBLANK(Z14),"",SUM(Z14:Z18))</f>
        <v>0.3</v>
      </c>
      <c r="AA68" s="492">
        <f>IF(ISBLANK(Z14),"",Z68/($Z$39/$E$34*5))</f>
        <v>3.214285714285714E-2</v>
      </c>
      <c r="AB68" s="496">
        <f>IF(ISBLANK(Z14),"",Z68/$Z$38)</f>
        <v>0.16666666666666666</v>
      </c>
      <c r="AC68" s="165">
        <f>IF(ISBLANK(AP14),"",SUM(AP14:AP18))</f>
        <v>17.100000000000001</v>
      </c>
      <c r="AD68" s="492">
        <f>IF(ISBLANK(AP14),"",AC68/SUM(AS101:AS105))</f>
        <v>0.75752854020824512</v>
      </c>
      <c r="AE68" s="197">
        <f>IF(ISBLANK(AP14),"",AC68/$AP$38)</f>
        <v>7.9166666666666677E-2</v>
      </c>
      <c r="AF68" s="50"/>
      <c r="AH68" s="781">
        <f>SUM(AY91:AY121)</f>
        <v>21</v>
      </c>
      <c r="AI68" s="781"/>
      <c r="AJ68" s="93">
        <f>IF(M53=0,"",AH68/M53)</f>
        <v>0.7</v>
      </c>
      <c r="AK68" s="6"/>
      <c r="AM68" s="136"/>
      <c r="AO68" s="228"/>
      <c r="AP68" s="784"/>
      <c r="AQ68" s="784"/>
      <c r="AR68" s="6"/>
      <c r="AT68" s="4"/>
      <c r="AU68" s="4"/>
      <c r="AV68" s="571"/>
      <c r="AW68" s="571"/>
      <c r="AX68" s="361">
        <v>20</v>
      </c>
      <c r="AY68" s="23">
        <f t="shared" si="25"/>
        <v>16.75</v>
      </c>
      <c r="AZ68" s="50"/>
      <c r="BA68" s="26">
        <f t="shared" si="27"/>
        <v>7.6999999999999993</v>
      </c>
      <c r="BB68" s="7">
        <f t="shared" si="26"/>
        <v>-5.0000000000000711E-2</v>
      </c>
      <c r="BC68" s="25">
        <f>IF(ISBLANK(G23),"",(AVERAGE($AY$49:AY68)))</f>
        <v>13.040000000000003</v>
      </c>
      <c r="BD68" s="13">
        <f t="shared" si="28"/>
        <v>4.5243749999999991</v>
      </c>
      <c r="BE68" s="6"/>
      <c r="BF68" s="556">
        <v>0.25694444444444448</v>
      </c>
      <c r="BG68" s="556">
        <v>0.59375</v>
      </c>
      <c r="BH68" s="556">
        <v>0.6875</v>
      </c>
      <c r="BI68" s="556">
        <v>0.30208333333333331</v>
      </c>
      <c r="BJ68" s="556">
        <v>0.65416666666666667</v>
      </c>
      <c r="BK68" s="54"/>
      <c r="BL68" s="78"/>
    </row>
    <row r="69" spans="1:64" ht="12.75" customHeight="1" x14ac:dyDescent="0.2">
      <c r="A69" s="67"/>
      <c r="B69" s="731" t="s">
        <v>34</v>
      </c>
      <c r="C69" s="732"/>
      <c r="D69" s="732"/>
      <c r="E69" s="583">
        <f>AN100+AN97</f>
        <v>9</v>
      </c>
      <c r="F69" s="85" t="s">
        <v>90</v>
      </c>
      <c r="H69" s="729" t="s">
        <v>31</v>
      </c>
      <c r="I69" s="830"/>
      <c r="J69" s="191"/>
      <c r="K69" s="100">
        <f>IF(ISBLANK(F19),"",AVERAGE(F19:F23))</f>
        <v>8.4400000000000013</v>
      </c>
      <c r="L69" s="100">
        <f>IF(ISBLANK(G19),"",AVERAGE(G19:G23))</f>
        <v>20.76</v>
      </c>
      <c r="M69" s="100">
        <f>IF(ISBLANK(H19),"",AVERAGE(H19:H23))</f>
        <v>14.580000000000002</v>
      </c>
      <c r="N69" s="100">
        <f>IF(ISBLANK(G19),"",AVERAGE(I19:I23))</f>
        <v>12.319999999999999</v>
      </c>
      <c r="O69" s="191"/>
      <c r="P69" s="100">
        <f>IF(ISBLANK(F19),"",K69-AVERAGE(F106:F110))</f>
        <v>3.4899999999999967</v>
      </c>
      <c r="Q69" s="100">
        <f>IF(ISBLANK(G19),"",L69-AVERAGE(G106:G110))</f>
        <v>7.8457142857142816</v>
      </c>
      <c r="R69" s="100">
        <f>IF(ISBLANK(H19),"",M69-AVERAGE(H106:H110))</f>
        <v>5.6478571428571378</v>
      </c>
      <c r="S69" s="100">
        <f>IF(ISBLANK(G19),"",N69-AVERAGE(I106:I110))</f>
        <v>4.3557142857142832</v>
      </c>
      <c r="T69" s="166"/>
      <c r="U69" s="342">
        <f>IF(ISBLANK(M19),"",AVERAGE(M19:M23))</f>
        <v>57.8</v>
      </c>
      <c r="V69" s="342">
        <f>IF(ISBLANK(P19),"",AVERAGE(R19:R23))</f>
        <v>1019</v>
      </c>
      <c r="W69" s="345">
        <f>IF(ISBLANK(U19),"",AVERAGE(U19:U23))</f>
        <v>2.7</v>
      </c>
      <c r="X69" s="100">
        <f>IF(ISBLANK(AI19),"",AVERAGE(AI19:AI23))</f>
        <v>5.6800000000000006</v>
      </c>
      <c r="Y69" s="192"/>
      <c r="Z69" s="100">
        <f>IF(ISBLANK(Z19),"",SUM(Z19:Z23))</f>
        <v>0</v>
      </c>
      <c r="AA69" s="492">
        <f>IF(ISBLANK(Z19),"",Z69/($Z$39/$E$34*5))</f>
        <v>0</v>
      </c>
      <c r="AB69" s="496">
        <f>IF(ISBLANK(Z19),"",Z69/$Z$38)</f>
        <v>0</v>
      </c>
      <c r="AC69" s="165">
        <f>IF(ISBLANK(AP19),"",SUM(AP19:AP23))</f>
        <v>37</v>
      </c>
      <c r="AD69" s="492">
        <f>IF(ISBLANK(AP19),"",AC69/SUM(AS106:AS110))</f>
        <v>1.6003317772754051</v>
      </c>
      <c r="AE69" s="197">
        <f>IF(ISBLANK(AP19),"",AC69/$AP$38)</f>
        <v>0.17129629629629631</v>
      </c>
      <c r="AF69" s="50"/>
      <c r="AK69" s="6"/>
      <c r="AM69" s="136"/>
      <c r="AN69" s="183" t="s">
        <v>255</v>
      </c>
      <c r="AO69" s="228"/>
      <c r="AP69" s="767" t="s">
        <v>195</v>
      </c>
      <c r="AQ69" s="767"/>
      <c r="AR69" s="6"/>
      <c r="AT69" s="189" t="s">
        <v>85</v>
      </c>
      <c r="AU69" s="189"/>
      <c r="AV69" s="603"/>
      <c r="AW69" s="571"/>
      <c r="AX69" s="361">
        <v>21</v>
      </c>
      <c r="AY69" s="23">
        <f t="shared" si="25"/>
        <v>18</v>
      </c>
      <c r="AZ69" s="50"/>
      <c r="BA69" s="26">
        <f t="shared" si="27"/>
        <v>8.8149999999999995</v>
      </c>
      <c r="BB69" s="7">
        <f t="shared" si="26"/>
        <v>0.5</v>
      </c>
      <c r="BC69" s="25">
        <f>IF(ISBLANK(G24),"",(AVERAGE($AY$49:AY69)))</f>
        <v>13.276190476190479</v>
      </c>
      <c r="BD69" s="13">
        <f t="shared" si="28"/>
        <v>4.7286904761904722</v>
      </c>
      <c r="BE69" s="6"/>
      <c r="BF69" s="556">
        <v>0.1423611111111111</v>
      </c>
      <c r="BG69" s="556">
        <v>0.625</v>
      </c>
      <c r="BH69" s="556">
        <v>0.75</v>
      </c>
      <c r="BI69" s="556">
        <v>0.19444444444444445</v>
      </c>
      <c r="BJ69" s="556">
        <v>0.71527777777777779</v>
      </c>
      <c r="BK69" s="54"/>
      <c r="BL69" s="78"/>
    </row>
    <row r="70" spans="1:64" ht="12.75" x14ac:dyDescent="0.2">
      <c r="A70" s="67"/>
      <c r="B70" s="160"/>
      <c r="C70" s="161"/>
      <c r="D70" s="161"/>
      <c r="E70" s="158"/>
      <c r="F70" s="120"/>
      <c r="H70" s="729" t="s">
        <v>32</v>
      </c>
      <c r="I70" s="830"/>
      <c r="J70" s="191"/>
      <c r="K70" s="100">
        <f>IF(ISBLANK(F24),"",AVERAGE(F24:F28))</f>
        <v>10.679999999999998</v>
      </c>
      <c r="L70" s="100">
        <f>IF(ISBLANK(G24),"",AVERAGE(G24:G28))</f>
        <v>23.9</v>
      </c>
      <c r="M70" s="100">
        <f>IF(ISBLANK(H24),"",AVERAGE(H24:H28))</f>
        <v>17.059999999999999</v>
      </c>
      <c r="N70" s="100">
        <f>IF(ISBLANK(G24),"",AVERAGE(I24:I28))</f>
        <v>13.219999999999999</v>
      </c>
      <c r="O70" s="191"/>
      <c r="P70" s="100">
        <f>IF(ISBLANK(F24),"",K70-AVERAGE(F111:F115))</f>
        <v>5.3499999999999979</v>
      </c>
      <c r="Q70" s="100">
        <f>IF(ISBLANK(G24),"",L70-AVERAGE(G111:G115))</f>
        <v>10.319999999999997</v>
      </c>
      <c r="R70" s="100">
        <f>IF(ISBLANK(H24),"",M70-AVERAGE(H111:H115))</f>
        <v>7.6049999999999986</v>
      </c>
      <c r="S70" s="100">
        <f>IF(ISBLANK(G24),"",N70-AVERAGE(I111:I115))</f>
        <v>4.9699999999999989</v>
      </c>
      <c r="T70" s="166"/>
      <c r="U70" s="342">
        <f>IF(ISBLANK(M24),"",AVERAGE(M24:M28))</f>
        <v>54.6</v>
      </c>
      <c r="V70" s="342">
        <f>IF(ISBLANK(P24),"",AVERAGE(R24:R28))</f>
        <v>1015.6</v>
      </c>
      <c r="W70" s="345">
        <f>IF(ISBLANK(U24),"",AVERAGE(U24:U28))</f>
        <v>3.0599999999999996</v>
      </c>
      <c r="X70" s="100">
        <f>IF(ISBLANK(AI24),"",AVERAGE(AI24:AI28))</f>
        <v>7.1599999999999993</v>
      </c>
      <c r="Y70" s="192"/>
      <c r="Z70" s="100">
        <f>IF(ISBLANK(Z24),"",SUM(Z24:Z28))</f>
        <v>0.1</v>
      </c>
      <c r="AA70" s="492">
        <f>IF(ISBLANK(Z24),"",Z70/($Z$39/$E$34*5))</f>
        <v>1.0714285714285714E-2</v>
      </c>
      <c r="AB70" s="496">
        <f>IF(ISBLANK(Z24),"",Z70/$Z$38)</f>
        <v>5.5555555555555559E-2</v>
      </c>
      <c r="AC70" s="165">
        <f>IF(ISBLANK(AP24),"",SUM(AP24:AP28))</f>
        <v>55.4</v>
      </c>
      <c r="AD70" s="492">
        <f>IF(ISBLANK(AP24),"",AC70/SUM(AS111:AS115))</f>
        <v>2.3419382467765679</v>
      </c>
      <c r="AE70" s="197">
        <f>IF(ISBLANK(AP24),"",AC70/$AP$38)</f>
        <v>0.25648148148148148</v>
      </c>
      <c r="AF70" s="50"/>
      <c r="AK70" s="6"/>
      <c r="AM70" s="149"/>
      <c r="AN70" s="5">
        <f>M53-AN67</f>
        <v>7</v>
      </c>
      <c r="AO70" s="88"/>
      <c r="AP70" s="767"/>
      <c r="AQ70" s="767"/>
      <c r="AR70" s="6"/>
      <c r="AT70" s="5">
        <f>M53-SUM(BI91:BI121)</f>
        <v>28</v>
      </c>
      <c r="AU70" s="5"/>
      <c r="AV70" s="571"/>
      <c r="AW70" s="571"/>
      <c r="AX70" s="361">
        <v>22</v>
      </c>
      <c r="AY70" s="23">
        <f t="shared" si="25"/>
        <v>17.600000000000001</v>
      </c>
      <c r="AZ70" s="50"/>
      <c r="BA70" s="26">
        <f t="shared" si="27"/>
        <v>8.2800000000000011</v>
      </c>
      <c r="BB70" s="7">
        <f t="shared" si="26"/>
        <v>-0.39999999999999858</v>
      </c>
      <c r="BC70" s="25">
        <f>IF(ISBLANK(G25),"",(AVERAGE($AY$49:AY70)))</f>
        <v>13.472727272727276</v>
      </c>
      <c r="BD70" s="13">
        <f t="shared" si="28"/>
        <v>4.8901136363636333</v>
      </c>
      <c r="BE70" s="6"/>
      <c r="BF70" s="556">
        <v>0.2673611111111111</v>
      </c>
      <c r="BG70" s="556">
        <v>0.63194444444444442</v>
      </c>
      <c r="BH70" s="556">
        <v>0.66666666666666663</v>
      </c>
      <c r="BI70" s="556">
        <v>0.2986111111111111</v>
      </c>
      <c r="BJ70" s="556">
        <v>0.75416666666666676</v>
      </c>
      <c r="BK70" s="54"/>
      <c r="BL70" s="78"/>
    </row>
    <row r="71" spans="1:64" ht="13.5" customHeight="1" thickBot="1" x14ac:dyDescent="0.25">
      <c r="A71" s="67"/>
      <c r="B71" s="748" t="s">
        <v>7</v>
      </c>
      <c r="C71" s="749"/>
      <c r="D71" s="749"/>
      <c r="E71" s="221" t="s">
        <v>15</v>
      </c>
      <c r="F71" s="120"/>
      <c r="G71" s="575" t="s">
        <v>340</v>
      </c>
      <c r="H71" s="750" t="s">
        <v>162</v>
      </c>
      <c r="I71" s="831"/>
      <c r="J71" s="200"/>
      <c r="K71" s="201">
        <f>IF(ISBLANK(F29),"",AVERAGE(F29:F34))</f>
        <v>8.3000000000000007</v>
      </c>
      <c r="L71" s="201">
        <f>IF(ISBLANK(G29),"",AVERAGE(G29:G34))</f>
        <v>17.240000000000002</v>
      </c>
      <c r="M71" s="201">
        <f>IF(ISBLANK(H29),"",AVERAGE(H29:H34))</f>
        <v>12.4</v>
      </c>
      <c r="N71" s="201">
        <f>IF(ISBLANK(G29),"",AVERAGE(I29:I34))</f>
        <v>8.94</v>
      </c>
      <c r="O71" s="200"/>
      <c r="P71" s="201">
        <f>IF(ISBLANK(F29),"",K71-AVERAGE(F116:F121))</f>
        <v>2.4200000000000008</v>
      </c>
      <c r="Q71" s="201">
        <f>IF(ISBLANK(G29),"",L71-AVERAGE(G116:G121))</f>
        <v>2.8600000000000012</v>
      </c>
      <c r="R71" s="201">
        <f>IF(ISBLANK(H29),"",M71-AVERAGE(H116:H121))</f>
        <v>2.2700000000000014</v>
      </c>
      <c r="S71" s="201">
        <f>IF(ISBLANK(G29),"",N71-AVERAGE(I116:I121))</f>
        <v>0.4399999999999995</v>
      </c>
      <c r="T71" s="202"/>
      <c r="U71" s="344">
        <f>IF(ISBLANK(M29),"",AVERAGE(M29:M34))</f>
        <v>68.2</v>
      </c>
      <c r="V71" s="344">
        <f>IF(ISBLANK(P29),"",AVERAGE(R29:R34))</f>
        <v>1018.2</v>
      </c>
      <c r="W71" s="347">
        <f>IF(ISBLANK(U29),"",AVERAGE(U29:U34))</f>
        <v>5.54</v>
      </c>
      <c r="X71" s="201">
        <f>IF(ISBLANK(AI29),"",AVERAGE(AI29:AI34))</f>
        <v>6.4599999999999991</v>
      </c>
      <c r="Y71" s="203"/>
      <c r="Z71" s="201">
        <f>IF(ISBLANK(Z29),"",SUM(Z29:Z34))</f>
        <v>0</v>
      </c>
      <c r="AA71" s="494">
        <f>IF(ISBLANK(Z29),"",Z71/($Z$39/$E$34*5))</f>
        <v>0</v>
      </c>
      <c r="AB71" s="498">
        <f>IF(ISBLANK(Z29),"",Z71/$Z$38)</f>
        <v>0</v>
      </c>
      <c r="AC71" s="255">
        <f>IF(ISBLANK(AP29),"",SUM(AP29:AP34))</f>
        <v>36.9</v>
      </c>
      <c r="AD71" s="494">
        <f>IF(ISBLANK(AP29),"",AC71/SUM(AS116:AS121))</f>
        <v>1.5262819833403287</v>
      </c>
      <c r="AE71" s="256">
        <f>IF(ISBLANK(AP29),"",AC71/$AP$38)</f>
        <v>0.17083333333333334</v>
      </c>
      <c r="AF71" s="50"/>
      <c r="AG71" s="739" t="s">
        <v>125</v>
      </c>
      <c r="AH71" s="739"/>
      <c r="AI71" s="739"/>
      <c r="AJ71" s="739"/>
      <c r="AK71" s="315"/>
      <c r="AL71" s="306"/>
      <c r="AM71" s="136"/>
      <c r="AO71" s="88"/>
      <c r="AP71" s="767"/>
      <c r="AQ71" s="767"/>
      <c r="AR71" s="6"/>
      <c r="AT71" s="52"/>
      <c r="AU71" s="52"/>
      <c r="AV71" s="571"/>
      <c r="AW71" s="571"/>
      <c r="AX71" s="361">
        <v>23</v>
      </c>
      <c r="AY71" s="23">
        <f t="shared" si="25"/>
        <v>18.3</v>
      </c>
      <c r="AZ71" s="50"/>
      <c r="BA71" s="26">
        <f t="shared" si="27"/>
        <v>8.8449999999999989</v>
      </c>
      <c r="BB71" s="7">
        <f t="shared" si="26"/>
        <v>-0.30000000000000071</v>
      </c>
      <c r="BC71" s="25">
        <f>IF(ISBLANK(G26),"",(AVERAGE($AY$49:AY71)))</f>
        <v>13.682608695652178</v>
      </c>
      <c r="BD71" s="13">
        <f t="shared" si="28"/>
        <v>5.0620652173913037</v>
      </c>
      <c r="BE71" s="6"/>
      <c r="BF71" s="556">
        <v>0.2673611111111111</v>
      </c>
      <c r="BG71" s="556">
        <v>0.61111111111111105</v>
      </c>
      <c r="BH71" s="556">
        <v>0.65277777777777779</v>
      </c>
      <c r="BI71" s="556">
        <v>0.30208333333333331</v>
      </c>
      <c r="BJ71" s="556">
        <v>0.72986111111111107</v>
      </c>
      <c r="BK71" s="54"/>
      <c r="BL71" s="78"/>
    </row>
    <row r="72" spans="1:64" ht="12.75" customHeight="1" x14ac:dyDescent="0.2">
      <c r="A72" s="67"/>
      <c r="B72" s="742" t="s">
        <v>33</v>
      </c>
      <c r="C72" s="743"/>
      <c r="D72" s="744"/>
      <c r="E72" s="89">
        <f>IF(Z38=0,"",CORREL(Z4:Z34,R4:R34))</f>
        <v>7.5208309267603635E-2</v>
      </c>
      <c r="F72" s="576">
        <f>IF(Z38=0,"",ABS(E72))</f>
        <v>7.5208309267603635E-2</v>
      </c>
      <c r="G72" s="574">
        <f>IF(Z38=0,"",IF(AQ86&lt;0.5,"n/a",CORREL(Y4:Y34,R4:R34)))</f>
        <v>0.1121391356515937</v>
      </c>
      <c r="H72" s="102"/>
      <c r="I72" s="21"/>
      <c r="J72" s="20"/>
      <c r="K72" s="21"/>
      <c r="O72" s="20"/>
      <c r="Q72" s="122"/>
      <c r="S72" s="100"/>
      <c r="T72" s="166"/>
      <c r="W72" s="24"/>
      <c r="X72" s="24"/>
      <c r="Y72" s="192"/>
      <c r="Z72" s="24"/>
      <c r="AA72" s="24"/>
      <c r="AB72" s="24"/>
      <c r="AC72" s="24"/>
      <c r="AF72" s="6"/>
      <c r="AH72" s="713">
        <f t="array" ref="AH72">MAX(FREQUENCY(IF(BH91:BH121=1,ROW(91:121)),IF(BH91:BH121&lt;&gt;1,ROW(91:121))))</f>
        <v>1</v>
      </c>
      <c r="AI72" s="713"/>
      <c r="AJ72" s="4"/>
      <c r="AK72" s="68"/>
      <c r="AL72" s="474"/>
      <c r="AM72" s="136"/>
      <c r="AN72" s="185" t="s">
        <v>123</v>
      </c>
      <c r="AO72" s="409"/>
      <c r="AP72" s="767"/>
      <c r="AQ72" s="767"/>
      <c r="AR72" s="6"/>
      <c r="AT72" s="307" t="s">
        <v>87</v>
      </c>
      <c r="AU72" s="307"/>
      <c r="AV72" s="571"/>
      <c r="AW72" s="571"/>
      <c r="AX72" s="361">
        <v>24</v>
      </c>
      <c r="AY72" s="23">
        <f t="shared" si="25"/>
        <v>17.55</v>
      </c>
      <c r="AZ72" s="50"/>
      <c r="BA72" s="26">
        <f t="shared" si="27"/>
        <v>7.9599999999999991</v>
      </c>
      <c r="BB72" s="7">
        <f t="shared" si="26"/>
        <v>0.85000000000000142</v>
      </c>
      <c r="BC72" s="25">
        <f>IF(ISBLANK(G27),"",(AVERAGE($AY$49:AY72)))</f>
        <v>13.843750000000005</v>
      </c>
      <c r="BD72" s="13">
        <f t="shared" si="28"/>
        <v>5.1828124999999972</v>
      </c>
      <c r="BE72" s="6"/>
      <c r="BF72" s="556">
        <v>0.27430555555555552</v>
      </c>
      <c r="BG72" s="556">
        <v>0.66666666666666663</v>
      </c>
      <c r="BH72" s="556">
        <v>0.65277777777777779</v>
      </c>
      <c r="BI72" s="556">
        <v>0.27430555555555552</v>
      </c>
      <c r="BJ72" s="556">
        <v>0.92222222222222217</v>
      </c>
      <c r="BK72" s="54"/>
      <c r="BL72" s="78"/>
    </row>
    <row r="73" spans="1:64" ht="12.75" customHeight="1" x14ac:dyDescent="0.2">
      <c r="A73" s="67"/>
      <c r="B73" s="742" t="s">
        <v>61</v>
      </c>
      <c r="C73" s="743"/>
      <c r="D73" s="744"/>
      <c r="E73" s="89">
        <f>IF(Z38=0,"",CORREL(Z4:Z34,H4:H34))</f>
        <v>-0.18205215605214164</v>
      </c>
      <c r="F73" s="576">
        <f>IF(Z38=0,"",ABS(E73))</f>
        <v>0.18205215605214164</v>
      </c>
      <c r="H73" s="102"/>
      <c r="J73" s="20"/>
      <c r="K73" s="231"/>
      <c r="L73" s="4" t="s">
        <v>352</v>
      </c>
      <c r="M73" s="4" t="s">
        <v>10</v>
      </c>
      <c r="N73" s="122"/>
      <c r="O73" s="20"/>
      <c r="Q73" s="753" t="s">
        <v>103</v>
      </c>
      <c r="R73" s="754"/>
      <c r="S73" s="754"/>
      <c r="T73" s="754"/>
      <c r="U73" s="754"/>
      <c r="V73" s="754"/>
      <c r="W73" s="754"/>
      <c r="X73" s="754"/>
      <c r="Y73" s="754"/>
      <c r="Z73" s="754"/>
      <c r="AA73" s="754"/>
      <c r="AB73" s="755"/>
      <c r="AC73" s="303"/>
      <c r="AD73" s="800" t="s">
        <v>270</v>
      </c>
      <c r="AE73" s="800"/>
      <c r="AF73" s="6"/>
      <c r="AG73" s="650"/>
      <c r="AH73" s="650"/>
      <c r="AI73" s="650"/>
      <c r="AJ73" s="650"/>
      <c r="AK73" s="6"/>
      <c r="AL73" s="477"/>
      <c r="AM73" s="136"/>
      <c r="AN73" s="138">
        <f>IF(M53=0,"",AN67/M53)</f>
        <v>0.76666666666666672</v>
      </c>
      <c r="AO73" s="409"/>
      <c r="AP73" s="783" t="s">
        <v>269</v>
      </c>
      <c r="AQ73" s="661"/>
      <c r="AR73" s="6"/>
      <c r="AT73" s="587">
        <f>IF(AT67=0,"",AT67/M53)</f>
        <v>6.6666666666666666E-2</v>
      </c>
      <c r="AU73" s="587"/>
      <c r="AV73" s="571"/>
      <c r="AW73" s="571"/>
      <c r="AX73" s="361">
        <v>25</v>
      </c>
      <c r="AY73" s="23">
        <f t="shared" si="25"/>
        <v>15</v>
      </c>
      <c r="AZ73" s="50"/>
      <c r="BA73" s="26">
        <f t="shared" si="27"/>
        <v>5.2750000000000004</v>
      </c>
      <c r="BB73" s="7">
        <f t="shared" si="26"/>
        <v>0.5</v>
      </c>
      <c r="BC73" s="25">
        <f>IF(ISBLANK(G28),"",(AVERAGE($AY$49:AY73)))</f>
        <v>13.890000000000004</v>
      </c>
      <c r="BD73" s="13">
        <f t="shared" si="28"/>
        <v>5.1864999999999988</v>
      </c>
      <c r="BE73" s="6"/>
      <c r="BF73" s="556">
        <v>0.2673611111111111</v>
      </c>
      <c r="BG73" s="556">
        <v>0.65972222222222221</v>
      </c>
      <c r="BH73" s="556">
        <v>0.59027777777777779</v>
      </c>
      <c r="BI73" s="556">
        <v>0.20833333333333334</v>
      </c>
      <c r="BJ73" s="556">
        <v>0.62986111111111109</v>
      </c>
      <c r="BK73" s="54"/>
      <c r="BL73" s="78"/>
    </row>
    <row r="74" spans="1:64" ht="12.75" customHeight="1" x14ac:dyDescent="0.2">
      <c r="A74" s="67"/>
      <c r="B74" s="742" t="s">
        <v>60</v>
      </c>
      <c r="C74" s="743"/>
      <c r="D74" s="744"/>
      <c r="E74" s="89">
        <f>IF(Z38=0,"",CORREL(Z4:Z34,G4:G34))</f>
        <v>-0.25699875713847642</v>
      </c>
      <c r="F74" s="576">
        <f>IF(Z38=0,"",ABS(E74))</f>
        <v>0.25699875713847642</v>
      </c>
      <c r="G74" s="236"/>
      <c r="H74" s="747" t="s">
        <v>2</v>
      </c>
      <c r="I74" s="237" t="s">
        <v>203</v>
      </c>
      <c r="J74" s="245"/>
      <c r="K74" s="106">
        <f>F39</f>
        <v>5</v>
      </c>
      <c r="L74" s="108" t="str">
        <f>IF(ISBLANK(F4),"",(IF(M54=0,"n/a",(E34*K74-M53*F38)/M54)))</f>
        <v>n/a</v>
      </c>
      <c r="M74" s="106" t="str">
        <f>IF(ISBLANK(F4),"",IF(M54&gt;0,L74-F39,"n/a"))</f>
        <v>n/a</v>
      </c>
      <c r="N74" s="246" t="s">
        <v>142</v>
      </c>
      <c r="O74" s="67"/>
      <c r="Q74" s="733" t="s">
        <v>488</v>
      </c>
      <c r="R74" s="734"/>
      <c r="S74" s="734"/>
      <c r="T74" s="734"/>
      <c r="U74" s="734"/>
      <c r="V74" s="734"/>
      <c r="W74" s="734"/>
      <c r="X74" s="734"/>
      <c r="Y74" s="734"/>
      <c r="Z74" s="734"/>
      <c r="AA74" s="734"/>
      <c r="AB74" s="735"/>
      <c r="AC74" s="437"/>
      <c r="AD74" s="1" t="s">
        <v>238</v>
      </c>
      <c r="AE74" s="1" t="s">
        <v>244</v>
      </c>
      <c r="AF74" s="6"/>
      <c r="AG74" s="780" t="s">
        <v>130</v>
      </c>
      <c r="AH74" s="780"/>
      <c r="AI74" s="780"/>
      <c r="AJ74" s="780"/>
      <c r="AK74" s="316"/>
      <c r="AL74" s="477"/>
      <c r="AM74" s="136"/>
      <c r="AO74" s="88"/>
      <c r="AP74" s="661"/>
      <c r="AQ74" s="661"/>
      <c r="AR74" s="6"/>
      <c r="AV74" s="571"/>
      <c r="AW74" s="571"/>
      <c r="AX74" s="361">
        <v>26</v>
      </c>
      <c r="AY74" s="23">
        <f t="shared" si="25"/>
        <v>12.05</v>
      </c>
      <c r="AZ74" s="50"/>
      <c r="BA74" s="26">
        <f t="shared" si="27"/>
        <v>2.1899999999999995</v>
      </c>
      <c r="BB74" s="7">
        <f t="shared" si="26"/>
        <v>0.65000000000000036</v>
      </c>
      <c r="BC74" s="25">
        <f>IF(ISBLANK(G29),"",(AVERAGE($AY$49:AY74)))</f>
        <v>13.819230769230774</v>
      </c>
      <c r="BD74" s="13">
        <f t="shared" si="28"/>
        <v>5.0712499999999983</v>
      </c>
      <c r="BE74" s="6"/>
      <c r="BF74" s="556">
        <v>0.23611111111111113</v>
      </c>
      <c r="BG74" s="556">
        <v>0.73611111111111116</v>
      </c>
      <c r="BH74" s="556">
        <v>0.74652777777777779</v>
      </c>
      <c r="BI74" s="556">
        <v>0.23611111111111113</v>
      </c>
      <c r="BJ74" s="556">
        <v>0.86805555555555547</v>
      </c>
      <c r="BK74" s="54"/>
      <c r="BL74" s="78"/>
    </row>
    <row r="75" spans="1:64" ht="12.75" customHeight="1" x14ac:dyDescent="0.2">
      <c r="A75" s="67"/>
      <c r="B75" s="742" t="s">
        <v>64</v>
      </c>
      <c r="C75" s="743"/>
      <c r="D75" s="744"/>
      <c r="E75" s="89">
        <f>IF(Z38=0,"",CORREL(Z4:Z34,I4:I34))</f>
        <v>-0.30602431961075688</v>
      </c>
      <c r="F75" s="576">
        <f>IF(Z38=0,"",ABS(E75))</f>
        <v>0.30602431961075688</v>
      </c>
      <c r="G75" s="236"/>
      <c r="H75" s="746"/>
      <c r="I75" s="238" t="s">
        <v>149</v>
      </c>
      <c r="J75" s="191"/>
      <c r="K75" s="249">
        <f>F39</f>
        <v>5</v>
      </c>
      <c r="L75" s="91">
        <f>IF(ISBLANK(F4),"",(M54*K75+M53*F38)/E34)</f>
        <v>8.5999999999999979</v>
      </c>
      <c r="M75" s="232">
        <f>IF(ISBLANK(F4),"",L75-F39)</f>
        <v>3.5999999999999979</v>
      </c>
      <c r="N75" s="248" t="s">
        <v>148</v>
      </c>
      <c r="O75" s="67"/>
      <c r="Q75" s="736"/>
      <c r="R75" s="737"/>
      <c r="S75" s="737"/>
      <c r="T75" s="737"/>
      <c r="U75" s="737"/>
      <c r="V75" s="737"/>
      <c r="W75" s="737"/>
      <c r="X75" s="737"/>
      <c r="Y75" s="737"/>
      <c r="Z75" s="737"/>
      <c r="AA75" s="737"/>
      <c r="AB75" s="738"/>
      <c r="AC75" s="437"/>
      <c r="AD75" s="1" t="s">
        <v>240</v>
      </c>
      <c r="AE75" s="1" t="s">
        <v>245</v>
      </c>
      <c r="AF75" s="6"/>
      <c r="AH75" s="781">
        <f t="array" ref="AH75">MAX(FREQUENCY(IF(AY91:AY121=1,ROW(91:121)),IF(AY91:AY121&lt;&gt;1,ROW(91:121))))</f>
        <v>14</v>
      </c>
      <c r="AI75" s="781"/>
      <c r="AJ75" s="5"/>
      <c r="AK75" s="84"/>
      <c r="AL75" s="27"/>
      <c r="AM75" s="136"/>
      <c r="AN75" s="184" t="s">
        <v>293</v>
      </c>
      <c r="AO75" s="88"/>
      <c r="AP75" s="661"/>
      <c r="AQ75" s="661"/>
      <c r="AR75" s="6"/>
      <c r="AT75" s="589" t="s">
        <v>84</v>
      </c>
      <c r="AU75" s="589"/>
      <c r="AV75" s="571"/>
      <c r="AW75" s="571"/>
      <c r="AX75" s="361">
        <v>27</v>
      </c>
      <c r="AY75" s="23">
        <f t="shared" si="25"/>
        <v>11.65</v>
      </c>
      <c r="AZ75" s="50"/>
      <c r="BA75" s="26">
        <f t="shared" si="27"/>
        <v>1.6550000000000002</v>
      </c>
      <c r="BB75" s="7">
        <f t="shared" si="26"/>
        <v>0.15000000000000036</v>
      </c>
      <c r="BC75" s="25">
        <f>IF(ISBLANK(G30),"",(AVERAGE($AY$49:AY75)))</f>
        <v>13.738888888888892</v>
      </c>
      <c r="BD75" s="13">
        <f t="shared" si="28"/>
        <v>4.9447222222222216</v>
      </c>
      <c r="BE75" s="6"/>
      <c r="BF75" s="556">
        <v>0.23611111111111113</v>
      </c>
      <c r="BG75" s="556">
        <v>0.66666666666666663</v>
      </c>
      <c r="BH75" s="556">
        <v>0.70833333333333337</v>
      </c>
      <c r="BI75" s="556">
        <v>0.24652777777777779</v>
      </c>
      <c r="BJ75" s="556">
        <v>0.5756944444444444</v>
      </c>
      <c r="BK75" s="54"/>
      <c r="BL75" s="78"/>
    </row>
    <row r="76" spans="1:64" ht="12.75" customHeight="1" x14ac:dyDescent="0.2">
      <c r="A76" s="67"/>
      <c r="B76" s="742" t="s">
        <v>62</v>
      </c>
      <c r="C76" s="743"/>
      <c r="D76" s="744"/>
      <c r="E76" s="89">
        <f>IF(Z38=0,"",CORREL(Z4:Z34,M4:M34))</f>
        <v>0.46627530446983567</v>
      </c>
      <c r="F76" s="576">
        <f>IF(Z38=0,"",ABS(E76))</f>
        <v>0.46627530446983567</v>
      </c>
      <c r="G76" s="236"/>
      <c r="H76" s="745" t="s">
        <v>3</v>
      </c>
      <c r="I76" s="237" t="s">
        <v>203</v>
      </c>
      <c r="J76" s="191"/>
      <c r="K76" s="90">
        <f>G39</f>
        <v>12.8</v>
      </c>
      <c r="L76" s="38" t="str">
        <f>IF(ISBLANK(G4),"",IF(M54&gt;0,(E34*K76-G38*M53)/M54,"n/a"))</f>
        <v>n/a</v>
      </c>
      <c r="M76" s="90" t="str">
        <f>IF(ISBLANK(G4),"",IF(M54&gt;0,L76-G39,"n/a"))</f>
        <v>n/a</v>
      </c>
      <c r="N76" s="247" t="s">
        <v>142</v>
      </c>
      <c r="O76" s="67"/>
      <c r="Q76" s="790" t="s">
        <v>489</v>
      </c>
      <c r="R76" s="791"/>
      <c r="S76" s="791"/>
      <c r="T76" s="791"/>
      <c r="U76" s="791"/>
      <c r="V76" s="791"/>
      <c r="W76" s="791"/>
      <c r="X76" s="791"/>
      <c r="Y76" s="791"/>
      <c r="Z76" s="791"/>
      <c r="AA76" s="791"/>
      <c r="AB76" s="792"/>
      <c r="AC76" s="437"/>
      <c r="AD76" s="1" t="s">
        <v>241</v>
      </c>
      <c r="AE76" s="1" t="s">
        <v>246</v>
      </c>
      <c r="AF76" s="6"/>
      <c r="AK76" s="6"/>
      <c r="AL76" s="27"/>
      <c r="AM76" s="136"/>
      <c r="AN76" s="5">
        <f>COUNTIF(AP4:AP34, "0")</f>
        <v>2</v>
      </c>
      <c r="AO76" s="88"/>
      <c r="AP76" s="782" t="s">
        <v>272</v>
      </c>
      <c r="AQ76" s="782"/>
      <c r="AR76" s="6"/>
      <c r="AT76" s="188">
        <f>AN94</f>
        <v>1</v>
      </c>
      <c r="AU76" s="188"/>
      <c r="AV76" s="571"/>
      <c r="AW76" s="571"/>
      <c r="AX76" s="361">
        <v>28</v>
      </c>
      <c r="AY76" s="23">
        <f t="shared" si="25"/>
        <v>10.55</v>
      </c>
      <c r="AZ76" s="50"/>
      <c r="BA76" s="26">
        <f t="shared" si="27"/>
        <v>0.41999999999999948</v>
      </c>
      <c r="BB76" s="7">
        <f t="shared" si="26"/>
        <v>0.15000000000000036</v>
      </c>
      <c r="BC76" s="25">
        <f>IF(ISBLANK(G31),"",(AVERAGE($AY$49:AY76)))</f>
        <v>13.625000000000004</v>
      </c>
      <c r="BD76" s="13">
        <f t="shared" si="28"/>
        <v>4.7831249999999983</v>
      </c>
      <c r="BE76" s="6"/>
      <c r="BF76" s="556">
        <v>0.1423611111111111</v>
      </c>
      <c r="BG76" s="556">
        <v>0.61111111111111105</v>
      </c>
      <c r="BH76" s="556">
        <v>0.57986111111111105</v>
      </c>
      <c r="BI76" s="556">
        <v>0.17013888888888887</v>
      </c>
      <c r="BJ76" s="556">
        <v>0.55902777777777779</v>
      </c>
      <c r="BK76" s="54"/>
      <c r="BL76" s="78"/>
    </row>
    <row r="77" spans="1:64" ht="12.75" customHeight="1" x14ac:dyDescent="0.2">
      <c r="A77" s="67"/>
      <c r="B77" s="742" t="s">
        <v>95</v>
      </c>
      <c r="C77" s="743"/>
      <c r="D77" s="744"/>
      <c r="E77" s="89">
        <f>IF(Z38=0,"",CORREL(Z4:Z34,L4:L34))</f>
        <v>0.29027209172451007</v>
      </c>
      <c r="F77" s="576">
        <f>IF(Z38=0,"",ABS(E77))</f>
        <v>0.29027209172451007</v>
      </c>
      <c r="G77" s="236"/>
      <c r="H77" s="746"/>
      <c r="I77" s="238" t="s">
        <v>149</v>
      </c>
      <c r="J77" s="191"/>
      <c r="K77" s="249">
        <f>G39</f>
        <v>12.8</v>
      </c>
      <c r="L77" s="91">
        <f>IF(ISBLANK(G4),"",(M54*K77+M53*G38)/E34)</f>
        <v>18.806666666666668</v>
      </c>
      <c r="M77" s="233">
        <f>IF(ISBLANK(G4),"",L77-G39)</f>
        <v>6.0066666666666677</v>
      </c>
      <c r="N77" s="248" t="s">
        <v>148</v>
      </c>
      <c r="O77" s="67"/>
      <c r="Q77" s="790"/>
      <c r="R77" s="791"/>
      <c r="S77" s="791"/>
      <c r="T77" s="791"/>
      <c r="U77" s="791"/>
      <c r="V77" s="791"/>
      <c r="W77" s="791"/>
      <c r="X77" s="791"/>
      <c r="Y77" s="791"/>
      <c r="Z77" s="791"/>
      <c r="AA77" s="791"/>
      <c r="AB77" s="792"/>
      <c r="AC77" s="437"/>
      <c r="AD77" s="1" t="s">
        <v>242</v>
      </c>
      <c r="AE77" s="1" t="s">
        <v>247</v>
      </c>
      <c r="AF77" s="6"/>
      <c r="AK77" s="6"/>
      <c r="AL77" s="27"/>
      <c r="AM77" s="136"/>
      <c r="AN77" s="105"/>
      <c r="AO77" s="410"/>
      <c r="AP77" s="782"/>
      <c r="AQ77" s="782"/>
      <c r="AR77" s="6"/>
      <c r="AT77" s="21"/>
      <c r="AU77" s="21"/>
      <c r="AV77" s="571"/>
      <c r="AW77" s="571"/>
      <c r="AX77" s="361">
        <v>29</v>
      </c>
      <c r="AY77" s="23">
        <f t="shared" si="25"/>
        <v>14.3</v>
      </c>
      <c r="AZ77" s="50"/>
      <c r="BA77" s="26">
        <f t="shared" si="27"/>
        <v>4.0350000000000001</v>
      </c>
      <c r="BB77" s="7">
        <f t="shared" si="26"/>
        <v>0.60000000000000142</v>
      </c>
      <c r="BC77" s="25">
        <f>IF(ISBLANK(G32),"",(AVERAGE($AY$49:AY77)))</f>
        <v>13.648275862068969</v>
      </c>
      <c r="BD77" s="13">
        <f t="shared" si="28"/>
        <v>4.7573275862068947</v>
      </c>
      <c r="BE77" s="6"/>
      <c r="BF77" s="556">
        <v>0.25</v>
      </c>
      <c r="BG77" s="556">
        <v>0.72916666666666663</v>
      </c>
      <c r="BH77" s="556">
        <v>0.76736111111111116</v>
      </c>
      <c r="BI77" s="556">
        <v>0.30902777777777779</v>
      </c>
      <c r="BJ77" s="556">
        <v>0.8125</v>
      </c>
      <c r="BK77" s="54"/>
      <c r="BL77" s="78"/>
    </row>
    <row r="78" spans="1:64" ht="12.75" customHeight="1" x14ac:dyDescent="0.2">
      <c r="A78" s="67"/>
      <c r="B78" s="742" t="s">
        <v>63</v>
      </c>
      <c r="C78" s="743"/>
      <c r="D78" s="744"/>
      <c r="E78" s="89">
        <f>IF(Z38=0,"",CORREL(Z4:Z34,N4:N34))</f>
        <v>-0.32946948414959226</v>
      </c>
      <c r="F78" s="576">
        <f>IF(Z38=0,"",ABS(E78))</f>
        <v>0.32946948414959226</v>
      </c>
      <c r="G78" s="236"/>
      <c r="H78" s="745" t="s">
        <v>4</v>
      </c>
      <c r="I78" s="237" t="s">
        <v>203</v>
      </c>
      <c r="J78" s="191"/>
      <c r="K78" s="90">
        <f>AY81</f>
        <v>8.9</v>
      </c>
      <c r="L78" s="38" t="str">
        <f>IF(ISBLANK(F4),"",IF(M54&gt;0,(E34*K78-AY80*M53)/M54,"n/a"))</f>
        <v>n/a</v>
      </c>
      <c r="M78" s="90" t="str">
        <f>IF(ISBLANK(F4),"",IF(M54&gt;0,L78-AY81,"n/a"))</f>
        <v>n/a</v>
      </c>
      <c r="N78" s="247" t="s">
        <v>142</v>
      </c>
      <c r="O78" s="67"/>
      <c r="Q78" s="790"/>
      <c r="R78" s="791"/>
      <c r="S78" s="791"/>
      <c r="T78" s="791"/>
      <c r="U78" s="791"/>
      <c r="V78" s="791"/>
      <c r="W78" s="791"/>
      <c r="X78" s="791"/>
      <c r="Y78" s="791"/>
      <c r="Z78" s="791"/>
      <c r="AA78" s="791"/>
      <c r="AB78" s="792"/>
      <c r="AC78" s="437"/>
      <c r="AD78" s="1" t="s">
        <v>243</v>
      </c>
      <c r="AE78" s="1" t="s">
        <v>248</v>
      </c>
      <c r="AF78" s="6"/>
      <c r="AG78" s="804" t="s">
        <v>273</v>
      </c>
      <c r="AH78" s="804"/>
      <c r="AI78" s="804"/>
      <c r="AJ78" s="804"/>
      <c r="AK78" s="317"/>
      <c r="AL78" s="27"/>
      <c r="AM78" s="136"/>
      <c r="AN78" s="230" t="s">
        <v>175</v>
      </c>
      <c r="AO78" s="88"/>
      <c r="AP78" s="782"/>
      <c r="AQ78" s="782"/>
      <c r="AR78" s="6"/>
      <c r="AT78" s="189" t="s">
        <v>83</v>
      </c>
      <c r="AU78" s="189"/>
      <c r="AV78" s="603"/>
      <c r="AW78" s="571"/>
      <c r="AX78" s="361">
        <v>30</v>
      </c>
      <c r="AY78" s="23">
        <f t="shared" si="25"/>
        <v>15.3</v>
      </c>
      <c r="AZ78" s="50"/>
      <c r="BA78" s="26">
        <f t="shared" si="27"/>
        <v>4.9000000000000004</v>
      </c>
      <c r="BB78" s="389">
        <f t="shared" si="26"/>
        <v>0.30000000000000071</v>
      </c>
      <c r="BC78" s="38">
        <f>IF(ISBLANK(G33),"",(AVERAGE($AY$49:AY78)))</f>
        <v>13.703333333333338</v>
      </c>
      <c r="BD78" s="13">
        <f t="shared" si="28"/>
        <v>4.7620833333333312</v>
      </c>
      <c r="BE78" s="6"/>
      <c r="BF78" s="556">
        <v>0.25</v>
      </c>
      <c r="BG78" s="556">
        <v>0.63194444444444442</v>
      </c>
      <c r="BH78" s="556">
        <v>0.64930555555555558</v>
      </c>
      <c r="BI78" s="556">
        <v>0.27083333333333331</v>
      </c>
      <c r="BJ78" s="556">
        <v>0.74791666666666667</v>
      </c>
      <c r="BK78" s="54"/>
      <c r="BL78" s="78"/>
    </row>
    <row r="79" spans="1:64" ht="12.75" customHeight="1" x14ac:dyDescent="0.2">
      <c r="A79" s="67"/>
      <c r="B79" s="742" t="s">
        <v>76</v>
      </c>
      <c r="C79" s="743"/>
      <c r="D79" s="744"/>
      <c r="E79" s="89">
        <f>IF(Z38=0,"",CORREL(Z4:Z34,F4:F34))</f>
        <v>6.103474880045306E-3</v>
      </c>
      <c r="F79" s="576">
        <f>IF(Z38=0,"",ABS(E79))</f>
        <v>6.103474880045306E-3</v>
      </c>
      <c r="G79" s="236"/>
      <c r="H79" s="746"/>
      <c r="I79" s="238" t="s">
        <v>149</v>
      </c>
      <c r="J79" s="191"/>
      <c r="K79" s="250">
        <f>AVERAGE(K75,K77)</f>
        <v>8.9</v>
      </c>
      <c r="L79" s="38">
        <f>IF(ISBLANK(F4),"",(M54*K79+M53*AY80)/E34)</f>
        <v>13.703333333333337</v>
      </c>
      <c r="M79" s="234">
        <f>IF(ISBLANK(F4),"",L79-AY81)</f>
        <v>4.8033333333333363</v>
      </c>
      <c r="N79" s="248" t="s">
        <v>148</v>
      </c>
      <c r="O79" s="67"/>
      <c r="Q79" s="790"/>
      <c r="R79" s="791"/>
      <c r="S79" s="791"/>
      <c r="T79" s="791"/>
      <c r="U79" s="791"/>
      <c r="V79" s="791"/>
      <c r="W79" s="791"/>
      <c r="X79" s="791"/>
      <c r="Y79" s="791"/>
      <c r="Z79" s="791"/>
      <c r="AA79" s="791"/>
      <c r="AB79" s="792"/>
      <c r="AC79" s="437"/>
      <c r="AD79" s="1" t="s">
        <v>239</v>
      </c>
      <c r="AE79" s="1" t="s">
        <v>249</v>
      </c>
      <c r="AF79" s="6"/>
      <c r="AH79" s="778">
        <v>1.5</v>
      </c>
      <c r="AI79" s="778"/>
      <c r="AJ79" s="52" t="s">
        <v>474</v>
      </c>
      <c r="AK79" s="318"/>
      <c r="AL79" s="309"/>
      <c r="AM79" s="136"/>
      <c r="AN79" s="4">
        <f t="array" ref="AN79">MAX(FREQUENCY(IF(AV91:AV121=1,ROW(91:121)),IF(AV91:AV121&lt;&gt;1,ROW(91:121))))</f>
        <v>14</v>
      </c>
      <c r="AO79" s="88"/>
      <c r="AP79" s="803" t="s">
        <v>278</v>
      </c>
      <c r="AQ79" s="661"/>
      <c r="AR79" s="6"/>
      <c r="AT79" s="5">
        <f>AN95</f>
        <v>19</v>
      </c>
      <c r="AU79" s="5"/>
      <c r="AV79" s="5"/>
      <c r="AX79" s="386"/>
      <c r="AY79" s="387" t="str">
        <f t="shared" si="25"/>
        <v/>
      </c>
      <c r="AZ79" s="388"/>
      <c r="BA79" s="101" t="str">
        <f t="shared" si="27"/>
        <v/>
      </c>
      <c r="BB79" s="239" t="str">
        <f t="shared" si="26"/>
        <v/>
      </c>
      <c r="BC79" s="91" t="str">
        <f>IF(ISBLANK(G34),"",(AVERAGE($AY$49:AY79)))</f>
        <v/>
      </c>
      <c r="BD79" s="241" t="str">
        <f t="shared" si="28"/>
        <v/>
      </c>
      <c r="BE79" s="243"/>
      <c r="BF79" s="560"/>
      <c r="BG79" s="560"/>
      <c r="BH79" s="560"/>
      <c r="BI79" s="560"/>
      <c r="BJ79" s="560"/>
      <c r="BK79" s="58"/>
      <c r="BL79" s="78"/>
    </row>
    <row r="80" spans="1:64" ht="12.75" customHeight="1" x14ac:dyDescent="0.2">
      <c r="A80" s="67"/>
      <c r="B80" s="742" t="s">
        <v>75</v>
      </c>
      <c r="C80" s="743"/>
      <c r="D80" s="744"/>
      <c r="E80" s="89">
        <f>IF(Z38=0,"",CORREL(Z4:Z34,K4:K34))</f>
        <v>0.47451071794942401</v>
      </c>
      <c r="F80" s="576">
        <f>IF(Z38=0,"",ABS(E80))</f>
        <v>0.47451071794942401</v>
      </c>
      <c r="G80" s="236"/>
      <c r="H80" s="745" t="s">
        <v>5</v>
      </c>
      <c r="I80" s="237" t="s">
        <v>203</v>
      </c>
      <c r="J80" s="191"/>
      <c r="K80" s="106">
        <f>K76-K74</f>
        <v>7.8000000000000007</v>
      </c>
      <c r="L80" s="108" t="str">
        <f>IF(ISBLANK(F4),"",IF(M54&gt;0,(E34*K80-I38*M53)/M54,"n/a"))</f>
        <v>n/a</v>
      </c>
      <c r="M80" s="90" t="str">
        <f>IF(ISBLANK(F4),"",IF(M54&gt;0,L80-I39,"n/a"))</f>
        <v>n/a</v>
      </c>
      <c r="N80" s="247" t="s">
        <v>142</v>
      </c>
      <c r="O80" s="67"/>
      <c r="Q80" s="790"/>
      <c r="R80" s="791"/>
      <c r="S80" s="791"/>
      <c r="T80" s="791"/>
      <c r="U80" s="791"/>
      <c r="V80" s="791"/>
      <c r="W80" s="791"/>
      <c r="X80" s="791"/>
      <c r="Y80" s="791"/>
      <c r="Z80" s="791"/>
      <c r="AA80" s="791"/>
      <c r="AB80" s="792"/>
      <c r="AC80" s="437"/>
      <c r="AD80" s="1" t="s">
        <v>251</v>
      </c>
      <c r="AE80" s="1" t="s">
        <v>250</v>
      </c>
      <c r="AF80" s="6"/>
      <c r="AK80" s="319"/>
      <c r="AL80" s="99"/>
      <c r="AM80" s="136"/>
      <c r="AO80" s="88"/>
      <c r="AP80" s="661"/>
      <c r="AQ80" s="661"/>
      <c r="AR80" s="6"/>
      <c r="AS80" s="4"/>
      <c r="AT80" s="4"/>
      <c r="AU80" s="4"/>
      <c r="AV80" s="4"/>
      <c r="AX80" s="11" t="s">
        <v>4</v>
      </c>
      <c r="AY80" s="57">
        <f>IF(ISBLANK(G4),"",AVERAGE(F4:G34))</f>
        <v>13.703333333333337</v>
      </c>
      <c r="AZ80" s="362"/>
      <c r="BB80" s="7">
        <f>IF(ISBLANK(H4),"",AVERAGE(BB49:BB79))</f>
        <v>0.10666666666666688</v>
      </c>
      <c r="BC80" s="114">
        <f>IF(ISBLANK(G4),"",(AVERAGE($AY$49:AY79)))</f>
        <v>13.703333333333338</v>
      </c>
      <c r="BD80" s="585">
        <f>IF(ISBLANK(H4),"",BC80-D120)</f>
        <v>4.8033333333333381</v>
      </c>
      <c r="BE80" s="6"/>
      <c r="BF80" s="341">
        <f>IF(ISBLANK(BF50),"",AVERAGE(BF49:BF79))</f>
        <v>0.23587962962962952</v>
      </c>
      <c r="BG80" s="340">
        <f>IF(ISBLANK(BG49),"",AVERAGE(BG49:BG79))</f>
        <v>0.64837962962962969</v>
      </c>
      <c r="BH80" s="339">
        <f>IF(ISBLANK(BH50),"",AVERAGE(BH49:BH79))</f>
        <v>0.6842672413793105</v>
      </c>
      <c r="BI80" s="338">
        <f>IF(ISBLANK(L4),"",AVERAGE(BI49:BI79))</f>
        <v>0.2678755144032921</v>
      </c>
      <c r="BJ80" s="337">
        <f>IF(ISBLANK(BJ49),"",AVERAGE(BJ49:BJ79))</f>
        <v>0.62935185185185183</v>
      </c>
      <c r="BK80" s="19"/>
      <c r="BL80" s="78"/>
    </row>
    <row r="81" spans="1:64" ht="12.75" customHeight="1" thickBot="1" x14ac:dyDescent="0.25">
      <c r="A81" s="67"/>
      <c r="B81" s="740"/>
      <c r="C81" s="741"/>
      <c r="D81" s="741"/>
      <c r="E81" s="159"/>
      <c r="F81" s="25"/>
      <c r="G81" s="236"/>
      <c r="H81" s="752"/>
      <c r="I81" s="281" t="s">
        <v>149</v>
      </c>
      <c r="J81" s="191"/>
      <c r="K81" s="252">
        <f>K77-K75</f>
        <v>7.8000000000000007</v>
      </c>
      <c r="L81" s="167">
        <f>IF(ISBLANK(F4),"",(M54*K81+M53*I38)/E34)</f>
        <v>10.206666666666671</v>
      </c>
      <c r="M81" s="235">
        <f>IF(ISBLANK(F4),"",L81-I39)</f>
        <v>2.4066666666666698</v>
      </c>
      <c r="N81" s="279" t="s">
        <v>148</v>
      </c>
      <c r="O81" s="67"/>
      <c r="Q81" s="790"/>
      <c r="R81" s="791"/>
      <c r="S81" s="791"/>
      <c r="T81" s="791"/>
      <c r="U81" s="791"/>
      <c r="V81" s="791"/>
      <c r="W81" s="791"/>
      <c r="X81" s="791"/>
      <c r="Y81" s="791"/>
      <c r="Z81" s="791"/>
      <c r="AA81" s="791"/>
      <c r="AB81" s="792"/>
      <c r="AC81" s="437"/>
      <c r="AD81" s="1" t="s">
        <v>258</v>
      </c>
      <c r="AE81" s="1" t="s">
        <v>265</v>
      </c>
      <c r="AF81" s="6"/>
      <c r="AG81" s="779" t="s">
        <v>275</v>
      </c>
      <c r="AH81" s="779"/>
      <c r="AI81" s="779"/>
      <c r="AJ81" s="779"/>
      <c r="AK81" s="222"/>
      <c r="AM81" s="136"/>
      <c r="AN81" s="183" t="s">
        <v>176</v>
      </c>
      <c r="AO81" s="411"/>
      <c r="AP81" s="661"/>
      <c r="AQ81" s="661"/>
      <c r="AR81" s="6"/>
      <c r="AT81" s="588" t="s">
        <v>194</v>
      </c>
      <c r="AU81" s="588"/>
      <c r="AX81" s="4" t="s">
        <v>9</v>
      </c>
      <c r="AY81" s="379">
        <f>AVERAGE(F39:G39)</f>
        <v>8.9</v>
      </c>
      <c r="AZ81" s="363"/>
      <c r="BB81" s="713" t="s">
        <v>173</v>
      </c>
      <c r="BC81" s="713"/>
      <c r="BE81" s="6"/>
      <c r="BK81" s="67"/>
      <c r="BL81" s="78"/>
    </row>
    <row r="82" spans="1:64" ht="12.75" customHeight="1" x14ac:dyDescent="0.2">
      <c r="A82" s="67"/>
      <c r="B82" s="764" t="s">
        <v>4</v>
      </c>
      <c r="C82" s="765"/>
      <c r="D82" s="765"/>
      <c r="E82" s="218">
        <f>IF(Z38=0,"",AVERAGE(F72:F80))</f>
        <v>0.26521273502693171</v>
      </c>
      <c r="F82" s="25"/>
      <c r="G82" s="236"/>
      <c r="H82" s="766" t="s">
        <v>13</v>
      </c>
      <c r="I82" s="237" t="s">
        <v>203</v>
      </c>
      <c r="J82" s="191"/>
      <c r="K82" s="164">
        <f>R39</f>
        <v>1013.25</v>
      </c>
      <c r="L82" s="168" t="str">
        <f>IF(ISBLANK(P4),"",IF(M54&gt;0,(E34*K82-R38*M53)/M54,"n/a"))</f>
        <v>n/a</v>
      </c>
      <c r="M82" s="164" t="str">
        <f>IF(ISBLANK(P4),"",IF(M54&gt;0,L82-R39,"n/a"))</f>
        <v>n/a</v>
      </c>
      <c r="N82" s="247" t="s">
        <v>142</v>
      </c>
      <c r="O82" s="67"/>
      <c r="Q82" s="790"/>
      <c r="R82" s="791"/>
      <c r="S82" s="791"/>
      <c r="T82" s="791"/>
      <c r="U82" s="791"/>
      <c r="V82" s="791"/>
      <c r="W82" s="791"/>
      <c r="X82" s="791"/>
      <c r="Y82" s="791"/>
      <c r="Z82" s="791"/>
      <c r="AA82" s="791"/>
      <c r="AB82" s="792"/>
      <c r="AC82" s="436"/>
      <c r="AD82" s="1" t="s">
        <v>8</v>
      </c>
      <c r="AE82" s="1" t="s">
        <v>260</v>
      </c>
      <c r="AF82" s="6"/>
      <c r="AH82" s="636" t="s">
        <v>205</v>
      </c>
      <c r="AI82" s="636"/>
      <c r="AJ82" s="52"/>
      <c r="AK82" s="320"/>
      <c r="AL82" s="307"/>
      <c r="AM82" s="136"/>
      <c r="AN82" s="332">
        <f t="array" ref="AN82">MAX(FREQUENCY(IF(AV91:AV121=0,ROW(91:121)),IF(AV91:AV121&lt;&gt;0,ROW(91:121))))</f>
        <v>4</v>
      </c>
      <c r="AO82" s="412"/>
      <c r="AP82" s="822" t="s">
        <v>526</v>
      </c>
      <c r="AQ82" s="823"/>
      <c r="AR82" s="6"/>
      <c r="AT82" s="138">
        <f>IF(AN48=0,"n/a",AN48/AT67)</f>
        <v>1</v>
      </c>
      <c r="AU82" s="138"/>
      <c r="AX82" s="4" t="s">
        <v>10</v>
      </c>
      <c r="AY82" s="57">
        <f>IF(ISBLANK(F4),"",AY80-AY81)</f>
        <v>4.8033333333333363</v>
      </c>
      <c r="AZ82" s="311"/>
      <c r="BA82" s="148" t="s">
        <v>158</v>
      </c>
      <c r="BB82" s="275" t="s">
        <v>145</v>
      </c>
      <c r="BC82" s="276" t="s">
        <v>146</v>
      </c>
      <c r="BE82" s="6"/>
      <c r="BF82" s="431">
        <f>MAX(BF49:BF79)-MIN(BF49:BF79)</f>
        <v>0.30555555555555558</v>
      </c>
      <c r="BG82" s="431">
        <f>MAX(BG49:BG79)-MIN(BG49:BG79)</f>
        <v>0.20486111111111105</v>
      </c>
      <c r="BH82" s="431">
        <f>MAX(BH49:BH79)-MIN(BH49:BH79)</f>
        <v>0.28125</v>
      </c>
      <c r="BI82" s="431">
        <f>MAX(BI49:BI79)-MIN(BI49:BI79)</f>
        <v>0.34375</v>
      </c>
      <c r="BJ82" s="431">
        <f>MAX(BJ49:BJ79)-MIN(BJ49:BJ79)</f>
        <v>0.93333333333333324</v>
      </c>
      <c r="BK82" s="67"/>
      <c r="BL82" s="78"/>
    </row>
    <row r="83" spans="1:64" ht="12.75" customHeight="1" thickBot="1" x14ac:dyDescent="0.25">
      <c r="A83" s="67"/>
      <c r="B83" s="756" t="s">
        <v>34</v>
      </c>
      <c r="C83" s="757"/>
      <c r="D83" s="757"/>
      <c r="E83" s="219">
        <f>AN93+AN98</f>
        <v>0</v>
      </c>
      <c r="F83" s="85" t="s">
        <v>91</v>
      </c>
      <c r="G83" s="236"/>
      <c r="H83" s="746"/>
      <c r="I83" s="238" t="s">
        <v>149</v>
      </c>
      <c r="J83" s="242"/>
      <c r="K83" s="251">
        <f>K82</f>
        <v>1013.25</v>
      </c>
      <c r="L83" s="119">
        <f>IF(ISBLANK(P4),"",SUM(M54*K83+M53*R38)/E34)</f>
        <v>1019.85</v>
      </c>
      <c r="M83" s="169">
        <f>IF(ISBLANK(P4),"",L83-R39)</f>
        <v>6.6000000000000227</v>
      </c>
      <c r="N83" s="248" t="s">
        <v>148</v>
      </c>
      <c r="O83" s="67"/>
      <c r="Q83" s="827"/>
      <c r="R83" s="828"/>
      <c r="S83" s="828"/>
      <c r="T83" s="828"/>
      <c r="U83" s="828"/>
      <c r="V83" s="828"/>
      <c r="W83" s="828"/>
      <c r="X83" s="828"/>
      <c r="Y83" s="828"/>
      <c r="Z83" s="828"/>
      <c r="AA83" s="828"/>
      <c r="AB83" s="829"/>
      <c r="AC83" s="436"/>
      <c r="AD83" s="1" t="s">
        <v>264</v>
      </c>
      <c r="AE83" s="1" t="s">
        <v>259</v>
      </c>
      <c r="AF83" s="6"/>
      <c r="AK83" s="312"/>
      <c r="AM83" s="136"/>
      <c r="AO83" s="88"/>
      <c r="AP83" s="823"/>
      <c r="AQ83" s="823"/>
      <c r="AR83" s="67"/>
      <c r="AZ83" s="6"/>
      <c r="BA83" s="25">
        <f>E91/3</f>
        <v>2.6</v>
      </c>
      <c r="BB83" s="274">
        <f>AY81-BA83</f>
        <v>6.3000000000000007</v>
      </c>
      <c r="BC83" s="273">
        <f>AY81+BA83</f>
        <v>11.5</v>
      </c>
      <c r="BE83" s="6"/>
      <c r="BF83" s="334">
        <f>IF(ISBLANK(BF50),"",STDEV(BF49:BF79))</f>
        <v>6.4843601069711196E-2</v>
      </c>
      <c r="BG83" s="334">
        <f>IF(ISBLANK(BG50),"",STDEV(BG49:BG79))</f>
        <v>5.8400667365814653E-2</v>
      </c>
      <c r="BH83" s="334">
        <f>IF(ISBLANK(BH50),"",STDEV(BH49:BH79))</f>
        <v>7.1400592894338907E-2</v>
      </c>
      <c r="BI83" s="334">
        <f>IF(ISBLANK(BI50),"",STDEV(BI49:BI79))</f>
        <v>6.6599746224717121E-2</v>
      </c>
      <c r="BJ83" s="334">
        <f>IF(ISBLANK(BJ50),"",STDEV(BJ49:BJ79))</f>
        <v>0.17439344166392265</v>
      </c>
      <c r="BK83" s="67"/>
      <c r="BL83" s="78"/>
    </row>
    <row r="84" spans="1:64" s="107" customFormat="1" ht="12.75" x14ac:dyDescent="0.2">
      <c r="A84" s="240"/>
      <c r="C84" s="239"/>
      <c r="F84" s="117"/>
      <c r="H84" s="241"/>
      <c r="J84" s="242"/>
      <c r="O84" s="242"/>
      <c r="T84" s="243"/>
      <c r="Y84" s="243"/>
      <c r="AF84" s="243"/>
      <c r="AI84" s="117"/>
      <c r="AJ84" s="117"/>
      <c r="AK84" s="240"/>
      <c r="AL84" s="117"/>
      <c r="AM84" s="240"/>
      <c r="AO84" s="413"/>
      <c r="AP84" s="799"/>
      <c r="AQ84" s="799"/>
      <c r="AR84" s="240"/>
      <c r="AV84" s="117"/>
      <c r="AY84" s="117"/>
      <c r="AZ84" s="240"/>
      <c r="BA84" s="330">
        <f>MIN(AY49:AY79)</f>
        <v>8.5500000000000007</v>
      </c>
      <c r="BB84" s="330">
        <f>MAX(AY49:AY79)</f>
        <v>18.3</v>
      </c>
      <c r="BE84" s="243"/>
      <c r="BF84" s="771" t="s">
        <v>191</v>
      </c>
      <c r="BG84" s="771"/>
      <c r="BH84" s="771"/>
      <c r="BI84" s="771"/>
      <c r="BJ84" s="771"/>
      <c r="BK84" s="240"/>
      <c r="BL84" s="244"/>
    </row>
    <row r="85" spans="1:64" s="172" customFormat="1" ht="12" x14ac:dyDescent="0.2">
      <c r="A85" s="171"/>
      <c r="C85" s="173">
        <f>MIN(C4:C34)</f>
        <v>12.6</v>
      </c>
      <c r="E85" s="174" t="s">
        <v>70</v>
      </c>
      <c r="F85" s="173">
        <f>MIN(F4:F34)</f>
        <v>4.0999999999999996</v>
      </c>
      <c r="G85" s="173">
        <f>MIN(G4:G34)</f>
        <v>12.6</v>
      </c>
      <c r="H85" s="173">
        <f>MIN(H4:H34)</f>
        <v>8.6999999999999993</v>
      </c>
      <c r="I85" s="173">
        <f>MIN(I4:I34)</f>
        <v>3.5</v>
      </c>
      <c r="J85" s="175"/>
      <c r="K85" s="176">
        <f>MIN(K4:K34)</f>
        <v>26</v>
      </c>
      <c r="L85" s="176">
        <f>MIN(L4:L34)</f>
        <v>66</v>
      </c>
      <c r="M85" s="176">
        <f>MIN(M4:M34)</f>
        <v>48</v>
      </c>
      <c r="N85" s="176">
        <f>MIN(N4:N34)</f>
        <v>17</v>
      </c>
      <c r="O85" s="177"/>
      <c r="P85" s="176">
        <f>MIN(P4:P34)</f>
        <v>1007</v>
      </c>
      <c r="Q85" s="176">
        <f>MIN(Q4:Q34)</f>
        <v>1010</v>
      </c>
      <c r="R85" s="173">
        <f>MIN(R4:R34)</f>
        <v>1008.5</v>
      </c>
      <c r="S85" s="176">
        <f>MIN(S4:S34)</f>
        <v>1</v>
      </c>
      <c r="T85" s="171"/>
      <c r="U85" s="173">
        <f t="shared" ref="U85:AC85" si="29">MIN(U4:U34)</f>
        <v>1.7</v>
      </c>
      <c r="V85" s="173">
        <f t="shared" si="29"/>
        <v>7.8</v>
      </c>
      <c r="W85" s="173">
        <f t="shared" si="29"/>
        <v>10.199999999999999</v>
      </c>
      <c r="X85" s="173">
        <f t="shared" si="29"/>
        <v>0</v>
      </c>
      <c r="Y85" s="175">
        <f t="shared" si="29"/>
        <v>0</v>
      </c>
      <c r="Z85" s="173">
        <f t="shared" si="29"/>
        <v>0</v>
      </c>
      <c r="AA85" s="173">
        <f t="shared" si="29"/>
        <v>0.5</v>
      </c>
      <c r="AB85" s="173">
        <f t="shared" si="29"/>
        <v>0</v>
      </c>
      <c r="AC85" s="422">
        <f t="shared" si="29"/>
        <v>5.5555555555555559E-2</v>
      </c>
      <c r="AD85" s="173">
        <f>MIN(AE4:AE34)</f>
        <v>0</v>
      </c>
      <c r="AE85" s="173">
        <f>MIN(AD4:AD34)</f>
        <v>0.46666666666666662</v>
      </c>
      <c r="AF85" s="175">
        <f>MIN(AF4:AF4)</f>
        <v>0</v>
      </c>
      <c r="AG85" s="173">
        <f>MIN(AG4:AG34)</f>
        <v>-3.9</v>
      </c>
      <c r="AH85" s="173">
        <f>MIN(AH4:AH34)</f>
        <v>2.9</v>
      </c>
      <c r="AI85" s="173">
        <f>MIN(AI4:AI34)</f>
        <v>0.3</v>
      </c>
      <c r="AJ85" s="173">
        <f>MIN(AJ4:AJ34)</f>
        <v>1.2999999999999989</v>
      </c>
      <c r="AK85" s="175"/>
      <c r="AL85" s="173"/>
      <c r="AM85" s="175"/>
      <c r="AO85" s="414"/>
      <c r="AP85" s="173">
        <f>MIN(AP4:AP34)</f>
        <v>0</v>
      </c>
      <c r="AQ85" s="173">
        <f>MIN(AQ4:AQ34)</f>
        <v>0</v>
      </c>
      <c r="AR85" s="175"/>
      <c r="AS85" s="173">
        <f t="shared" ref="AS85:AZ85" si="30">MIN(AS8:AS34)</f>
        <v>7.9230769230769216</v>
      </c>
      <c r="AT85" s="173">
        <f t="shared" si="30"/>
        <v>15.139999999999997</v>
      </c>
      <c r="AU85" s="173">
        <f t="shared" si="30"/>
        <v>12.22</v>
      </c>
      <c r="AV85" s="173">
        <f t="shared" si="30"/>
        <v>6.1399999999999988</v>
      </c>
      <c r="AW85" s="173">
        <f t="shared" si="30"/>
        <v>60.347826086956523</v>
      </c>
      <c r="AX85" s="176">
        <f t="shared" si="30"/>
        <v>1017.2</v>
      </c>
      <c r="AY85" s="173">
        <f t="shared" si="30"/>
        <v>4.2625000000000002</v>
      </c>
      <c r="AZ85" s="175">
        <f t="shared" si="30"/>
        <v>0</v>
      </c>
      <c r="BA85" s="173">
        <f>MIN(BA4:BA34)</f>
        <v>-0.72500000000000053</v>
      </c>
      <c r="BB85" s="173">
        <f>MIN(BB4:BB34)</f>
        <v>0.55000000000000071</v>
      </c>
      <c r="BC85" s="173">
        <f>MIN(BC4:BC34)</f>
        <v>-8.7499999999999911E-2</v>
      </c>
      <c r="BD85" s="173">
        <f>MIN(BD4:BD34)</f>
        <v>-3.6500000000000004</v>
      </c>
      <c r="BE85" s="175">
        <f t="shared" ref="BE85:BJ85" si="31">MIN(BE8:BE34)</f>
        <v>0</v>
      </c>
      <c r="BF85" s="173">
        <f t="shared" si="31"/>
        <v>3.2410714285714279</v>
      </c>
      <c r="BG85" s="173">
        <f t="shared" si="31"/>
        <v>3.4149999999999974</v>
      </c>
      <c r="BH85" s="173">
        <f t="shared" si="31"/>
        <v>-1.0100000000000025</v>
      </c>
      <c r="BI85" s="422">
        <f t="shared" si="31"/>
        <v>3.2142857142857147E-2</v>
      </c>
      <c r="BJ85" s="422">
        <f t="shared" si="31"/>
        <v>0.55927448474331332</v>
      </c>
      <c r="BK85" s="177"/>
      <c r="BL85" s="178"/>
    </row>
    <row r="86" spans="1:64" s="172" customFormat="1" ht="12" x14ac:dyDescent="0.2">
      <c r="A86" s="171"/>
      <c r="B86" s="173">
        <f>MAX(B4:B34)</f>
        <v>12.5</v>
      </c>
      <c r="E86" s="174" t="s">
        <v>71</v>
      </c>
      <c r="F86" s="173">
        <f>MAX(F4:F34)</f>
        <v>12.4</v>
      </c>
      <c r="G86" s="173">
        <f>MAX(G4:G34)</f>
        <v>26.5</v>
      </c>
      <c r="H86" s="173">
        <f>MAX(H4:H34)</f>
        <v>18.600000000000001</v>
      </c>
      <c r="I86" s="173">
        <f>MAX(I4:I34)</f>
        <v>16.399999999999999</v>
      </c>
      <c r="J86" s="175"/>
      <c r="K86" s="176">
        <f>MAX(K4:K34)</f>
        <v>74</v>
      </c>
      <c r="L86" s="176">
        <f>MAX(L4:L34)</f>
        <v>91</v>
      </c>
      <c r="M86" s="176">
        <f>MAX(M4:M34)</f>
        <v>84</v>
      </c>
      <c r="N86" s="176">
        <f>MAX(N4:N34)</f>
        <v>60</v>
      </c>
      <c r="O86" s="177"/>
      <c r="P86" s="176">
        <f t="shared" ref="P86:AC86" si="32">MAX(P4:P34)</f>
        <v>1026</v>
      </c>
      <c r="Q86" s="176">
        <f t="shared" si="32"/>
        <v>1030</v>
      </c>
      <c r="R86" s="173">
        <f t="shared" si="32"/>
        <v>1028</v>
      </c>
      <c r="S86" s="176">
        <f t="shared" si="32"/>
        <v>11</v>
      </c>
      <c r="T86" s="177">
        <f t="shared" si="32"/>
        <v>0</v>
      </c>
      <c r="U86" s="173">
        <f t="shared" si="32"/>
        <v>8.5</v>
      </c>
      <c r="V86" s="173">
        <f t="shared" si="32"/>
        <v>17.8</v>
      </c>
      <c r="W86" s="173">
        <f t="shared" si="32"/>
        <v>28.4</v>
      </c>
      <c r="X86" s="173">
        <f t="shared" si="32"/>
        <v>0</v>
      </c>
      <c r="Y86" s="175">
        <f t="shared" si="32"/>
        <v>2</v>
      </c>
      <c r="Z86" s="173">
        <f t="shared" si="32"/>
        <v>1.4</v>
      </c>
      <c r="AA86" s="173">
        <f t="shared" si="32"/>
        <v>0.5</v>
      </c>
      <c r="AB86" s="173">
        <f t="shared" si="32"/>
        <v>0</v>
      </c>
      <c r="AC86" s="422">
        <f t="shared" si="32"/>
        <v>0.77777777777777768</v>
      </c>
      <c r="AD86" s="173">
        <f>MAX(AE4:AE34)</f>
        <v>0</v>
      </c>
      <c r="AE86" s="173">
        <f>MAX(AD4:AD34)</f>
        <v>0.6</v>
      </c>
      <c r="AF86" s="175">
        <f>MAX(AF4:AF4)</f>
        <v>0</v>
      </c>
      <c r="AG86" s="173">
        <f>MAX(AG4:AG34)</f>
        <v>9.4</v>
      </c>
      <c r="AH86" s="173">
        <f>MAX(AH4:AH34)</f>
        <v>12.5</v>
      </c>
      <c r="AI86" s="173">
        <f>MAX(AI4:AI34)</f>
        <v>10</v>
      </c>
      <c r="AJ86" s="173">
        <f>MAX(AJ4:AJ34)</f>
        <v>9.6</v>
      </c>
      <c r="AK86" s="175"/>
      <c r="AL86" s="173"/>
      <c r="AM86" s="175"/>
      <c r="AO86" s="415"/>
      <c r="AP86" s="176">
        <f>MAX(AP4:AP34)</f>
        <v>13.4</v>
      </c>
      <c r="AQ86" s="173">
        <f>MAX(AQ4:AQ34)</f>
        <v>3</v>
      </c>
      <c r="AR86" s="177"/>
      <c r="AS86" s="173">
        <f t="shared" ref="AS86:AZ86" si="33">MAX(AS8:AS34)</f>
        <v>9.5285714285714285</v>
      </c>
      <c r="AT86" s="173">
        <f t="shared" si="33"/>
        <v>19.12</v>
      </c>
      <c r="AU86" s="173">
        <f t="shared" si="33"/>
        <v>13.836000000000002</v>
      </c>
      <c r="AV86" s="173">
        <f t="shared" si="33"/>
        <v>10.460869565217392</v>
      </c>
      <c r="AW86" s="173">
        <f t="shared" si="33"/>
        <v>72.599999999999994</v>
      </c>
      <c r="AX86" s="176">
        <f t="shared" si="33"/>
        <v>1022.4615384615385</v>
      </c>
      <c r="AY86" s="173">
        <f t="shared" si="33"/>
        <v>7.0400000000000009</v>
      </c>
      <c r="AZ86" s="175">
        <f t="shared" si="33"/>
        <v>0</v>
      </c>
      <c r="BA86" s="173">
        <f>MAX(BA4:BA34)</f>
        <v>7.2750000000000004</v>
      </c>
      <c r="BB86" s="173">
        <f>MAX(BB4:BB34)</f>
        <v>12.92</v>
      </c>
      <c r="BC86" s="173">
        <f>MAX(BC4:BC34)</f>
        <v>8.9249999999999989</v>
      </c>
      <c r="BD86" s="173">
        <f>MAX(BD4:BD34)</f>
        <v>8.15</v>
      </c>
      <c r="BE86" s="175">
        <f t="shared" ref="BE86:BJ86" si="34">MAX(BE8:BE34)</f>
        <v>0</v>
      </c>
      <c r="BF86" s="173">
        <f t="shared" si="34"/>
        <v>4.9285714285714288</v>
      </c>
      <c r="BG86" s="173">
        <f t="shared" si="34"/>
        <v>6.5968749999999972</v>
      </c>
      <c r="BH86" s="173">
        <f t="shared" si="34"/>
        <v>2.8641304347826102</v>
      </c>
      <c r="BI86" s="422">
        <f t="shared" si="34"/>
        <v>0.15</v>
      </c>
      <c r="BJ86" s="422">
        <f t="shared" si="34"/>
        <v>1.6324192643446973</v>
      </c>
      <c r="BK86" s="177"/>
      <c r="BL86" s="178"/>
    </row>
    <row r="87" spans="1:64" ht="10.5" customHeight="1" x14ac:dyDescent="0.2">
      <c r="A87" s="67"/>
      <c r="B87" s="21"/>
      <c r="C87" s="140"/>
      <c r="D87" s="146"/>
      <c r="E87" s="4"/>
      <c r="F87" s="21"/>
      <c r="H87" s="13"/>
      <c r="J87" s="20"/>
      <c r="K87" s="21"/>
      <c r="L87" s="21"/>
      <c r="M87" s="21"/>
      <c r="N87" s="22"/>
      <c r="O87" s="20"/>
      <c r="P87" s="21"/>
      <c r="Q87" s="21"/>
      <c r="R87" s="21"/>
      <c r="S87" s="21"/>
      <c r="T87" s="67"/>
      <c r="U87" s="21"/>
      <c r="V87" s="21"/>
      <c r="W87" s="21"/>
      <c r="X87" s="21"/>
      <c r="Y87" s="67"/>
      <c r="Z87" s="21"/>
      <c r="AA87" s="21"/>
      <c r="AB87" s="21"/>
      <c r="AC87" s="21"/>
      <c r="AD87" s="21"/>
      <c r="AE87" s="21"/>
      <c r="AF87" s="67"/>
      <c r="AG87" s="21"/>
      <c r="AH87" s="21"/>
      <c r="AI87" s="21"/>
      <c r="AJ87" s="21"/>
      <c r="AK87" s="67"/>
      <c r="AL87" s="21"/>
      <c r="AM87" s="67"/>
      <c r="AO87" s="88"/>
      <c r="AR87" s="6"/>
      <c r="AS87" s="21"/>
      <c r="AT87" s="22"/>
      <c r="AU87" s="21"/>
      <c r="AV87" s="21"/>
      <c r="AW87" s="21"/>
      <c r="AX87" s="21"/>
      <c r="AZ87" s="6"/>
      <c r="BA87" s="25"/>
      <c r="BB87" s="21"/>
      <c r="BC87" s="21"/>
      <c r="BD87" s="21"/>
      <c r="BE87" s="67"/>
      <c r="BF87" s="21"/>
      <c r="BG87" s="21"/>
      <c r="BH87" s="21"/>
      <c r="BI87" s="21"/>
      <c r="BJ87" s="21"/>
      <c r="BK87" s="67"/>
      <c r="BL87" s="95"/>
    </row>
    <row r="88" spans="1:64" s="327" customFormat="1" ht="10.5" customHeight="1" x14ac:dyDescent="0.2">
      <c r="C88" s="328"/>
    </row>
    <row r="89" spans="1:64" s="327" customFormat="1" ht="1.5" customHeight="1" x14ac:dyDescent="0.2">
      <c r="C89" s="328"/>
    </row>
    <row r="90" spans="1:64" s="331" customFormat="1" ht="11.25" x14ac:dyDescent="0.2">
      <c r="A90" s="331" t="s">
        <v>167</v>
      </c>
      <c r="B90" s="148" t="s">
        <v>2</v>
      </c>
      <c r="C90" s="148" t="s">
        <v>3</v>
      </c>
      <c r="D90" s="148" t="s">
        <v>4</v>
      </c>
      <c r="E90" s="147" t="s">
        <v>5</v>
      </c>
      <c r="F90" s="331" t="s">
        <v>332</v>
      </c>
      <c r="G90" s="331" t="s">
        <v>333</v>
      </c>
      <c r="H90" s="331" t="s">
        <v>348</v>
      </c>
      <c r="I90" s="331" t="s">
        <v>347</v>
      </c>
      <c r="K90" s="331" t="s">
        <v>167</v>
      </c>
      <c r="L90" s="331" t="s">
        <v>167</v>
      </c>
      <c r="M90" s="147" t="s">
        <v>184</v>
      </c>
      <c r="N90" s="331" t="s">
        <v>167</v>
      </c>
      <c r="O90" s="331" t="s">
        <v>167</v>
      </c>
      <c r="P90" s="331" t="s">
        <v>167</v>
      </c>
      <c r="Q90" s="331" t="s">
        <v>167</v>
      </c>
      <c r="S90" s="331" t="s">
        <v>167</v>
      </c>
      <c r="U90" s="331" t="s">
        <v>204</v>
      </c>
      <c r="V90" s="331" t="s">
        <v>346</v>
      </c>
      <c r="W90" s="786" t="s">
        <v>229</v>
      </c>
      <c r="X90" s="786"/>
      <c r="Y90" s="331" t="s">
        <v>167</v>
      </c>
      <c r="Z90" s="147" t="s">
        <v>144</v>
      </c>
      <c r="AA90" s="147" t="s">
        <v>185</v>
      </c>
      <c r="AB90" s="147" t="s">
        <v>236</v>
      </c>
      <c r="AC90" s="147" t="s">
        <v>237</v>
      </c>
      <c r="AD90" s="331" t="s">
        <v>167</v>
      </c>
      <c r="AE90" s="278" t="s">
        <v>345</v>
      </c>
      <c r="AF90" s="331" t="s">
        <v>344</v>
      </c>
      <c r="AG90" s="147" t="s">
        <v>155</v>
      </c>
      <c r="AH90" s="147" t="s">
        <v>183</v>
      </c>
      <c r="AI90" s="331" t="s">
        <v>328</v>
      </c>
      <c r="AJ90" s="147" t="s">
        <v>117</v>
      </c>
      <c r="AK90" s="331" t="s">
        <v>167</v>
      </c>
      <c r="AL90" s="147" t="s">
        <v>118</v>
      </c>
      <c r="AM90" s="331" t="s">
        <v>329</v>
      </c>
      <c r="AN90" s="331" t="s">
        <v>168</v>
      </c>
      <c r="AO90" s="331" t="s">
        <v>329</v>
      </c>
      <c r="AQ90" s="147"/>
      <c r="AR90" s="331" t="s">
        <v>329</v>
      </c>
      <c r="AS90" s="331" t="s">
        <v>256</v>
      </c>
      <c r="AT90" s="331" t="s">
        <v>253</v>
      </c>
      <c r="AU90" s="331" t="s">
        <v>346</v>
      </c>
      <c r="AV90" s="147" t="s">
        <v>196</v>
      </c>
      <c r="AW90" s="147" t="s">
        <v>145</v>
      </c>
      <c r="AX90" s="147" t="s">
        <v>146</v>
      </c>
      <c r="AY90" s="147" t="s">
        <v>400</v>
      </c>
      <c r="AZ90" s="147" t="s">
        <v>124</v>
      </c>
      <c r="BA90" s="147" t="s">
        <v>145</v>
      </c>
      <c r="BB90" s="147" t="s">
        <v>146</v>
      </c>
      <c r="BC90" s="331" t="s">
        <v>330</v>
      </c>
      <c r="BD90" s="331" t="s">
        <v>331</v>
      </c>
      <c r="BE90" s="147" t="s">
        <v>327</v>
      </c>
      <c r="BF90" s="331" t="s">
        <v>167</v>
      </c>
      <c r="BG90" s="147" t="s">
        <v>163</v>
      </c>
      <c r="BH90" s="147" t="s">
        <v>399</v>
      </c>
      <c r="BI90" s="147" t="s">
        <v>401</v>
      </c>
      <c r="BJ90" s="147" t="s">
        <v>119</v>
      </c>
      <c r="BK90" s="331" t="s">
        <v>327</v>
      </c>
    </row>
    <row r="91" spans="1:64" ht="12.75" x14ac:dyDescent="0.2">
      <c r="A91" s="8">
        <f t="shared" ref="A91:A121" si="35">IF(ISBLANK(K4),NA(),N4)</f>
        <v>22</v>
      </c>
      <c r="B91" s="125">
        <f t="shared" ref="B91:B121" si="36">$F$39</f>
        <v>5</v>
      </c>
      <c r="C91" s="125">
        <f t="shared" ref="C91:C121" si="37">$G$39</f>
        <v>12.8</v>
      </c>
      <c r="D91" s="125">
        <f>AVERAGE(B91:C91)</f>
        <v>8.9</v>
      </c>
      <c r="E91" s="125">
        <f t="shared" ref="E91:E121" si="38">C91-B91</f>
        <v>7.8000000000000007</v>
      </c>
      <c r="F91" s="7">
        <v>4.5250000000000004</v>
      </c>
      <c r="G91" s="7">
        <v>11.675000000000001</v>
      </c>
      <c r="H91" s="7">
        <f>AVERAGE(F91:G91)</f>
        <v>8.1000000000000014</v>
      </c>
      <c r="I91" s="7">
        <f>G91-F91</f>
        <v>7.15</v>
      </c>
      <c r="K91" s="7">
        <f t="shared" ref="K91:K121" si="39">IF(ISBLANK(G4),NA(),I4)</f>
        <v>3.8999999999999986</v>
      </c>
      <c r="L91" s="7">
        <f t="shared" ref="L91:L121" si="40">IF(ISBLANK(G4),NA(),AY49)</f>
        <v>13.75</v>
      </c>
      <c r="M91" s="370">
        <f t="shared" ref="M91:M121" si="41">IF(ISBLANK(U4),NA(),AY4)</f>
        <v>8.1</v>
      </c>
      <c r="N91" s="1">
        <f t="shared" ref="N91:N121" si="42">IF(ISBLANK(F4),NA(),BJ91)</f>
        <v>0</v>
      </c>
      <c r="O91" s="7">
        <f t="shared" ref="O91:O121" si="43">IF(ISBLANK(M4),NA(),AW4)</f>
        <v>80</v>
      </c>
      <c r="P91" s="7">
        <f t="shared" ref="P91:P121" si="44">IF(ISBLANK(F4),NA(),AS4)</f>
        <v>11.8</v>
      </c>
      <c r="Q91" s="7">
        <f t="shared" ref="Q91:Q121" si="45">IF(ISBLANK(G4),NA(),AT4)</f>
        <v>15.7</v>
      </c>
      <c r="R91" s="7">
        <f t="shared" ref="R91:R121" si="46">IF(ISBLANK(H4),NA(),AU4)</f>
        <v>13.5</v>
      </c>
      <c r="S91" s="7">
        <f t="shared" ref="S91:S121" si="47">IF(ISBLANK(G4),NA(),AV4)</f>
        <v>3.8999999999999986</v>
      </c>
      <c r="T91" s="1">
        <v>32</v>
      </c>
      <c r="U91" s="333">
        <f t="shared" ref="U91:U121" si="48">$Z$39/$E$34</f>
        <v>1.8666666666666667</v>
      </c>
      <c r="V91" s="4">
        <v>1</v>
      </c>
      <c r="W91" s="7">
        <f t="shared" ref="W91:W121" si="49">0.273*V91</f>
        <v>0.27300000000000002</v>
      </c>
      <c r="X91" s="7">
        <f t="shared" ref="X91:X121" si="50">0.273*T91</f>
        <v>8.7360000000000007</v>
      </c>
      <c r="Y91" s="8">
        <f t="shared" ref="Y91:Y121" si="51">IF(ISBLANK(Q4),NA(),S4)</f>
        <v>4</v>
      </c>
      <c r="Z91" s="7">
        <f>IF(ISBLANK(Z4),NA(),SUM($Z$4:Z4))</f>
        <v>0</v>
      </c>
      <c r="AA91" s="7">
        <f>$AB$48*E4</f>
        <v>1.8666666666666667</v>
      </c>
      <c r="AB91" s="26">
        <f>IF(ISBLANK(Z4),"",SUM($Z$4:Z4))</f>
        <v>0</v>
      </c>
      <c r="AC91" s="115">
        <f>IF(ISBLANK(Z4),NA(),AB91/AA91)</f>
        <v>0</v>
      </c>
      <c r="AD91" s="8">
        <f t="shared" ref="AD91:AD121" si="52">IF(ISBLANK(P4),NA(),AX4)</f>
        <v>1017</v>
      </c>
      <c r="AE91" s="610">
        <f t="shared" ref="AE91:AE121" si="53">IF(ISNA(AG91),"",AG91/AH91)</f>
        <v>0.47101866068598264</v>
      </c>
      <c r="AF91" s="524">
        <f t="shared" ref="AF91:AF121" si="54">IF(ISTEXT(BI49),NA(),IF(ISBLANK(BI49),NA(),BI49))</f>
        <v>0.26041666666666669</v>
      </c>
      <c r="AG91" s="22">
        <f>IF(ISBLANK(AP4),NA(),SUM($AP$4:AP4))</f>
        <v>2</v>
      </c>
      <c r="AH91" s="7">
        <f>SUM($AS$91:AS91)</f>
        <v>4.2461162729460398</v>
      </c>
      <c r="AI91" s="115">
        <f t="shared" ref="AI91:AI121" si="55">IF(ISBLANK(AP4),NA(),AG91/AH91)</f>
        <v>0.47101866068598264</v>
      </c>
      <c r="AJ91" s="124">
        <f t="shared" ref="AJ91:AJ121" si="56">IF(ISBLANK(F4),"",IF(Z4&gt;0.1,1,0))</f>
        <v>0</v>
      </c>
      <c r="AK91" s="8">
        <f t="shared" ref="AK91:AK121" si="57">IF(ISBLANK(P4),NA(),R4)</f>
        <v>1017</v>
      </c>
      <c r="AL91" s="124">
        <f t="shared" ref="AL91:AL121" si="58">IF(ISBLANK(Z4),"",IF(Z4&gt;0.9,1,0))</f>
        <v>0</v>
      </c>
      <c r="AM91" s="524">
        <f t="shared" ref="AM91:AM121" si="59">IF(ISTEXT(BH49),NA(),IF(ISBLANK(BH49),NA(),BH49))</f>
        <v>0.72569444444444453</v>
      </c>
      <c r="AN91" s="109">
        <f xml:space="preserve"> SUM(COUNTIF(AN4:AN34,"-"),COUNTIF(AN4:AN34,"*yy*"))</f>
        <v>21</v>
      </c>
      <c r="AO91" s="524">
        <f t="shared" ref="AO91:AO121" si="60">IF(ISTEXT(BG49),NA(),IF(ISBLANK(BG49),NA(),BG49))</f>
        <v>0.71875</v>
      </c>
      <c r="AR91" s="524">
        <f t="shared" ref="AR91:AR121" si="61">IF(ISTEXT(BF49),NA(),IF(ISBLANK(BF49),NA(),BF49))</f>
        <v>0.3125</v>
      </c>
      <c r="AS91" s="7">
        <f t="shared" ref="AS91:AS121" si="62">AT91/($AT$123/$AP$39)</f>
        <v>4.2461162729460398</v>
      </c>
      <c r="AT91" s="7">
        <v>11.664268231414971</v>
      </c>
      <c r="AU91" s="4">
        <v>1</v>
      </c>
      <c r="AV91" s="127">
        <f t="shared" ref="AV91:AV121" si="63">IF(ISBLANK(AP4),"",IF(AP4&gt;0.25*AT91,1,0))</f>
        <v>0</v>
      </c>
      <c r="AW91" s="124">
        <f>IF(ISBLANK(F4),"",IF(AY49&lt;BC91,1,0))</f>
        <v>0</v>
      </c>
      <c r="AX91" s="124">
        <f>IF(ISBLANK(G4),"",IF(AY49&gt;BD91,1,0))</f>
        <v>1</v>
      </c>
      <c r="AY91" s="124">
        <f t="shared" ref="AY91:AY121" si="64">IF(ISBLANK(F4),"",IF(P4&gt;1013,1,0))</f>
        <v>1</v>
      </c>
      <c r="AZ91" s="125">
        <f t="shared" ref="AZ91:AZ121" si="65">$U$39</f>
        <v>4.9000000000000004</v>
      </c>
      <c r="BA91" s="125">
        <f t="shared" ref="BA91:BA121" si="66">$BB$83</f>
        <v>6.3000000000000007</v>
      </c>
      <c r="BB91" s="125">
        <f t="shared" ref="BB91:BB121" si="67">$BC$83</f>
        <v>11.5</v>
      </c>
      <c r="BC91" s="7">
        <v>5.7166666666666668</v>
      </c>
      <c r="BD91" s="7">
        <v>10.483333333333336</v>
      </c>
      <c r="BE91" s="124"/>
      <c r="BF91" s="8">
        <f t="shared" ref="BF91:BF121" si="68">IF(ISBLANK(M4),NA(),M4)</f>
        <v>80</v>
      </c>
      <c r="BG91" s="21">
        <f t="shared" ref="BG91:BG121" si="69">IF(ISBLANK(H4),NA(),H4)</f>
        <v>13.5</v>
      </c>
      <c r="BH91" s="124">
        <f t="shared" ref="BH91:BH121" si="70">IF(ISBLANK(F4),"",IF(Q4&lt;1013,1,0))</f>
        <v>0</v>
      </c>
      <c r="BI91" s="124">
        <f>IF(ISBLANK(L4),"",IF(AQ4&gt;0.4,1,0))</f>
        <v>0</v>
      </c>
      <c r="BJ91" s="144">
        <f t="shared" ref="BJ91:BJ121" si="71">IF(ISBLANK(Z4),"",Z4/3)</f>
        <v>0</v>
      </c>
      <c r="BL91" s="99">
        <v>1</v>
      </c>
    </row>
    <row r="92" spans="1:64" ht="12.75" x14ac:dyDescent="0.2">
      <c r="A92" s="8">
        <f t="shared" si="35"/>
        <v>37</v>
      </c>
      <c r="B92" s="125">
        <f t="shared" si="36"/>
        <v>5</v>
      </c>
      <c r="C92" s="125">
        <f t="shared" si="37"/>
        <v>12.8</v>
      </c>
      <c r="D92" s="125">
        <f t="shared" ref="D92:D121" si="72">AVERAGE(B92:C92)</f>
        <v>8.9</v>
      </c>
      <c r="E92" s="125">
        <f t="shared" si="38"/>
        <v>7.8000000000000007</v>
      </c>
      <c r="F92" s="7">
        <v>4.55</v>
      </c>
      <c r="G92" s="7">
        <v>11.7</v>
      </c>
      <c r="H92" s="7">
        <f t="shared" ref="H92:H120" si="73">AVERAGE(F92:G92)</f>
        <v>8.125</v>
      </c>
      <c r="I92" s="7">
        <f t="shared" ref="I92:I120" si="74">G92-F92</f>
        <v>7.1499999999999995</v>
      </c>
      <c r="K92" s="7">
        <f t="shared" si="39"/>
        <v>7.2999999999999989</v>
      </c>
      <c r="L92" s="7">
        <f t="shared" si="40"/>
        <v>14.75</v>
      </c>
      <c r="M92" s="370">
        <f t="shared" si="41"/>
        <v>7.1999999999999993</v>
      </c>
      <c r="N92" s="1">
        <f t="shared" si="42"/>
        <v>0</v>
      </c>
      <c r="O92" s="7">
        <f t="shared" si="43"/>
        <v>74</v>
      </c>
      <c r="P92" s="7">
        <f t="shared" si="44"/>
        <v>11.45</v>
      </c>
      <c r="Q92" s="7">
        <f t="shared" si="45"/>
        <v>17.049999999999997</v>
      </c>
      <c r="R92" s="7">
        <f t="shared" si="46"/>
        <v>14.3</v>
      </c>
      <c r="S92" s="7">
        <f t="shared" si="47"/>
        <v>5.5999999999999988</v>
      </c>
      <c r="T92" s="1">
        <v>33</v>
      </c>
      <c r="U92" s="333">
        <f t="shared" si="48"/>
        <v>1.8666666666666667</v>
      </c>
      <c r="V92" s="4">
        <v>2</v>
      </c>
      <c r="W92" s="7">
        <f t="shared" si="49"/>
        <v>0.54600000000000004</v>
      </c>
      <c r="X92" s="7">
        <f t="shared" si="50"/>
        <v>9.0090000000000003</v>
      </c>
      <c r="Y92" s="8">
        <f t="shared" si="51"/>
        <v>7</v>
      </c>
      <c r="Z92" s="7">
        <f>IF(ISBLANK(Z5),NA(),SUM($Z$4:Z5))</f>
        <v>0</v>
      </c>
      <c r="AA92" s="7">
        <f t="shared" ref="AA92:AA121" si="75">$AB$48*E5</f>
        <v>3.7333333333333334</v>
      </c>
      <c r="AB92" s="26">
        <f>IF(ISBLANK(Z5),"",SUM($Z$4:Z5))</f>
        <v>0</v>
      </c>
      <c r="AC92" s="115">
        <f t="shared" ref="AC92:AC121" si="76">IF(ISBLANK(Z5),NA(),AB92/AA92)</f>
        <v>0</v>
      </c>
      <c r="AD92" s="8">
        <f t="shared" si="52"/>
        <v>1014.25</v>
      </c>
      <c r="AE92" s="610">
        <f t="shared" si="53"/>
        <v>0.41104692874289739</v>
      </c>
      <c r="AF92" s="524">
        <f t="shared" si="54"/>
        <v>0.22916666666666666</v>
      </c>
      <c r="AG92" s="22">
        <f>IF(ISBLANK(AP5),NA(),SUM($AP$4:AP5))</f>
        <v>3.5</v>
      </c>
      <c r="AH92" s="7">
        <f>SUM($AS$91:AS92)</f>
        <v>8.5148428445969202</v>
      </c>
      <c r="AI92" s="115">
        <f t="shared" si="55"/>
        <v>0.41104692874289739</v>
      </c>
      <c r="AJ92" s="124">
        <f t="shared" si="56"/>
        <v>0</v>
      </c>
      <c r="AK92" s="8">
        <f t="shared" si="57"/>
        <v>1011.5</v>
      </c>
      <c r="AL92" s="124">
        <f t="shared" si="58"/>
        <v>0</v>
      </c>
      <c r="AM92" s="524">
        <f t="shared" si="59"/>
        <v>0.83333333333333337</v>
      </c>
      <c r="AN92" s="45">
        <f t="array" ref="AN92">MAX(FREQUENCY(IF(AJ91:AJ121=0,ROW(91:121)),IF(AJ91:AJ121&lt;&gt;0,ROW(91:121))))</f>
        <v>19</v>
      </c>
      <c r="AO92" s="524">
        <f t="shared" si="60"/>
        <v>0.56597222222222221</v>
      </c>
      <c r="AP92" s="59" t="s">
        <v>113</v>
      </c>
      <c r="AQ92" s="447">
        <v>0.09</v>
      </c>
      <c r="AR92" s="524">
        <f t="shared" si="61"/>
        <v>0.19791666666666666</v>
      </c>
      <c r="AS92" s="7">
        <f t="shared" si="62"/>
        <v>4.2687265716508813</v>
      </c>
      <c r="AT92" s="7">
        <v>11.726379716813062</v>
      </c>
      <c r="AU92" s="4">
        <v>2</v>
      </c>
      <c r="AV92" s="127">
        <f t="shared" si="63"/>
        <v>0</v>
      </c>
      <c r="AW92" s="124">
        <f t="shared" ref="AW92:AW121" si="77">IF(ISBLANK(F5),"",IF(AY50&lt;BC92,1,0))</f>
        <v>0</v>
      </c>
      <c r="AX92" s="124">
        <f t="shared" ref="AX92:AX121" si="78">IF(ISBLANK(G5),"",IF(AY50&gt;BD92,1,0))</f>
        <v>1</v>
      </c>
      <c r="AY92" s="124">
        <f t="shared" si="64"/>
        <v>0</v>
      </c>
      <c r="AZ92" s="125">
        <f t="shared" si="65"/>
        <v>4.9000000000000004</v>
      </c>
      <c r="BA92" s="125">
        <f t="shared" si="66"/>
        <v>6.3000000000000007</v>
      </c>
      <c r="BB92" s="125">
        <f t="shared" si="67"/>
        <v>11.5</v>
      </c>
      <c r="BC92" s="7">
        <v>5.7416666666666671</v>
      </c>
      <c r="BD92" s="7">
        <v>10.508333333333336</v>
      </c>
      <c r="BE92" s="124"/>
      <c r="BF92" s="8">
        <f t="shared" si="68"/>
        <v>68</v>
      </c>
      <c r="BG92" s="21">
        <f t="shared" si="69"/>
        <v>15.1</v>
      </c>
      <c r="BH92" s="124">
        <f t="shared" si="70"/>
        <v>0</v>
      </c>
      <c r="BI92" s="124">
        <f t="shared" ref="BI92:BI121" si="79">IF(ISBLANK(L5),"",IF(AQ5&gt;0.4,1,0))</f>
        <v>0</v>
      </c>
      <c r="BJ92" s="144">
        <f t="shared" si="71"/>
        <v>0</v>
      </c>
      <c r="BL92" s="99">
        <v>2</v>
      </c>
    </row>
    <row r="93" spans="1:64" ht="12.75" x14ac:dyDescent="0.2">
      <c r="A93" s="8">
        <f t="shared" si="35"/>
        <v>27</v>
      </c>
      <c r="B93" s="125">
        <f t="shared" si="36"/>
        <v>5</v>
      </c>
      <c r="C93" s="125">
        <f t="shared" si="37"/>
        <v>12.8</v>
      </c>
      <c r="D93" s="125">
        <f t="shared" si="72"/>
        <v>8.9</v>
      </c>
      <c r="E93" s="125">
        <f t="shared" si="38"/>
        <v>7.8000000000000007</v>
      </c>
      <c r="F93" s="7">
        <v>4.5750000000000002</v>
      </c>
      <c r="G93" s="7">
        <v>11.725</v>
      </c>
      <c r="H93" s="7">
        <f t="shared" si="73"/>
        <v>8.15</v>
      </c>
      <c r="I93" s="7">
        <f t="shared" si="74"/>
        <v>7.1499999999999995</v>
      </c>
      <c r="K93" s="7">
        <f t="shared" si="39"/>
        <v>8.5</v>
      </c>
      <c r="L93" s="7">
        <f t="shared" si="40"/>
        <v>11.15</v>
      </c>
      <c r="M93" s="370">
        <f t="shared" si="41"/>
        <v>6.4666666666666659</v>
      </c>
      <c r="N93" s="1">
        <f t="shared" si="42"/>
        <v>0</v>
      </c>
      <c r="O93" s="7">
        <f t="shared" si="43"/>
        <v>70.666666666666671</v>
      </c>
      <c r="P93" s="7">
        <f t="shared" si="44"/>
        <v>9.9333333333333318</v>
      </c>
      <c r="Q93" s="7">
        <f t="shared" si="45"/>
        <v>16.499999999999996</v>
      </c>
      <c r="R93" s="7">
        <f t="shared" si="46"/>
        <v>13.366666666666667</v>
      </c>
      <c r="S93" s="7">
        <f t="shared" si="47"/>
        <v>6.5666666666666655</v>
      </c>
      <c r="T93" s="1">
        <v>34</v>
      </c>
      <c r="U93" s="333">
        <f t="shared" si="48"/>
        <v>1.8666666666666667</v>
      </c>
      <c r="V93" s="4">
        <v>3</v>
      </c>
      <c r="W93" s="7">
        <f t="shared" si="49"/>
        <v>0.81900000000000006</v>
      </c>
      <c r="X93" s="7">
        <f t="shared" si="50"/>
        <v>9.282</v>
      </c>
      <c r="Y93" s="8">
        <f t="shared" si="51"/>
        <v>4</v>
      </c>
      <c r="Z93" s="7">
        <f>IF(ISBLANK(Z6),NA(),SUM($Z$4:Z6))</f>
        <v>0</v>
      </c>
      <c r="AA93" s="7">
        <f t="shared" si="75"/>
        <v>5.6</v>
      </c>
      <c r="AB93" s="26">
        <f>IF(ISBLANK(Z6),"",SUM($Z$4:Z6))</f>
        <v>0</v>
      </c>
      <c r="AC93" s="115">
        <f t="shared" si="76"/>
        <v>0</v>
      </c>
      <c r="AD93" s="8">
        <f t="shared" si="52"/>
        <v>1014.5</v>
      </c>
      <c r="AE93" s="610">
        <f t="shared" si="53"/>
        <v>0.62469986248094911</v>
      </c>
      <c r="AF93" s="524">
        <f t="shared" si="54"/>
        <v>0.32291666666666669</v>
      </c>
      <c r="AG93" s="22">
        <f>IF(ISBLANK(AP6),NA(),SUM($AP$4:AP6))</f>
        <v>8</v>
      </c>
      <c r="AH93" s="7">
        <f>SUM($AS$91:AS93)</f>
        <v>12.806149769632723</v>
      </c>
      <c r="AI93" s="115">
        <f t="shared" si="55"/>
        <v>0.62469986248094911</v>
      </c>
      <c r="AJ93" s="124">
        <f t="shared" si="56"/>
        <v>0</v>
      </c>
      <c r="AK93" s="8">
        <f t="shared" si="57"/>
        <v>1015</v>
      </c>
      <c r="AL93" s="124">
        <f t="shared" si="58"/>
        <v>0</v>
      </c>
      <c r="AM93" s="524">
        <f t="shared" si="59"/>
        <v>0.6875</v>
      </c>
      <c r="AN93" s="150">
        <f>COUNTIF(E72:E80, "&lt;-0.5")</f>
        <v>0</v>
      </c>
      <c r="AO93" s="524">
        <f t="shared" si="60"/>
        <v>0.69791666666666663</v>
      </c>
      <c r="AP93" s="59" t="s">
        <v>206</v>
      </c>
      <c r="AQ93" s="447">
        <v>0.11</v>
      </c>
      <c r="AR93" s="524">
        <f t="shared" si="61"/>
        <v>0.27083333333333331</v>
      </c>
      <c r="AS93" s="7">
        <f t="shared" si="62"/>
        <v>4.2913069250358031</v>
      </c>
      <c r="AT93" s="7">
        <v>11.788408941099737</v>
      </c>
      <c r="AU93" s="4">
        <v>3</v>
      </c>
      <c r="AV93" s="127">
        <f t="shared" si="63"/>
        <v>1</v>
      </c>
      <c r="AW93" s="124">
        <f t="shared" si="77"/>
        <v>0</v>
      </c>
      <c r="AX93" s="124">
        <f t="shared" si="78"/>
        <v>1</v>
      </c>
      <c r="AY93" s="124">
        <f t="shared" si="64"/>
        <v>0</v>
      </c>
      <c r="AZ93" s="125">
        <f t="shared" si="65"/>
        <v>4.9000000000000004</v>
      </c>
      <c r="BA93" s="125">
        <f t="shared" si="66"/>
        <v>6.3000000000000007</v>
      </c>
      <c r="BB93" s="125">
        <f t="shared" si="67"/>
        <v>11.5</v>
      </c>
      <c r="BC93" s="7">
        <v>5.7666666666666675</v>
      </c>
      <c r="BD93" s="7">
        <v>10.533333333333337</v>
      </c>
      <c r="BE93" s="124"/>
      <c r="BF93" s="8">
        <f t="shared" si="68"/>
        <v>64</v>
      </c>
      <c r="BG93" s="21">
        <f t="shared" si="69"/>
        <v>11.5</v>
      </c>
      <c r="BH93" s="124">
        <f t="shared" si="70"/>
        <v>0</v>
      </c>
      <c r="BI93" s="124">
        <f t="shared" si="79"/>
        <v>0</v>
      </c>
      <c r="BJ93" s="144">
        <f t="shared" si="71"/>
        <v>0</v>
      </c>
      <c r="BL93" s="99">
        <v>3</v>
      </c>
    </row>
    <row r="94" spans="1:64" ht="12.75" x14ac:dyDescent="0.2">
      <c r="A94" s="8">
        <f t="shared" si="35"/>
        <v>40</v>
      </c>
      <c r="B94" s="125">
        <f t="shared" si="36"/>
        <v>5</v>
      </c>
      <c r="C94" s="125">
        <f t="shared" si="37"/>
        <v>12.8</v>
      </c>
      <c r="D94" s="125">
        <f t="shared" si="72"/>
        <v>8.9</v>
      </c>
      <c r="E94" s="125">
        <f t="shared" si="38"/>
        <v>7.8000000000000007</v>
      </c>
      <c r="F94" s="7">
        <v>4.5999999999999996</v>
      </c>
      <c r="G94" s="7">
        <v>11.75</v>
      </c>
      <c r="H94" s="7">
        <f t="shared" si="73"/>
        <v>8.1750000000000007</v>
      </c>
      <c r="I94" s="7">
        <f t="shared" si="74"/>
        <v>7.15</v>
      </c>
      <c r="K94" s="7">
        <f t="shared" si="39"/>
        <v>7.5</v>
      </c>
      <c r="L94" s="7">
        <f t="shared" si="40"/>
        <v>9.85</v>
      </c>
      <c r="M94" s="370">
        <f t="shared" si="41"/>
        <v>6.6749999999999998</v>
      </c>
      <c r="N94" s="1">
        <f t="shared" si="42"/>
        <v>0</v>
      </c>
      <c r="O94" s="7">
        <f t="shared" si="43"/>
        <v>69.75</v>
      </c>
      <c r="P94" s="7">
        <f t="shared" si="44"/>
        <v>8.9749999999999996</v>
      </c>
      <c r="Q94" s="7">
        <f t="shared" si="45"/>
        <v>15.774999999999999</v>
      </c>
      <c r="R94" s="7">
        <f t="shared" si="46"/>
        <v>12.55</v>
      </c>
      <c r="S94" s="7">
        <f t="shared" si="47"/>
        <v>6.7999999999999989</v>
      </c>
      <c r="T94" s="1">
        <v>35</v>
      </c>
      <c r="U94" s="333">
        <f t="shared" si="48"/>
        <v>1.8666666666666667</v>
      </c>
      <c r="V94" s="4">
        <v>4</v>
      </c>
      <c r="W94" s="7">
        <f t="shared" si="49"/>
        <v>1.0920000000000001</v>
      </c>
      <c r="X94" s="7">
        <f t="shared" si="50"/>
        <v>9.5550000000000015</v>
      </c>
      <c r="Y94" s="8">
        <f t="shared" si="51"/>
        <v>5</v>
      </c>
      <c r="Z94" s="7">
        <f>IF(ISBLANK(Z7),NA(),SUM($Z$4:Z7))</f>
        <v>0</v>
      </c>
      <c r="AA94" s="7">
        <f t="shared" si="75"/>
        <v>7.4666666666666668</v>
      </c>
      <c r="AB94" s="26">
        <f>IF(ISBLANK(Z7),"",SUM($Z$4:Z7))</f>
        <v>0</v>
      </c>
      <c r="AC94" s="115">
        <f t="shared" si="76"/>
        <v>0</v>
      </c>
      <c r="AD94" s="8">
        <f t="shared" si="52"/>
        <v>1016</v>
      </c>
      <c r="AE94" s="610">
        <f t="shared" si="53"/>
        <v>0.70093441410211432</v>
      </c>
      <c r="AF94" s="524">
        <f t="shared" si="54"/>
        <v>0.30555555555555552</v>
      </c>
      <c r="AG94" s="22">
        <f>IF(ISBLANK(AP7),NA(),SUM($AP$4:AP7))</f>
        <v>12</v>
      </c>
      <c r="AH94" s="7">
        <f>SUM($AS$91:AS94)</f>
        <v>17.12000403828339</v>
      </c>
      <c r="AI94" s="115">
        <f t="shared" si="55"/>
        <v>0.70093441410211432</v>
      </c>
      <c r="AJ94" s="124">
        <f t="shared" si="56"/>
        <v>0</v>
      </c>
      <c r="AK94" s="8">
        <f t="shared" si="57"/>
        <v>1020.5</v>
      </c>
      <c r="AL94" s="124">
        <f t="shared" si="58"/>
        <v>0</v>
      </c>
      <c r="AM94" s="524">
        <f t="shared" si="59"/>
        <v>0.70486111111111116</v>
      </c>
      <c r="AN94" s="141">
        <f t="array" ref="AN94">MAX(FREQUENCY(IF(BI91:BI121=1,ROW(91:121)),IF(BI91:BI121&lt;&gt;1,ROW(91:121))))</f>
        <v>1</v>
      </c>
      <c r="AO94" s="524">
        <f t="shared" si="60"/>
        <v>0.68402777777777779</v>
      </c>
      <c r="AP94" s="449" t="s">
        <v>105</v>
      </c>
      <c r="AQ94" s="448">
        <v>0.1</v>
      </c>
      <c r="AR94" s="524">
        <f t="shared" si="61"/>
        <v>0.28819444444444448</v>
      </c>
      <c r="AS94" s="7">
        <f t="shared" si="62"/>
        <v>4.313854268650668</v>
      </c>
      <c r="AT94" s="7">
        <v>11.850347486095631</v>
      </c>
      <c r="AU94" s="4">
        <v>4</v>
      </c>
      <c r="AV94" s="127">
        <f t="shared" si="63"/>
        <v>1</v>
      </c>
      <c r="AW94" s="124">
        <f t="shared" si="77"/>
        <v>0</v>
      </c>
      <c r="AX94" s="124">
        <f t="shared" si="78"/>
        <v>0</v>
      </c>
      <c r="AY94" s="124">
        <f t="shared" si="64"/>
        <v>1</v>
      </c>
      <c r="AZ94" s="125">
        <f t="shared" si="65"/>
        <v>4.9000000000000004</v>
      </c>
      <c r="BA94" s="125">
        <f t="shared" si="66"/>
        <v>6.3000000000000007</v>
      </c>
      <c r="BB94" s="125">
        <f t="shared" si="67"/>
        <v>11.5</v>
      </c>
      <c r="BC94" s="7">
        <v>5.7916666666666679</v>
      </c>
      <c r="BD94" s="7">
        <v>10.558333333333337</v>
      </c>
      <c r="BE94" s="124"/>
      <c r="BF94" s="8">
        <f t="shared" si="68"/>
        <v>67</v>
      </c>
      <c r="BG94" s="21">
        <f t="shared" si="69"/>
        <v>10.1</v>
      </c>
      <c r="BH94" s="124">
        <f t="shared" si="70"/>
        <v>0</v>
      </c>
      <c r="BI94" s="124">
        <f t="shared" si="79"/>
        <v>0</v>
      </c>
      <c r="BJ94" s="144">
        <f t="shared" si="71"/>
        <v>0</v>
      </c>
      <c r="BL94" s="99">
        <v>4</v>
      </c>
    </row>
    <row r="95" spans="1:64" ht="12.75" x14ac:dyDescent="0.2">
      <c r="A95" s="8">
        <f t="shared" si="35"/>
        <v>17</v>
      </c>
      <c r="B95" s="125">
        <f t="shared" si="36"/>
        <v>5</v>
      </c>
      <c r="C95" s="125">
        <f t="shared" si="37"/>
        <v>12.8</v>
      </c>
      <c r="D95" s="125">
        <f t="shared" si="72"/>
        <v>8.9</v>
      </c>
      <c r="E95" s="125">
        <f t="shared" si="38"/>
        <v>7.8000000000000007</v>
      </c>
      <c r="F95" s="7">
        <v>4.625</v>
      </c>
      <c r="G95" s="7">
        <v>11.775</v>
      </c>
      <c r="H95" s="7">
        <f t="shared" si="73"/>
        <v>8.1999999999999993</v>
      </c>
      <c r="I95" s="7">
        <f t="shared" si="74"/>
        <v>7.15</v>
      </c>
      <c r="K95" s="7">
        <f t="shared" si="39"/>
        <v>3.5</v>
      </c>
      <c r="L95" s="7">
        <f t="shared" si="40"/>
        <v>10.85</v>
      </c>
      <c r="M95" s="370">
        <f t="shared" si="41"/>
        <v>7.0400000000000009</v>
      </c>
      <c r="N95" s="1">
        <f t="shared" si="42"/>
        <v>0.46666666666666662</v>
      </c>
      <c r="O95" s="7">
        <f t="shared" si="43"/>
        <v>72.599999999999994</v>
      </c>
      <c r="P95" s="7">
        <f t="shared" si="44"/>
        <v>9</v>
      </c>
      <c r="Q95" s="7">
        <f t="shared" si="45"/>
        <v>15.139999999999997</v>
      </c>
      <c r="R95" s="7">
        <f t="shared" si="46"/>
        <v>12.22</v>
      </c>
      <c r="S95" s="7">
        <f t="shared" si="47"/>
        <v>6.1399999999999988</v>
      </c>
      <c r="T95" s="1">
        <v>36</v>
      </c>
      <c r="U95" s="333">
        <f t="shared" si="48"/>
        <v>1.8666666666666667</v>
      </c>
      <c r="V95" s="4">
        <v>5</v>
      </c>
      <c r="W95" s="7">
        <f t="shared" si="49"/>
        <v>1.3650000000000002</v>
      </c>
      <c r="X95" s="7">
        <f t="shared" si="50"/>
        <v>9.8280000000000012</v>
      </c>
      <c r="Y95" s="8">
        <f t="shared" si="51"/>
        <v>4</v>
      </c>
      <c r="Z95" s="7">
        <f>IF(ISBLANK(Z8),NA(),SUM($Z$4:Z8))</f>
        <v>1.4</v>
      </c>
      <c r="AA95" s="7">
        <f t="shared" si="75"/>
        <v>9.3333333333333339</v>
      </c>
      <c r="AB95" s="26">
        <f>IF(ISBLANK(Z8),"",SUM($Z$4:Z8))</f>
        <v>1.4</v>
      </c>
      <c r="AC95" s="115">
        <f t="shared" si="76"/>
        <v>0.15</v>
      </c>
      <c r="AD95" s="8">
        <f t="shared" si="52"/>
        <v>1017.2</v>
      </c>
      <c r="AE95" s="610">
        <f t="shared" si="53"/>
        <v>0.55927448474331332</v>
      </c>
      <c r="AF95" s="524" t="e">
        <f t="shared" si="54"/>
        <v>#N/A</v>
      </c>
      <c r="AG95" s="22">
        <f>IF(ISBLANK(AP8),NA(),SUM($AP$4:AP8))</f>
        <v>12</v>
      </c>
      <c r="AH95" s="7">
        <f>SUM($AS$91:AS95)</f>
        <v>21.456369506124645</v>
      </c>
      <c r="AI95" s="115">
        <f t="shared" si="55"/>
        <v>0.55927448474331332</v>
      </c>
      <c r="AJ95" s="124">
        <f t="shared" si="56"/>
        <v>1</v>
      </c>
      <c r="AK95" s="8">
        <f t="shared" si="57"/>
        <v>1022</v>
      </c>
      <c r="AL95" s="124">
        <f t="shared" si="58"/>
        <v>1</v>
      </c>
      <c r="AM95" s="524" t="e">
        <f t="shared" si="59"/>
        <v>#N/A</v>
      </c>
      <c r="AN95" s="141">
        <f t="array" ref="AN95">MAX(FREQUENCY(IF(BI91:BI121=0,ROW(91:121)),IF(BI91:BI121&lt;&gt;0,ROW(91:121))))</f>
        <v>19</v>
      </c>
      <c r="AO95" s="524">
        <f t="shared" si="60"/>
        <v>0.76041666666666663</v>
      </c>
      <c r="AP95" s="449" t="s">
        <v>207</v>
      </c>
      <c r="AQ95" s="448">
        <v>0.1</v>
      </c>
      <c r="AR95" s="524">
        <f t="shared" si="61"/>
        <v>0.20138888888888887</v>
      </c>
      <c r="AS95" s="7">
        <f t="shared" si="62"/>
        <v>4.3363654678412535</v>
      </c>
      <c r="AT95" s="7">
        <v>11.91218674076767</v>
      </c>
      <c r="AU95" s="4">
        <v>5</v>
      </c>
      <c r="AV95" s="127">
        <f t="shared" si="63"/>
        <v>0</v>
      </c>
      <c r="AW95" s="124">
        <f t="shared" si="77"/>
        <v>0</v>
      </c>
      <c r="AX95" s="124">
        <f t="shared" si="78"/>
        <v>1</v>
      </c>
      <c r="AY95" s="124">
        <f t="shared" si="64"/>
        <v>1</v>
      </c>
      <c r="AZ95" s="125">
        <f t="shared" si="65"/>
        <v>4.9000000000000004</v>
      </c>
      <c r="BA95" s="125">
        <f t="shared" si="66"/>
        <v>6.3000000000000007</v>
      </c>
      <c r="BB95" s="125">
        <f t="shared" si="67"/>
        <v>11.5</v>
      </c>
      <c r="BC95" s="7">
        <v>5.8166666666666682</v>
      </c>
      <c r="BD95" s="7">
        <v>10.583333333333337</v>
      </c>
      <c r="BE95" s="124"/>
      <c r="BF95" s="8">
        <f t="shared" si="68"/>
        <v>84</v>
      </c>
      <c r="BG95" s="21">
        <f t="shared" si="69"/>
        <v>10.9</v>
      </c>
      <c r="BH95" s="124">
        <f t="shared" si="70"/>
        <v>0</v>
      </c>
      <c r="BI95" s="124">
        <f t="shared" si="79"/>
        <v>1</v>
      </c>
      <c r="BJ95" s="144">
        <f t="shared" si="71"/>
        <v>0.46666666666666662</v>
      </c>
      <c r="BL95" s="99">
        <v>5</v>
      </c>
    </row>
    <row r="96" spans="1:64" ht="12.75" x14ac:dyDescent="0.2">
      <c r="A96" s="8">
        <f t="shared" si="35"/>
        <v>60</v>
      </c>
      <c r="B96" s="125">
        <f t="shared" si="36"/>
        <v>5</v>
      </c>
      <c r="C96" s="125">
        <f t="shared" si="37"/>
        <v>12.8</v>
      </c>
      <c r="D96" s="125">
        <f t="shared" si="72"/>
        <v>8.9</v>
      </c>
      <c r="E96" s="125">
        <f t="shared" si="38"/>
        <v>7.8000000000000007</v>
      </c>
      <c r="F96" s="7">
        <v>4.6500000000000004</v>
      </c>
      <c r="G96" s="7">
        <v>11.8</v>
      </c>
      <c r="H96" s="7">
        <f t="shared" si="73"/>
        <v>8.2250000000000014</v>
      </c>
      <c r="I96" s="7">
        <f t="shared" si="74"/>
        <v>7.15</v>
      </c>
      <c r="K96" s="7">
        <f t="shared" si="39"/>
        <v>10.499999999999998</v>
      </c>
      <c r="L96" s="7">
        <f t="shared" si="40"/>
        <v>17.149999999999999</v>
      </c>
      <c r="M96" s="370">
        <f t="shared" si="41"/>
        <v>6.9666666666666677</v>
      </c>
      <c r="N96" s="1">
        <f t="shared" si="42"/>
        <v>0</v>
      </c>
      <c r="O96" s="7">
        <f t="shared" si="43"/>
        <v>70.5</v>
      </c>
      <c r="P96" s="7">
        <f t="shared" si="44"/>
        <v>9.4833333333333325</v>
      </c>
      <c r="Q96" s="7">
        <f t="shared" si="45"/>
        <v>16.349999999999998</v>
      </c>
      <c r="R96" s="7">
        <f t="shared" si="46"/>
        <v>12.983333333333334</v>
      </c>
      <c r="S96" s="7">
        <f t="shared" si="47"/>
        <v>6.8666666666666663</v>
      </c>
      <c r="T96" s="1">
        <v>37</v>
      </c>
      <c r="U96" s="333">
        <f t="shared" si="48"/>
        <v>1.8666666666666667</v>
      </c>
      <c r="V96" s="4">
        <v>6</v>
      </c>
      <c r="W96" s="7">
        <f t="shared" si="49"/>
        <v>1.6380000000000001</v>
      </c>
      <c r="X96" s="7">
        <f t="shared" si="50"/>
        <v>10.101000000000001</v>
      </c>
      <c r="Y96" s="8">
        <f t="shared" si="51"/>
        <v>3</v>
      </c>
      <c r="Z96" s="7">
        <f>IF(ISBLANK(Z9),NA(),SUM($Z$4:Z9))</f>
        <v>1.4</v>
      </c>
      <c r="AA96" s="7">
        <f t="shared" si="75"/>
        <v>11.2</v>
      </c>
      <c r="AB96" s="26">
        <f>IF(ISBLANK(Z9),"",SUM($Z$4:Z9))</f>
        <v>1.4</v>
      </c>
      <c r="AC96" s="115">
        <f t="shared" si="76"/>
        <v>0.125</v>
      </c>
      <c r="AD96" s="8">
        <f t="shared" si="52"/>
        <v>1018.5833333333334</v>
      </c>
      <c r="AE96" s="610">
        <f t="shared" si="53"/>
        <v>0.91031616231896451</v>
      </c>
      <c r="AF96" s="524">
        <f t="shared" si="54"/>
        <v>6.9444444444444441E-3</v>
      </c>
      <c r="AG96" s="22">
        <f>IF(ISBLANK(AP9),NA(),SUM($AP$4:AP9))</f>
        <v>23.5</v>
      </c>
      <c r="AH96" s="7">
        <f>SUM($AS$91:AS96)</f>
        <v>25.815206817964707</v>
      </c>
      <c r="AI96" s="115">
        <f t="shared" si="55"/>
        <v>0.91031616231896451</v>
      </c>
      <c r="AJ96" s="124">
        <f t="shared" si="56"/>
        <v>0</v>
      </c>
      <c r="AK96" s="8">
        <f t="shared" si="57"/>
        <v>1025.5</v>
      </c>
      <c r="AL96" s="124">
        <f t="shared" si="58"/>
        <v>0</v>
      </c>
      <c r="AM96" s="524">
        <f t="shared" si="59"/>
        <v>0.77777777777777779</v>
      </c>
      <c r="AN96" s="124">
        <f>COUNTIF(AU50:AU60, "&lt;-0.5")</f>
        <v>1</v>
      </c>
      <c r="AO96" s="524">
        <f t="shared" si="60"/>
        <v>0.625</v>
      </c>
      <c r="AP96" s="449" t="s">
        <v>106</v>
      </c>
      <c r="AQ96" s="448">
        <v>0.04</v>
      </c>
      <c r="AR96" s="524">
        <f t="shared" si="61"/>
        <v>6.9444444444444441E-3</v>
      </c>
      <c r="AS96" s="7">
        <f t="shared" si="62"/>
        <v>4.3588373118400643</v>
      </c>
      <c r="AT96" s="7">
        <v>11.97391788499627</v>
      </c>
      <c r="AU96" s="4">
        <v>6</v>
      </c>
      <c r="AV96" s="127">
        <f t="shared" si="63"/>
        <v>1</v>
      </c>
      <c r="AW96" s="124">
        <f t="shared" si="77"/>
        <v>0</v>
      </c>
      <c r="AX96" s="124">
        <f t="shared" si="78"/>
        <v>1</v>
      </c>
      <c r="AY96" s="124">
        <f t="shared" si="64"/>
        <v>1</v>
      </c>
      <c r="AZ96" s="125">
        <f t="shared" si="65"/>
        <v>4.9000000000000004</v>
      </c>
      <c r="BA96" s="125">
        <f t="shared" si="66"/>
        <v>6.3000000000000007</v>
      </c>
      <c r="BB96" s="125">
        <f t="shared" si="67"/>
        <v>11.5</v>
      </c>
      <c r="BC96" s="7">
        <v>5.8416666666666686</v>
      </c>
      <c r="BD96" s="7">
        <v>10.608333333333334</v>
      </c>
      <c r="BE96" s="124"/>
      <c r="BF96" s="8">
        <f t="shared" si="68"/>
        <v>60</v>
      </c>
      <c r="BG96" s="21">
        <f t="shared" si="69"/>
        <v>16.8</v>
      </c>
      <c r="BH96" s="124">
        <f t="shared" si="70"/>
        <v>0</v>
      </c>
      <c r="BI96" s="124">
        <f t="shared" si="79"/>
        <v>0</v>
      </c>
      <c r="BJ96" s="144">
        <f t="shared" si="71"/>
        <v>0</v>
      </c>
      <c r="BL96" s="99">
        <v>6</v>
      </c>
    </row>
    <row r="97" spans="1:64" ht="12.75" x14ac:dyDescent="0.2">
      <c r="A97" s="8">
        <f t="shared" si="35"/>
        <v>28</v>
      </c>
      <c r="B97" s="125">
        <f t="shared" si="36"/>
        <v>5</v>
      </c>
      <c r="C97" s="125">
        <f t="shared" si="37"/>
        <v>12.8</v>
      </c>
      <c r="D97" s="125">
        <f t="shared" si="72"/>
        <v>8.9</v>
      </c>
      <c r="E97" s="125">
        <f t="shared" si="38"/>
        <v>7.8000000000000007</v>
      </c>
      <c r="F97" s="7">
        <v>4.6749999999999998</v>
      </c>
      <c r="G97" s="7">
        <v>11.892857142857144</v>
      </c>
      <c r="H97" s="7">
        <f t="shared" si="73"/>
        <v>8.2839285714285715</v>
      </c>
      <c r="I97" s="7">
        <f t="shared" si="74"/>
        <v>7.2178571428571443</v>
      </c>
      <c r="K97" s="7">
        <f t="shared" si="39"/>
        <v>11.099999999999998</v>
      </c>
      <c r="L97" s="7">
        <f t="shared" si="40"/>
        <v>15.35</v>
      </c>
      <c r="M97" s="370">
        <f t="shared" si="41"/>
        <v>6.5428571428571436</v>
      </c>
      <c r="N97" s="1">
        <f t="shared" si="42"/>
        <v>0</v>
      </c>
      <c r="O97" s="7">
        <f t="shared" si="43"/>
        <v>69</v>
      </c>
      <c r="P97" s="7">
        <f t="shared" si="44"/>
        <v>9.5285714285714285</v>
      </c>
      <c r="Q97" s="7">
        <f t="shared" si="45"/>
        <v>17</v>
      </c>
      <c r="R97" s="7">
        <f t="shared" si="46"/>
        <v>13.3</v>
      </c>
      <c r="S97" s="7">
        <f t="shared" si="47"/>
        <v>7.4714285714285706</v>
      </c>
      <c r="T97" s="1">
        <v>38</v>
      </c>
      <c r="U97" s="333">
        <f t="shared" si="48"/>
        <v>1.8666666666666667</v>
      </c>
      <c r="V97" s="4">
        <v>7</v>
      </c>
      <c r="W97" s="7">
        <f t="shared" si="49"/>
        <v>1.911</v>
      </c>
      <c r="X97" s="7">
        <f t="shared" si="50"/>
        <v>10.374000000000001</v>
      </c>
      <c r="Y97" s="8">
        <f t="shared" si="51"/>
        <v>4</v>
      </c>
      <c r="Z97" s="7">
        <f>IF(ISBLANK(Z10),NA(),SUM($Z$4:Z10))</f>
        <v>1.4</v>
      </c>
      <c r="AA97" s="7">
        <f t="shared" si="75"/>
        <v>13.066666666666666</v>
      </c>
      <c r="AB97" s="26">
        <f>IF(ISBLANK(Z10),"",SUM($Z$4:Z10))</f>
        <v>1.4</v>
      </c>
      <c r="AC97" s="115">
        <f t="shared" si="76"/>
        <v>0.10714285714285714</v>
      </c>
      <c r="AD97" s="8">
        <f t="shared" si="52"/>
        <v>1019.7857142857143</v>
      </c>
      <c r="AE97" s="610">
        <f t="shared" si="53"/>
        <v>1.1425175260603275</v>
      </c>
      <c r="AF97" s="524" t="e">
        <f t="shared" si="54"/>
        <v>#N/A</v>
      </c>
      <c r="AG97" s="22">
        <f>IF(ISBLANK(AP10),NA(),SUM($AP$4:AP10))</f>
        <v>34.5</v>
      </c>
      <c r="AH97" s="7">
        <f>SUM($AS$91:AS97)</f>
        <v>30.196473325852793</v>
      </c>
      <c r="AI97" s="115">
        <f t="shared" si="55"/>
        <v>1.1425175260603275</v>
      </c>
      <c r="AJ97" s="124">
        <f t="shared" si="56"/>
        <v>0</v>
      </c>
      <c r="AK97" s="8">
        <f t="shared" si="57"/>
        <v>1027</v>
      </c>
      <c r="AL97" s="124">
        <f t="shared" si="58"/>
        <v>0</v>
      </c>
      <c r="AM97" s="524">
        <f t="shared" si="59"/>
        <v>0.55208333333333337</v>
      </c>
      <c r="AN97" s="150">
        <f>COUNTIF(E48:E66,"&gt;0.5")</f>
        <v>5</v>
      </c>
      <c r="AO97" s="524">
        <f t="shared" si="60"/>
        <v>0.57638888888888895</v>
      </c>
      <c r="AP97" s="449" t="s">
        <v>208</v>
      </c>
      <c r="AQ97" s="448">
        <v>0.03</v>
      </c>
      <c r="AR97" s="524">
        <f t="shared" si="61"/>
        <v>0.27083333333333331</v>
      </c>
      <c r="AS97" s="7">
        <f t="shared" si="62"/>
        <v>4.3812665078880837</v>
      </c>
      <c r="AT97" s="7">
        <v>12.035531873427532</v>
      </c>
      <c r="AU97" s="4">
        <v>7</v>
      </c>
      <c r="AV97" s="127">
        <f t="shared" si="63"/>
        <v>1</v>
      </c>
      <c r="AW97" s="124">
        <f t="shared" si="77"/>
        <v>0</v>
      </c>
      <c r="AX97" s="124">
        <f t="shared" si="78"/>
        <v>1</v>
      </c>
      <c r="AY97" s="124">
        <f t="shared" si="64"/>
        <v>1</v>
      </c>
      <c r="AZ97" s="125">
        <f t="shared" si="65"/>
        <v>4.9000000000000004</v>
      </c>
      <c r="BA97" s="125">
        <f t="shared" si="66"/>
        <v>6.3000000000000007</v>
      </c>
      <c r="BB97" s="125">
        <f t="shared" si="67"/>
        <v>11.5</v>
      </c>
      <c r="BC97" s="7">
        <v>5.8779761904761934</v>
      </c>
      <c r="BD97" s="7">
        <v>10.689880952380953</v>
      </c>
      <c r="BE97" s="124"/>
      <c r="BF97" s="8">
        <f t="shared" si="68"/>
        <v>60</v>
      </c>
      <c r="BG97" s="21">
        <f t="shared" si="69"/>
        <v>15.2</v>
      </c>
      <c r="BH97" s="124">
        <f t="shared" si="70"/>
        <v>0</v>
      </c>
      <c r="BI97" s="124">
        <f t="shared" si="79"/>
        <v>0</v>
      </c>
      <c r="BJ97" s="144">
        <f t="shared" si="71"/>
        <v>0</v>
      </c>
      <c r="BL97" s="99">
        <v>7</v>
      </c>
    </row>
    <row r="98" spans="1:64" ht="12.75" x14ac:dyDescent="0.2">
      <c r="A98" s="8">
        <f t="shared" si="35"/>
        <v>44</v>
      </c>
      <c r="B98" s="125">
        <f t="shared" si="36"/>
        <v>5</v>
      </c>
      <c r="C98" s="125">
        <f t="shared" si="37"/>
        <v>12.8</v>
      </c>
      <c r="D98" s="125">
        <f t="shared" si="72"/>
        <v>8.9</v>
      </c>
      <c r="E98" s="125">
        <f t="shared" si="38"/>
        <v>7.8000000000000007</v>
      </c>
      <c r="F98" s="7">
        <v>4.7</v>
      </c>
      <c r="G98" s="7">
        <v>11.985714285714288</v>
      </c>
      <c r="H98" s="7">
        <f t="shared" si="73"/>
        <v>8.3428571428571434</v>
      </c>
      <c r="I98" s="7">
        <f t="shared" si="74"/>
        <v>7.2857142857142874</v>
      </c>
      <c r="K98" s="7">
        <f t="shared" si="39"/>
        <v>13.899999999999999</v>
      </c>
      <c r="L98" s="7">
        <f t="shared" si="40"/>
        <v>13.95</v>
      </c>
      <c r="M98" s="370">
        <f t="shared" si="41"/>
        <v>6.0250000000000004</v>
      </c>
      <c r="N98" s="1">
        <f t="shared" si="42"/>
        <v>0</v>
      </c>
      <c r="O98" s="7">
        <f t="shared" si="43"/>
        <v>67.5</v>
      </c>
      <c r="P98" s="7">
        <f t="shared" si="44"/>
        <v>9.2125000000000004</v>
      </c>
      <c r="Q98" s="7">
        <f t="shared" si="45"/>
        <v>17.487500000000001</v>
      </c>
      <c r="R98" s="7">
        <f t="shared" si="46"/>
        <v>13.450000000000001</v>
      </c>
      <c r="S98" s="7">
        <f t="shared" si="47"/>
        <v>8.2749999999999986</v>
      </c>
      <c r="T98" s="1">
        <v>39</v>
      </c>
      <c r="U98" s="333">
        <f t="shared" si="48"/>
        <v>1.8666666666666667</v>
      </c>
      <c r="V98" s="4">
        <v>8</v>
      </c>
      <c r="W98" s="7">
        <f t="shared" si="49"/>
        <v>2.1840000000000002</v>
      </c>
      <c r="X98" s="7">
        <f t="shared" si="50"/>
        <v>10.647</v>
      </c>
      <c r="Y98" s="8">
        <f t="shared" si="51"/>
        <v>3</v>
      </c>
      <c r="Z98" s="7">
        <f>IF(ISBLANK(Z11),NA(),SUM($Z$4:Z11))</f>
        <v>1.4</v>
      </c>
      <c r="AA98" s="7">
        <f t="shared" si="75"/>
        <v>14.933333333333334</v>
      </c>
      <c r="AB98" s="26">
        <f>IF(ISBLANK(Z11),"",SUM($Z$4:Z11))</f>
        <v>1.4</v>
      </c>
      <c r="AC98" s="115">
        <f t="shared" si="76"/>
        <v>9.3749999999999986E-2</v>
      </c>
      <c r="AD98" s="8">
        <f t="shared" si="52"/>
        <v>1020.75</v>
      </c>
      <c r="AE98" s="610">
        <f t="shared" si="53"/>
        <v>1.346816021385894</v>
      </c>
      <c r="AF98" s="524">
        <f t="shared" si="54"/>
        <v>0.30208333333333331</v>
      </c>
      <c r="AG98" s="22">
        <f>IF(ISBLANK(AP11),NA(),SUM($AP$4:AP11))</f>
        <v>46.6</v>
      </c>
      <c r="AH98" s="7">
        <f>SUM($AS$91:AS98)</f>
        <v>34.600123001245485</v>
      </c>
      <c r="AI98" s="115">
        <f t="shared" si="55"/>
        <v>1.346816021385894</v>
      </c>
      <c r="AJ98" s="124">
        <f t="shared" si="56"/>
        <v>0</v>
      </c>
      <c r="AK98" s="8">
        <f t="shared" si="57"/>
        <v>1027.5</v>
      </c>
      <c r="AL98" s="124">
        <f t="shared" si="58"/>
        <v>0</v>
      </c>
      <c r="AM98" s="524">
        <f t="shared" si="59"/>
        <v>0.69444444444444453</v>
      </c>
      <c r="AN98" s="150">
        <f>COUNTIF(E72:E80, "&gt;0.5")</f>
        <v>0</v>
      </c>
      <c r="AO98" s="524">
        <f t="shared" si="60"/>
        <v>0.72569444444444453</v>
      </c>
      <c r="AP98" s="449" t="s">
        <v>112</v>
      </c>
      <c r="AQ98" s="448">
        <v>0.01</v>
      </c>
      <c r="AR98" s="524">
        <f t="shared" si="61"/>
        <v>0.27083333333333331</v>
      </c>
      <c r="AS98" s="7">
        <f t="shared" si="62"/>
        <v>4.4036496753926953</v>
      </c>
      <c r="AT98" s="7">
        <v>12.097019419424791</v>
      </c>
      <c r="AU98" s="4">
        <v>8</v>
      </c>
      <c r="AV98" s="127">
        <f t="shared" si="63"/>
        <v>1</v>
      </c>
      <c r="AW98" s="124">
        <f t="shared" si="77"/>
        <v>0</v>
      </c>
      <c r="AX98" s="124">
        <f t="shared" si="78"/>
        <v>1</v>
      </c>
      <c r="AY98" s="124">
        <f t="shared" si="64"/>
        <v>1</v>
      </c>
      <c r="AZ98" s="125">
        <f t="shared" si="65"/>
        <v>4.9000000000000004</v>
      </c>
      <c r="BA98" s="125">
        <f t="shared" si="66"/>
        <v>6.3000000000000007</v>
      </c>
      <c r="BB98" s="125">
        <f t="shared" si="67"/>
        <v>11.5</v>
      </c>
      <c r="BC98" s="7">
        <v>5.9142857142857164</v>
      </c>
      <c r="BD98" s="7">
        <v>10.771428571428574</v>
      </c>
      <c r="BE98" s="124"/>
      <c r="BF98" s="8">
        <f t="shared" si="68"/>
        <v>57</v>
      </c>
      <c r="BG98" s="21">
        <f t="shared" si="69"/>
        <v>14.5</v>
      </c>
      <c r="BH98" s="124">
        <f t="shared" si="70"/>
        <v>0</v>
      </c>
      <c r="BI98" s="124">
        <f t="shared" si="79"/>
        <v>0</v>
      </c>
      <c r="BJ98" s="144">
        <f t="shared" si="71"/>
        <v>0</v>
      </c>
      <c r="BL98" s="99">
        <v>8</v>
      </c>
    </row>
    <row r="99" spans="1:64" ht="12.75" x14ac:dyDescent="0.2">
      <c r="A99" s="8">
        <f t="shared" si="35"/>
        <v>29</v>
      </c>
      <c r="B99" s="125">
        <f t="shared" si="36"/>
        <v>5</v>
      </c>
      <c r="C99" s="125">
        <f t="shared" si="37"/>
        <v>12.8</v>
      </c>
      <c r="D99" s="125">
        <f t="shared" si="72"/>
        <v>8.9</v>
      </c>
      <c r="E99" s="125">
        <f t="shared" si="38"/>
        <v>7.8000000000000007</v>
      </c>
      <c r="F99" s="7">
        <v>4.7249999999999996</v>
      </c>
      <c r="G99" s="7">
        <v>12.078571428571431</v>
      </c>
      <c r="H99" s="7">
        <f t="shared" si="73"/>
        <v>8.4017857142857153</v>
      </c>
      <c r="I99" s="7">
        <f t="shared" si="74"/>
        <v>7.3535714285714313</v>
      </c>
      <c r="K99" s="7">
        <f t="shared" si="39"/>
        <v>10.199999999999999</v>
      </c>
      <c r="L99" s="7">
        <f t="shared" si="40"/>
        <v>12.799999999999999</v>
      </c>
      <c r="M99" s="370">
        <f t="shared" si="41"/>
        <v>5.9444444444444446</v>
      </c>
      <c r="N99" s="1">
        <f t="shared" si="42"/>
        <v>0</v>
      </c>
      <c r="O99" s="7">
        <f t="shared" si="43"/>
        <v>66.111111111111114</v>
      </c>
      <c r="P99" s="7">
        <f t="shared" si="44"/>
        <v>9.0444444444444443</v>
      </c>
      <c r="Q99" s="7">
        <f t="shared" si="45"/>
        <v>17.533333333333335</v>
      </c>
      <c r="R99" s="7">
        <f t="shared" si="46"/>
        <v>13.366666666666667</v>
      </c>
      <c r="S99" s="7">
        <f t="shared" si="47"/>
        <v>8.4888888888888872</v>
      </c>
      <c r="T99" s="1">
        <v>40</v>
      </c>
      <c r="U99" s="333">
        <f t="shared" si="48"/>
        <v>1.8666666666666667</v>
      </c>
      <c r="V99" s="4">
        <v>9</v>
      </c>
      <c r="W99" s="7">
        <f t="shared" si="49"/>
        <v>2.4570000000000003</v>
      </c>
      <c r="X99" s="7">
        <f t="shared" si="50"/>
        <v>10.920000000000002</v>
      </c>
      <c r="Y99" s="8">
        <f t="shared" si="51"/>
        <v>4</v>
      </c>
      <c r="Z99" s="7">
        <f>IF(ISBLANK(Z12),NA(),SUM($Z$4:Z12))</f>
        <v>1.4</v>
      </c>
      <c r="AA99" s="7">
        <f t="shared" si="75"/>
        <v>16.8</v>
      </c>
      <c r="AB99" s="26">
        <f>IF(ISBLANK(Z12),"",SUM($Z$4:Z12))</f>
        <v>1.4</v>
      </c>
      <c r="AC99" s="115">
        <f t="shared" si="76"/>
        <v>8.3333333333333329E-2</v>
      </c>
      <c r="AD99" s="8">
        <f t="shared" si="52"/>
        <v>1021.3333333333334</v>
      </c>
      <c r="AE99" s="610">
        <f t="shared" si="53"/>
        <v>1.5015589689478159</v>
      </c>
      <c r="AF99" s="524" t="e">
        <f t="shared" si="54"/>
        <v>#N/A</v>
      </c>
      <c r="AG99" s="22">
        <f>IF(ISBLANK(AP12),NA(),SUM($AP$4:AP12))</f>
        <v>58.6</v>
      </c>
      <c r="AH99" s="7">
        <f>SUM($AS$91:AS99)</f>
        <v>39.026106341373094</v>
      </c>
      <c r="AI99" s="115">
        <f t="shared" si="55"/>
        <v>1.5015589689478159</v>
      </c>
      <c r="AJ99" s="124">
        <f t="shared" si="56"/>
        <v>0</v>
      </c>
      <c r="AK99" s="8">
        <f t="shared" si="57"/>
        <v>1026</v>
      </c>
      <c r="AL99" s="124">
        <f t="shared" si="58"/>
        <v>0</v>
      </c>
      <c r="AM99" s="524">
        <f t="shared" si="59"/>
        <v>0.76041666666666663</v>
      </c>
      <c r="AN99" s="7">
        <f>I39/3</f>
        <v>2.6</v>
      </c>
      <c r="AO99" s="524">
        <f t="shared" si="60"/>
        <v>0.57986111111111105</v>
      </c>
      <c r="AP99" s="449" t="s">
        <v>209</v>
      </c>
      <c r="AQ99" s="448">
        <v>0.01</v>
      </c>
      <c r="AR99" s="524">
        <f t="shared" si="61"/>
        <v>0.28125</v>
      </c>
      <c r="AS99" s="7">
        <f t="shared" si="62"/>
        <v>4.4259833401276056</v>
      </c>
      <c r="AT99" s="7">
        <v>12.158370979135555</v>
      </c>
      <c r="AU99" s="4">
        <v>9</v>
      </c>
      <c r="AV99" s="127">
        <f t="shared" si="63"/>
        <v>1</v>
      </c>
      <c r="AW99" s="124">
        <f t="shared" si="77"/>
        <v>0</v>
      </c>
      <c r="AX99" s="124">
        <f t="shared" si="78"/>
        <v>1</v>
      </c>
      <c r="AY99" s="124">
        <f t="shared" si="64"/>
        <v>1</v>
      </c>
      <c r="AZ99" s="125">
        <f t="shared" si="65"/>
        <v>4.9000000000000004</v>
      </c>
      <c r="BA99" s="125">
        <f t="shared" si="66"/>
        <v>6.3000000000000007</v>
      </c>
      <c r="BB99" s="125">
        <f t="shared" si="67"/>
        <v>11.5</v>
      </c>
      <c r="BC99" s="7">
        <v>5.9505952380952412</v>
      </c>
      <c r="BD99" s="7">
        <v>10.852976190476193</v>
      </c>
      <c r="BE99" s="124"/>
      <c r="BF99" s="8">
        <f t="shared" si="68"/>
        <v>55</v>
      </c>
      <c r="BG99" s="21">
        <f t="shared" si="69"/>
        <v>12.7</v>
      </c>
      <c r="BH99" s="124">
        <f t="shared" si="70"/>
        <v>0</v>
      </c>
      <c r="BI99" s="124">
        <f t="shared" si="79"/>
        <v>0</v>
      </c>
      <c r="BJ99" s="144">
        <f t="shared" si="71"/>
        <v>0</v>
      </c>
      <c r="BL99" s="99">
        <v>9</v>
      </c>
    </row>
    <row r="100" spans="1:64" ht="12.75" x14ac:dyDescent="0.2">
      <c r="A100" s="8">
        <f t="shared" si="35"/>
        <v>48</v>
      </c>
      <c r="B100" s="125">
        <f t="shared" si="36"/>
        <v>5</v>
      </c>
      <c r="C100" s="125">
        <f t="shared" si="37"/>
        <v>12.8</v>
      </c>
      <c r="D100" s="125">
        <f t="shared" si="72"/>
        <v>8.9</v>
      </c>
      <c r="E100" s="125">
        <f t="shared" si="38"/>
        <v>7.8000000000000007</v>
      </c>
      <c r="F100" s="7">
        <v>4.75</v>
      </c>
      <c r="G100" s="7">
        <v>12.171428571428574</v>
      </c>
      <c r="H100" s="7">
        <f t="shared" si="73"/>
        <v>8.4607142857142872</v>
      </c>
      <c r="I100" s="7">
        <f t="shared" si="74"/>
        <v>7.4214285714285744</v>
      </c>
      <c r="K100" s="7">
        <f t="shared" si="39"/>
        <v>12.9</v>
      </c>
      <c r="L100" s="7">
        <f t="shared" si="40"/>
        <v>12.55</v>
      </c>
      <c r="M100" s="370">
        <f t="shared" si="41"/>
        <v>5.75</v>
      </c>
      <c r="N100" s="1">
        <f t="shared" si="42"/>
        <v>0</v>
      </c>
      <c r="O100" s="7">
        <f t="shared" si="43"/>
        <v>65.400000000000006</v>
      </c>
      <c r="P100" s="7">
        <f t="shared" si="44"/>
        <v>8.75</v>
      </c>
      <c r="Q100" s="7">
        <f t="shared" si="45"/>
        <v>17.68</v>
      </c>
      <c r="R100" s="7">
        <f t="shared" si="46"/>
        <v>13.260000000000002</v>
      </c>
      <c r="S100" s="7">
        <f t="shared" si="47"/>
        <v>8.93</v>
      </c>
      <c r="T100" s="1">
        <v>41</v>
      </c>
      <c r="U100" s="333">
        <f t="shared" si="48"/>
        <v>1.8666666666666667</v>
      </c>
      <c r="V100" s="4">
        <v>10</v>
      </c>
      <c r="W100" s="7">
        <f t="shared" si="49"/>
        <v>2.7300000000000004</v>
      </c>
      <c r="X100" s="7">
        <f t="shared" si="50"/>
        <v>11.193000000000001</v>
      </c>
      <c r="Y100" s="8">
        <f t="shared" si="51"/>
        <v>1</v>
      </c>
      <c r="Z100" s="7">
        <f>IF(ISBLANK(Z13),NA(),SUM($Z$4:Z13))</f>
        <v>1.4</v>
      </c>
      <c r="AA100" s="7">
        <f t="shared" si="75"/>
        <v>18.666666666666668</v>
      </c>
      <c r="AB100" s="26">
        <f>IF(ISBLANK(Z13),"",SUM($Z$4:Z13))</f>
        <v>1.4</v>
      </c>
      <c r="AC100" s="115">
        <f t="shared" si="76"/>
        <v>7.4999999999999997E-2</v>
      </c>
      <c r="AD100" s="8">
        <f t="shared" si="52"/>
        <v>1021.65</v>
      </c>
      <c r="AE100" s="610">
        <f t="shared" si="53"/>
        <v>1.6009432584757035</v>
      </c>
      <c r="AF100" s="524">
        <f t="shared" si="54"/>
        <v>0.30902777777777779</v>
      </c>
      <c r="AG100" s="22">
        <f>IF(ISBLANK(AP13),NA(),SUM($AP$4:AP13))</f>
        <v>69.599999999999994</v>
      </c>
      <c r="AH100" s="7">
        <f>SUM($AS$91:AS100)</f>
        <v>43.474370269854425</v>
      </c>
      <c r="AI100" s="115">
        <f t="shared" si="55"/>
        <v>1.6009432584757035</v>
      </c>
      <c r="AJ100" s="124">
        <f t="shared" si="56"/>
        <v>0</v>
      </c>
      <c r="AK100" s="8">
        <f t="shared" si="57"/>
        <v>1024.5</v>
      </c>
      <c r="AL100" s="124">
        <f t="shared" si="58"/>
        <v>0</v>
      </c>
      <c r="AM100" s="524">
        <f t="shared" si="59"/>
        <v>0.75694444444444453</v>
      </c>
      <c r="AN100" s="150">
        <f>COUNTIF(E48:E66,"&lt;-0.5")</f>
        <v>4</v>
      </c>
      <c r="AO100" s="524">
        <f t="shared" si="60"/>
        <v>0.68055555555555547</v>
      </c>
      <c r="AP100" s="449" t="s">
        <v>111</v>
      </c>
      <c r="AQ100" s="448">
        <v>0.04</v>
      </c>
      <c r="AR100" s="524">
        <f t="shared" si="61"/>
        <v>0.27430555555555552</v>
      </c>
      <c r="AS100" s="7">
        <f t="shared" si="62"/>
        <v>4.4482639284813335</v>
      </c>
      <c r="AT100" s="7">
        <v>12.21957673569184</v>
      </c>
      <c r="AU100" s="4">
        <v>10</v>
      </c>
      <c r="AV100" s="127">
        <f t="shared" si="63"/>
        <v>1</v>
      </c>
      <c r="AW100" s="124">
        <f t="shared" si="77"/>
        <v>0</v>
      </c>
      <c r="AX100" s="124">
        <f t="shared" si="78"/>
        <v>1</v>
      </c>
      <c r="AY100" s="124">
        <f t="shared" si="64"/>
        <v>1</v>
      </c>
      <c r="AZ100" s="125">
        <f t="shared" si="65"/>
        <v>4.9000000000000004</v>
      </c>
      <c r="BA100" s="125">
        <f t="shared" si="66"/>
        <v>6.3000000000000007</v>
      </c>
      <c r="BB100" s="125">
        <f t="shared" si="67"/>
        <v>11.5</v>
      </c>
      <c r="BC100" s="7">
        <v>5.9869047619047659</v>
      </c>
      <c r="BD100" s="7">
        <v>10.934523809523812</v>
      </c>
      <c r="BE100" s="124"/>
      <c r="BF100" s="8">
        <f t="shared" si="68"/>
        <v>59</v>
      </c>
      <c r="BG100" s="21">
        <f t="shared" si="69"/>
        <v>12.3</v>
      </c>
      <c r="BH100" s="124">
        <f t="shared" si="70"/>
        <v>0</v>
      </c>
      <c r="BI100" s="124">
        <f t="shared" si="79"/>
        <v>0</v>
      </c>
      <c r="BJ100" s="144">
        <f t="shared" si="71"/>
        <v>0</v>
      </c>
      <c r="BL100" s="99">
        <v>10</v>
      </c>
    </row>
    <row r="101" spans="1:64" ht="12.75" x14ac:dyDescent="0.2">
      <c r="A101" s="8">
        <f t="shared" si="35"/>
        <v>30</v>
      </c>
      <c r="B101" s="125">
        <f t="shared" si="36"/>
        <v>5</v>
      </c>
      <c r="C101" s="125">
        <f t="shared" si="37"/>
        <v>12.8</v>
      </c>
      <c r="D101" s="125">
        <f t="shared" si="72"/>
        <v>8.9</v>
      </c>
      <c r="E101" s="125">
        <f t="shared" si="38"/>
        <v>7.8000000000000007</v>
      </c>
      <c r="F101" s="7">
        <v>4.7750000000000004</v>
      </c>
      <c r="G101" s="7">
        <v>12.264285714285718</v>
      </c>
      <c r="H101" s="7">
        <f t="shared" si="73"/>
        <v>8.5196428571428591</v>
      </c>
      <c r="I101" s="7">
        <f t="shared" si="74"/>
        <v>7.4892857142857174</v>
      </c>
      <c r="K101" s="7">
        <f t="shared" si="39"/>
        <v>13.9</v>
      </c>
      <c r="L101" s="7">
        <f t="shared" si="40"/>
        <v>13.05</v>
      </c>
      <c r="M101" s="370">
        <f t="shared" si="41"/>
        <v>5.5909090909090908</v>
      </c>
      <c r="N101" s="1">
        <f t="shared" si="42"/>
        <v>9.9999999999999992E-2</v>
      </c>
      <c r="O101" s="7">
        <f t="shared" si="43"/>
        <v>65</v>
      </c>
      <c r="P101" s="7">
        <f t="shared" si="44"/>
        <v>8.5090909090909079</v>
      </c>
      <c r="Q101" s="7">
        <f t="shared" si="45"/>
        <v>17.890909090909091</v>
      </c>
      <c r="R101" s="7">
        <f t="shared" si="46"/>
        <v>13.190909090909093</v>
      </c>
      <c r="S101" s="7">
        <f t="shared" si="47"/>
        <v>9.3818181818181827</v>
      </c>
      <c r="T101" s="1">
        <v>42</v>
      </c>
      <c r="U101" s="333">
        <f t="shared" si="48"/>
        <v>1.8666666666666667</v>
      </c>
      <c r="V101" s="4">
        <v>11</v>
      </c>
      <c r="W101" s="7">
        <f t="shared" si="49"/>
        <v>3.0030000000000001</v>
      </c>
      <c r="X101" s="7">
        <f t="shared" si="50"/>
        <v>11.466000000000001</v>
      </c>
      <c r="Y101" s="8">
        <f t="shared" si="51"/>
        <v>4</v>
      </c>
      <c r="Z101" s="7">
        <f>IF(ISBLANK(Z14),NA(),SUM($Z$4:Z14))</f>
        <v>1.7</v>
      </c>
      <c r="AA101" s="7">
        <f t="shared" si="75"/>
        <v>20.533333333333335</v>
      </c>
      <c r="AB101" s="26">
        <f>IF(ISBLANK(Z14),"",SUM($Z$4:Z14))</f>
        <v>1.7</v>
      </c>
      <c r="AC101" s="115">
        <f t="shared" si="76"/>
        <v>8.2792207792207778E-2</v>
      </c>
      <c r="AD101" s="8">
        <f t="shared" si="52"/>
        <v>1021.7727272727273</v>
      </c>
      <c r="AE101" s="610">
        <f t="shared" si="53"/>
        <v>1.5559541327832682</v>
      </c>
      <c r="AF101" s="524">
        <f t="shared" si="54"/>
        <v>0.30555555555555552</v>
      </c>
      <c r="AG101" s="22">
        <f>IF(ISBLANK(AP14),NA(),SUM($AP$4:AP14))</f>
        <v>74.599999999999994</v>
      </c>
      <c r="AH101" s="7">
        <f>SUM($AS$91:AS101)</f>
        <v>47.944858031616008</v>
      </c>
      <c r="AI101" s="115">
        <f t="shared" si="55"/>
        <v>1.5559541327832682</v>
      </c>
      <c r="AJ101" s="124">
        <f t="shared" si="56"/>
        <v>1</v>
      </c>
      <c r="AK101" s="8">
        <f t="shared" si="57"/>
        <v>1023</v>
      </c>
      <c r="AL101" s="124">
        <f t="shared" si="58"/>
        <v>0</v>
      </c>
      <c r="AM101" s="524">
        <f t="shared" si="59"/>
        <v>0.56597222222222221</v>
      </c>
      <c r="AN101" s="124">
        <f>COUNTIF(AU50:AU60, "&gt;0.5")</f>
        <v>3</v>
      </c>
      <c r="AO101" s="524">
        <f t="shared" si="60"/>
        <v>0.62847222222222221</v>
      </c>
      <c r="AP101" s="449" t="s">
        <v>210</v>
      </c>
      <c r="AQ101" s="450">
        <v>0.11</v>
      </c>
      <c r="AR101" s="524">
        <f t="shared" si="61"/>
        <v>0.22569444444444445</v>
      </c>
      <c r="AS101" s="7">
        <f t="shared" si="62"/>
        <v>4.4704877617615795</v>
      </c>
      <c r="AT101" s="7">
        <v>12.280626583564043</v>
      </c>
      <c r="AU101" s="4">
        <v>11</v>
      </c>
      <c r="AV101" s="127">
        <f t="shared" si="63"/>
        <v>1</v>
      </c>
      <c r="AW101" s="124">
        <f t="shared" si="77"/>
        <v>0</v>
      </c>
      <c r="AX101" s="124">
        <f t="shared" si="78"/>
        <v>1</v>
      </c>
      <c r="AY101" s="124">
        <f t="shared" si="64"/>
        <v>1</v>
      </c>
      <c r="AZ101" s="125">
        <f t="shared" si="65"/>
        <v>4.9000000000000004</v>
      </c>
      <c r="BA101" s="125">
        <f t="shared" si="66"/>
        <v>6.3000000000000007</v>
      </c>
      <c r="BB101" s="125">
        <f t="shared" si="67"/>
        <v>11.5</v>
      </c>
      <c r="BC101" s="7">
        <v>6.023214285714289</v>
      </c>
      <c r="BD101" s="7">
        <v>11.016071428571433</v>
      </c>
      <c r="BE101" s="124"/>
      <c r="BF101" s="8">
        <f t="shared" si="68"/>
        <v>61</v>
      </c>
      <c r="BG101" s="21">
        <f t="shared" si="69"/>
        <v>12.5</v>
      </c>
      <c r="BH101" s="124">
        <f t="shared" si="70"/>
        <v>0</v>
      </c>
      <c r="BI101" s="124">
        <f t="shared" si="79"/>
        <v>1</v>
      </c>
      <c r="BJ101" s="144">
        <f t="shared" si="71"/>
        <v>9.9999999999999992E-2</v>
      </c>
      <c r="BL101" s="99">
        <v>11</v>
      </c>
    </row>
    <row r="102" spans="1:64" ht="12.75" x14ac:dyDescent="0.2">
      <c r="A102" s="8">
        <f t="shared" si="35"/>
        <v>40</v>
      </c>
      <c r="B102" s="125">
        <f t="shared" si="36"/>
        <v>5</v>
      </c>
      <c r="C102" s="125">
        <f t="shared" si="37"/>
        <v>12.8</v>
      </c>
      <c r="D102" s="125">
        <f t="shared" si="72"/>
        <v>8.9</v>
      </c>
      <c r="E102" s="125">
        <f t="shared" si="38"/>
        <v>7.8000000000000007</v>
      </c>
      <c r="F102" s="7">
        <v>4.8</v>
      </c>
      <c r="G102" s="7">
        <v>12.357142857142861</v>
      </c>
      <c r="H102" s="7">
        <f t="shared" si="73"/>
        <v>8.578571428571431</v>
      </c>
      <c r="I102" s="7">
        <f t="shared" si="74"/>
        <v>7.5571428571428614</v>
      </c>
      <c r="K102" s="7">
        <f t="shared" si="39"/>
        <v>8.6999999999999993</v>
      </c>
      <c r="L102" s="7">
        <f t="shared" si="40"/>
        <v>9.65</v>
      </c>
      <c r="M102" s="370">
        <f t="shared" si="41"/>
        <v>5.6000000000000005</v>
      </c>
      <c r="N102" s="1">
        <f t="shared" si="42"/>
        <v>0</v>
      </c>
      <c r="O102" s="7">
        <f t="shared" si="43"/>
        <v>64.083333333333329</v>
      </c>
      <c r="P102" s="7">
        <f t="shared" si="44"/>
        <v>8.2416666666666654</v>
      </c>
      <c r="Q102" s="7">
        <f t="shared" si="45"/>
        <v>17.566666666666666</v>
      </c>
      <c r="R102" s="7">
        <f t="shared" si="46"/>
        <v>12.908333333333337</v>
      </c>
      <c r="S102" s="7">
        <f t="shared" si="47"/>
        <v>9.3250000000000011</v>
      </c>
      <c r="T102" s="1">
        <v>43</v>
      </c>
      <c r="U102" s="333">
        <f t="shared" si="48"/>
        <v>1.8666666666666667</v>
      </c>
      <c r="V102" s="4">
        <v>12</v>
      </c>
      <c r="W102" s="7">
        <f t="shared" si="49"/>
        <v>3.2760000000000002</v>
      </c>
      <c r="X102" s="7">
        <f t="shared" si="50"/>
        <v>11.739000000000001</v>
      </c>
      <c r="Y102" s="8">
        <f t="shared" si="51"/>
        <v>4</v>
      </c>
      <c r="Z102" s="7">
        <f>IF(ISBLANK(Z15),NA(),SUM($Z$4:Z15))</f>
        <v>1.7</v>
      </c>
      <c r="AA102" s="7">
        <f t="shared" si="75"/>
        <v>22.4</v>
      </c>
      <c r="AB102" s="26">
        <f>IF(ISBLANK(Z15),"",SUM($Z$4:Z15))</f>
        <v>1.7</v>
      </c>
      <c r="AC102" s="115">
        <f t="shared" si="76"/>
        <v>7.5892857142857151E-2</v>
      </c>
      <c r="AD102" s="8">
        <f t="shared" si="52"/>
        <v>1022.2916666666666</v>
      </c>
      <c r="AE102" s="610">
        <f t="shared" si="53"/>
        <v>1.6324192643446973</v>
      </c>
      <c r="AF102" s="524">
        <f t="shared" si="54"/>
        <v>0.28125</v>
      </c>
      <c r="AG102" s="22">
        <f>IF(ISBLANK(AP15),NA(),SUM($AP$4:AP15))</f>
        <v>85.6</v>
      </c>
      <c r="AH102" s="7">
        <f>SUM($AS$91:AS102)</f>
        <v>52.437509082179595</v>
      </c>
      <c r="AI102" s="115">
        <f t="shared" si="55"/>
        <v>1.6324192643446973</v>
      </c>
      <c r="AJ102" s="124">
        <f t="shared" si="56"/>
        <v>0</v>
      </c>
      <c r="AK102" s="8">
        <f t="shared" si="57"/>
        <v>1028</v>
      </c>
      <c r="AL102" s="124">
        <f t="shared" si="58"/>
        <v>0</v>
      </c>
      <c r="AM102" s="524">
        <f t="shared" si="59"/>
        <v>0.77083333333333337</v>
      </c>
      <c r="AN102" s="141">
        <f t="array" ref="AN102">MAX(FREQUENCY(IF(AJ91:AJ121=1,ROW(91:121)),IF(AJ91:AJ121&lt;&gt;1,ROW(91:121))))</f>
        <v>1</v>
      </c>
      <c r="AO102" s="524">
        <f t="shared" si="60"/>
        <v>0.75347222222222221</v>
      </c>
      <c r="AP102" s="451" t="s">
        <v>110</v>
      </c>
      <c r="AQ102" s="450">
        <v>0.1</v>
      </c>
      <c r="AR102" s="524">
        <f t="shared" si="61"/>
        <v>0.2673611111111111</v>
      </c>
      <c r="AS102" s="7">
        <f t="shared" si="62"/>
        <v>4.4926510505635857</v>
      </c>
      <c r="AT102" s="7">
        <v>12.341510113090555</v>
      </c>
      <c r="AU102" s="4">
        <v>12</v>
      </c>
      <c r="AV102" s="127">
        <f t="shared" si="63"/>
        <v>1</v>
      </c>
      <c r="AW102" s="124">
        <f t="shared" si="77"/>
        <v>0</v>
      </c>
      <c r="AX102" s="124">
        <f t="shared" si="78"/>
        <v>0</v>
      </c>
      <c r="AY102" s="124">
        <f t="shared" si="64"/>
        <v>1</v>
      </c>
      <c r="AZ102" s="125">
        <f t="shared" si="65"/>
        <v>4.9000000000000004</v>
      </c>
      <c r="BA102" s="125">
        <f t="shared" si="66"/>
        <v>6.3000000000000007</v>
      </c>
      <c r="BB102" s="125">
        <f t="shared" si="67"/>
        <v>11.5</v>
      </c>
      <c r="BC102" s="7">
        <v>6.0595238095238138</v>
      </c>
      <c r="BD102" s="7">
        <v>11.097619047619052</v>
      </c>
      <c r="BE102" s="124"/>
      <c r="BF102" s="8">
        <f t="shared" si="68"/>
        <v>54</v>
      </c>
      <c r="BG102" s="21">
        <f t="shared" si="69"/>
        <v>9.8000000000000007</v>
      </c>
      <c r="BH102" s="124">
        <f t="shared" si="70"/>
        <v>0</v>
      </c>
      <c r="BI102" s="124">
        <f t="shared" si="79"/>
        <v>0</v>
      </c>
      <c r="BJ102" s="144">
        <f t="shared" si="71"/>
        <v>0</v>
      </c>
      <c r="BL102" s="99">
        <v>12</v>
      </c>
    </row>
    <row r="103" spans="1:64" ht="12.75" x14ac:dyDescent="0.2">
      <c r="A103" s="8">
        <f t="shared" si="35"/>
        <v>27</v>
      </c>
      <c r="B103" s="125">
        <f t="shared" si="36"/>
        <v>5</v>
      </c>
      <c r="C103" s="125">
        <f t="shared" si="37"/>
        <v>12.8</v>
      </c>
      <c r="D103" s="125">
        <f t="shared" si="72"/>
        <v>8.9</v>
      </c>
      <c r="E103" s="125">
        <f t="shared" si="38"/>
        <v>7.8000000000000007</v>
      </c>
      <c r="F103" s="7">
        <v>4.8250000000000002</v>
      </c>
      <c r="G103" s="7">
        <v>12.45</v>
      </c>
      <c r="H103" s="7">
        <f t="shared" si="73"/>
        <v>8.6374999999999993</v>
      </c>
      <c r="I103" s="7">
        <f t="shared" si="74"/>
        <v>7.6249999999999991</v>
      </c>
      <c r="K103" s="7">
        <f t="shared" si="39"/>
        <v>8.9</v>
      </c>
      <c r="L103" s="7">
        <f t="shared" si="40"/>
        <v>8.5500000000000007</v>
      </c>
      <c r="M103" s="370">
        <f t="shared" si="41"/>
        <v>5.523076923076923</v>
      </c>
      <c r="N103" s="1">
        <f t="shared" si="42"/>
        <v>0</v>
      </c>
      <c r="O103" s="7">
        <f t="shared" si="43"/>
        <v>63.53846153846154</v>
      </c>
      <c r="P103" s="7">
        <f t="shared" si="44"/>
        <v>7.9230769230769216</v>
      </c>
      <c r="Q103" s="7">
        <f t="shared" si="45"/>
        <v>17.215384615384615</v>
      </c>
      <c r="R103" s="7">
        <f t="shared" si="46"/>
        <v>12.584615384615386</v>
      </c>
      <c r="S103" s="7">
        <f t="shared" si="47"/>
        <v>9.292307692307693</v>
      </c>
      <c r="T103" s="1">
        <v>44</v>
      </c>
      <c r="U103" s="333">
        <f t="shared" si="48"/>
        <v>1.8666666666666667</v>
      </c>
      <c r="V103" s="4">
        <v>13</v>
      </c>
      <c r="W103" s="7">
        <f t="shared" si="49"/>
        <v>3.5490000000000004</v>
      </c>
      <c r="X103" s="7">
        <f t="shared" si="50"/>
        <v>12.012</v>
      </c>
      <c r="Y103" s="8">
        <f t="shared" si="51"/>
        <v>9</v>
      </c>
      <c r="Z103" s="7">
        <f>IF(ISBLANK(Z16),NA(),SUM($Z$4:Z16))</f>
        <v>1.7</v>
      </c>
      <c r="AA103" s="7">
        <f t="shared" si="75"/>
        <v>24.266666666666666</v>
      </c>
      <c r="AB103" s="26">
        <f>IF(ISBLANK(Z16),"",SUM($Z$4:Z16))</f>
        <v>1.7</v>
      </c>
      <c r="AC103" s="115">
        <f t="shared" si="76"/>
        <v>7.0054945054945056E-2</v>
      </c>
      <c r="AD103" s="8">
        <f t="shared" si="52"/>
        <v>1022.4615384615385</v>
      </c>
      <c r="AE103" s="610">
        <f t="shared" si="53"/>
        <v>1.5205718186437867</v>
      </c>
      <c r="AF103" s="524">
        <f t="shared" si="54"/>
        <v>0.2986111111111111</v>
      </c>
      <c r="AG103" s="22">
        <f>IF(ISBLANK(AP16),NA(),SUM($AP$4:AP16))</f>
        <v>86.6</v>
      </c>
      <c r="AH103" s="7">
        <f>SUM($AS$91:AS103)</f>
        <v>56.952258971391046</v>
      </c>
      <c r="AI103" s="115">
        <f t="shared" si="55"/>
        <v>1.5205718186437867</v>
      </c>
      <c r="AJ103" s="124">
        <f t="shared" si="56"/>
        <v>0</v>
      </c>
      <c r="AK103" s="8">
        <f t="shared" si="57"/>
        <v>1024.5</v>
      </c>
      <c r="AL103" s="124">
        <f t="shared" si="58"/>
        <v>0</v>
      </c>
      <c r="AM103" s="524">
        <f t="shared" si="59"/>
        <v>0.625</v>
      </c>
      <c r="AN103" s="7">
        <f>I39/-3</f>
        <v>-2.6</v>
      </c>
      <c r="AO103" s="524">
        <f t="shared" si="60"/>
        <v>0.625</v>
      </c>
      <c r="AP103" s="451" t="s">
        <v>211</v>
      </c>
      <c r="AQ103" s="450">
        <v>7.0000000000000007E-2</v>
      </c>
      <c r="AR103" s="524">
        <f t="shared" si="61"/>
        <v>0.16666666666666666</v>
      </c>
      <c r="AS103" s="7">
        <f t="shared" si="62"/>
        <v>4.514749889211453</v>
      </c>
      <c r="AT103" s="7">
        <v>12.402216595207832</v>
      </c>
      <c r="AU103" s="4">
        <v>13</v>
      </c>
      <c r="AV103" s="127">
        <f t="shared" si="63"/>
        <v>0</v>
      </c>
      <c r="AW103" s="124">
        <f t="shared" si="77"/>
        <v>0</v>
      </c>
      <c r="AX103" s="124">
        <f t="shared" si="78"/>
        <v>0</v>
      </c>
      <c r="AY103" s="124">
        <f t="shared" si="64"/>
        <v>1</v>
      </c>
      <c r="AZ103" s="125">
        <f t="shared" si="65"/>
        <v>4.9000000000000004</v>
      </c>
      <c r="BA103" s="125">
        <f t="shared" si="66"/>
        <v>6.3000000000000007</v>
      </c>
      <c r="BB103" s="125">
        <f t="shared" si="67"/>
        <v>11.5</v>
      </c>
      <c r="BC103" s="7">
        <v>6.0958333333333385</v>
      </c>
      <c r="BD103" s="7">
        <v>11.179166666666671</v>
      </c>
      <c r="BE103" s="124"/>
      <c r="BF103" s="8">
        <f t="shared" si="68"/>
        <v>57</v>
      </c>
      <c r="BG103" s="21">
        <f t="shared" si="69"/>
        <v>8.6999999999999993</v>
      </c>
      <c r="BH103" s="124">
        <f t="shared" si="70"/>
        <v>0</v>
      </c>
      <c r="BI103" s="124">
        <f t="shared" si="79"/>
        <v>0</v>
      </c>
      <c r="BJ103" s="144">
        <f t="shared" si="71"/>
        <v>0</v>
      </c>
      <c r="BL103" s="99">
        <v>13</v>
      </c>
    </row>
    <row r="104" spans="1:64" ht="12.75" x14ac:dyDescent="0.2">
      <c r="A104" s="8">
        <f t="shared" si="35"/>
        <v>19</v>
      </c>
      <c r="B104" s="125">
        <f t="shared" si="36"/>
        <v>5</v>
      </c>
      <c r="C104" s="125">
        <f t="shared" si="37"/>
        <v>12.8</v>
      </c>
      <c r="D104" s="125">
        <f t="shared" si="72"/>
        <v>8.9</v>
      </c>
      <c r="E104" s="125">
        <f t="shared" si="38"/>
        <v>7.8000000000000007</v>
      </c>
      <c r="F104" s="7">
        <v>4.850000000000005</v>
      </c>
      <c r="G104" s="7">
        <v>12.542857142857148</v>
      </c>
      <c r="H104" s="7">
        <f t="shared" si="73"/>
        <v>8.6964285714285765</v>
      </c>
      <c r="I104" s="7">
        <f t="shared" si="74"/>
        <v>7.6928571428571431</v>
      </c>
      <c r="K104" s="7">
        <f t="shared" si="39"/>
        <v>6.1</v>
      </c>
      <c r="L104" s="7">
        <f t="shared" si="40"/>
        <v>11.05</v>
      </c>
      <c r="M104" s="370">
        <f t="shared" si="41"/>
        <v>5.4071428571428575</v>
      </c>
      <c r="N104" s="1">
        <f t="shared" si="42"/>
        <v>0</v>
      </c>
      <c r="O104" s="7">
        <f t="shared" si="43"/>
        <v>63.642857142857146</v>
      </c>
      <c r="P104" s="7">
        <f t="shared" si="44"/>
        <v>7.9285714285714279</v>
      </c>
      <c r="Q104" s="7">
        <f t="shared" si="45"/>
        <v>16.992857142857144</v>
      </c>
      <c r="R104" s="7">
        <f t="shared" si="46"/>
        <v>12.471428571428573</v>
      </c>
      <c r="S104" s="7">
        <f t="shared" si="47"/>
        <v>9.0642857142857149</v>
      </c>
      <c r="T104" s="1">
        <v>45</v>
      </c>
      <c r="U104" s="333">
        <f t="shared" si="48"/>
        <v>1.8666666666666667</v>
      </c>
      <c r="V104" s="4">
        <v>14</v>
      </c>
      <c r="W104" s="7">
        <f t="shared" si="49"/>
        <v>3.8220000000000001</v>
      </c>
      <c r="X104" s="7">
        <f t="shared" si="50"/>
        <v>12.285</v>
      </c>
      <c r="Y104" s="8">
        <f t="shared" si="51"/>
        <v>2</v>
      </c>
      <c r="Z104" s="7">
        <f>IF(ISBLANK(Z17),NA(),SUM($Z$4:Z17))</f>
        <v>1.7</v>
      </c>
      <c r="AA104" s="7">
        <f t="shared" si="75"/>
        <v>26.133333333333333</v>
      </c>
      <c r="AB104" s="26">
        <f>IF(ISBLANK(Z17),"",SUM($Z$4:Z17))</f>
        <v>1.7</v>
      </c>
      <c r="AC104" s="115">
        <f t="shared" si="76"/>
        <v>6.5051020408163268E-2</v>
      </c>
      <c r="AD104" s="8">
        <f t="shared" si="52"/>
        <v>1022.2142857142857</v>
      </c>
      <c r="AE104" s="610">
        <f t="shared" si="53"/>
        <v>1.4083810886652397</v>
      </c>
      <c r="AF104" s="524">
        <f t="shared" si="54"/>
        <v>0.27083333333333331</v>
      </c>
      <c r="AG104" s="22">
        <f>IF(ISBLANK(AP17),NA(),SUM($AP$4:AP17))</f>
        <v>86.6</v>
      </c>
      <c r="AH104" s="7">
        <f>SUM($AS$91:AS104)</f>
        <v>61.489039221673394</v>
      </c>
      <c r="AI104" s="115">
        <f t="shared" si="55"/>
        <v>1.4083810886652397</v>
      </c>
      <c r="AJ104" s="124">
        <f t="shared" si="56"/>
        <v>0</v>
      </c>
      <c r="AK104" s="8">
        <f t="shared" si="57"/>
        <v>1019</v>
      </c>
      <c r="AL104" s="124">
        <f t="shared" si="58"/>
        <v>0</v>
      </c>
      <c r="AM104" s="524">
        <f t="shared" si="59"/>
        <v>0.68402777777777779</v>
      </c>
      <c r="AN104" s="25">
        <f>AP39/E34</f>
        <v>4.5666666666666664</v>
      </c>
      <c r="AO104" s="524">
        <f t="shared" si="60"/>
        <v>0.625</v>
      </c>
      <c r="AP104" s="451" t="s">
        <v>114</v>
      </c>
      <c r="AQ104" s="452">
        <v>0.04</v>
      </c>
      <c r="AR104" s="524">
        <f t="shared" si="61"/>
        <v>0.125</v>
      </c>
      <c r="AS104" s="7">
        <f t="shared" si="62"/>
        <v>4.5367802502823489</v>
      </c>
      <c r="AT104" s="7">
        <v>12.462734966408149</v>
      </c>
      <c r="AU104" s="4">
        <v>14</v>
      </c>
      <c r="AV104" s="127">
        <f t="shared" si="63"/>
        <v>0</v>
      </c>
      <c r="AW104" s="124">
        <f t="shared" si="77"/>
        <v>0</v>
      </c>
      <c r="AX104" s="124">
        <f t="shared" si="78"/>
        <v>0</v>
      </c>
      <c r="AY104" s="124">
        <f t="shared" si="64"/>
        <v>1</v>
      </c>
      <c r="AZ104" s="125">
        <f t="shared" si="65"/>
        <v>4.9000000000000004</v>
      </c>
      <c r="BA104" s="125">
        <f t="shared" si="66"/>
        <v>6.3000000000000007</v>
      </c>
      <c r="BB104" s="125">
        <f t="shared" si="67"/>
        <v>11.5</v>
      </c>
      <c r="BC104" s="7">
        <v>6.1321428571428616</v>
      </c>
      <c r="BD104" s="7">
        <v>11.260714285714291</v>
      </c>
      <c r="BE104" s="124"/>
      <c r="BF104" s="8">
        <f t="shared" si="68"/>
        <v>65</v>
      </c>
      <c r="BG104" s="21">
        <f t="shared" si="69"/>
        <v>11</v>
      </c>
      <c r="BH104" s="124">
        <f t="shared" si="70"/>
        <v>0</v>
      </c>
      <c r="BI104" s="124">
        <f t="shared" si="79"/>
        <v>0</v>
      </c>
      <c r="BJ104" s="144">
        <f t="shared" si="71"/>
        <v>0</v>
      </c>
      <c r="BL104" s="99">
        <v>14</v>
      </c>
    </row>
    <row r="105" spans="1:64" ht="12.75" x14ac:dyDescent="0.2">
      <c r="A105" s="8">
        <f t="shared" si="35"/>
        <v>26</v>
      </c>
      <c r="B105" s="125">
        <f t="shared" si="36"/>
        <v>5</v>
      </c>
      <c r="C105" s="125">
        <f t="shared" si="37"/>
        <v>12.8</v>
      </c>
      <c r="D105" s="125">
        <f t="shared" si="72"/>
        <v>8.9</v>
      </c>
      <c r="E105" s="125">
        <f t="shared" si="38"/>
        <v>7.8000000000000007</v>
      </c>
      <c r="F105" s="7">
        <v>4.8750000000000053</v>
      </c>
      <c r="G105" s="7">
        <v>12.635714285714291</v>
      </c>
      <c r="H105" s="7">
        <f t="shared" si="73"/>
        <v>8.7553571428571484</v>
      </c>
      <c r="I105" s="7">
        <f t="shared" si="74"/>
        <v>7.7607142857142861</v>
      </c>
      <c r="K105" s="7">
        <f t="shared" si="39"/>
        <v>6.9</v>
      </c>
      <c r="L105" s="7">
        <f t="shared" si="40"/>
        <v>13.350000000000001</v>
      </c>
      <c r="M105" s="370">
        <f t="shared" si="41"/>
        <v>5.206666666666667</v>
      </c>
      <c r="N105" s="1">
        <f t="shared" si="42"/>
        <v>0</v>
      </c>
      <c r="O105" s="7">
        <f t="shared" si="43"/>
        <v>63.266666666666666</v>
      </c>
      <c r="P105" s="7">
        <f t="shared" si="44"/>
        <v>8.0599999999999987</v>
      </c>
      <c r="Q105" s="7">
        <f t="shared" si="45"/>
        <v>16.98</v>
      </c>
      <c r="R105" s="7">
        <f t="shared" si="46"/>
        <v>12.513333333333334</v>
      </c>
      <c r="S105" s="7">
        <f t="shared" si="47"/>
        <v>8.92</v>
      </c>
      <c r="T105" s="1">
        <v>46</v>
      </c>
      <c r="U105" s="333">
        <f t="shared" si="48"/>
        <v>1.8666666666666667</v>
      </c>
      <c r="V105" s="4">
        <v>15</v>
      </c>
      <c r="W105" s="7">
        <f t="shared" si="49"/>
        <v>4.0950000000000006</v>
      </c>
      <c r="X105" s="7">
        <f t="shared" si="50"/>
        <v>12.558000000000002</v>
      </c>
      <c r="Y105" s="8">
        <f t="shared" si="51"/>
        <v>3</v>
      </c>
      <c r="Z105" s="7">
        <f>IF(ISBLANK(Z18),NA(),SUM($Z$4:Z18))</f>
        <v>1.7</v>
      </c>
      <c r="AA105" s="7">
        <f t="shared" si="75"/>
        <v>28</v>
      </c>
      <c r="AB105" s="26">
        <f>IF(ISBLANK(Z18),"",SUM($Z$4:Z18))</f>
        <v>1.7</v>
      </c>
      <c r="AC105" s="115">
        <f t="shared" si="76"/>
        <v>6.0714285714285714E-2</v>
      </c>
      <c r="AD105" s="8">
        <f t="shared" si="52"/>
        <v>1022.1</v>
      </c>
      <c r="AE105" s="610">
        <f t="shared" si="53"/>
        <v>1.3126861141183326</v>
      </c>
      <c r="AF105" s="524">
        <f t="shared" si="54"/>
        <v>0.2673611111111111</v>
      </c>
      <c r="AG105" s="22">
        <f>IF(ISBLANK(AP18),NA(),SUM($AP$4:AP18))</f>
        <v>86.699999999999989</v>
      </c>
      <c r="AH105" s="7">
        <f>SUM($AS$91:AS105)</f>
        <v>66.047777200897841</v>
      </c>
      <c r="AI105" s="115">
        <f t="shared" si="55"/>
        <v>1.3126861141183326</v>
      </c>
      <c r="AJ105" s="124">
        <f t="shared" si="56"/>
        <v>0</v>
      </c>
      <c r="AK105" s="8">
        <f t="shared" si="57"/>
        <v>1020.5</v>
      </c>
      <c r="AL105" s="124">
        <f t="shared" si="58"/>
        <v>0</v>
      </c>
      <c r="AM105" s="524">
        <f t="shared" si="59"/>
        <v>0.64930555555555558</v>
      </c>
      <c r="AN105" s="1">
        <f t="array" ref="AN105">MAX(IF(F4:F34=$F$85,E4:E34,0))</f>
        <v>13</v>
      </c>
      <c r="AO105" s="524">
        <f t="shared" si="60"/>
        <v>0.625</v>
      </c>
      <c r="AP105" s="451" t="s">
        <v>212</v>
      </c>
      <c r="AQ105" s="450">
        <v>0.04</v>
      </c>
      <c r="AR105" s="524">
        <f t="shared" si="61"/>
        <v>0.28472222222222221</v>
      </c>
      <c r="AS105" s="7">
        <f t="shared" si="62"/>
        <v>4.5587379792244462</v>
      </c>
      <c r="AT105" s="7">
        <v>12.523053813954835</v>
      </c>
      <c r="AU105" s="4">
        <v>15</v>
      </c>
      <c r="AV105" s="127">
        <f t="shared" si="63"/>
        <v>0</v>
      </c>
      <c r="AW105" s="124">
        <f t="shared" si="77"/>
        <v>0</v>
      </c>
      <c r="AX105" s="124">
        <f t="shared" si="78"/>
        <v>1</v>
      </c>
      <c r="AY105" s="124">
        <f t="shared" si="64"/>
        <v>1</v>
      </c>
      <c r="AZ105" s="125">
        <f t="shared" si="65"/>
        <v>4.9000000000000004</v>
      </c>
      <c r="BA105" s="125">
        <f t="shared" si="66"/>
        <v>6.3000000000000007</v>
      </c>
      <c r="BB105" s="125">
        <f t="shared" si="67"/>
        <v>11.5</v>
      </c>
      <c r="BC105" s="7">
        <v>6.1684523809523863</v>
      </c>
      <c r="BD105" s="7">
        <v>11.34226190476191</v>
      </c>
      <c r="BE105" s="124"/>
      <c r="BF105" s="8">
        <f t="shared" si="68"/>
        <v>58</v>
      </c>
      <c r="BG105" s="21">
        <f t="shared" si="69"/>
        <v>13.1</v>
      </c>
      <c r="BH105" s="124">
        <f t="shared" si="70"/>
        <v>0</v>
      </c>
      <c r="BI105" s="124">
        <f t="shared" si="79"/>
        <v>0</v>
      </c>
      <c r="BJ105" s="144">
        <f t="shared" si="71"/>
        <v>0</v>
      </c>
      <c r="BL105" s="99">
        <v>15</v>
      </c>
    </row>
    <row r="106" spans="1:64" ht="12.75" x14ac:dyDescent="0.2">
      <c r="A106" s="8">
        <f t="shared" si="35"/>
        <v>26</v>
      </c>
      <c r="B106" s="125">
        <f t="shared" si="36"/>
        <v>5</v>
      </c>
      <c r="C106" s="125">
        <f t="shared" si="37"/>
        <v>12.8</v>
      </c>
      <c r="D106" s="125">
        <f t="shared" si="72"/>
        <v>8.9</v>
      </c>
      <c r="E106" s="125">
        <f t="shared" si="38"/>
        <v>7.8000000000000007</v>
      </c>
      <c r="F106" s="7">
        <v>4.9000000000000057</v>
      </c>
      <c r="G106" s="7">
        <v>12.728571428571435</v>
      </c>
      <c r="H106" s="7">
        <f t="shared" si="73"/>
        <v>8.8142857142857203</v>
      </c>
      <c r="I106" s="7">
        <f t="shared" si="74"/>
        <v>7.8285714285714292</v>
      </c>
      <c r="K106" s="7">
        <f t="shared" si="39"/>
        <v>8.0999999999999979</v>
      </c>
      <c r="L106" s="7">
        <f t="shared" si="40"/>
        <v>13.85</v>
      </c>
      <c r="M106" s="370">
        <f t="shared" si="41"/>
        <v>4.9937500000000004</v>
      </c>
      <c r="N106" s="1">
        <f t="shared" si="42"/>
        <v>0</v>
      </c>
      <c r="O106" s="7">
        <f t="shared" si="43"/>
        <v>63.0625</v>
      </c>
      <c r="P106" s="7">
        <f t="shared" si="44"/>
        <v>8.1687499999999993</v>
      </c>
      <c r="Q106" s="7">
        <f t="shared" si="45"/>
        <v>17.037500000000001</v>
      </c>
      <c r="R106" s="7">
        <f t="shared" si="46"/>
        <v>12.581250000000001</v>
      </c>
      <c r="S106" s="7">
        <f t="shared" si="47"/>
        <v>8.8687500000000004</v>
      </c>
      <c r="T106" s="1">
        <v>47</v>
      </c>
      <c r="U106" s="333">
        <f t="shared" si="48"/>
        <v>1.8666666666666667</v>
      </c>
      <c r="V106" s="4">
        <v>16</v>
      </c>
      <c r="W106" s="7">
        <f t="shared" si="49"/>
        <v>4.3680000000000003</v>
      </c>
      <c r="X106" s="7">
        <f t="shared" si="50"/>
        <v>12.831000000000001</v>
      </c>
      <c r="Y106" s="8">
        <f t="shared" si="51"/>
        <v>3</v>
      </c>
      <c r="Z106" s="7">
        <f>IF(ISBLANK(Z19),NA(),SUM($Z$4:Z19))</f>
        <v>1.7</v>
      </c>
      <c r="AA106" s="7">
        <f t="shared" si="75"/>
        <v>29.866666666666667</v>
      </c>
      <c r="AB106" s="26">
        <f>IF(ISBLANK(Z19),"",SUM($Z$4:Z19))</f>
        <v>1.7</v>
      </c>
      <c r="AC106" s="115">
        <f t="shared" si="76"/>
        <v>5.6919642857142856E-2</v>
      </c>
      <c r="AD106" s="8">
        <f t="shared" si="52"/>
        <v>1022.125</v>
      </c>
      <c r="AE106" s="610">
        <f t="shared" si="53"/>
        <v>1.2558688153216147</v>
      </c>
      <c r="AF106" s="524">
        <f t="shared" si="54"/>
        <v>0.35069444444444442</v>
      </c>
      <c r="AG106" s="22">
        <f>IF(ISBLANK(AP19),NA(),SUM($AP$4:AP19))</f>
        <v>88.699999999999989</v>
      </c>
      <c r="AH106" s="7">
        <f>SUM($AS$91:AS106)</f>
        <v>70.628395989978344</v>
      </c>
      <c r="AI106" s="115">
        <f t="shared" si="55"/>
        <v>1.2558688153216147</v>
      </c>
      <c r="AJ106" s="124">
        <f t="shared" si="56"/>
        <v>0</v>
      </c>
      <c r="AK106" s="8">
        <f t="shared" si="57"/>
        <v>1022.5</v>
      </c>
      <c r="AL106" s="124">
        <f t="shared" si="58"/>
        <v>0</v>
      </c>
      <c r="AM106" s="524">
        <f t="shared" si="59"/>
        <v>0.59375</v>
      </c>
      <c r="AN106" s="1">
        <f t="array" ref="AN106">MAX(IF(G4:G34=$G$86,E4:E34,0))</f>
        <v>23</v>
      </c>
      <c r="AO106" s="524">
        <f t="shared" si="60"/>
        <v>0.59027777777777779</v>
      </c>
      <c r="AP106" s="451" t="s">
        <v>128</v>
      </c>
      <c r="AQ106" s="450">
        <v>0.04</v>
      </c>
      <c r="AR106" s="524">
        <f t="shared" si="61"/>
        <v>0.30555555555555552</v>
      </c>
      <c r="AS106" s="7">
        <f t="shared" si="62"/>
        <v>4.5806187890805088</v>
      </c>
      <c r="AT106" s="7">
        <v>12.583161361387731</v>
      </c>
      <c r="AU106" s="4">
        <v>16</v>
      </c>
      <c r="AV106" s="127">
        <f t="shared" si="63"/>
        <v>0</v>
      </c>
      <c r="AW106" s="124">
        <f t="shared" si="77"/>
        <v>0</v>
      </c>
      <c r="AX106" s="124">
        <f t="shared" si="78"/>
        <v>1</v>
      </c>
      <c r="AY106" s="124">
        <f t="shared" si="64"/>
        <v>1</v>
      </c>
      <c r="AZ106" s="125">
        <f t="shared" si="65"/>
        <v>4.9000000000000004</v>
      </c>
      <c r="BA106" s="125">
        <f t="shared" si="66"/>
        <v>6.3000000000000007</v>
      </c>
      <c r="BB106" s="125">
        <f t="shared" si="67"/>
        <v>11.5</v>
      </c>
      <c r="BC106" s="7">
        <v>6.2047619047619111</v>
      </c>
      <c r="BD106" s="7">
        <v>11.423809523809529</v>
      </c>
      <c r="BE106" s="124"/>
      <c r="BF106" s="8">
        <f t="shared" si="68"/>
        <v>60</v>
      </c>
      <c r="BG106" s="21">
        <f t="shared" si="69"/>
        <v>13.6</v>
      </c>
      <c r="BH106" s="124">
        <f t="shared" si="70"/>
        <v>0</v>
      </c>
      <c r="BI106" s="124">
        <f t="shared" si="79"/>
        <v>0</v>
      </c>
      <c r="BJ106" s="144">
        <f t="shared" si="71"/>
        <v>0</v>
      </c>
      <c r="BL106" s="99">
        <v>16</v>
      </c>
    </row>
    <row r="107" spans="1:64" ht="12.75" x14ac:dyDescent="0.2">
      <c r="A107" s="8">
        <f t="shared" si="35"/>
        <v>43</v>
      </c>
      <c r="B107" s="125">
        <f t="shared" si="36"/>
        <v>5</v>
      </c>
      <c r="C107" s="125">
        <f t="shared" si="37"/>
        <v>12.8</v>
      </c>
      <c r="D107" s="125">
        <f t="shared" si="72"/>
        <v>8.9</v>
      </c>
      <c r="E107" s="125">
        <f t="shared" si="38"/>
        <v>7.8000000000000007</v>
      </c>
      <c r="F107" s="7">
        <v>4.925000000000006</v>
      </c>
      <c r="G107" s="7">
        <v>12.821428571428578</v>
      </c>
      <c r="H107" s="7">
        <f t="shared" si="73"/>
        <v>8.8732142857142922</v>
      </c>
      <c r="I107" s="7">
        <f t="shared" si="74"/>
        <v>7.8964285714285722</v>
      </c>
      <c r="K107" s="7">
        <f t="shared" si="39"/>
        <v>11.7</v>
      </c>
      <c r="L107" s="7">
        <f t="shared" si="40"/>
        <v>13.15</v>
      </c>
      <c r="M107" s="370">
        <f t="shared" si="41"/>
        <v>4.8352941176470594</v>
      </c>
      <c r="N107" s="1">
        <f t="shared" si="42"/>
        <v>0</v>
      </c>
      <c r="O107" s="7">
        <f t="shared" si="43"/>
        <v>63.117647058823529</v>
      </c>
      <c r="P107" s="7">
        <f t="shared" si="44"/>
        <v>8.117647058823529</v>
      </c>
      <c r="Q107" s="7">
        <f t="shared" si="45"/>
        <v>17.152941176470591</v>
      </c>
      <c r="R107" s="7">
        <f t="shared" si="46"/>
        <v>12.623529411764707</v>
      </c>
      <c r="S107" s="7">
        <f t="shared" si="47"/>
        <v>9.0352941176470587</v>
      </c>
      <c r="T107" s="1">
        <v>48</v>
      </c>
      <c r="U107" s="333">
        <f t="shared" si="48"/>
        <v>1.8666666666666667</v>
      </c>
      <c r="V107" s="4">
        <v>17</v>
      </c>
      <c r="W107" s="7">
        <f t="shared" si="49"/>
        <v>4.641</v>
      </c>
      <c r="X107" s="7">
        <f t="shared" si="50"/>
        <v>13.104000000000001</v>
      </c>
      <c r="Y107" s="8">
        <f t="shared" si="51"/>
        <v>2</v>
      </c>
      <c r="Z107" s="7">
        <f>IF(ISBLANK(Z20),NA(),SUM($Z$4:Z20))</f>
        <v>1.7</v>
      </c>
      <c r="AA107" s="7">
        <f t="shared" si="75"/>
        <v>31.733333333333334</v>
      </c>
      <c r="AB107" s="26">
        <f>IF(ISBLANK(Z20),"",SUM($Z$4:Z20))</f>
        <v>1.7</v>
      </c>
      <c r="AC107" s="115">
        <f t="shared" si="76"/>
        <v>5.3571428571428568E-2</v>
      </c>
      <c r="AD107" s="8">
        <f t="shared" si="52"/>
        <v>1022.2941176470588</v>
      </c>
      <c r="AE107" s="610">
        <f t="shared" si="53"/>
        <v>1.2720851284148906</v>
      </c>
      <c r="AF107" s="524">
        <f t="shared" si="54"/>
        <v>0.29166666666666669</v>
      </c>
      <c r="AG107" s="22">
        <f>IF(ISBLANK(AP20),NA(),SUM($AP$4:AP20))</f>
        <v>95.699999999999989</v>
      </c>
      <c r="AH107" s="7">
        <f>SUM($AS$91:AS107)</f>
        <v>75.230814245308451</v>
      </c>
      <c r="AI107" s="115">
        <f t="shared" si="55"/>
        <v>1.2720851284148906</v>
      </c>
      <c r="AJ107" s="124">
        <f t="shared" si="56"/>
        <v>0</v>
      </c>
      <c r="AK107" s="8">
        <f t="shared" si="57"/>
        <v>1025</v>
      </c>
      <c r="AL107" s="124">
        <f t="shared" si="58"/>
        <v>0</v>
      </c>
      <c r="AM107" s="524">
        <f t="shared" si="59"/>
        <v>0.62152777777777779</v>
      </c>
      <c r="AN107" s="7">
        <f>C85-G39</f>
        <v>-0.20000000000000107</v>
      </c>
      <c r="AO107" s="524">
        <f t="shared" si="60"/>
        <v>0.55555555555555558</v>
      </c>
      <c r="AP107" s="449" t="s">
        <v>213</v>
      </c>
      <c r="AQ107" s="448">
        <v>0.06</v>
      </c>
      <c r="AR107" s="524">
        <f t="shared" si="61"/>
        <v>0.20486111111111113</v>
      </c>
      <c r="AS107" s="7">
        <f t="shared" si="62"/>
        <v>4.6024182553301065</v>
      </c>
      <c r="AT107" s="7">
        <v>12.643045454354541</v>
      </c>
      <c r="AU107" s="4">
        <v>17</v>
      </c>
      <c r="AV107" s="127">
        <f t="shared" si="63"/>
        <v>1</v>
      </c>
      <c r="AW107" s="124">
        <f t="shared" si="77"/>
        <v>0</v>
      </c>
      <c r="AX107" s="124">
        <f t="shared" si="78"/>
        <v>1</v>
      </c>
      <c r="AY107" s="124">
        <f t="shared" si="64"/>
        <v>1</v>
      </c>
      <c r="AZ107" s="125">
        <f t="shared" si="65"/>
        <v>4.9000000000000004</v>
      </c>
      <c r="BA107" s="125">
        <f t="shared" si="66"/>
        <v>6.3000000000000007</v>
      </c>
      <c r="BB107" s="125">
        <f t="shared" si="67"/>
        <v>11.5</v>
      </c>
      <c r="BC107" s="7">
        <v>6.2410714285714342</v>
      </c>
      <c r="BD107" s="7">
        <v>11.50535714285715</v>
      </c>
      <c r="BE107" s="124"/>
      <c r="BF107" s="8">
        <f t="shared" si="68"/>
        <v>64</v>
      </c>
      <c r="BG107" s="21">
        <f t="shared" si="69"/>
        <v>13.3</v>
      </c>
      <c r="BH107" s="124">
        <f t="shared" si="70"/>
        <v>0</v>
      </c>
      <c r="BI107" s="124">
        <f t="shared" si="79"/>
        <v>0</v>
      </c>
      <c r="BJ107" s="144">
        <f t="shared" si="71"/>
        <v>0</v>
      </c>
      <c r="BL107" s="99">
        <v>17</v>
      </c>
    </row>
    <row r="108" spans="1:64" ht="12.75" x14ac:dyDescent="0.2">
      <c r="A108" s="8">
        <f t="shared" si="35"/>
        <v>53</v>
      </c>
      <c r="B108" s="125">
        <f t="shared" si="36"/>
        <v>5</v>
      </c>
      <c r="C108" s="125">
        <f t="shared" si="37"/>
        <v>12.8</v>
      </c>
      <c r="D108" s="125">
        <f t="shared" si="72"/>
        <v>8.9</v>
      </c>
      <c r="E108" s="125">
        <f t="shared" si="38"/>
        <v>7.8000000000000007</v>
      </c>
      <c r="F108" s="7">
        <v>4.9500000000000064</v>
      </c>
      <c r="G108" s="7">
        <v>12.914285714285722</v>
      </c>
      <c r="H108" s="7">
        <f t="shared" si="73"/>
        <v>8.932142857142864</v>
      </c>
      <c r="I108" s="7">
        <f t="shared" si="74"/>
        <v>7.9642857142857153</v>
      </c>
      <c r="K108" s="7">
        <f t="shared" si="39"/>
        <v>11.400000000000002</v>
      </c>
      <c r="L108" s="7">
        <f t="shared" si="40"/>
        <v>12.4</v>
      </c>
      <c r="M108" s="370">
        <f t="shared" si="41"/>
        <v>4.822222222222222</v>
      </c>
      <c r="N108" s="1">
        <f t="shared" si="42"/>
        <v>0</v>
      </c>
      <c r="O108" s="7">
        <f t="shared" si="43"/>
        <v>62.888888888888886</v>
      </c>
      <c r="P108" s="7">
        <f t="shared" si="44"/>
        <v>8.0388888888888879</v>
      </c>
      <c r="Q108" s="7">
        <f t="shared" si="45"/>
        <v>17.205555555555559</v>
      </c>
      <c r="R108" s="7">
        <f t="shared" si="46"/>
        <v>12.622222222222224</v>
      </c>
      <c r="S108" s="7">
        <f t="shared" si="47"/>
        <v>9.1666666666666661</v>
      </c>
      <c r="T108" s="1">
        <v>49</v>
      </c>
      <c r="U108" s="333">
        <f t="shared" si="48"/>
        <v>1.8666666666666667</v>
      </c>
      <c r="V108" s="4">
        <v>18</v>
      </c>
      <c r="W108" s="7">
        <f t="shared" si="49"/>
        <v>4.9140000000000006</v>
      </c>
      <c r="X108" s="7">
        <f t="shared" si="50"/>
        <v>13.377000000000001</v>
      </c>
      <c r="Y108" s="8">
        <f t="shared" si="51"/>
        <v>11</v>
      </c>
      <c r="Z108" s="7">
        <f>IF(ISBLANK(Z21),NA(),SUM($Z$4:Z21))</f>
        <v>1.7</v>
      </c>
      <c r="AA108" s="7">
        <f t="shared" si="75"/>
        <v>33.6</v>
      </c>
      <c r="AB108" s="26">
        <f>IF(ISBLANK(Z21),"",SUM($Z$4:Z21))</f>
        <v>1.7</v>
      </c>
      <c r="AC108" s="115">
        <f t="shared" si="76"/>
        <v>5.0595238095238089E-2</v>
      </c>
      <c r="AD108" s="8">
        <f t="shared" si="52"/>
        <v>1022.0833333333334</v>
      </c>
      <c r="AE108" s="610">
        <f t="shared" si="53"/>
        <v>1.2860818906290021</v>
      </c>
      <c r="AF108" s="524">
        <f t="shared" si="54"/>
        <v>0.3125</v>
      </c>
      <c r="AG108" s="22">
        <f>IF(ISBLANK(AP21),NA(),SUM($AP$4:AP21))</f>
        <v>102.69999999999999</v>
      </c>
      <c r="AH108" s="7">
        <f>SUM($AS$91:AS108)</f>
        <v>79.854946056173034</v>
      </c>
      <c r="AI108" s="115">
        <f t="shared" si="55"/>
        <v>1.2860818906290021</v>
      </c>
      <c r="AJ108" s="124">
        <f t="shared" si="56"/>
        <v>0</v>
      </c>
      <c r="AK108" s="8">
        <f t="shared" si="57"/>
        <v>1018.5</v>
      </c>
      <c r="AL108" s="124">
        <f t="shared" si="58"/>
        <v>0</v>
      </c>
      <c r="AM108" s="524">
        <f t="shared" si="59"/>
        <v>0.65277777777777779</v>
      </c>
      <c r="AN108" s="124">
        <f t="array" ref="AN108">SUM(IF(Z4:Z34&gt;10,1,0))</f>
        <v>0</v>
      </c>
      <c r="AO108" s="524">
        <f t="shared" si="60"/>
        <v>0.57986111111111105</v>
      </c>
      <c r="AP108" s="303"/>
      <c r="AQ108" s="303"/>
      <c r="AR108" s="524">
        <f t="shared" si="61"/>
        <v>0.25694444444444448</v>
      </c>
      <c r="AS108" s="7">
        <f t="shared" si="62"/>
        <v>4.6241318108645837</v>
      </c>
      <c r="AT108" s="7">
        <v>12.702693546806833</v>
      </c>
      <c r="AU108" s="4">
        <v>18</v>
      </c>
      <c r="AV108" s="127">
        <f t="shared" si="63"/>
        <v>1</v>
      </c>
      <c r="AW108" s="124">
        <f t="shared" si="77"/>
        <v>0</v>
      </c>
      <c r="AX108" s="124">
        <f t="shared" si="78"/>
        <v>1</v>
      </c>
      <c r="AY108" s="124">
        <f t="shared" si="64"/>
        <v>0</v>
      </c>
      <c r="AZ108" s="125">
        <f t="shared" si="65"/>
        <v>4.9000000000000004</v>
      </c>
      <c r="BA108" s="125">
        <f t="shared" si="66"/>
        <v>6.3000000000000007</v>
      </c>
      <c r="BB108" s="125">
        <f t="shared" si="67"/>
        <v>11.5</v>
      </c>
      <c r="BC108" s="7">
        <v>6.2773809523809589</v>
      </c>
      <c r="BD108" s="7">
        <v>11.586904761904769</v>
      </c>
      <c r="BE108" s="124"/>
      <c r="BF108" s="8">
        <f t="shared" si="68"/>
        <v>59</v>
      </c>
      <c r="BG108" s="21">
        <f t="shared" si="69"/>
        <v>12.6</v>
      </c>
      <c r="BH108" s="124">
        <f t="shared" si="70"/>
        <v>0</v>
      </c>
      <c r="BI108" s="124">
        <f t="shared" si="79"/>
        <v>0</v>
      </c>
      <c r="BJ108" s="144">
        <f t="shared" si="71"/>
        <v>0</v>
      </c>
      <c r="BL108" s="99">
        <v>18</v>
      </c>
    </row>
    <row r="109" spans="1:64" ht="12.75" x14ac:dyDescent="0.2">
      <c r="A109" s="8">
        <f t="shared" si="35"/>
        <v>47</v>
      </c>
      <c r="B109" s="125">
        <f t="shared" si="36"/>
        <v>5</v>
      </c>
      <c r="C109" s="125">
        <f t="shared" si="37"/>
        <v>12.8</v>
      </c>
      <c r="D109" s="125">
        <f t="shared" si="72"/>
        <v>8.9</v>
      </c>
      <c r="E109" s="125">
        <f t="shared" si="38"/>
        <v>7.8000000000000007</v>
      </c>
      <c r="F109" s="7">
        <v>4.9750000000000068</v>
      </c>
      <c r="G109" s="7">
        <v>13.007142857142865</v>
      </c>
      <c r="H109" s="7">
        <f t="shared" si="73"/>
        <v>8.9910714285714359</v>
      </c>
      <c r="I109" s="7">
        <f t="shared" si="74"/>
        <v>8.0321428571428584</v>
      </c>
      <c r="K109" s="7">
        <f t="shared" si="39"/>
        <v>15.099999999999998</v>
      </c>
      <c r="L109" s="7">
        <f t="shared" si="40"/>
        <v>16.850000000000001</v>
      </c>
      <c r="M109" s="370">
        <f t="shared" si="41"/>
        <v>4.7</v>
      </c>
      <c r="N109" s="1">
        <f t="shared" si="42"/>
        <v>0</v>
      </c>
      <c r="O109" s="7">
        <f t="shared" si="43"/>
        <v>62.315789473684212</v>
      </c>
      <c r="P109" s="7">
        <f t="shared" si="44"/>
        <v>8.1052631578947363</v>
      </c>
      <c r="Q109" s="7">
        <f t="shared" si="45"/>
        <v>17.58421052631579</v>
      </c>
      <c r="R109" s="7">
        <f t="shared" si="46"/>
        <v>12.831578947368422</v>
      </c>
      <c r="S109" s="7">
        <f t="shared" si="47"/>
        <v>9.4789473684210517</v>
      </c>
      <c r="T109" s="1">
        <v>50</v>
      </c>
      <c r="U109" s="333">
        <f t="shared" si="48"/>
        <v>1.8666666666666667</v>
      </c>
      <c r="V109" s="4">
        <v>19</v>
      </c>
      <c r="W109" s="7">
        <f t="shared" si="49"/>
        <v>5.1870000000000003</v>
      </c>
      <c r="X109" s="7">
        <f t="shared" si="50"/>
        <v>13.65</v>
      </c>
      <c r="Y109" s="8">
        <f t="shared" si="51"/>
        <v>4</v>
      </c>
      <c r="Z109" s="7">
        <f>IF(ISBLANK(Z22),NA(),SUM($Z$4:Z22))</f>
        <v>1.7</v>
      </c>
      <c r="AA109" s="7">
        <f t="shared" si="75"/>
        <v>35.466666666666669</v>
      </c>
      <c r="AB109" s="26">
        <f>IF(ISBLANK(Z22),"",SUM($Z$4:Z22))</f>
        <v>1.7</v>
      </c>
      <c r="AC109" s="115">
        <f t="shared" si="76"/>
        <v>4.7932330827067667E-2</v>
      </c>
      <c r="AD109" s="8">
        <f t="shared" si="52"/>
        <v>1021.6578947368421</v>
      </c>
      <c r="AE109" s="610">
        <f t="shared" si="53"/>
        <v>1.3573851922857405</v>
      </c>
      <c r="AF109" s="524">
        <f t="shared" si="54"/>
        <v>0.30555555555555552</v>
      </c>
      <c r="AG109" s="22">
        <f>IF(ISBLANK(AP22),NA(),SUM($AP$4:AP22))</f>
        <v>114.69999999999999</v>
      </c>
      <c r="AH109" s="7">
        <f>SUM($AS$91:AS109)</f>
        <v>84.50070079728313</v>
      </c>
      <c r="AI109" s="115">
        <f t="shared" si="55"/>
        <v>1.3573851922857405</v>
      </c>
      <c r="AJ109" s="124">
        <f t="shared" si="56"/>
        <v>0</v>
      </c>
      <c r="AK109" s="8">
        <f t="shared" si="57"/>
        <v>1014</v>
      </c>
      <c r="AL109" s="124">
        <f t="shared" si="58"/>
        <v>0</v>
      </c>
      <c r="AM109" s="524">
        <f t="shared" si="59"/>
        <v>0.73611111111111116</v>
      </c>
      <c r="AO109" s="524">
        <f t="shared" si="60"/>
        <v>0.69097222222222221</v>
      </c>
      <c r="AP109" s="423" t="s">
        <v>129</v>
      </c>
      <c r="AQ109" s="453">
        <f>MAX(AQ92:AQ107)</f>
        <v>0.11</v>
      </c>
      <c r="AR109" s="524">
        <f t="shared" si="61"/>
        <v>0.27430555555555552</v>
      </c>
      <c r="AS109" s="7">
        <f t="shared" si="62"/>
        <v>4.6457547411101023</v>
      </c>
      <c r="AT109" s="7">
        <v>12.762092687602832</v>
      </c>
      <c r="AU109" s="4">
        <v>19</v>
      </c>
      <c r="AV109" s="127">
        <f t="shared" si="63"/>
        <v>1</v>
      </c>
      <c r="AW109" s="124">
        <f t="shared" si="77"/>
        <v>0</v>
      </c>
      <c r="AX109" s="124">
        <f t="shared" si="78"/>
        <v>1</v>
      </c>
      <c r="AY109" s="124">
        <f t="shared" si="64"/>
        <v>0</v>
      </c>
      <c r="AZ109" s="125">
        <f t="shared" si="65"/>
        <v>4.9000000000000004</v>
      </c>
      <c r="BA109" s="125">
        <f t="shared" si="66"/>
        <v>6.3000000000000007</v>
      </c>
      <c r="BB109" s="125">
        <f t="shared" si="67"/>
        <v>11.5</v>
      </c>
      <c r="BC109" s="7">
        <v>6.3136904761904837</v>
      </c>
      <c r="BD109" s="7">
        <v>11.668452380952388</v>
      </c>
      <c r="BE109" s="124"/>
      <c r="BF109" s="8">
        <f t="shared" si="68"/>
        <v>52</v>
      </c>
      <c r="BG109" s="21">
        <f t="shared" si="69"/>
        <v>16.600000000000001</v>
      </c>
      <c r="BH109" s="124">
        <f t="shared" si="70"/>
        <v>0</v>
      </c>
      <c r="BI109" s="124">
        <f t="shared" si="79"/>
        <v>0</v>
      </c>
      <c r="BJ109" s="144">
        <f t="shared" si="71"/>
        <v>0</v>
      </c>
      <c r="BL109" s="99">
        <v>19</v>
      </c>
    </row>
    <row r="110" spans="1:64" ht="12.75" x14ac:dyDescent="0.2">
      <c r="A110" s="8">
        <f t="shared" si="35"/>
        <v>46</v>
      </c>
      <c r="B110" s="125">
        <f t="shared" si="36"/>
        <v>5</v>
      </c>
      <c r="C110" s="125">
        <f t="shared" si="37"/>
        <v>12.8</v>
      </c>
      <c r="D110" s="125">
        <f t="shared" si="72"/>
        <v>8.9</v>
      </c>
      <c r="E110" s="125">
        <f t="shared" si="38"/>
        <v>7.8000000000000007</v>
      </c>
      <c r="F110" s="7">
        <v>5</v>
      </c>
      <c r="G110" s="7">
        <v>13.1</v>
      </c>
      <c r="H110" s="7">
        <f t="shared" si="73"/>
        <v>9.0500000000000007</v>
      </c>
      <c r="I110" s="7">
        <f t="shared" si="74"/>
        <v>8.1</v>
      </c>
      <c r="K110" s="7">
        <f t="shared" si="39"/>
        <v>15.299999999999999</v>
      </c>
      <c r="L110" s="7">
        <f t="shared" si="40"/>
        <v>16.75</v>
      </c>
      <c r="M110" s="370">
        <f t="shared" si="41"/>
        <v>4.58</v>
      </c>
      <c r="N110" s="1">
        <f t="shared" si="42"/>
        <v>0</v>
      </c>
      <c r="O110" s="7">
        <f t="shared" si="43"/>
        <v>61.9</v>
      </c>
      <c r="P110" s="7">
        <f t="shared" si="44"/>
        <v>8.1549999999999994</v>
      </c>
      <c r="Q110" s="7">
        <f t="shared" si="45"/>
        <v>17.925000000000001</v>
      </c>
      <c r="R110" s="7">
        <f t="shared" si="46"/>
        <v>13.030000000000001</v>
      </c>
      <c r="S110" s="7">
        <f t="shared" si="47"/>
        <v>9.77</v>
      </c>
      <c r="T110" s="1">
        <v>51</v>
      </c>
      <c r="U110" s="333">
        <f t="shared" si="48"/>
        <v>1.8666666666666667</v>
      </c>
      <c r="V110" s="4">
        <v>20</v>
      </c>
      <c r="W110" s="7">
        <f t="shared" si="49"/>
        <v>5.4600000000000009</v>
      </c>
      <c r="X110" s="7">
        <f t="shared" si="50"/>
        <v>13.923000000000002</v>
      </c>
      <c r="Y110" s="8">
        <f t="shared" si="51"/>
        <v>2</v>
      </c>
      <c r="Z110" s="7">
        <f>IF(ISBLANK(Z23),NA(),SUM($Z$4:Z23))</f>
        <v>1.7</v>
      </c>
      <c r="AA110" s="7">
        <f t="shared" si="75"/>
        <v>37.333333333333336</v>
      </c>
      <c r="AB110" s="26">
        <f>IF(ISBLANK(Z23),"",SUM($Z$4:Z23))</f>
        <v>1.7</v>
      </c>
      <c r="AC110" s="115">
        <f t="shared" si="76"/>
        <v>4.5535714285714284E-2</v>
      </c>
      <c r="AD110" s="8">
        <f t="shared" si="52"/>
        <v>1021.325</v>
      </c>
      <c r="AE110" s="610">
        <f t="shared" si="53"/>
        <v>1.3872692402660303</v>
      </c>
      <c r="AF110" s="524">
        <f t="shared" si="54"/>
        <v>0.30208333333333331</v>
      </c>
      <c r="AG110" s="22">
        <f>IF(ISBLANK(AP23),NA(),SUM($AP$4:AP23))</f>
        <v>123.69999999999999</v>
      </c>
      <c r="AH110" s="7">
        <f>SUM($AS$91:AS110)</f>
        <v>89.16798297659841</v>
      </c>
      <c r="AI110" s="115">
        <f t="shared" si="55"/>
        <v>1.3872692402660303</v>
      </c>
      <c r="AJ110" s="124">
        <f t="shared" si="56"/>
        <v>0</v>
      </c>
      <c r="AK110" s="8">
        <f t="shared" si="57"/>
        <v>1015</v>
      </c>
      <c r="AL110" s="124">
        <f t="shared" si="58"/>
        <v>0</v>
      </c>
      <c r="AM110" s="524">
        <f t="shared" si="59"/>
        <v>0.6875</v>
      </c>
      <c r="AO110" s="524">
        <f t="shared" si="60"/>
        <v>0.59375</v>
      </c>
      <c r="AR110" s="524">
        <f t="shared" si="61"/>
        <v>0.25694444444444448</v>
      </c>
      <c r="AS110" s="7">
        <f t="shared" si="62"/>
        <v>4.6672821793152837</v>
      </c>
      <c r="AT110" s="7">
        <v>12.821229507562363</v>
      </c>
      <c r="AU110" s="4">
        <v>20</v>
      </c>
      <c r="AV110" s="127">
        <f t="shared" si="63"/>
        <v>1</v>
      </c>
      <c r="AW110" s="124">
        <f t="shared" si="77"/>
        <v>0</v>
      </c>
      <c r="AX110" s="124">
        <f t="shared" si="78"/>
        <v>1</v>
      </c>
      <c r="AY110" s="124">
        <f t="shared" si="64"/>
        <v>1</v>
      </c>
      <c r="AZ110" s="125">
        <f t="shared" si="65"/>
        <v>4.9000000000000004</v>
      </c>
      <c r="BA110" s="125">
        <f t="shared" si="66"/>
        <v>6.3000000000000007</v>
      </c>
      <c r="BB110" s="125">
        <f t="shared" si="67"/>
        <v>11.5</v>
      </c>
      <c r="BC110" s="7">
        <v>6.35</v>
      </c>
      <c r="BD110" s="7">
        <v>11.75</v>
      </c>
      <c r="BE110" s="124"/>
      <c r="BF110" s="8">
        <f t="shared" si="68"/>
        <v>54</v>
      </c>
      <c r="BG110" s="21">
        <f t="shared" si="69"/>
        <v>16.8</v>
      </c>
      <c r="BH110" s="124">
        <f t="shared" si="70"/>
        <v>0</v>
      </c>
      <c r="BI110" s="124">
        <f t="shared" si="79"/>
        <v>0</v>
      </c>
      <c r="BJ110" s="144">
        <f t="shared" si="71"/>
        <v>0</v>
      </c>
      <c r="BL110" s="99">
        <v>20</v>
      </c>
    </row>
    <row r="111" spans="1:64" ht="12.75" x14ac:dyDescent="0.2">
      <c r="A111" s="8">
        <f t="shared" si="35"/>
        <v>35</v>
      </c>
      <c r="B111" s="125">
        <f t="shared" si="36"/>
        <v>5</v>
      </c>
      <c r="C111" s="125">
        <f t="shared" si="37"/>
        <v>12.8</v>
      </c>
      <c r="D111" s="125">
        <f t="shared" si="72"/>
        <v>8.9</v>
      </c>
      <c r="E111" s="125">
        <f t="shared" si="38"/>
        <v>7.8000000000000007</v>
      </c>
      <c r="F111" s="7">
        <v>5.1100000000000003</v>
      </c>
      <c r="G111" s="7">
        <v>13.26</v>
      </c>
      <c r="H111" s="7">
        <f t="shared" si="73"/>
        <v>9.1850000000000005</v>
      </c>
      <c r="I111" s="7">
        <f t="shared" si="74"/>
        <v>8.1499999999999986</v>
      </c>
      <c r="K111" s="7">
        <f t="shared" si="39"/>
        <v>12.799999999999999</v>
      </c>
      <c r="L111" s="7">
        <f t="shared" si="40"/>
        <v>18</v>
      </c>
      <c r="M111" s="370">
        <f t="shared" si="41"/>
        <v>4.5285714285714285</v>
      </c>
      <c r="N111" s="1">
        <f t="shared" si="42"/>
        <v>0</v>
      </c>
      <c r="O111" s="7">
        <f t="shared" si="43"/>
        <v>61.238095238095241</v>
      </c>
      <c r="P111" s="7">
        <f t="shared" si="44"/>
        <v>8.3190476190476179</v>
      </c>
      <c r="Q111" s="7">
        <f t="shared" si="45"/>
        <v>18.233333333333331</v>
      </c>
      <c r="R111" s="7">
        <f t="shared" si="46"/>
        <v>13.242857142857144</v>
      </c>
      <c r="S111" s="7">
        <f t="shared" si="47"/>
        <v>9.9142857142857146</v>
      </c>
      <c r="T111" s="1">
        <v>52</v>
      </c>
      <c r="U111" s="333">
        <f t="shared" si="48"/>
        <v>1.8666666666666667</v>
      </c>
      <c r="V111" s="4">
        <v>21</v>
      </c>
      <c r="W111" s="7">
        <f t="shared" si="49"/>
        <v>5.7330000000000005</v>
      </c>
      <c r="X111" s="7">
        <f t="shared" si="50"/>
        <v>14.196000000000002</v>
      </c>
      <c r="Y111" s="8">
        <f t="shared" si="51"/>
        <v>5</v>
      </c>
      <c r="Z111" s="7">
        <f>IF(ISBLANK(Z24),NA(),SUM($Z$4:Z24))</f>
        <v>1.7</v>
      </c>
      <c r="AA111" s="7">
        <f t="shared" si="75"/>
        <v>39.200000000000003</v>
      </c>
      <c r="AB111" s="26">
        <f>IF(ISBLANK(Z24),"",SUM($Z$4:Z24))</f>
        <v>1.7</v>
      </c>
      <c r="AC111" s="115">
        <f t="shared" si="76"/>
        <v>4.3367346938775503E-2</v>
      </c>
      <c r="AD111" s="8">
        <f t="shared" si="52"/>
        <v>1020.952380952381</v>
      </c>
      <c r="AE111" s="610">
        <f t="shared" si="53"/>
        <v>1.4032030863572365</v>
      </c>
      <c r="AF111" s="524">
        <f t="shared" si="54"/>
        <v>0.19444444444444445</v>
      </c>
      <c r="AG111" s="22">
        <f>IF(ISBLANK(AP24),NA(),SUM($AP$4:AP24))</f>
        <v>131.69999999999999</v>
      </c>
      <c r="AH111" s="7">
        <f>SUM($AS$91:AS111)</f>
        <v>93.85669207861973</v>
      </c>
      <c r="AI111" s="115">
        <f t="shared" si="55"/>
        <v>1.4032030863572365</v>
      </c>
      <c r="AJ111" s="124">
        <f t="shared" si="56"/>
        <v>0</v>
      </c>
      <c r="AK111" s="8">
        <f t="shared" si="57"/>
        <v>1013.5</v>
      </c>
      <c r="AL111" s="124">
        <f t="shared" si="58"/>
        <v>0</v>
      </c>
      <c r="AM111" s="524">
        <f t="shared" si="59"/>
        <v>0.75</v>
      </c>
      <c r="AO111" s="524">
        <f t="shared" si="60"/>
        <v>0.625</v>
      </c>
      <c r="AQ111" s="377">
        <f>SUM(AQ92:AQ107)</f>
        <v>0.99000000000000021</v>
      </c>
      <c r="AR111" s="524">
        <f t="shared" si="61"/>
        <v>0.1423611111111111</v>
      </c>
      <c r="AS111" s="7">
        <f t="shared" si="62"/>
        <v>4.6887091020213152</v>
      </c>
      <c r="AT111" s="7">
        <v>12.880090207023036</v>
      </c>
      <c r="AU111" s="4">
        <v>21</v>
      </c>
      <c r="AV111" s="127">
        <f t="shared" si="63"/>
        <v>1</v>
      </c>
      <c r="AW111" s="124">
        <f t="shared" si="77"/>
        <v>0</v>
      </c>
      <c r="AX111" s="124">
        <f t="shared" si="78"/>
        <v>1</v>
      </c>
      <c r="AY111" s="124">
        <f t="shared" si="64"/>
        <v>0</v>
      </c>
      <c r="AZ111" s="125">
        <f t="shared" si="65"/>
        <v>4.9000000000000004</v>
      </c>
      <c r="BA111" s="125">
        <f t="shared" si="66"/>
        <v>6.3000000000000007</v>
      </c>
      <c r="BB111" s="125">
        <f t="shared" si="67"/>
        <v>11.5</v>
      </c>
      <c r="BC111" s="7">
        <v>6.4683333333333337</v>
      </c>
      <c r="BD111" s="7">
        <v>11.901666666666667</v>
      </c>
      <c r="BE111" s="124"/>
      <c r="BF111" s="8">
        <f t="shared" si="68"/>
        <v>48</v>
      </c>
      <c r="BG111" s="21">
        <f t="shared" si="69"/>
        <v>17.5</v>
      </c>
      <c r="BH111" s="124">
        <f t="shared" si="70"/>
        <v>0</v>
      </c>
      <c r="BI111" s="124">
        <f t="shared" si="79"/>
        <v>0</v>
      </c>
      <c r="BJ111" s="144">
        <f t="shared" si="71"/>
        <v>0</v>
      </c>
      <c r="BL111" s="99">
        <v>21</v>
      </c>
    </row>
    <row r="112" spans="1:64" ht="12.75" x14ac:dyDescent="0.2">
      <c r="A112" s="8">
        <f t="shared" si="35"/>
        <v>44</v>
      </c>
      <c r="B112" s="125">
        <f t="shared" si="36"/>
        <v>5</v>
      </c>
      <c r="C112" s="125">
        <f t="shared" si="37"/>
        <v>12.8</v>
      </c>
      <c r="D112" s="125">
        <f t="shared" si="72"/>
        <v>8.9</v>
      </c>
      <c r="E112" s="125">
        <f t="shared" si="38"/>
        <v>7.8000000000000007</v>
      </c>
      <c r="F112" s="7">
        <v>5.22</v>
      </c>
      <c r="G112" s="7">
        <v>13.42</v>
      </c>
      <c r="H112" s="7">
        <f t="shared" si="73"/>
        <v>9.32</v>
      </c>
      <c r="I112" s="7">
        <f t="shared" si="74"/>
        <v>8.1999999999999993</v>
      </c>
      <c r="K112" s="7">
        <f t="shared" si="39"/>
        <v>16</v>
      </c>
      <c r="L112" s="7">
        <f t="shared" si="40"/>
        <v>17.600000000000001</v>
      </c>
      <c r="M112" s="370">
        <f t="shared" si="41"/>
        <v>4.4454545454545453</v>
      </c>
      <c r="N112" s="1">
        <f t="shared" si="42"/>
        <v>0</v>
      </c>
      <c r="O112" s="7">
        <f t="shared" si="43"/>
        <v>60.727272727272727</v>
      </c>
      <c r="P112" s="7">
        <f t="shared" si="44"/>
        <v>8.377272727272727</v>
      </c>
      <c r="Q112" s="7">
        <f t="shared" si="45"/>
        <v>18.568181818181817</v>
      </c>
      <c r="R112" s="7">
        <f t="shared" si="46"/>
        <v>13.459090909090911</v>
      </c>
      <c r="S112" s="7">
        <f t="shared" si="47"/>
        <v>10.190909090909091</v>
      </c>
      <c r="T112" s="1">
        <v>53</v>
      </c>
      <c r="U112" s="333">
        <f t="shared" si="48"/>
        <v>1.8666666666666667</v>
      </c>
      <c r="V112" s="4">
        <v>22</v>
      </c>
      <c r="W112" s="7">
        <f t="shared" si="49"/>
        <v>6.0060000000000002</v>
      </c>
      <c r="X112" s="7">
        <f t="shared" si="50"/>
        <v>14.469000000000001</v>
      </c>
      <c r="Y112" s="8">
        <f t="shared" si="51"/>
        <v>3</v>
      </c>
      <c r="Z112" s="7">
        <f>IF(ISBLANK(Z25),NA(),SUM($Z$4:Z25))</f>
        <v>1.7</v>
      </c>
      <c r="AA112" s="7">
        <f t="shared" si="75"/>
        <v>41.06666666666667</v>
      </c>
      <c r="AB112" s="26">
        <f>IF(ISBLANK(Z25),"",SUM($Z$4:Z25))</f>
        <v>1.7</v>
      </c>
      <c r="AC112" s="115">
        <f t="shared" si="76"/>
        <v>4.1396103896103889E-2</v>
      </c>
      <c r="AD112" s="8">
        <f t="shared" si="52"/>
        <v>1020.4318181818181</v>
      </c>
      <c r="AE112" s="610">
        <f t="shared" si="53"/>
        <v>1.4670265630652688</v>
      </c>
      <c r="AF112" s="524">
        <f t="shared" si="54"/>
        <v>0.2986111111111111</v>
      </c>
      <c r="AG112" s="22">
        <f>IF(ISBLANK(AP25),NA(),SUM($AP$4:AP25))</f>
        <v>144.6</v>
      </c>
      <c r="AH112" s="7">
        <f>SUM($AS$91:AS112)</f>
        <v>98.56672240335341</v>
      </c>
      <c r="AI112" s="115">
        <f t="shared" si="55"/>
        <v>1.4670265630652688</v>
      </c>
      <c r="AJ112" s="124">
        <f t="shared" si="56"/>
        <v>0</v>
      </c>
      <c r="AK112" s="8">
        <f t="shared" si="57"/>
        <v>1009.5</v>
      </c>
      <c r="AL112" s="124">
        <f t="shared" si="58"/>
        <v>0</v>
      </c>
      <c r="AM112" s="524">
        <f t="shared" si="59"/>
        <v>0.66666666666666663</v>
      </c>
      <c r="AO112" s="524">
        <f t="shared" si="60"/>
        <v>0.63194444444444442</v>
      </c>
      <c r="AR112" s="524">
        <f t="shared" si="61"/>
        <v>0.2673611111111111</v>
      </c>
      <c r="AS112" s="7">
        <f t="shared" si="62"/>
        <v>4.710030324733677</v>
      </c>
      <c r="AT112" s="7">
        <v>12.938660543950284</v>
      </c>
      <c r="AU112" s="4">
        <v>22</v>
      </c>
      <c r="AV112" s="127">
        <f t="shared" si="63"/>
        <v>1</v>
      </c>
      <c r="AW112" s="124">
        <f t="shared" si="77"/>
        <v>0</v>
      </c>
      <c r="AX112" s="124">
        <f t="shared" si="78"/>
        <v>1</v>
      </c>
      <c r="AY112" s="124">
        <f t="shared" si="64"/>
        <v>0</v>
      </c>
      <c r="AZ112" s="125">
        <f t="shared" si="65"/>
        <v>4.9000000000000004</v>
      </c>
      <c r="BA112" s="125">
        <f t="shared" si="66"/>
        <v>6.3000000000000007</v>
      </c>
      <c r="BB112" s="125">
        <f t="shared" si="67"/>
        <v>11.5</v>
      </c>
      <c r="BC112" s="7">
        <v>6.586666666666666</v>
      </c>
      <c r="BD112" s="7">
        <v>12.053333333333335</v>
      </c>
      <c r="BE112" s="124"/>
      <c r="BF112" s="8">
        <f t="shared" si="68"/>
        <v>50</v>
      </c>
      <c r="BG112" s="21">
        <f t="shared" si="69"/>
        <v>18</v>
      </c>
      <c r="BH112" s="124">
        <f t="shared" si="70"/>
        <v>1</v>
      </c>
      <c r="BI112" s="124">
        <f t="shared" si="79"/>
        <v>0</v>
      </c>
      <c r="BJ112" s="144">
        <f t="shared" si="71"/>
        <v>0</v>
      </c>
      <c r="BL112" s="99">
        <v>22</v>
      </c>
    </row>
    <row r="113" spans="1:64" ht="12.75" x14ac:dyDescent="0.2">
      <c r="A113" s="8">
        <f t="shared" si="35"/>
        <v>49</v>
      </c>
      <c r="B113" s="125">
        <f t="shared" si="36"/>
        <v>5</v>
      </c>
      <c r="C113" s="125">
        <f t="shared" si="37"/>
        <v>12.8</v>
      </c>
      <c r="D113" s="125">
        <f t="shared" si="72"/>
        <v>8.9</v>
      </c>
      <c r="E113" s="125">
        <f t="shared" si="38"/>
        <v>7.8000000000000007</v>
      </c>
      <c r="F113" s="7">
        <v>5.33</v>
      </c>
      <c r="G113" s="7">
        <v>13.58</v>
      </c>
      <c r="H113" s="7">
        <f t="shared" si="73"/>
        <v>9.4550000000000001</v>
      </c>
      <c r="I113" s="7">
        <f t="shared" si="74"/>
        <v>8.25</v>
      </c>
      <c r="K113" s="7">
        <f t="shared" si="39"/>
        <v>16.399999999999999</v>
      </c>
      <c r="L113" s="7">
        <f t="shared" si="40"/>
        <v>18.3</v>
      </c>
      <c r="M113" s="370">
        <f t="shared" si="41"/>
        <v>4.3260869565217392</v>
      </c>
      <c r="N113" s="1">
        <f t="shared" si="42"/>
        <v>3.3333333333333333E-2</v>
      </c>
      <c r="O113" s="7">
        <f t="shared" si="43"/>
        <v>60.347826086956523</v>
      </c>
      <c r="P113" s="7">
        <f t="shared" si="44"/>
        <v>8.4521739130434774</v>
      </c>
      <c r="Q113" s="7">
        <f t="shared" si="45"/>
        <v>18.913043478260871</v>
      </c>
      <c r="R113" s="7">
        <f t="shared" si="46"/>
        <v>13.682608695652176</v>
      </c>
      <c r="S113" s="7">
        <f t="shared" si="47"/>
        <v>10.460869565217392</v>
      </c>
      <c r="T113" s="1">
        <v>54</v>
      </c>
      <c r="U113" s="333">
        <f t="shared" si="48"/>
        <v>1.8666666666666667</v>
      </c>
      <c r="V113" s="4">
        <v>23</v>
      </c>
      <c r="W113" s="7">
        <f t="shared" si="49"/>
        <v>6.2790000000000008</v>
      </c>
      <c r="X113" s="7">
        <f t="shared" si="50"/>
        <v>14.742000000000001</v>
      </c>
      <c r="Y113" s="8">
        <f t="shared" si="51"/>
        <v>5</v>
      </c>
      <c r="Z113" s="7">
        <f>IF(ISBLANK(Z26),NA(),SUM($Z$4:Z26))</f>
        <v>1.8</v>
      </c>
      <c r="AA113" s="7">
        <f t="shared" si="75"/>
        <v>42.933333333333337</v>
      </c>
      <c r="AB113" s="26">
        <f>IF(ISBLANK(Z26),"",SUM($Z$4:Z26))</f>
        <v>1.8</v>
      </c>
      <c r="AC113" s="115">
        <f t="shared" si="76"/>
        <v>4.1925465838509313E-2</v>
      </c>
      <c r="AD113" s="8">
        <f t="shared" si="52"/>
        <v>1020.0869565217391</v>
      </c>
      <c r="AE113" s="610">
        <f t="shared" si="53"/>
        <v>1.4869605913425146</v>
      </c>
      <c r="AF113" s="524">
        <f t="shared" si="54"/>
        <v>0.30208333333333331</v>
      </c>
      <c r="AG113" s="22">
        <f>IF(ISBLANK(AP26),NA(),SUM($AP$4:AP26))</f>
        <v>153.6</v>
      </c>
      <c r="AH113" s="7">
        <f>SUM($AS$91:AS113)</f>
        <v>103.29796290116941</v>
      </c>
      <c r="AI113" s="115">
        <f t="shared" si="55"/>
        <v>1.4869605913425146</v>
      </c>
      <c r="AJ113" s="124">
        <f t="shared" si="56"/>
        <v>0</v>
      </c>
      <c r="AK113" s="8">
        <f t="shared" si="57"/>
        <v>1012.5</v>
      </c>
      <c r="AL113" s="124">
        <f t="shared" si="58"/>
        <v>0</v>
      </c>
      <c r="AM113" s="524">
        <f t="shared" si="59"/>
        <v>0.65277777777777779</v>
      </c>
      <c r="AO113" s="524">
        <f t="shared" si="60"/>
        <v>0.61111111111111105</v>
      </c>
      <c r="AR113" s="524">
        <f t="shared" si="61"/>
        <v>0.2673611111111111</v>
      </c>
      <c r="AS113" s="7">
        <f t="shared" si="62"/>
        <v>4.7312404978160005</v>
      </c>
      <c r="AT113" s="7">
        <v>12.996925822657621</v>
      </c>
      <c r="AU113" s="4">
        <v>23</v>
      </c>
      <c r="AV113" s="127">
        <f t="shared" si="63"/>
        <v>1</v>
      </c>
      <c r="AW113" s="124">
        <f t="shared" si="77"/>
        <v>0</v>
      </c>
      <c r="AX113" s="124">
        <f t="shared" si="78"/>
        <v>1</v>
      </c>
      <c r="AY113" s="124">
        <f t="shared" si="64"/>
        <v>0</v>
      </c>
      <c r="AZ113" s="125">
        <f t="shared" si="65"/>
        <v>4.9000000000000004</v>
      </c>
      <c r="BA113" s="125">
        <f t="shared" si="66"/>
        <v>6.3000000000000007</v>
      </c>
      <c r="BB113" s="125">
        <f t="shared" si="67"/>
        <v>11.5</v>
      </c>
      <c r="BC113" s="7">
        <v>6.7050000000000001</v>
      </c>
      <c r="BD113" s="7">
        <v>12.205</v>
      </c>
      <c r="BE113" s="124"/>
      <c r="BF113" s="8">
        <f t="shared" si="68"/>
        <v>52</v>
      </c>
      <c r="BG113" s="21">
        <f t="shared" si="69"/>
        <v>18.600000000000001</v>
      </c>
      <c r="BH113" s="124">
        <f t="shared" si="70"/>
        <v>0</v>
      </c>
      <c r="BI113" s="124">
        <f t="shared" si="79"/>
        <v>0</v>
      </c>
      <c r="BJ113" s="144">
        <f t="shared" si="71"/>
        <v>3.3333333333333333E-2</v>
      </c>
      <c r="BL113" s="99">
        <v>23</v>
      </c>
    </row>
    <row r="114" spans="1:64" ht="12.75" x14ac:dyDescent="0.2">
      <c r="A114" s="8">
        <f t="shared" si="35"/>
        <v>35</v>
      </c>
      <c r="B114" s="125">
        <f t="shared" si="36"/>
        <v>5</v>
      </c>
      <c r="C114" s="125">
        <f t="shared" si="37"/>
        <v>12.8</v>
      </c>
      <c r="D114" s="125">
        <f t="shared" si="72"/>
        <v>8.9</v>
      </c>
      <c r="E114" s="125">
        <f t="shared" si="38"/>
        <v>7.8000000000000007</v>
      </c>
      <c r="F114" s="7">
        <v>5.44</v>
      </c>
      <c r="G114" s="7">
        <v>13.74</v>
      </c>
      <c r="H114" s="7">
        <f t="shared" si="73"/>
        <v>9.59</v>
      </c>
      <c r="I114" s="7">
        <f t="shared" si="74"/>
        <v>8.3000000000000007</v>
      </c>
      <c r="K114" s="7">
        <f t="shared" si="39"/>
        <v>10.299999999999999</v>
      </c>
      <c r="L114" s="7">
        <f t="shared" si="40"/>
        <v>17.55</v>
      </c>
      <c r="M114" s="370">
        <f t="shared" si="41"/>
        <v>4.2625000000000002</v>
      </c>
      <c r="N114" s="1">
        <f t="shared" si="42"/>
        <v>0</v>
      </c>
      <c r="O114" s="7">
        <f t="shared" si="43"/>
        <v>60.541666666666664</v>
      </c>
      <c r="P114" s="7">
        <f t="shared" si="44"/>
        <v>8.6166666666666654</v>
      </c>
      <c r="Q114" s="7">
        <f t="shared" si="45"/>
        <v>19.070833333333333</v>
      </c>
      <c r="R114" s="7">
        <f t="shared" si="46"/>
        <v>13.808333333333335</v>
      </c>
      <c r="S114" s="7">
        <f t="shared" si="47"/>
        <v>10.454166666666667</v>
      </c>
      <c r="T114" s="1">
        <v>55</v>
      </c>
      <c r="U114" s="333">
        <f t="shared" si="48"/>
        <v>1.8666666666666667</v>
      </c>
      <c r="V114" s="4">
        <v>24</v>
      </c>
      <c r="W114" s="7">
        <f t="shared" si="49"/>
        <v>6.5520000000000005</v>
      </c>
      <c r="X114" s="7">
        <f t="shared" si="50"/>
        <v>15.015000000000001</v>
      </c>
      <c r="Y114" s="8">
        <f t="shared" si="51"/>
        <v>8</v>
      </c>
      <c r="Z114" s="7">
        <f>IF(ISBLANK(Z27),NA(),SUM($Z$4:Z27))</f>
        <v>1.8</v>
      </c>
      <c r="AA114" s="7">
        <f t="shared" si="75"/>
        <v>44.8</v>
      </c>
      <c r="AB114" s="26">
        <f>IF(ISBLANK(Z27),"",SUM($Z$4:Z27))</f>
        <v>1.8</v>
      </c>
      <c r="AC114" s="115">
        <f t="shared" si="76"/>
        <v>4.0178571428571432E-2</v>
      </c>
      <c r="AD114" s="8">
        <f t="shared" si="52"/>
        <v>1020.0416666666666</v>
      </c>
      <c r="AE114" s="610">
        <f t="shared" si="53"/>
        <v>1.5372470470318313</v>
      </c>
      <c r="AF114" s="524">
        <f t="shared" si="54"/>
        <v>0.27430555555555552</v>
      </c>
      <c r="AG114" s="22">
        <f>IF(ISBLANK(AP27),NA(),SUM($AP$4:AP27))</f>
        <v>166.1</v>
      </c>
      <c r="AH114" s="7">
        <f>SUM($AS$91:AS114)</f>
        <v>108.05029700379747</v>
      </c>
      <c r="AI114" s="115">
        <f t="shared" si="55"/>
        <v>1.5372470470318313</v>
      </c>
      <c r="AJ114" s="124">
        <f t="shared" si="56"/>
        <v>0</v>
      </c>
      <c r="AK114" s="8">
        <f t="shared" si="57"/>
        <v>1019</v>
      </c>
      <c r="AL114" s="124">
        <f t="shared" si="58"/>
        <v>0</v>
      </c>
      <c r="AM114" s="524">
        <f t="shared" si="59"/>
        <v>0.65277777777777779</v>
      </c>
      <c r="AO114" s="524">
        <f t="shared" si="60"/>
        <v>0.66666666666666663</v>
      </c>
      <c r="AR114" s="524">
        <f t="shared" si="61"/>
        <v>0.27430555555555552</v>
      </c>
      <c r="AS114" s="7">
        <f t="shared" si="62"/>
        <v>4.7523341026280521</v>
      </c>
      <c r="AT114" s="7">
        <v>13.054870883197504</v>
      </c>
      <c r="AU114" s="4">
        <v>24</v>
      </c>
      <c r="AV114" s="127">
        <f t="shared" si="63"/>
        <v>1</v>
      </c>
      <c r="AW114" s="124">
        <f t="shared" si="77"/>
        <v>0</v>
      </c>
      <c r="AX114" s="124">
        <f t="shared" si="78"/>
        <v>1</v>
      </c>
      <c r="AY114" s="124">
        <f t="shared" si="64"/>
        <v>1</v>
      </c>
      <c r="AZ114" s="125">
        <f t="shared" si="65"/>
        <v>4.9000000000000004</v>
      </c>
      <c r="BA114" s="125">
        <f t="shared" si="66"/>
        <v>6.3000000000000007</v>
      </c>
      <c r="BB114" s="125">
        <f t="shared" si="67"/>
        <v>11.5</v>
      </c>
      <c r="BC114" s="7">
        <v>6.8233333333333341</v>
      </c>
      <c r="BD114" s="7">
        <v>12.356666666666669</v>
      </c>
      <c r="BE114" s="124"/>
      <c r="BF114" s="8">
        <f t="shared" si="68"/>
        <v>65</v>
      </c>
      <c r="BG114" s="21">
        <f t="shared" si="69"/>
        <v>16.7</v>
      </c>
      <c r="BH114" s="124">
        <f t="shared" si="70"/>
        <v>0</v>
      </c>
      <c r="BI114" s="124">
        <f t="shared" si="79"/>
        <v>0</v>
      </c>
      <c r="BJ114" s="144">
        <f t="shared" si="71"/>
        <v>0</v>
      </c>
      <c r="BL114" s="99">
        <v>24</v>
      </c>
    </row>
    <row r="115" spans="1:64" ht="12.75" x14ac:dyDescent="0.2">
      <c r="A115" s="8">
        <f t="shared" si="35"/>
        <v>51</v>
      </c>
      <c r="B115" s="125">
        <f t="shared" si="36"/>
        <v>5</v>
      </c>
      <c r="C115" s="125">
        <f t="shared" si="37"/>
        <v>12.8</v>
      </c>
      <c r="D115" s="125">
        <f t="shared" si="72"/>
        <v>8.9</v>
      </c>
      <c r="E115" s="125">
        <f t="shared" si="38"/>
        <v>7.8000000000000007</v>
      </c>
      <c r="F115" s="7">
        <v>5.55</v>
      </c>
      <c r="G115" s="7">
        <v>13.9</v>
      </c>
      <c r="H115" s="7">
        <f t="shared" si="73"/>
        <v>9.7249999999999996</v>
      </c>
      <c r="I115" s="7">
        <f t="shared" si="74"/>
        <v>8.3500000000000014</v>
      </c>
      <c r="K115" s="7">
        <f t="shared" si="39"/>
        <v>10.600000000000001</v>
      </c>
      <c r="L115" s="7">
        <f t="shared" si="40"/>
        <v>15</v>
      </c>
      <c r="M115" s="370">
        <f t="shared" si="41"/>
        <v>4.2759999999999998</v>
      </c>
      <c r="N115" s="1">
        <f t="shared" si="42"/>
        <v>0</v>
      </c>
      <c r="O115" s="7">
        <f t="shared" si="43"/>
        <v>60.44</v>
      </c>
      <c r="P115" s="7">
        <f t="shared" si="44"/>
        <v>8.6599999999999984</v>
      </c>
      <c r="Q115" s="7">
        <f t="shared" si="45"/>
        <v>19.12</v>
      </c>
      <c r="R115" s="7">
        <f t="shared" si="46"/>
        <v>13.836000000000002</v>
      </c>
      <c r="S115" s="7">
        <f t="shared" si="47"/>
        <v>10.460000000000003</v>
      </c>
      <c r="T115" s="1">
        <v>56</v>
      </c>
      <c r="U115" s="333">
        <f t="shared" si="48"/>
        <v>1.8666666666666667</v>
      </c>
      <c r="V115" s="4">
        <v>25</v>
      </c>
      <c r="W115" s="7">
        <f t="shared" si="49"/>
        <v>6.8250000000000002</v>
      </c>
      <c r="X115" s="7">
        <f t="shared" si="50"/>
        <v>15.288</v>
      </c>
      <c r="Y115" s="8">
        <f t="shared" si="51"/>
        <v>3</v>
      </c>
      <c r="Z115" s="7">
        <f>IF(ISBLANK(Z28),NA(),SUM($Z$4:Z28))</f>
        <v>1.8</v>
      </c>
      <c r="AA115" s="7">
        <f t="shared" si="75"/>
        <v>46.666666666666664</v>
      </c>
      <c r="AB115" s="26">
        <f>IF(ISBLANK(Z28),"",SUM($Z$4:Z28))</f>
        <v>1.8</v>
      </c>
      <c r="AC115" s="115">
        <f t="shared" si="76"/>
        <v>3.8571428571428576E-2</v>
      </c>
      <c r="AD115" s="8">
        <f t="shared" si="52"/>
        <v>1020.18</v>
      </c>
      <c r="AE115" s="610">
        <f t="shared" si="53"/>
        <v>1.5874338002691204</v>
      </c>
      <c r="AF115" s="524">
        <f t="shared" si="54"/>
        <v>0.20833333333333334</v>
      </c>
      <c r="AG115" s="22">
        <f>IF(ISBLANK(AP28),NA(),SUM($AP$4:AP28))</f>
        <v>179.1</v>
      </c>
      <c r="AH115" s="7">
        <f>SUM($AS$91:AS115)</f>
        <v>112.8236024517286</v>
      </c>
      <c r="AI115" s="115">
        <f t="shared" si="55"/>
        <v>1.5874338002691204</v>
      </c>
      <c r="AJ115" s="124">
        <f t="shared" si="56"/>
        <v>0</v>
      </c>
      <c r="AK115" s="8">
        <f t="shared" si="57"/>
        <v>1023.5</v>
      </c>
      <c r="AL115" s="124">
        <f t="shared" si="58"/>
        <v>0</v>
      </c>
      <c r="AM115" s="524">
        <f t="shared" si="59"/>
        <v>0.59027777777777779</v>
      </c>
      <c r="AO115" s="524">
        <f t="shared" si="60"/>
        <v>0.65972222222222221</v>
      </c>
      <c r="AR115" s="524">
        <f t="shared" si="61"/>
        <v>0.2673611111111111</v>
      </c>
      <c r="AS115" s="7">
        <f t="shared" si="62"/>
        <v>4.773305447931131</v>
      </c>
      <c r="AT115" s="7">
        <v>13.112480091486805</v>
      </c>
      <c r="AU115" s="4">
        <v>25</v>
      </c>
      <c r="AV115" s="127">
        <f t="shared" si="63"/>
        <v>1</v>
      </c>
      <c r="AW115" s="124">
        <f t="shared" si="77"/>
        <v>0</v>
      </c>
      <c r="AX115" s="124">
        <f t="shared" si="78"/>
        <v>1</v>
      </c>
      <c r="AY115" s="124">
        <f t="shared" si="64"/>
        <v>1</v>
      </c>
      <c r="AZ115" s="125">
        <f t="shared" si="65"/>
        <v>4.9000000000000004</v>
      </c>
      <c r="BA115" s="125">
        <f t="shared" si="66"/>
        <v>6.3000000000000007</v>
      </c>
      <c r="BB115" s="125">
        <f t="shared" si="67"/>
        <v>11.5</v>
      </c>
      <c r="BC115" s="7">
        <v>6.9416666666666682</v>
      </c>
      <c r="BD115" s="7">
        <v>12.508333333333335</v>
      </c>
      <c r="BF115" s="8">
        <f t="shared" si="68"/>
        <v>58</v>
      </c>
      <c r="BG115" s="21">
        <f t="shared" si="69"/>
        <v>14.5</v>
      </c>
      <c r="BH115" s="124">
        <f t="shared" si="70"/>
        <v>0</v>
      </c>
      <c r="BI115" s="124">
        <f t="shared" si="79"/>
        <v>0</v>
      </c>
      <c r="BJ115" s="144">
        <f t="shared" si="71"/>
        <v>0</v>
      </c>
      <c r="BL115" s="99">
        <v>25</v>
      </c>
    </row>
    <row r="116" spans="1:64" ht="12.75" x14ac:dyDescent="0.2">
      <c r="A116" s="8">
        <f t="shared" si="35"/>
        <v>19</v>
      </c>
      <c r="B116" s="125">
        <f t="shared" si="36"/>
        <v>5</v>
      </c>
      <c r="C116" s="125">
        <f t="shared" si="37"/>
        <v>12.8</v>
      </c>
      <c r="D116" s="125">
        <f t="shared" si="72"/>
        <v>8.9</v>
      </c>
      <c r="E116" s="125">
        <f t="shared" si="38"/>
        <v>7.8000000000000007</v>
      </c>
      <c r="F116" s="7">
        <v>5.66</v>
      </c>
      <c r="G116" s="7">
        <v>14.06</v>
      </c>
      <c r="H116" s="7">
        <f t="shared" si="73"/>
        <v>9.86</v>
      </c>
      <c r="I116" s="7">
        <f t="shared" si="74"/>
        <v>8.4</v>
      </c>
      <c r="K116" s="7">
        <f t="shared" si="39"/>
        <v>7.1</v>
      </c>
      <c r="L116" s="7">
        <f t="shared" si="40"/>
        <v>12.05</v>
      </c>
      <c r="M116" s="370">
        <f t="shared" si="41"/>
        <v>4.2846153846153845</v>
      </c>
      <c r="N116" s="1">
        <f t="shared" si="42"/>
        <v>0</v>
      </c>
      <c r="O116" s="7">
        <f t="shared" si="43"/>
        <v>60.92307692307692</v>
      </c>
      <c r="P116" s="7">
        <f t="shared" si="44"/>
        <v>8.6538461538461533</v>
      </c>
      <c r="Q116" s="7">
        <f t="shared" si="45"/>
        <v>18.984615384615385</v>
      </c>
      <c r="R116" s="7">
        <f t="shared" si="46"/>
        <v>13.742307692307692</v>
      </c>
      <c r="S116" s="7">
        <f t="shared" si="47"/>
        <v>10.330769230769233</v>
      </c>
      <c r="T116" s="1">
        <v>57</v>
      </c>
      <c r="U116" s="333">
        <f t="shared" si="48"/>
        <v>1.8666666666666667</v>
      </c>
      <c r="V116" s="4">
        <v>26</v>
      </c>
      <c r="W116" s="7">
        <f t="shared" si="49"/>
        <v>7.0980000000000008</v>
      </c>
      <c r="X116" s="7">
        <f t="shared" si="50"/>
        <v>15.561000000000002</v>
      </c>
      <c r="Y116" s="8">
        <f t="shared" si="51"/>
        <v>2</v>
      </c>
      <c r="Z116" s="7">
        <f>IF(ISBLANK(Z29),NA(),SUM($Z$4:Z29))</f>
        <v>1.8</v>
      </c>
      <c r="AA116" s="7">
        <f t="shared" si="75"/>
        <v>48.533333333333331</v>
      </c>
      <c r="AB116" s="26">
        <f>IF(ISBLANK(Z29),"",SUM($Z$4:Z29))</f>
        <v>1.8</v>
      </c>
      <c r="AC116" s="115">
        <f t="shared" si="76"/>
        <v>3.7087912087912088E-2</v>
      </c>
      <c r="AD116" s="8">
        <f t="shared" si="52"/>
        <v>1020.3653846153846</v>
      </c>
      <c r="AE116" s="610">
        <f t="shared" si="53"/>
        <v>1.5567378075084564</v>
      </c>
      <c r="AF116" s="524">
        <f t="shared" si="54"/>
        <v>0.23611111111111113</v>
      </c>
      <c r="AG116" s="22">
        <f>IF(ISBLANK(AP29),NA(),SUM($AP$4:AP29))</f>
        <v>183.1</v>
      </c>
      <c r="AH116" s="7">
        <f>SUM($AS$91:AS116)</f>
        <v>117.61775111831436</v>
      </c>
      <c r="AI116" s="115">
        <f t="shared" si="55"/>
        <v>1.5567378075084564</v>
      </c>
      <c r="AJ116" s="124">
        <f t="shared" si="56"/>
        <v>0</v>
      </c>
      <c r="AK116" s="8">
        <f t="shared" si="57"/>
        <v>1025</v>
      </c>
      <c r="AL116" s="124">
        <f t="shared" si="58"/>
        <v>0</v>
      </c>
      <c r="AM116" s="524">
        <f t="shared" si="59"/>
        <v>0.74652777777777779</v>
      </c>
      <c r="AO116" s="524">
        <f t="shared" si="60"/>
        <v>0.73611111111111116</v>
      </c>
      <c r="AR116" s="524">
        <f t="shared" si="61"/>
        <v>0.23611111111111113</v>
      </c>
      <c r="AS116" s="7">
        <f t="shared" si="62"/>
        <v>4.794148666585758</v>
      </c>
      <c r="AT116" s="7">
        <v>13.169737330235218</v>
      </c>
      <c r="AU116" s="4">
        <v>26</v>
      </c>
      <c r="AV116" s="127">
        <f t="shared" si="63"/>
        <v>1</v>
      </c>
      <c r="AW116" s="124">
        <f t="shared" si="77"/>
        <v>0</v>
      </c>
      <c r="AX116" s="124">
        <f t="shared" si="78"/>
        <v>0</v>
      </c>
      <c r="AY116" s="124">
        <f t="shared" si="64"/>
        <v>1</v>
      </c>
      <c r="AZ116" s="125">
        <f t="shared" si="65"/>
        <v>4.9000000000000004</v>
      </c>
      <c r="BA116" s="125">
        <f t="shared" si="66"/>
        <v>6.3000000000000007</v>
      </c>
      <c r="BB116" s="125">
        <f t="shared" si="67"/>
        <v>11.5</v>
      </c>
      <c r="BC116" s="7">
        <v>7.06</v>
      </c>
      <c r="BD116" s="7">
        <v>12.66</v>
      </c>
      <c r="BF116" s="8">
        <f t="shared" si="68"/>
        <v>73</v>
      </c>
      <c r="BG116" s="21">
        <f t="shared" si="69"/>
        <v>11.4</v>
      </c>
      <c r="BH116" s="124">
        <f t="shared" si="70"/>
        <v>0</v>
      </c>
      <c r="BI116" s="124">
        <f t="shared" si="79"/>
        <v>0</v>
      </c>
      <c r="BJ116" s="144">
        <f t="shared" si="71"/>
        <v>0</v>
      </c>
      <c r="BL116" s="99">
        <v>26</v>
      </c>
    </row>
    <row r="117" spans="1:64" ht="12.75" x14ac:dyDescent="0.2">
      <c r="A117" s="8">
        <f t="shared" si="35"/>
        <v>42</v>
      </c>
      <c r="B117" s="125">
        <f t="shared" si="36"/>
        <v>5</v>
      </c>
      <c r="C117" s="125">
        <f t="shared" si="37"/>
        <v>12.8</v>
      </c>
      <c r="D117" s="125">
        <f t="shared" si="72"/>
        <v>8.9</v>
      </c>
      <c r="E117" s="125">
        <f t="shared" si="38"/>
        <v>7.8000000000000007</v>
      </c>
      <c r="F117" s="7">
        <v>5.77</v>
      </c>
      <c r="G117" s="7">
        <v>14.22</v>
      </c>
      <c r="H117" s="7">
        <f t="shared" si="73"/>
        <v>9.995000000000001</v>
      </c>
      <c r="I117" s="7">
        <f t="shared" si="74"/>
        <v>8.4500000000000011</v>
      </c>
      <c r="K117" s="7">
        <f t="shared" si="39"/>
        <v>9.3000000000000007</v>
      </c>
      <c r="L117" s="7">
        <f t="shared" si="40"/>
        <v>11.65</v>
      </c>
      <c r="M117" s="370">
        <f t="shared" si="41"/>
        <v>4.322222222222222</v>
      </c>
      <c r="N117" s="1">
        <f t="shared" si="42"/>
        <v>0</v>
      </c>
      <c r="O117" s="7">
        <f t="shared" si="43"/>
        <v>60.851851851851855</v>
      </c>
      <c r="P117" s="7">
        <f t="shared" si="44"/>
        <v>8.5925925925925917</v>
      </c>
      <c r="Q117" s="7">
        <f t="shared" si="45"/>
        <v>18.885185185185186</v>
      </c>
      <c r="R117" s="7">
        <f t="shared" si="46"/>
        <v>13.65925925925926</v>
      </c>
      <c r="S117" s="7">
        <f t="shared" si="47"/>
        <v>10.292592592592596</v>
      </c>
      <c r="T117" s="1">
        <v>58</v>
      </c>
      <c r="U117" s="333">
        <f t="shared" si="48"/>
        <v>1.8666666666666667</v>
      </c>
      <c r="V117" s="4">
        <v>27</v>
      </c>
      <c r="W117" s="7">
        <f t="shared" si="49"/>
        <v>7.3710000000000004</v>
      </c>
      <c r="X117" s="7">
        <f t="shared" si="50"/>
        <v>15.834000000000001</v>
      </c>
      <c r="Y117" s="8">
        <f t="shared" si="51"/>
        <v>3</v>
      </c>
      <c r="Z117" s="7">
        <f>IF(ISBLANK(Z30),NA(),SUM($Z$4:Z30))</f>
        <v>1.8</v>
      </c>
      <c r="AA117" s="7">
        <f t="shared" si="75"/>
        <v>50.4</v>
      </c>
      <c r="AB117" s="26">
        <f>IF(ISBLANK(Z30),"",SUM($Z$4:Z30))</f>
        <v>1.8</v>
      </c>
      <c r="AC117" s="115">
        <f t="shared" si="76"/>
        <v>3.5714285714285719E-2</v>
      </c>
      <c r="AD117" s="8">
        <f t="shared" si="52"/>
        <v>1020.5185185185185</v>
      </c>
      <c r="AE117" s="610">
        <f t="shared" si="53"/>
        <v>1.5853619542495647</v>
      </c>
      <c r="AF117" s="524">
        <f t="shared" si="54"/>
        <v>0.24652777777777779</v>
      </c>
      <c r="AG117" s="22">
        <f>IF(ISBLANK(AP30),NA(),SUM($AP$4:AP30))</f>
        <v>194.1</v>
      </c>
      <c r="AH117" s="7">
        <f>SUM($AS$91:AS117)</f>
        <v>122.43260883088224</v>
      </c>
      <c r="AI117" s="115">
        <f t="shared" si="55"/>
        <v>1.5853619542495647</v>
      </c>
      <c r="AJ117" s="124">
        <f t="shared" si="56"/>
        <v>0</v>
      </c>
      <c r="AK117" s="8">
        <f t="shared" si="57"/>
        <v>1024.5</v>
      </c>
      <c r="AL117" s="124">
        <f t="shared" si="58"/>
        <v>0</v>
      </c>
      <c r="AM117" s="524">
        <f t="shared" si="59"/>
        <v>0.70833333333333337</v>
      </c>
      <c r="AO117" s="524">
        <f t="shared" si="60"/>
        <v>0.66666666666666663</v>
      </c>
      <c r="AR117" s="524">
        <f t="shared" si="61"/>
        <v>0.23611111111111113</v>
      </c>
      <c r="AS117" s="7">
        <f t="shared" si="62"/>
        <v>4.8148577125678829</v>
      </c>
      <c r="AT117" s="7">
        <v>13.226625990748657</v>
      </c>
      <c r="AU117" s="4">
        <v>27</v>
      </c>
      <c r="AV117" s="127">
        <f t="shared" si="63"/>
        <v>1</v>
      </c>
      <c r="AW117" s="124">
        <f t="shared" si="77"/>
        <v>0</v>
      </c>
      <c r="AX117" s="124">
        <f t="shared" si="78"/>
        <v>0</v>
      </c>
      <c r="AY117" s="124">
        <f t="shared" si="64"/>
        <v>1</v>
      </c>
      <c r="AZ117" s="125">
        <f t="shared" si="65"/>
        <v>4.9000000000000004</v>
      </c>
      <c r="BA117" s="125">
        <f t="shared" si="66"/>
        <v>6.3000000000000007</v>
      </c>
      <c r="BB117" s="125">
        <f t="shared" si="67"/>
        <v>11.5</v>
      </c>
      <c r="BC117" s="7">
        <v>7.1783333333333363</v>
      </c>
      <c r="BD117" s="7">
        <v>12.811666666666669</v>
      </c>
      <c r="BF117" s="8">
        <f t="shared" si="68"/>
        <v>59</v>
      </c>
      <c r="BG117" s="21">
        <f t="shared" si="69"/>
        <v>11.5</v>
      </c>
      <c r="BH117" s="124">
        <f t="shared" si="70"/>
        <v>0</v>
      </c>
      <c r="BI117" s="124">
        <f t="shared" si="79"/>
        <v>0</v>
      </c>
      <c r="BJ117" s="144">
        <f t="shared" si="71"/>
        <v>0</v>
      </c>
      <c r="BL117" s="99">
        <v>27</v>
      </c>
    </row>
    <row r="118" spans="1:64" ht="12.75" x14ac:dyDescent="0.2">
      <c r="A118" s="8">
        <f t="shared" si="35"/>
        <v>28</v>
      </c>
      <c r="B118" s="125">
        <f t="shared" si="36"/>
        <v>5</v>
      </c>
      <c r="C118" s="125">
        <f t="shared" si="37"/>
        <v>12.8</v>
      </c>
      <c r="D118" s="125">
        <f t="shared" si="72"/>
        <v>8.9</v>
      </c>
      <c r="E118" s="125">
        <f t="shared" si="38"/>
        <v>7.8000000000000007</v>
      </c>
      <c r="F118" s="7">
        <v>5.88</v>
      </c>
      <c r="G118" s="7">
        <v>14.38</v>
      </c>
      <c r="H118" s="7">
        <f t="shared" si="73"/>
        <v>10.130000000000001</v>
      </c>
      <c r="I118" s="7">
        <f t="shared" si="74"/>
        <v>8.5</v>
      </c>
      <c r="K118" s="7">
        <f t="shared" si="39"/>
        <v>9.1</v>
      </c>
      <c r="L118" s="7">
        <f t="shared" si="40"/>
        <v>10.55</v>
      </c>
      <c r="M118" s="370">
        <f t="shared" si="41"/>
        <v>4.3857142857142852</v>
      </c>
      <c r="N118" s="1">
        <f t="shared" si="42"/>
        <v>0</v>
      </c>
      <c r="O118" s="7">
        <f t="shared" si="43"/>
        <v>61.321428571428569</v>
      </c>
      <c r="P118" s="7">
        <f t="shared" si="44"/>
        <v>8.4999999999999982</v>
      </c>
      <c r="Q118" s="7">
        <f t="shared" si="45"/>
        <v>18.75</v>
      </c>
      <c r="R118" s="7">
        <f t="shared" si="46"/>
        <v>13.542857142857143</v>
      </c>
      <c r="S118" s="7">
        <f t="shared" si="47"/>
        <v>10.250000000000004</v>
      </c>
      <c r="T118" s="1">
        <v>59</v>
      </c>
      <c r="U118" s="333">
        <f t="shared" si="48"/>
        <v>1.8666666666666667</v>
      </c>
      <c r="V118" s="4">
        <v>28</v>
      </c>
      <c r="W118" s="7">
        <f t="shared" si="49"/>
        <v>7.6440000000000001</v>
      </c>
      <c r="X118" s="7">
        <f t="shared" si="50"/>
        <v>16.107000000000003</v>
      </c>
      <c r="Y118" s="8">
        <f t="shared" si="51"/>
        <v>8</v>
      </c>
      <c r="Z118" s="7">
        <f>IF(ISBLANK(Z31),NA(),SUM($Z$4:Z31))</f>
        <v>1.8</v>
      </c>
      <c r="AA118" s="7">
        <f t="shared" si="75"/>
        <v>52.266666666666666</v>
      </c>
      <c r="AB118" s="26">
        <f>IF(ISBLANK(Z31),"",SUM($Z$4:Z31))</f>
        <v>1.8</v>
      </c>
      <c r="AC118" s="115">
        <f t="shared" si="76"/>
        <v>3.4438775510204085E-2</v>
      </c>
      <c r="AD118" s="8">
        <f t="shared" si="52"/>
        <v>1020.5</v>
      </c>
      <c r="AE118" s="610">
        <f t="shared" si="53"/>
        <v>1.5644148171533523</v>
      </c>
      <c r="AF118" s="524">
        <f t="shared" si="54"/>
        <v>0.17013888888888887</v>
      </c>
      <c r="AG118" s="22">
        <f>IF(ISBLANK(AP31),NA(),SUM($AP$4:AP31))</f>
        <v>199.1</v>
      </c>
      <c r="AH118" s="7">
        <f>SUM($AS$91:AS118)</f>
        <v>127.26803518921361</v>
      </c>
      <c r="AI118" s="115">
        <f t="shared" si="55"/>
        <v>1.5644148171533523</v>
      </c>
      <c r="AJ118" s="124">
        <f t="shared" si="56"/>
        <v>0</v>
      </c>
      <c r="AK118" s="8">
        <f t="shared" si="57"/>
        <v>1020</v>
      </c>
      <c r="AL118" s="124">
        <f t="shared" si="58"/>
        <v>0</v>
      </c>
      <c r="AM118" s="524">
        <f t="shared" si="59"/>
        <v>0.57986111111111105</v>
      </c>
      <c r="AO118" s="524">
        <f t="shared" si="60"/>
        <v>0.61111111111111105</v>
      </c>
      <c r="AR118" s="524">
        <f t="shared" si="61"/>
        <v>0.1423611111111111</v>
      </c>
      <c r="AS118" s="7">
        <f t="shared" si="62"/>
        <v>4.8354263583313584</v>
      </c>
      <c r="AT118" s="7">
        <v>13.283128965683838</v>
      </c>
      <c r="AU118" s="4">
        <v>28</v>
      </c>
      <c r="AV118" s="127">
        <f t="shared" si="63"/>
        <v>1</v>
      </c>
      <c r="AW118" s="124">
        <f t="shared" si="77"/>
        <v>0</v>
      </c>
      <c r="AX118" s="124">
        <f t="shared" si="78"/>
        <v>0</v>
      </c>
      <c r="AY118" s="124">
        <f t="shared" si="64"/>
        <v>1</v>
      </c>
      <c r="AZ118" s="125">
        <f t="shared" si="65"/>
        <v>4.9000000000000004</v>
      </c>
      <c r="BA118" s="125">
        <f t="shared" si="66"/>
        <v>6.3000000000000007</v>
      </c>
      <c r="BB118" s="125">
        <f t="shared" si="67"/>
        <v>11.5</v>
      </c>
      <c r="BC118" s="7">
        <v>7.2966666666666686</v>
      </c>
      <c r="BD118" s="7">
        <v>12.963333333333336</v>
      </c>
      <c r="BF118" s="8">
        <f t="shared" si="68"/>
        <v>74</v>
      </c>
      <c r="BG118" s="21">
        <f t="shared" si="69"/>
        <v>10.4</v>
      </c>
      <c r="BH118" s="124">
        <f t="shared" si="70"/>
        <v>0</v>
      </c>
      <c r="BI118" s="124">
        <f t="shared" si="79"/>
        <v>0</v>
      </c>
      <c r="BJ118" s="144">
        <f t="shared" si="71"/>
        <v>0</v>
      </c>
      <c r="BL118" s="99">
        <v>28</v>
      </c>
    </row>
    <row r="119" spans="1:64" ht="12.75" x14ac:dyDescent="0.2">
      <c r="A119" s="8">
        <f t="shared" si="35"/>
        <v>37</v>
      </c>
      <c r="B119" s="125">
        <f t="shared" si="36"/>
        <v>5</v>
      </c>
      <c r="C119" s="125">
        <f t="shared" si="37"/>
        <v>12.8</v>
      </c>
      <c r="D119" s="125">
        <f t="shared" si="72"/>
        <v>8.9</v>
      </c>
      <c r="E119" s="125">
        <f t="shared" si="38"/>
        <v>7.8000000000000007</v>
      </c>
      <c r="F119" s="7">
        <v>5.99</v>
      </c>
      <c r="G119" s="7">
        <v>14.54</v>
      </c>
      <c r="H119" s="7">
        <f t="shared" si="73"/>
        <v>10.265000000000001</v>
      </c>
      <c r="I119" s="7">
        <f t="shared" si="74"/>
        <v>8.5499999999999989</v>
      </c>
      <c r="K119" s="7">
        <f t="shared" si="39"/>
        <v>10.4</v>
      </c>
      <c r="L119" s="7">
        <f t="shared" si="40"/>
        <v>14.3</v>
      </c>
      <c r="M119" s="370">
        <f t="shared" si="41"/>
        <v>4.3827586206896543</v>
      </c>
      <c r="N119" s="1">
        <f t="shared" si="42"/>
        <v>0</v>
      </c>
      <c r="O119" s="7">
        <f t="shared" si="43"/>
        <v>61.724137931034484</v>
      </c>
      <c r="P119" s="7">
        <f t="shared" si="44"/>
        <v>8.5206896551724132</v>
      </c>
      <c r="Q119" s="7">
        <f t="shared" si="45"/>
        <v>18.775862068965516</v>
      </c>
      <c r="R119" s="7">
        <f t="shared" si="46"/>
        <v>13.548275862068964</v>
      </c>
      <c r="S119" s="7">
        <f t="shared" si="47"/>
        <v>10.255172413793106</v>
      </c>
      <c r="T119" s="1">
        <v>60</v>
      </c>
      <c r="U119" s="333">
        <f t="shared" si="48"/>
        <v>1.8666666666666667</v>
      </c>
      <c r="V119" s="4">
        <v>29</v>
      </c>
      <c r="W119" s="7">
        <f t="shared" si="49"/>
        <v>7.9170000000000007</v>
      </c>
      <c r="X119" s="7">
        <f t="shared" si="50"/>
        <v>16.380000000000003</v>
      </c>
      <c r="Y119" s="8">
        <f t="shared" si="51"/>
        <v>6</v>
      </c>
      <c r="Z119" s="7">
        <f>IF(ISBLANK(Z32),NA(),SUM($Z$4:Z32))</f>
        <v>1.8</v>
      </c>
      <c r="AA119" s="7">
        <f t="shared" si="75"/>
        <v>54.133333333333333</v>
      </c>
      <c r="AB119" s="26">
        <f>IF(ISBLANK(Z32),"",SUM($Z$4:Z32))</f>
        <v>1.8</v>
      </c>
      <c r="AC119" s="115">
        <f t="shared" si="76"/>
        <v>3.3251231527093597E-2</v>
      </c>
      <c r="AD119" s="8">
        <f t="shared" si="52"/>
        <v>1020.2413793103449</v>
      </c>
      <c r="AE119" s="610">
        <f t="shared" si="53"/>
        <v>1.5334093641087319</v>
      </c>
      <c r="AF119" s="524">
        <f t="shared" si="54"/>
        <v>0.30902777777777779</v>
      </c>
      <c r="AG119" s="22">
        <f>IF(ISBLANK(AP32),NA(),SUM($AP$4:AP32))</f>
        <v>202.6</v>
      </c>
      <c r="AH119" s="7">
        <f>SUM($AS$91:AS119)</f>
        <v>132.12388338175944</v>
      </c>
      <c r="AI119" s="115">
        <f t="shared" si="55"/>
        <v>1.5334093641087319</v>
      </c>
      <c r="AJ119" s="124">
        <f t="shared" si="56"/>
        <v>0</v>
      </c>
      <c r="AK119" s="8">
        <f t="shared" si="57"/>
        <v>1013</v>
      </c>
      <c r="AL119" s="124">
        <f t="shared" si="58"/>
        <v>0</v>
      </c>
      <c r="AM119" s="524">
        <f t="shared" si="59"/>
        <v>0.76736111111111116</v>
      </c>
      <c r="AO119" s="524">
        <f t="shared" si="60"/>
        <v>0.72916666666666663</v>
      </c>
      <c r="AR119" s="524">
        <f t="shared" si="61"/>
        <v>0.25</v>
      </c>
      <c r="AS119" s="7">
        <f t="shared" si="62"/>
        <v>4.8558481925458254</v>
      </c>
      <c r="AT119" s="7">
        <v>13.339228642834168</v>
      </c>
      <c r="AU119" s="4">
        <v>29</v>
      </c>
      <c r="AV119" s="127">
        <f t="shared" si="63"/>
        <v>1</v>
      </c>
      <c r="AW119" s="124">
        <f t="shared" si="77"/>
        <v>0</v>
      </c>
      <c r="AX119" s="124">
        <f t="shared" si="78"/>
        <v>1</v>
      </c>
      <c r="AY119" s="124">
        <f t="shared" si="64"/>
        <v>0</v>
      </c>
      <c r="AZ119" s="125">
        <f t="shared" si="65"/>
        <v>4.9000000000000004</v>
      </c>
      <c r="BA119" s="125">
        <f t="shared" si="66"/>
        <v>6.3000000000000007</v>
      </c>
      <c r="BB119" s="125">
        <f t="shared" si="67"/>
        <v>11.5</v>
      </c>
      <c r="BC119" s="7">
        <v>7.415</v>
      </c>
      <c r="BD119" s="7">
        <v>13.115</v>
      </c>
      <c r="BF119" s="8">
        <f t="shared" si="68"/>
        <v>73</v>
      </c>
      <c r="BG119" s="21">
        <f t="shared" si="69"/>
        <v>13.7</v>
      </c>
      <c r="BH119" s="124">
        <f t="shared" si="70"/>
        <v>0</v>
      </c>
      <c r="BI119" s="124">
        <f t="shared" si="79"/>
        <v>0</v>
      </c>
      <c r="BJ119" s="144">
        <f t="shared" si="71"/>
        <v>0</v>
      </c>
      <c r="BL119" s="99">
        <v>29</v>
      </c>
    </row>
    <row r="120" spans="1:64" ht="12.75" x14ac:dyDescent="0.2">
      <c r="A120" s="8">
        <f t="shared" si="35"/>
        <v>39</v>
      </c>
      <c r="B120" s="125">
        <f t="shared" si="36"/>
        <v>5</v>
      </c>
      <c r="C120" s="125">
        <f t="shared" si="37"/>
        <v>12.8</v>
      </c>
      <c r="D120" s="125">
        <f t="shared" si="72"/>
        <v>8.9</v>
      </c>
      <c r="E120" s="125">
        <f t="shared" si="38"/>
        <v>7.8000000000000007</v>
      </c>
      <c r="F120" s="7">
        <v>6.1</v>
      </c>
      <c r="G120" s="7">
        <v>14.7</v>
      </c>
      <c r="H120" s="7">
        <f t="shared" si="73"/>
        <v>10.399999999999999</v>
      </c>
      <c r="I120" s="7">
        <f t="shared" si="74"/>
        <v>8.6</v>
      </c>
      <c r="K120" s="7">
        <f t="shared" si="39"/>
        <v>8.7999999999999989</v>
      </c>
      <c r="L120" s="7">
        <f t="shared" si="40"/>
        <v>15.3</v>
      </c>
      <c r="M120" s="370">
        <f t="shared" si="41"/>
        <v>4.4866666666666655</v>
      </c>
      <c r="N120" s="1">
        <f t="shared" si="42"/>
        <v>0</v>
      </c>
      <c r="O120" s="7">
        <f t="shared" si="43"/>
        <v>61.733333333333334</v>
      </c>
      <c r="P120" s="7">
        <f t="shared" si="44"/>
        <v>8.5999999999999979</v>
      </c>
      <c r="Q120" s="7">
        <f t="shared" si="45"/>
        <v>18.806666666666668</v>
      </c>
      <c r="R120" s="7">
        <f t="shared" si="46"/>
        <v>13.596666666666666</v>
      </c>
      <c r="S120" s="7">
        <f t="shared" si="47"/>
        <v>10.206666666666671</v>
      </c>
      <c r="T120" s="1">
        <v>61</v>
      </c>
      <c r="U120" s="333">
        <f t="shared" si="48"/>
        <v>1.8666666666666667</v>
      </c>
      <c r="V120" s="4">
        <v>30</v>
      </c>
      <c r="W120" s="7">
        <f t="shared" si="49"/>
        <v>8.1900000000000013</v>
      </c>
      <c r="X120" s="7">
        <f t="shared" si="50"/>
        <v>16.653000000000002</v>
      </c>
      <c r="Y120" s="8">
        <f t="shared" si="51"/>
        <v>3</v>
      </c>
      <c r="Z120" s="7">
        <f>IF(ISBLANK(Z33),NA(),SUM($Z$4:Z33))</f>
        <v>1.8</v>
      </c>
      <c r="AA120" s="7">
        <f t="shared" si="75"/>
        <v>56</v>
      </c>
      <c r="AB120" s="26">
        <f>IF(ISBLANK(Z33),"",SUM($Z$4:Z33))</f>
        <v>1.8</v>
      </c>
      <c r="AC120" s="115">
        <f t="shared" si="76"/>
        <v>3.2142857142857147E-2</v>
      </c>
      <c r="AD120" s="8">
        <f t="shared" si="52"/>
        <v>1019.85</v>
      </c>
      <c r="AE120" s="610">
        <f t="shared" si="53"/>
        <v>1.5766423357664228</v>
      </c>
      <c r="AF120" s="524">
        <f t="shared" si="54"/>
        <v>0.27083333333333331</v>
      </c>
      <c r="AG120" s="22">
        <f>IF(ISBLANK(AP33),NA(),SUM($AP$4:AP33))</f>
        <v>216</v>
      </c>
      <c r="AH120" s="7">
        <f>SUM($AS$91:AS120)</f>
        <v>137.00000000000006</v>
      </c>
      <c r="AI120" s="115">
        <f t="shared" si="55"/>
        <v>1.5766423357664228</v>
      </c>
      <c r="AJ120" s="124">
        <f t="shared" si="56"/>
        <v>0</v>
      </c>
      <c r="AK120" s="8">
        <f t="shared" si="57"/>
        <v>1008.5</v>
      </c>
      <c r="AL120" s="124">
        <f t="shared" si="58"/>
        <v>0</v>
      </c>
      <c r="AM120" s="524">
        <f t="shared" si="59"/>
        <v>0.64930555555555558</v>
      </c>
      <c r="AO120" s="524">
        <f t="shared" si="60"/>
        <v>0.63194444444444442</v>
      </c>
      <c r="AR120" s="524">
        <f t="shared" si="61"/>
        <v>0.25</v>
      </c>
      <c r="AS120" s="7">
        <f t="shared" si="62"/>
        <v>4.8761166182406201</v>
      </c>
      <c r="AT120" s="7">
        <v>13.394906900030964</v>
      </c>
      <c r="AU120" s="4">
        <v>30</v>
      </c>
      <c r="AV120" s="127">
        <f t="shared" si="63"/>
        <v>1</v>
      </c>
      <c r="AW120" s="124">
        <f t="shared" si="77"/>
        <v>0</v>
      </c>
      <c r="AX120" s="124">
        <f t="shared" si="78"/>
        <v>1</v>
      </c>
      <c r="AY120" s="124">
        <f t="shared" si="64"/>
        <v>0</v>
      </c>
      <c r="AZ120" s="125">
        <f t="shared" si="65"/>
        <v>4.9000000000000004</v>
      </c>
      <c r="BA120" s="125">
        <f t="shared" si="66"/>
        <v>6.3000000000000007</v>
      </c>
      <c r="BB120" s="125">
        <f t="shared" si="67"/>
        <v>11.5</v>
      </c>
      <c r="BC120" s="7">
        <v>7.533333333333335</v>
      </c>
      <c r="BD120" s="7">
        <v>13.266666666666666</v>
      </c>
      <c r="BF120" s="8">
        <f t="shared" si="68"/>
        <v>62</v>
      </c>
      <c r="BG120" s="21">
        <f t="shared" si="69"/>
        <v>15</v>
      </c>
      <c r="BH120" s="124">
        <f t="shared" si="70"/>
        <v>1</v>
      </c>
      <c r="BI120" s="124">
        <f t="shared" si="79"/>
        <v>0</v>
      </c>
      <c r="BJ120" s="144">
        <f t="shared" si="71"/>
        <v>0</v>
      </c>
      <c r="BL120" s="99">
        <v>30</v>
      </c>
    </row>
    <row r="121" spans="1:64" ht="12.75" customHeight="1" x14ac:dyDescent="0.2">
      <c r="A121" s="8" t="e">
        <f t="shared" si="35"/>
        <v>#N/A</v>
      </c>
      <c r="B121" s="125">
        <f t="shared" si="36"/>
        <v>5</v>
      </c>
      <c r="C121" s="125">
        <f t="shared" si="37"/>
        <v>12.8</v>
      </c>
      <c r="D121" s="125">
        <f t="shared" si="72"/>
        <v>8.9</v>
      </c>
      <c r="E121" s="125">
        <f t="shared" si="38"/>
        <v>7.8000000000000007</v>
      </c>
      <c r="F121" s="7"/>
      <c r="G121" s="7"/>
      <c r="H121" s="7"/>
      <c r="I121" s="7"/>
      <c r="K121" s="7" t="e">
        <f t="shared" si="39"/>
        <v>#N/A</v>
      </c>
      <c r="L121" s="7" t="e">
        <f t="shared" si="40"/>
        <v>#N/A</v>
      </c>
      <c r="M121" s="370" t="e">
        <f t="shared" si="41"/>
        <v>#N/A</v>
      </c>
      <c r="N121" s="1" t="e">
        <f t="shared" si="42"/>
        <v>#N/A</v>
      </c>
      <c r="O121" s="7" t="e">
        <f t="shared" si="43"/>
        <v>#N/A</v>
      </c>
      <c r="P121" s="7" t="e">
        <f t="shared" si="44"/>
        <v>#N/A</v>
      </c>
      <c r="Q121" s="7" t="e">
        <f t="shared" si="45"/>
        <v>#N/A</v>
      </c>
      <c r="R121" s="7" t="e">
        <f t="shared" si="46"/>
        <v>#N/A</v>
      </c>
      <c r="S121" s="7" t="e">
        <f t="shared" si="47"/>
        <v>#N/A</v>
      </c>
      <c r="T121" s="1">
        <v>62</v>
      </c>
      <c r="U121" s="333">
        <f t="shared" si="48"/>
        <v>1.8666666666666667</v>
      </c>
      <c r="V121" s="4">
        <v>31</v>
      </c>
      <c r="W121" s="7">
        <f t="shared" si="49"/>
        <v>8.463000000000001</v>
      </c>
      <c r="X121" s="7">
        <f t="shared" si="50"/>
        <v>16.926000000000002</v>
      </c>
      <c r="Y121" s="8" t="e">
        <f t="shared" si="51"/>
        <v>#N/A</v>
      </c>
      <c r="Z121" s="7" t="e">
        <f>IF(ISBLANK(Z34),NA(),SUM($Z$4:Z34))</f>
        <v>#N/A</v>
      </c>
      <c r="AA121" s="7">
        <f t="shared" si="75"/>
        <v>56</v>
      </c>
      <c r="AB121" s="26">
        <f>IF(ISBLANK(Z6),"",SUM($Z$4:Z34))</f>
        <v>1.8</v>
      </c>
      <c r="AC121" s="115" t="e">
        <f t="shared" si="76"/>
        <v>#N/A</v>
      </c>
      <c r="AD121" s="8" t="e">
        <f t="shared" si="52"/>
        <v>#N/A</v>
      </c>
      <c r="AE121" s="610" t="str">
        <f t="shared" si="53"/>
        <v/>
      </c>
      <c r="AF121" s="524" t="e">
        <f t="shared" si="54"/>
        <v>#N/A</v>
      </c>
      <c r="AG121" s="22" t="e">
        <f>IF(ISBLANK(AP34),NA(),SUM($AP$4:AP34))</f>
        <v>#N/A</v>
      </c>
      <c r="AH121" s="7">
        <f>SUM($AS$91:AS121)</f>
        <v>137.00000000000006</v>
      </c>
      <c r="AI121" s="115" t="e">
        <f t="shared" si="55"/>
        <v>#N/A</v>
      </c>
      <c r="AJ121" s="124" t="str">
        <f t="shared" si="56"/>
        <v/>
      </c>
      <c r="AK121" s="8" t="e">
        <f t="shared" si="57"/>
        <v>#N/A</v>
      </c>
      <c r="AL121" s="124" t="str">
        <f t="shared" si="58"/>
        <v/>
      </c>
      <c r="AM121" s="524" t="e">
        <f t="shared" si="59"/>
        <v>#N/A</v>
      </c>
      <c r="AO121" s="524" t="e">
        <f t="shared" si="60"/>
        <v>#N/A</v>
      </c>
      <c r="AR121" s="524" t="e">
        <f t="shared" si="61"/>
        <v>#N/A</v>
      </c>
      <c r="AS121" s="7">
        <f t="shared" si="62"/>
        <v>0</v>
      </c>
      <c r="AT121" s="7"/>
      <c r="AU121" s="4">
        <v>31</v>
      </c>
      <c r="AV121" s="127" t="str">
        <f t="shared" si="63"/>
        <v/>
      </c>
      <c r="AW121" s="124" t="str">
        <f t="shared" si="77"/>
        <v/>
      </c>
      <c r="AX121" s="124" t="str">
        <f t="shared" si="78"/>
        <v/>
      </c>
      <c r="AY121" s="124" t="str">
        <f t="shared" si="64"/>
        <v/>
      </c>
      <c r="AZ121" s="125">
        <f t="shared" si="65"/>
        <v>4.9000000000000004</v>
      </c>
      <c r="BA121" s="125">
        <f t="shared" si="66"/>
        <v>6.3000000000000007</v>
      </c>
      <c r="BB121" s="125">
        <f t="shared" si="67"/>
        <v>11.5</v>
      </c>
      <c r="BF121" s="8" t="e">
        <f t="shared" si="68"/>
        <v>#N/A</v>
      </c>
      <c r="BG121" s="21" t="e">
        <f t="shared" si="69"/>
        <v>#N/A</v>
      </c>
      <c r="BH121" s="124" t="str">
        <f t="shared" si="70"/>
        <v/>
      </c>
      <c r="BI121" s="124" t="str">
        <f t="shared" si="79"/>
        <v/>
      </c>
      <c r="BJ121" s="144" t="str">
        <f t="shared" si="71"/>
        <v/>
      </c>
      <c r="BL121" s="99"/>
    </row>
    <row r="122" spans="1:64" ht="6" customHeight="1" x14ac:dyDescent="0.2">
      <c r="C122" s="1"/>
      <c r="D122" s="125"/>
      <c r="E122" s="125"/>
      <c r="F122" s="125"/>
      <c r="G122" s="125"/>
      <c r="H122" s="21"/>
      <c r="I122" s="7"/>
      <c r="K122" s="7"/>
      <c r="M122" s="8"/>
      <c r="N122" s="8"/>
      <c r="P122" s="125"/>
      <c r="R122" s="8"/>
      <c r="S122" s="8"/>
      <c r="U122" s="333"/>
      <c r="V122" s="4"/>
      <c r="W122" s="7"/>
      <c r="Z122" s="7"/>
      <c r="AA122" s="7"/>
      <c r="AB122" s="127"/>
      <c r="AC122" s="7"/>
      <c r="AD122" s="115"/>
      <c r="AE122" s="115"/>
      <c r="AG122" s="22"/>
      <c r="AH122" s="8"/>
      <c r="AI122" s="115"/>
      <c r="AJ122" s="124"/>
      <c r="AK122" s="67"/>
      <c r="AL122" s="124"/>
      <c r="AQ122" s="7"/>
      <c r="AS122" s="7"/>
      <c r="AT122" s="7"/>
      <c r="AU122" s="8"/>
      <c r="AV122" s="127"/>
      <c r="AW122" s="124"/>
      <c r="AX122" s="124"/>
      <c r="AY122" s="124"/>
      <c r="AZ122" s="127"/>
      <c r="BA122" s="125"/>
      <c r="BG122" s="127"/>
      <c r="BH122" s="124"/>
      <c r="BI122" s="124"/>
      <c r="BJ122" s="144"/>
      <c r="BL122" s="99"/>
    </row>
    <row r="123" spans="1:64" ht="12.75" x14ac:dyDescent="0.2">
      <c r="C123" s="1"/>
      <c r="R123" s="8"/>
      <c r="S123" s="8"/>
      <c r="V123" s="11" t="s">
        <v>4</v>
      </c>
      <c r="W123" s="7" t="e">
        <f>IF(Z38&lt;1,"",AVERAGE(AB4:AB33))</f>
        <v>#DIV/0!</v>
      </c>
      <c r="X123" s="7">
        <f>MAX(AB4:AB34)</f>
        <v>0</v>
      </c>
      <c r="AH123" s="115">
        <f>MIN(AE95:AE121)</f>
        <v>0.55927448474331332</v>
      </c>
      <c r="AI123" s="115">
        <f>MAX(AE95:AE121)</f>
        <v>1.6324192643446973</v>
      </c>
      <c r="AJ123" s="117"/>
      <c r="AK123" s="240"/>
      <c r="AL123" s="117"/>
      <c r="AS123" s="7">
        <f>SUM(AS91:AS121)</f>
        <v>137.00000000000006</v>
      </c>
      <c r="AT123" s="7">
        <f>SUM(AT91:AT121)</f>
        <v>376.34502801665474</v>
      </c>
      <c r="AV123" s="124"/>
      <c r="AW123" s="124"/>
      <c r="AX123" s="124"/>
      <c r="AY123" s="124"/>
      <c r="AZ123" s="124"/>
      <c r="BA123" s="124"/>
      <c r="BE123" s="124"/>
      <c r="BG123" s="7"/>
      <c r="BH123" s="124"/>
      <c r="BL123" s="4"/>
    </row>
    <row r="124" spans="1:64" s="95" customFormat="1" ht="18.75" customHeight="1" x14ac:dyDescent="0.2">
      <c r="C124" s="116"/>
      <c r="R124" s="325"/>
      <c r="S124" s="325"/>
      <c r="AY124" s="326"/>
      <c r="AZ124" s="326"/>
      <c r="BA124" s="326"/>
      <c r="BB124" s="326"/>
      <c r="BC124" s="326"/>
      <c r="BD124" s="326"/>
      <c r="BE124" s="326"/>
      <c r="BF124" s="326"/>
      <c r="BH124" s="326"/>
      <c r="BL124" s="81"/>
    </row>
    <row r="125" spans="1:64" ht="12.75" hidden="1" x14ac:dyDescent="0.2">
      <c r="AY125" s="124"/>
      <c r="AZ125" s="124"/>
      <c r="BA125" s="124"/>
      <c r="BB125" s="124"/>
      <c r="BC125" s="124"/>
      <c r="BD125" s="124"/>
      <c r="BE125" s="124"/>
      <c r="BF125" s="124"/>
      <c r="BG125" s="124"/>
      <c r="BH125" s="124"/>
    </row>
    <row r="126" spans="1:64" ht="12.75" hidden="1" x14ac:dyDescent="0.2">
      <c r="AY126" s="124"/>
      <c r="AZ126" s="124"/>
      <c r="BA126" s="124"/>
      <c r="BB126" s="124"/>
      <c r="BC126" s="124"/>
      <c r="BD126" s="124"/>
      <c r="BE126" s="124"/>
      <c r="BF126" s="124"/>
      <c r="BG126" s="124"/>
      <c r="BH126" s="124"/>
    </row>
    <row r="127" spans="1:64" ht="12.75" hidden="1" x14ac:dyDescent="0.2">
      <c r="AY127" s="124"/>
      <c r="AZ127" s="124"/>
      <c r="BA127" s="124"/>
      <c r="BB127" s="124"/>
      <c r="BC127" s="124"/>
      <c r="BD127" s="124"/>
      <c r="BE127" s="124"/>
      <c r="BF127" s="124"/>
      <c r="BG127" s="124"/>
      <c r="BH127" s="124"/>
    </row>
    <row r="128" spans="1:64" ht="12.75" hidden="1" x14ac:dyDescent="0.2">
      <c r="AY128" s="124"/>
      <c r="AZ128" s="124"/>
      <c r="BA128" s="124"/>
      <c r="BB128" s="124"/>
      <c r="BC128" s="124"/>
      <c r="BD128" s="124"/>
      <c r="BE128" s="124"/>
      <c r="BF128" s="124"/>
      <c r="BG128" s="124"/>
      <c r="BH128" s="124"/>
    </row>
    <row r="129" spans="13:60" ht="12.75" hidden="1" x14ac:dyDescent="0.2">
      <c r="AY129" s="124"/>
      <c r="AZ129" s="124"/>
      <c r="BA129" s="124"/>
      <c r="BB129" s="124"/>
      <c r="BC129" s="124"/>
      <c r="BD129" s="124"/>
      <c r="BE129" s="124"/>
      <c r="BF129" s="124"/>
      <c r="BG129" s="124"/>
      <c r="BH129" s="124"/>
    </row>
    <row r="130" spans="13:60" ht="12.75" hidden="1" x14ac:dyDescent="0.2"/>
    <row r="131" spans="13:60" ht="12.75" hidden="1" x14ac:dyDescent="0.2"/>
    <row r="132" spans="13:60" ht="12.75" hidden="1" x14ac:dyDescent="0.2"/>
    <row r="133" spans="13:60" ht="12.75" hidden="1" x14ac:dyDescent="0.2"/>
    <row r="134" spans="13:60" ht="12.75" hidden="1" x14ac:dyDescent="0.2">
      <c r="M134" s="10"/>
    </row>
  </sheetData>
  <sheetCalcPr fullCalcOnLoad="1"/>
  <mergeCells count="174">
    <mergeCell ref="AP82:AQ84"/>
    <mergeCell ref="W90:X90"/>
    <mergeCell ref="P1:S1"/>
    <mergeCell ref="U1:X1"/>
    <mergeCell ref="AA46:AA47"/>
    <mergeCell ref="P57:S57"/>
    <mergeCell ref="Q76:AB76"/>
    <mergeCell ref="Q50:R50"/>
    <mergeCell ref="Z50:Z51"/>
    <mergeCell ref="U57:U58"/>
    <mergeCell ref="B36:C36"/>
    <mergeCell ref="BA36:BB36"/>
    <mergeCell ref="B38:C38"/>
    <mergeCell ref="AH50:AI50"/>
    <mergeCell ref="B42:C42"/>
    <mergeCell ref="B46:E46"/>
    <mergeCell ref="B47:D47"/>
    <mergeCell ref="Z46:Z47"/>
    <mergeCell ref="AC50:AD50"/>
    <mergeCell ref="AL38:AL43"/>
    <mergeCell ref="Z1:AC1"/>
    <mergeCell ref="AS1:AY1"/>
    <mergeCell ref="AG1:AJ1"/>
    <mergeCell ref="AP1:AP2"/>
    <mergeCell ref="AQ1:AQ2"/>
    <mergeCell ref="B1:B2"/>
    <mergeCell ref="C1:C2"/>
    <mergeCell ref="F1:I1"/>
    <mergeCell ref="K1:N1"/>
    <mergeCell ref="BF1:BJ1"/>
    <mergeCell ref="D4:D43"/>
    <mergeCell ref="BA37:BB37"/>
    <mergeCell ref="BA39:BB39"/>
    <mergeCell ref="BA40:BB40"/>
    <mergeCell ref="AL1:AL2"/>
    <mergeCell ref="AN1:AN2"/>
    <mergeCell ref="BA1:BD1"/>
    <mergeCell ref="BA38:BB38"/>
    <mergeCell ref="AD1:AE1"/>
    <mergeCell ref="BF46:BJ46"/>
    <mergeCell ref="BF47:BJ47"/>
    <mergeCell ref="AY47:BD47"/>
    <mergeCell ref="AS49:AT49"/>
    <mergeCell ref="AS48:AU48"/>
    <mergeCell ref="AS46:AX46"/>
    <mergeCell ref="AG51:AJ51"/>
    <mergeCell ref="B48:D48"/>
    <mergeCell ref="B52:D52"/>
    <mergeCell ref="Z49:AA49"/>
    <mergeCell ref="AG49:AJ49"/>
    <mergeCell ref="B49:D49"/>
    <mergeCell ref="H50:I50"/>
    <mergeCell ref="K48:N48"/>
    <mergeCell ref="AC51:AC52"/>
    <mergeCell ref="B50:D50"/>
    <mergeCell ref="B51:D51"/>
    <mergeCell ref="AS50:AT50"/>
    <mergeCell ref="AA52:AA53"/>
    <mergeCell ref="AG52:AJ52"/>
    <mergeCell ref="Q52:R52"/>
    <mergeCell ref="Z52:Z53"/>
    <mergeCell ref="Q51:R51"/>
    <mergeCell ref="Q53:R53"/>
    <mergeCell ref="H51:I51"/>
    <mergeCell ref="AS51:AT51"/>
    <mergeCell ref="AA50:AA51"/>
    <mergeCell ref="AP59:AQ59"/>
    <mergeCell ref="AS60:AT60"/>
    <mergeCell ref="AS56:AT56"/>
    <mergeCell ref="AS55:AT55"/>
    <mergeCell ref="AS52:AT52"/>
    <mergeCell ref="AS53:AT53"/>
    <mergeCell ref="AP52:AQ52"/>
    <mergeCell ref="AP53:AQ53"/>
    <mergeCell ref="AH53:AI53"/>
    <mergeCell ref="AS54:AT54"/>
    <mergeCell ref="B54:D54"/>
    <mergeCell ref="B56:D56"/>
    <mergeCell ref="B55:D55"/>
    <mergeCell ref="AG56:AJ56"/>
    <mergeCell ref="Z54:Z55"/>
    <mergeCell ref="AA54:AA55"/>
    <mergeCell ref="B53:D53"/>
    <mergeCell ref="AG59:AJ59"/>
    <mergeCell ref="X57:X58"/>
    <mergeCell ref="AG58:AJ58"/>
    <mergeCell ref="AH57:AI57"/>
    <mergeCell ref="V57:V58"/>
    <mergeCell ref="AG67:AJ67"/>
    <mergeCell ref="B57:D57"/>
    <mergeCell ref="H57:I58"/>
    <mergeCell ref="K57:N57"/>
    <mergeCell ref="B58:D58"/>
    <mergeCell ref="B62:D62"/>
    <mergeCell ref="H62:I62"/>
    <mergeCell ref="H59:I59"/>
    <mergeCell ref="B59:D59"/>
    <mergeCell ref="AS62:AT62"/>
    <mergeCell ref="AP60:AQ62"/>
    <mergeCell ref="B60:D60"/>
    <mergeCell ref="H60:I60"/>
    <mergeCell ref="AH60:AI60"/>
    <mergeCell ref="B61:D61"/>
    <mergeCell ref="B63:D63"/>
    <mergeCell ref="H63:I63"/>
    <mergeCell ref="AS63:AT63"/>
    <mergeCell ref="AP63:AQ68"/>
    <mergeCell ref="B65:D65"/>
    <mergeCell ref="B66:D66"/>
    <mergeCell ref="H66:I66"/>
    <mergeCell ref="B67:D67"/>
    <mergeCell ref="H67:I67"/>
    <mergeCell ref="B64:D64"/>
    <mergeCell ref="H64:I64"/>
    <mergeCell ref="AG64:AJ64"/>
    <mergeCell ref="H71:I71"/>
    <mergeCell ref="AG71:AJ71"/>
    <mergeCell ref="H70:I70"/>
    <mergeCell ref="AH65:AI65"/>
    <mergeCell ref="AH68:AI68"/>
    <mergeCell ref="AG66:AJ66"/>
    <mergeCell ref="B69:D69"/>
    <mergeCell ref="H69:I69"/>
    <mergeCell ref="B68:D68"/>
    <mergeCell ref="H68:I68"/>
    <mergeCell ref="B73:D73"/>
    <mergeCell ref="B74:D74"/>
    <mergeCell ref="H74:H75"/>
    <mergeCell ref="B71:D71"/>
    <mergeCell ref="B72:D72"/>
    <mergeCell ref="AG74:AJ74"/>
    <mergeCell ref="B75:D75"/>
    <mergeCell ref="AH75:AI75"/>
    <mergeCell ref="Q74:AB75"/>
    <mergeCell ref="Q73:AB73"/>
    <mergeCell ref="AG73:AJ73"/>
    <mergeCell ref="AD73:AE73"/>
    <mergeCell ref="B76:D76"/>
    <mergeCell ref="H76:H77"/>
    <mergeCell ref="B77:D77"/>
    <mergeCell ref="AP76:AQ78"/>
    <mergeCell ref="B78:D78"/>
    <mergeCell ref="H78:H79"/>
    <mergeCell ref="AG78:AJ78"/>
    <mergeCell ref="B79:D79"/>
    <mergeCell ref="Q78:AB78"/>
    <mergeCell ref="Q79:AB79"/>
    <mergeCell ref="AH79:AI79"/>
    <mergeCell ref="B80:D80"/>
    <mergeCell ref="H80:H81"/>
    <mergeCell ref="B81:D81"/>
    <mergeCell ref="AG81:AJ81"/>
    <mergeCell ref="Q81:AB81"/>
    <mergeCell ref="Q80:AB80"/>
    <mergeCell ref="AS59:AT59"/>
    <mergeCell ref="BF84:BJ84"/>
    <mergeCell ref="BB81:BC81"/>
    <mergeCell ref="B82:D82"/>
    <mergeCell ref="H82:H83"/>
    <mergeCell ref="AH82:AI82"/>
    <mergeCell ref="B83:D83"/>
    <mergeCell ref="Q83:AB83"/>
    <mergeCell ref="Q82:AB82"/>
    <mergeCell ref="AP79:AQ81"/>
    <mergeCell ref="AD51:AD52"/>
    <mergeCell ref="Q77:AB77"/>
    <mergeCell ref="AS57:AT57"/>
    <mergeCell ref="AS58:AT58"/>
    <mergeCell ref="AP73:AQ75"/>
    <mergeCell ref="AH72:AI72"/>
    <mergeCell ref="AP69:AQ72"/>
    <mergeCell ref="W57:W58"/>
    <mergeCell ref="Z57:AB57"/>
    <mergeCell ref="AC57:AE57"/>
  </mergeCells>
  <phoneticPr fontId="4" type="noConversion"/>
  <conditionalFormatting sqref="C4:C34">
    <cfRule type="cellIs" dxfId="1229" priority="1" stopIfTrue="1" operator="notEqual">
      <formula>G4</formula>
    </cfRule>
  </conditionalFormatting>
  <conditionalFormatting sqref="AC4:AC34">
    <cfRule type="cellIs" dxfId="1228" priority="2" stopIfTrue="1" operator="equal">
      <formula>$AC$86</formula>
    </cfRule>
    <cfRule type="cellIs" dxfId="1227" priority="3" stopIfTrue="1" operator="equal">
      <formula>0</formula>
    </cfRule>
    <cfRule type="expression" dxfId="1226" priority="4" stopIfTrue="1">
      <formula>Z4=0.1</formula>
    </cfRule>
  </conditionalFormatting>
  <conditionalFormatting sqref="W46:W53">
    <cfRule type="expression" dxfId="1225" priority="5" stopIfTrue="1">
      <formula>X46=$X$55</formula>
    </cfRule>
  </conditionalFormatting>
  <conditionalFormatting sqref="B4:B34">
    <cfRule type="cellIs" dxfId="1224" priority="6" stopIfTrue="1" operator="notEqual">
      <formula>F4</formula>
    </cfRule>
  </conditionalFormatting>
  <conditionalFormatting sqref="AP92:AP107">
    <cfRule type="expression" dxfId="1223" priority="7" stopIfTrue="1">
      <formula>AQ92=$AQ$109</formula>
    </cfRule>
  </conditionalFormatting>
  <conditionalFormatting sqref="BG49:BG79">
    <cfRule type="expression" dxfId="1222" priority="8" stopIfTrue="1">
      <formula>IF(J4=1,1,0)</formula>
    </cfRule>
  </conditionalFormatting>
  <conditionalFormatting sqref="B72:D80 B48:C66 D48 D51:D52 D54:D66">
    <cfRule type="expression" dxfId="1221" priority="9" stopIfTrue="1">
      <formula>IF(F48&gt;0.5,1,0)</formula>
    </cfRule>
    <cfRule type="expression" dxfId="1220" priority="10" stopIfTrue="1">
      <formula>IF(F48&lt;0.2,1,0)</formula>
    </cfRule>
  </conditionalFormatting>
  <conditionalFormatting sqref="AS50:AT60">
    <cfRule type="expression" dxfId="1219" priority="11" stopIfTrue="1">
      <formula>IF(AV50&gt;0.5,1,0)</formula>
    </cfRule>
    <cfRule type="expression" dxfId="1218" priority="12" stopIfTrue="1">
      <formula>IF(AV50&lt;0.2,1,0)</formula>
    </cfRule>
  </conditionalFormatting>
  <conditionalFormatting sqref="BD35">
    <cfRule type="cellIs" dxfId="1217" priority="13" stopIfTrue="1" operator="equal">
      <formula>#REF!</formula>
    </cfRule>
    <cfRule type="expression" dxfId="1216" priority="14" stopIfTrue="1">
      <formula>AY123=1</formula>
    </cfRule>
    <cfRule type="expression" dxfId="1215" priority="15" stopIfTrue="1">
      <formula>BH123=1</formula>
    </cfRule>
  </conditionalFormatting>
  <conditionalFormatting sqref="F4:F34">
    <cfRule type="cellIs" dxfId="1214" priority="16" stopIfTrue="1" operator="equal">
      <formula>$F$85</formula>
    </cfRule>
    <cfRule type="cellIs" dxfId="1213" priority="17" stopIfTrue="1" operator="equal">
      <formula>$F$86</formula>
    </cfRule>
    <cfRule type="expression" dxfId="1212" priority="18" stopIfTrue="1">
      <formula>IF(B4&lt;0,1,0)</formula>
    </cfRule>
  </conditionalFormatting>
  <conditionalFormatting sqref="BF49:BF79">
    <cfRule type="cellIs" dxfId="1211" priority="19" stopIfTrue="1" operator="greaterThan">
      <formula>0.9</formula>
    </cfRule>
    <cfRule type="expression" dxfId="1210" priority="20" stopIfTrue="1">
      <formula>IF(O4=1,1,0)</formula>
    </cfRule>
  </conditionalFormatting>
  <conditionalFormatting sqref="D53">
    <cfRule type="expression" dxfId="1209" priority="21" stopIfTrue="1">
      <formula>IF(H50&gt;0.5,1,0)</formula>
    </cfRule>
    <cfRule type="expression" dxfId="1208" priority="22" stopIfTrue="1">
      <formula>IF(H50&lt;0.2,1,0)</formula>
    </cfRule>
  </conditionalFormatting>
  <conditionalFormatting sqref="D49:D50">
    <cfRule type="expression" dxfId="1207" priority="23" stopIfTrue="1">
      <formula>IF(L53&gt;0.5,1,0)</formula>
    </cfRule>
    <cfRule type="expression" dxfId="1206" priority="24" stopIfTrue="1">
      <formula>IF(L53&lt;0.2,1,0)</formula>
    </cfRule>
  </conditionalFormatting>
  <conditionalFormatting sqref="BA49:BA79">
    <cfRule type="cellIs" dxfId="1205" priority="25" stopIfTrue="1" operator="equal">
      <formula>$BB$86</formula>
    </cfRule>
    <cfRule type="expression" dxfId="1204" priority="26" stopIfTrue="1">
      <formula>IF(AX91=1,1,0)</formula>
    </cfRule>
    <cfRule type="expression" dxfId="1203" priority="27" stopIfTrue="1">
      <formula>IF(AW91=1,1,0)</formula>
    </cfRule>
  </conditionalFormatting>
  <conditionalFormatting sqref="AQ92:AQ107">
    <cfRule type="cellIs" dxfId="1202" priority="28" stopIfTrue="1" operator="equal">
      <formula>$AQ$109</formula>
    </cfRule>
  </conditionalFormatting>
  <conditionalFormatting sqref="AB91:AB121">
    <cfRule type="cellIs" dxfId="1201" priority="29" stopIfTrue="1" operator="equal">
      <formula>0</formula>
    </cfRule>
  </conditionalFormatting>
  <conditionalFormatting sqref="AE4:AE34">
    <cfRule type="cellIs" dxfId="1200" priority="30" stopIfTrue="1" operator="equal">
      <formula>$AD$86</formula>
    </cfRule>
    <cfRule type="cellIs" dxfId="1199" priority="31" stopIfTrue="1" operator="equal">
      <formula>0</formula>
    </cfRule>
  </conditionalFormatting>
  <conditionalFormatting sqref="AD34">
    <cfRule type="cellIs" dxfId="1198" priority="32" stopIfTrue="1" operator="equal">
      <formula>$AE$86</formula>
    </cfRule>
  </conditionalFormatting>
  <conditionalFormatting sqref="AY49:AZ79">
    <cfRule type="cellIs" dxfId="1197" priority="33" stopIfTrue="1" operator="equal">
      <formula>$BA$84</formula>
    </cfRule>
    <cfRule type="cellIs" dxfId="1196" priority="34" stopIfTrue="1" operator="equal">
      <formula>$BB$84</formula>
    </cfRule>
  </conditionalFormatting>
  <conditionalFormatting sqref="AW4:AW34 BI35">
    <cfRule type="cellIs" dxfId="1195" priority="35" stopIfTrue="1" operator="equal">
      <formula>$AW$85</formula>
    </cfRule>
    <cfRule type="cellIs" dxfId="1194" priority="36" stopIfTrue="1" operator="equal">
      <formula>$AW$86</formula>
    </cfRule>
  </conditionalFormatting>
  <conditionalFormatting sqref="BC35 BD4:BD34">
    <cfRule type="cellIs" dxfId="1193" priority="37" stopIfTrue="1" operator="equal">
      <formula>$BD$85</formula>
    </cfRule>
    <cfRule type="cellIs" dxfId="1192" priority="38" stopIfTrue="1" operator="equal">
      <formula>$BD$86</formula>
    </cfRule>
  </conditionalFormatting>
  <conditionalFormatting sqref="BC49:BC80">
    <cfRule type="cellIs" dxfId="1191" priority="39" stopIfTrue="1" operator="equal">
      <formula>$AU$85</formula>
    </cfRule>
    <cfRule type="cellIs" dxfId="1190" priority="40" stopIfTrue="1" operator="equal">
      <formula>$AU$86</formula>
    </cfRule>
  </conditionalFormatting>
  <conditionalFormatting sqref="BD49:BD80">
    <cfRule type="cellIs" dxfId="1189" priority="41" stopIfTrue="1" operator="equal">
      <formula>#REF!</formula>
    </cfRule>
    <cfRule type="cellIs" dxfId="1188" priority="42" stopIfTrue="1" operator="equal">
      <formula>#REF!</formula>
    </cfRule>
  </conditionalFormatting>
  <conditionalFormatting sqref="BF35 BF4:BG34">
    <cfRule type="cellIs" dxfId="1187" priority="43" stopIfTrue="1" operator="equal">
      <formula>$BF$85</formula>
    </cfRule>
    <cfRule type="cellIs" dxfId="1186" priority="44" stopIfTrue="1" operator="equal">
      <formula>$BF$86</formula>
    </cfRule>
  </conditionalFormatting>
  <conditionalFormatting sqref="BG35">
    <cfRule type="cellIs" dxfId="1185" priority="45" stopIfTrue="1" operator="equal">
      <formula>$BG$85</formula>
    </cfRule>
    <cfRule type="cellIs" dxfId="1184" priority="46" stopIfTrue="1" operator="equal">
      <formula>$BG$86</formula>
    </cfRule>
  </conditionalFormatting>
  <conditionalFormatting sqref="BH4:BH35">
    <cfRule type="cellIs" dxfId="1183" priority="47" stopIfTrue="1" operator="equal">
      <formula>$BH$85</formula>
    </cfRule>
    <cfRule type="cellIs" dxfId="1182" priority="48" stopIfTrue="1" operator="equal">
      <formula>$BH$86</formula>
    </cfRule>
  </conditionalFormatting>
  <conditionalFormatting sqref="BA4:BA35 BB4:BB34">
    <cfRule type="cellIs" dxfId="1181" priority="49" stopIfTrue="1" operator="equal">
      <formula>$BA$85</formula>
    </cfRule>
    <cfRule type="cellIs" dxfId="1180" priority="50" stopIfTrue="1" operator="equal">
      <formula>$BA$86</formula>
    </cfRule>
  </conditionalFormatting>
  <conditionalFormatting sqref="BF80">
    <cfRule type="cellIs" dxfId="1179" priority="51" stopIfTrue="1" operator="greaterThan">
      <formula>0.9</formula>
    </cfRule>
  </conditionalFormatting>
  <conditionalFormatting sqref="BG80">
    <cfRule type="cellIs" dxfId="1178" priority="52" stopIfTrue="1" operator="lessThan">
      <formula>0.3</formula>
    </cfRule>
  </conditionalFormatting>
  <conditionalFormatting sqref="BJ8:BJ35">
    <cfRule type="cellIs" dxfId="1177" priority="53" stopIfTrue="1" operator="equal">
      <formula>$BJ$85</formula>
    </cfRule>
    <cfRule type="cellIs" dxfId="1176" priority="54" stopIfTrue="1" operator="equal">
      <formula>$BJ$86</formula>
    </cfRule>
  </conditionalFormatting>
  <conditionalFormatting sqref="BI4:BI34">
    <cfRule type="cellIs" dxfId="1175" priority="55" stopIfTrue="1" operator="equal">
      <formula>$BI$86</formula>
    </cfRule>
    <cfRule type="cellIs" dxfId="1174" priority="56" stopIfTrue="1" operator="equal">
      <formula>$BI$85</formula>
    </cfRule>
  </conditionalFormatting>
  <conditionalFormatting sqref="AY35:AZ35">
    <cfRule type="cellIs" dxfId="1173" priority="57" stopIfTrue="1" operator="equal">
      <formula>$AY$85</formula>
    </cfRule>
    <cfRule type="cellIs" dxfId="1172" priority="58" stopIfTrue="1" operator="equal">
      <formula>$AY$86</formula>
    </cfRule>
  </conditionalFormatting>
  <conditionalFormatting sqref="AY4:AY34">
    <cfRule type="cellIs" dxfId="1171" priority="59" stopIfTrue="1" operator="equal">
      <formula>$AY$85</formula>
    </cfRule>
    <cfRule type="cellIs" dxfId="1170" priority="60" stopIfTrue="1" operator="equal">
      <formula>$AY$86</formula>
    </cfRule>
  </conditionalFormatting>
  <conditionalFormatting sqref="AM4:AM34 X4:X23 X33:X34">
    <cfRule type="cellIs" dxfId="1169" priority="61" stopIfTrue="1" operator="equal">
      <formula>10</formula>
    </cfRule>
    <cfRule type="cellIs" priority="62" stopIfTrue="1" operator="equal">
      <formula>0</formula>
    </cfRule>
  </conditionalFormatting>
  <conditionalFormatting sqref="AK4:AK34">
    <cfRule type="cellIs" dxfId="1168" priority="63" stopIfTrue="1" operator="equal">
      <formula>$AH$86</formula>
    </cfRule>
    <cfRule type="cellIs" dxfId="1167" priority="64" stopIfTrue="1" operator="equal">
      <formula>$AH$85</formula>
    </cfRule>
  </conditionalFormatting>
  <conditionalFormatting sqref="AR4:AR34">
    <cfRule type="cellIs" dxfId="1166" priority="65" stopIfTrue="1" operator="equal">
      <formula>$M$92</formula>
    </cfRule>
  </conditionalFormatting>
  <conditionalFormatting sqref="AV50:AV60 F72:F80 F48:F66">
    <cfRule type="cellIs" dxfId="1165" priority="66" stopIfTrue="1" operator="between">
      <formula>0.45</formula>
      <formula>0.55</formula>
    </cfRule>
  </conditionalFormatting>
  <conditionalFormatting sqref="AS8:AS34">
    <cfRule type="cellIs" dxfId="1164" priority="67" stopIfTrue="1" operator="equal">
      <formula>$AS$85</formula>
    </cfRule>
    <cfRule type="cellIs" dxfId="1163" priority="68" stopIfTrue="1" operator="equal">
      <formula>$AS$86</formula>
    </cfRule>
  </conditionalFormatting>
  <conditionalFormatting sqref="AI4:AI35">
    <cfRule type="cellIs" dxfId="1162" priority="69" stopIfTrue="1" operator="equal">
      <formula>$AI$85</formula>
    </cfRule>
    <cfRule type="cellIs" dxfId="1161" priority="70" stopIfTrue="1" operator="equal">
      <formula>$AI$86</formula>
    </cfRule>
  </conditionalFormatting>
  <conditionalFormatting sqref="AJ4:AJ35">
    <cfRule type="cellIs" dxfId="1160" priority="71" stopIfTrue="1" operator="equal">
      <formula>$AJ$85</formula>
    </cfRule>
    <cfRule type="cellIs" dxfId="1159" priority="72" stopIfTrue="1" operator="equal">
      <formula>$AJ$86</formula>
    </cfRule>
  </conditionalFormatting>
  <conditionalFormatting sqref="AT4:AT35">
    <cfRule type="cellIs" dxfId="1158" priority="73" stopIfTrue="1" operator="equal">
      <formula>$AT$85</formula>
    </cfRule>
    <cfRule type="cellIs" dxfId="1157" priority="74" stopIfTrue="1" operator="equal">
      <formula>$AT$86</formula>
    </cfRule>
  </conditionalFormatting>
  <conditionalFormatting sqref="AU4:AU35">
    <cfRule type="cellIs" dxfId="1156" priority="75" stopIfTrue="1" operator="equal">
      <formula>$AU$85</formula>
    </cfRule>
    <cfRule type="cellIs" dxfId="1155" priority="76" stopIfTrue="1" operator="equal">
      <formula>$AU$86</formula>
    </cfRule>
  </conditionalFormatting>
  <conditionalFormatting sqref="AV35:AW35 AV4:AV34">
    <cfRule type="cellIs" dxfId="1154" priority="77" stopIfTrue="1" operator="equal">
      <formula>$AV$85</formula>
    </cfRule>
    <cfRule type="cellIs" dxfId="1153" priority="78" stopIfTrue="1" operator="equal">
      <formula>$AV$86</formula>
    </cfRule>
  </conditionalFormatting>
  <conditionalFormatting sqref="AX4:AX35">
    <cfRule type="cellIs" dxfId="1152" priority="79" stopIfTrue="1" operator="equal">
      <formula>$AX$85</formula>
    </cfRule>
    <cfRule type="cellIs" dxfId="1151" priority="80" stopIfTrue="1" operator="equal">
      <formula>$AX$86</formula>
    </cfRule>
  </conditionalFormatting>
  <conditionalFormatting sqref="AG4:AG34">
    <cfRule type="cellIs" dxfId="1150" priority="81" stopIfTrue="1" operator="equal">
      <formula>$AG$85</formula>
    </cfRule>
    <cfRule type="cellIs" dxfId="1149" priority="82" stopIfTrue="1" operator="equal">
      <formula>$AG$86</formula>
    </cfRule>
  </conditionalFormatting>
  <conditionalFormatting sqref="AH4:AH35">
    <cfRule type="cellIs" dxfId="1148" priority="83" stopIfTrue="1" operator="equal">
      <formula>$AH$85</formula>
    </cfRule>
    <cfRule type="cellIs" dxfId="1147" priority="84" stopIfTrue="1" operator="equal">
      <formula>$AH$86</formula>
    </cfRule>
  </conditionalFormatting>
  <conditionalFormatting sqref="AP4:AP34">
    <cfRule type="cellIs" dxfId="1146" priority="85" stopIfTrue="1" operator="equal">
      <formula>$AP$86</formula>
    </cfRule>
    <cfRule type="cellIs" dxfId="1145" priority="86" stopIfTrue="1" operator="equal">
      <formula>0.001</formula>
    </cfRule>
  </conditionalFormatting>
  <conditionalFormatting sqref="BH49:BH79">
    <cfRule type="cellIs" dxfId="1144" priority="87" stopIfTrue="1" operator="greaterThan">
      <formula>0.9</formula>
    </cfRule>
  </conditionalFormatting>
  <conditionalFormatting sqref="BI49:BI79">
    <cfRule type="cellIs" dxfId="1143" priority="88" stopIfTrue="1" operator="greaterThan">
      <formula>0.5</formula>
    </cfRule>
  </conditionalFormatting>
  <conditionalFormatting sqref="X46:X53">
    <cfRule type="cellIs" dxfId="1142" priority="89" stopIfTrue="1" operator="equal">
      <formula>$X$55</formula>
    </cfRule>
  </conditionalFormatting>
  <conditionalFormatting sqref="L4:L34">
    <cfRule type="cellIs" dxfId="1141" priority="90" stopIfTrue="1" operator="equal">
      <formula>98</formula>
    </cfRule>
    <cfRule type="cellIs" dxfId="1140" priority="91" stopIfTrue="1" operator="equal">
      <formula>$L$85</formula>
    </cfRule>
    <cfRule type="cellIs" dxfId="1139" priority="92" stopIfTrue="1" operator="equal">
      <formula>$L$86</formula>
    </cfRule>
  </conditionalFormatting>
  <conditionalFormatting sqref="K4:K34">
    <cfRule type="cellIs" dxfId="1138" priority="93" stopIfTrue="1" operator="equal">
      <formula>$K$85</formula>
    </cfRule>
    <cfRule type="cellIs" dxfId="1137" priority="94" stopIfTrue="1" operator="equal">
      <formula>$K$86</formula>
    </cfRule>
  </conditionalFormatting>
  <conditionalFormatting sqref="I4:I34">
    <cfRule type="cellIs" dxfId="1136" priority="95" stopIfTrue="1" operator="equal">
      <formula>$I$85</formula>
    </cfRule>
    <cfRule type="cellIs" dxfId="1135" priority="96" stopIfTrue="1" operator="equal">
      <formula>$I$86</formula>
    </cfRule>
  </conditionalFormatting>
  <conditionalFormatting sqref="N4:N34">
    <cfRule type="cellIs" dxfId="1134" priority="97" stopIfTrue="1" operator="equal">
      <formula>$N$85</formula>
    </cfRule>
    <cfRule type="cellIs" dxfId="1133" priority="98" stopIfTrue="1" operator="equal">
      <formula>$N$86</formula>
    </cfRule>
  </conditionalFormatting>
  <conditionalFormatting sqref="AA34:AB34 AA4:AA33">
    <cfRule type="cellIs" dxfId="1132" priority="99" stopIfTrue="1" operator="equal">
      <formula>$AA$86</formula>
    </cfRule>
  </conditionalFormatting>
  <conditionalFormatting sqref="P4:P34">
    <cfRule type="cellIs" dxfId="1131" priority="100" stopIfTrue="1" operator="equal">
      <formula>$P$85</formula>
    </cfRule>
    <cfRule type="cellIs" dxfId="1130" priority="101" stopIfTrue="1" operator="equal">
      <formula>$P$86</formula>
    </cfRule>
  </conditionalFormatting>
  <conditionalFormatting sqref="S4:S34">
    <cfRule type="cellIs" dxfId="1129" priority="102" stopIfTrue="1" operator="equal">
      <formula>$S$85</formula>
    </cfRule>
    <cfRule type="cellIs" dxfId="1128" priority="103" stopIfTrue="1" operator="equal">
      <formula>$S$86</formula>
    </cfRule>
  </conditionalFormatting>
  <conditionalFormatting sqref="R4:R34">
    <cfRule type="cellIs" dxfId="1127" priority="104" stopIfTrue="1" operator="equal">
      <formula>$R$85</formula>
    </cfRule>
    <cfRule type="cellIs" dxfId="1126" priority="105" stopIfTrue="1" operator="equal">
      <formula>$R$86</formula>
    </cfRule>
  </conditionalFormatting>
  <conditionalFormatting sqref="Q4:Q34">
    <cfRule type="cellIs" dxfId="1125" priority="106" stopIfTrue="1" operator="equal">
      <formula>$Q$85</formula>
    </cfRule>
    <cfRule type="cellIs" dxfId="1124" priority="107" stopIfTrue="1" operator="equal">
      <formula>$Q$86</formula>
    </cfRule>
  </conditionalFormatting>
  <conditionalFormatting sqref="U49:U50 U47 U53:U56">
    <cfRule type="cellIs" dxfId="1123" priority="108" stopIfTrue="1" operator="equal">
      <formula>$W$86</formula>
    </cfRule>
    <cfRule type="cellIs" dxfId="1122" priority="109" stopIfTrue="1" operator="equal">
      <formula>$W$85</formula>
    </cfRule>
  </conditionalFormatting>
  <conditionalFormatting sqref="H4:H35">
    <cfRule type="cellIs" dxfId="1121" priority="110" stopIfTrue="1" operator="equal">
      <formula>$H$85</formula>
    </cfRule>
    <cfRule type="cellIs" dxfId="1120" priority="111" stopIfTrue="1" operator="equal">
      <formula>$H$86</formula>
    </cfRule>
  </conditionalFormatting>
  <conditionalFormatting sqref="M4:M34">
    <cfRule type="cellIs" dxfId="1119" priority="112" stopIfTrue="1" operator="equal">
      <formula>$M$85</formula>
    </cfRule>
    <cfRule type="cellIs" dxfId="1118" priority="113" stopIfTrue="1" operator="equal">
      <formula>$M$86</formula>
    </cfRule>
  </conditionalFormatting>
  <conditionalFormatting sqref="AB4:AB33">
    <cfRule type="cellIs" dxfId="1117" priority="114" stopIfTrue="1" operator="equal">
      <formula>$X$123</formula>
    </cfRule>
  </conditionalFormatting>
  <conditionalFormatting sqref="G4:G34">
    <cfRule type="cellIs" dxfId="1116" priority="115" stopIfTrue="1" operator="equal">
      <formula>$G$86</formula>
    </cfRule>
    <cfRule type="cellIs" dxfId="1115" priority="116" stopIfTrue="1" operator="equal">
      <formula>$G$85</formula>
    </cfRule>
    <cfRule type="cellIs" dxfId="1114" priority="117" stopIfTrue="1" operator="greaterThan">
      <formula>25</formula>
    </cfRule>
  </conditionalFormatting>
  <conditionalFormatting sqref="AD4:AD33">
    <cfRule type="cellIs" dxfId="1113" priority="118" stopIfTrue="1" operator="equal">
      <formula>$AE$86</formula>
    </cfRule>
    <cfRule type="cellIs" dxfId="1112" priority="119" stopIfTrue="1" operator="equal">
      <formula>$AE$85</formula>
    </cfRule>
  </conditionalFormatting>
  <conditionalFormatting sqref="AQ4:AQ34">
    <cfRule type="cellIs" dxfId="1111" priority="120" stopIfTrue="1" operator="equal">
      <formula>0</formula>
    </cfRule>
    <cfRule type="cellIs" dxfId="1110" priority="121" stopIfTrue="1" operator="equal">
      <formula>$AQ$86</formula>
    </cfRule>
    <cfRule type="cellIs" dxfId="1109" priority="122" stopIfTrue="1" operator="between">
      <formula>0.1</formula>
      <formula>0.4</formula>
    </cfRule>
  </conditionalFormatting>
  <conditionalFormatting sqref="U4:U34">
    <cfRule type="cellIs" dxfId="1108" priority="123" stopIfTrue="1" operator="equal">
      <formula>$U$86</formula>
    </cfRule>
    <cfRule type="cellIs" dxfId="1107" priority="124" stopIfTrue="1" operator="equal">
      <formula>$U$85</formula>
    </cfRule>
  </conditionalFormatting>
  <conditionalFormatting sqref="V4:V34">
    <cfRule type="cellIs" dxfId="1106" priority="125" stopIfTrue="1" operator="equal">
      <formula>$V$86</formula>
    </cfRule>
    <cfRule type="cellIs" dxfId="1105" priority="126" stopIfTrue="1" operator="equal">
      <formula>$V$85</formula>
    </cfRule>
  </conditionalFormatting>
  <conditionalFormatting sqref="W4:W34">
    <cfRule type="cellIs" dxfId="1104" priority="127" stopIfTrue="1" operator="equal">
      <formula>$W$86</formula>
    </cfRule>
    <cfRule type="cellIs" dxfId="1103" priority="128" stopIfTrue="1" operator="equal">
      <formula>$W$85</formula>
    </cfRule>
  </conditionalFormatting>
  <conditionalFormatting sqref="Z4:Z34">
    <cfRule type="cellIs" dxfId="1102" priority="129" stopIfTrue="1" operator="equal">
      <formula>0</formula>
    </cfRule>
    <cfRule type="cellIs" dxfId="1101" priority="130" stopIfTrue="1" operator="equal">
      <formula>$Z$86</formula>
    </cfRule>
    <cfRule type="cellIs" dxfId="1100" priority="131" stopIfTrue="1" operator="lessThan">
      <formula>0.2</formula>
    </cfRule>
  </conditionalFormatting>
  <conditionalFormatting sqref="E48:E66 AU50:AU60">
    <cfRule type="cellIs" dxfId="1099" priority="132" stopIfTrue="1" operator="notBetween">
      <formula>-0.5</formula>
      <formula>0.5</formula>
    </cfRule>
    <cfRule type="cellIs" dxfId="1098" priority="133" stopIfTrue="1" operator="between">
      <formula>-0.2</formula>
      <formula>0.2</formula>
    </cfRule>
  </conditionalFormatting>
  <conditionalFormatting sqref="E72:E80">
    <cfRule type="cellIs" dxfId="1097" priority="134" stopIfTrue="1" operator="notBetween">
      <formula>-0.5</formula>
      <formula>0.5</formula>
    </cfRule>
    <cfRule type="cellIs" dxfId="1096" priority="135" stopIfTrue="1" operator="between">
      <formula>-0.2</formula>
      <formula>0.2</formula>
    </cfRule>
  </conditionalFormatting>
  <conditionalFormatting sqref="BC4:BC34">
    <cfRule type="cellIs" dxfId="1095" priority="136" stopIfTrue="1" operator="equal">
      <formula>$BC$85</formula>
    </cfRule>
    <cfRule type="cellIs" dxfId="1094" priority="137" stopIfTrue="1" operator="equal">
      <formula>$BC$86</formula>
    </cfRule>
  </conditionalFormatting>
  <pageMargins left="0.75" right="0.75" top="1" bottom="1" header="0.5" footer="0.5"/>
  <pageSetup paperSize="9" orientation="portrait" horizontalDpi="4294967293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tabColor indexed="43"/>
  </sheetPr>
  <dimension ref="AA3:AB3"/>
  <sheetViews>
    <sheetView zoomScale="74" workbookViewId="0">
      <selection activeCell="AA3" sqref="AA3"/>
    </sheetView>
  </sheetViews>
  <sheetFormatPr defaultRowHeight="12.75" x14ac:dyDescent="0.2"/>
  <sheetData>
    <row r="3" spans="27:28" ht="15.75" x14ac:dyDescent="0.25">
      <c r="AA3" s="614" t="s">
        <v>504</v>
      </c>
      <c r="AB3" s="615"/>
    </row>
  </sheetData>
  <phoneticPr fontId="4" type="noConversion"/>
  <pageMargins left="0.75" right="0.75" top="1" bottom="1" header="0.5" footer="0.5"/>
  <pageSetup paperSize="9" orientation="portrait" horizontalDpi="200" verticalDpi="200" r:id="rId1"/>
  <headerFooter alignWithMargins="0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>
    <tabColor indexed="13"/>
  </sheetPr>
  <dimension ref="A1:CK134"/>
  <sheetViews>
    <sheetView zoomScale="90" workbookViewId="0">
      <pane xSplit="1" topLeftCell="B1" activePane="topRight" state="frozen"/>
      <selection activeCell="AN81" sqref="AN81"/>
      <selection pane="topRight"/>
    </sheetView>
  </sheetViews>
  <sheetFormatPr defaultRowHeight="0" customHeight="1" zeroHeight="1" x14ac:dyDescent="0.2"/>
  <cols>
    <col min="1" max="1" width="2.85546875" style="1" customWidth="1"/>
    <col min="2" max="2" width="5.140625" style="1" customWidth="1"/>
    <col min="3" max="3" width="5.140625" style="7" customWidth="1"/>
    <col min="4" max="4" width="10.5703125" style="1" customWidth="1"/>
    <col min="5" max="5" width="8.85546875" style="1" customWidth="1"/>
    <col min="6" max="9" width="9.28515625" style="1" customWidth="1"/>
    <col min="10" max="10" width="0.7109375" style="1" customWidth="1"/>
    <col min="11" max="13" width="8.5703125" style="1" customWidth="1"/>
    <col min="14" max="14" width="7.85546875" style="1" customWidth="1"/>
    <col min="15" max="15" width="1" style="1" customWidth="1"/>
    <col min="16" max="17" width="7.28515625" style="1" customWidth="1"/>
    <col min="18" max="18" width="8.5703125" style="1" customWidth="1"/>
    <col min="19" max="19" width="7.140625" style="1" customWidth="1"/>
    <col min="20" max="20" width="0.7109375" style="1" customWidth="1"/>
    <col min="21" max="22" width="9.28515625" style="1" customWidth="1"/>
    <col min="23" max="23" width="9.7109375" style="1" customWidth="1"/>
    <col min="24" max="24" width="9.28515625" style="1" customWidth="1"/>
    <col min="25" max="25" width="0.85546875" style="1" customWidth="1"/>
    <col min="26" max="26" width="10.42578125" style="1" customWidth="1"/>
    <col min="27" max="27" width="9.42578125" style="1" customWidth="1"/>
    <col min="28" max="28" width="10.5703125" style="1" customWidth="1"/>
    <col min="29" max="29" width="9.28515625" style="1" customWidth="1"/>
    <col min="30" max="30" width="9.85546875" style="1" customWidth="1"/>
    <col min="31" max="31" width="10.140625" style="1" customWidth="1"/>
    <col min="32" max="32" width="0.85546875" style="1" customWidth="1"/>
    <col min="33" max="34" width="8.42578125" style="1" customWidth="1"/>
    <col min="35" max="35" width="8.85546875" style="1" customWidth="1"/>
    <col min="36" max="36" width="8.42578125" style="1" customWidth="1"/>
    <col min="37" max="37" width="0.5703125" style="1" customWidth="1"/>
    <col min="38" max="38" width="8.140625" style="1" customWidth="1"/>
    <col min="39" max="39" width="0.42578125" style="1" customWidth="1"/>
    <col min="40" max="40" width="43.28515625" style="1" customWidth="1"/>
    <col min="41" max="41" width="0.7109375" style="1" customWidth="1"/>
    <col min="42" max="43" width="7.85546875" style="1" customWidth="1"/>
    <col min="44" max="44" width="0.7109375" style="1" customWidth="1"/>
    <col min="45" max="48" width="8.85546875" style="1" customWidth="1"/>
    <col min="49" max="49" width="8.5703125" style="1" customWidth="1"/>
    <col min="50" max="51" width="9.140625" style="1" customWidth="1"/>
    <col min="52" max="52" width="0.5703125" style="1" customWidth="1"/>
    <col min="53" max="53" width="8.28515625" style="1" customWidth="1"/>
    <col min="54" max="54" width="7.7109375" style="1" customWidth="1"/>
    <col min="55" max="55" width="8.5703125" style="1" customWidth="1"/>
    <col min="56" max="56" width="8.85546875" style="1" customWidth="1"/>
    <col min="57" max="57" width="0.5703125" style="1" customWidth="1"/>
    <col min="58" max="62" width="8.85546875" style="1" customWidth="1"/>
    <col min="63" max="63" width="1" style="1" customWidth="1"/>
    <col min="64" max="64" width="2.140625" style="1" customWidth="1"/>
    <col min="65" max="89" width="1.140625" style="1" hidden="1" customWidth="1"/>
    <col min="90" max="91" width="0" style="1" hidden="1" customWidth="1"/>
    <col min="92" max="16384" width="9.140625" style="1"/>
  </cols>
  <sheetData>
    <row r="1" spans="1:64" ht="13.5" customHeight="1" x14ac:dyDescent="0.2">
      <c r="A1" s="88">
        <v>1</v>
      </c>
      <c r="B1" s="676" t="s">
        <v>100</v>
      </c>
      <c r="C1" s="677" t="s">
        <v>99</v>
      </c>
      <c r="D1" s="109">
        <f ca="1">D2/E1</f>
        <v>77.974021061493914</v>
      </c>
      <c r="E1" s="98">
        <f ca="1">COUNT(A3:BL88)</f>
        <v>2522</v>
      </c>
      <c r="F1" s="678" t="s">
        <v>186</v>
      </c>
      <c r="G1" s="678"/>
      <c r="H1" s="678"/>
      <c r="I1" s="678"/>
      <c r="J1" s="6"/>
      <c r="K1" s="679" t="s">
        <v>147</v>
      </c>
      <c r="L1" s="679"/>
      <c r="M1" s="679"/>
      <c r="N1" s="680"/>
      <c r="O1" s="2"/>
      <c r="P1" s="664" t="s">
        <v>0</v>
      </c>
      <c r="Q1" s="664"/>
      <c r="R1" s="664"/>
      <c r="S1" s="665"/>
      <c r="T1" s="3"/>
      <c r="U1" s="666" t="s">
        <v>139</v>
      </c>
      <c r="V1" s="666"/>
      <c r="W1" s="666"/>
      <c r="X1" s="666"/>
      <c r="Y1" s="86"/>
      <c r="Z1" s="674" t="s">
        <v>107</v>
      </c>
      <c r="AA1" s="674"/>
      <c r="AB1" s="674"/>
      <c r="AC1" s="675"/>
      <c r="AD1" s="673" t="s">
        <v>198</v>
      </c>
      <c r="AE1" s="673"/>
      <c r="AF1" s="137"/>
      <c r="AG1" s="672" t="s">
        <v>157</v>
      </c>
      <c r="AH1" s="672"/>
      <c r="AI1" s="672"/>
      <c r="AJ1" s="672"/>
      <c r="AK1" s="6"/>
      <c r="AL1" s="690" t="s">
        <v>252</v>
      </c>
      <c r="AM1" s="86"/>
      <c r="AN1" s="667" t="s">
        <v>1</v>
      </c>
      <c r="AO1" s="399"/>
      <c r="AP1" s="691" t="s">
        <v>122</v>
      </c>
      <c r="AQ1" s="671" t="s">
        <v>192</v>
      </c>
      <c r="AR1" s="86"/>
      <c r="AS1" s="670" t="s">
        <v>12</v>
      </c>
      <c r="AT1" s="670"/>
      <c r="AU1" s="670"/>
      <c r="AV1" s="670"/>
      <c r="AW1" s="670"/>
      <c r="AX1" s="670"/>
      <c r="AY1" s="670"/>
      <c r="AZ1" s="6"/>
      <c r="BA1" s="667" t="s">
        <v>366</v>
      </c>
      <c r="BB1" s="667"/>
      <c r="BC1" s="667"/>
      <c r="BD1" s="667"/>
      <c r="BE1" s="67"/>
      <c r="BF1" s="667" t="s">
        <v>20</v>
      </c>
      <c r="BG1" s="667"/>
      <c r="BH1" s="667"/>
      <c r="BI1" s="667"/>
      <c r="BJ1" s="667"/>
      <c r="BK1" s="88"/>
      <c r="BL1" s="78"/>
    </row>
    <row r="2" spans="1:64" ht="12.75" customHeight="1" x14ac:dyDescent="0.2">
      <c r="A2" s="67"/>
      <c r="B2" s="676"/>
      <c r="C2" s="677"/>
      <c r="D2" s="104">
        <f ca="1">SUM(A3:BL88)</f>
        <v>196650.48111708765</v>
      </c>
      <c r="E2" s="292" t="s">
        <v>150</v>
      </c>
      <c r="F2" s="468" t="s">
        <v>101</v>
      </c>
      <c r="G2" s="469" t="s">
        <v>102</v>
      </c>
      <c r="H2" s="470" t="s">
        <v>156</v>
      </c>
      <c r="I2" s="471" t="s">
        <v>5</v>
      </c>
      <c r="J2" s="6"/>
      <c r="K2" s="212" t="s">
        <v>2</v>
      </c>
      <c r="L2" s="213" t="s">
        <v>3</v>
      </c>
      <c r="M2" s="395" t="s">
        <v>156</v>
      </c>
      <c r="N2" s="398" t="s">
        <v>5</v>
      </c>
      <c r="O2" s="20"/>
      <c r="P2" s="264" t="s">
        <v>2</v>
      </c>
      <c r="Q2" s="258" t="s">
        <v>3</v>
      </c>
      <c r="R2" s="265" t="s">
        <v>4</v>
      </c>
      <c r="S2" s="4" t="s">
        <v>5</v>
      </c>
      <c r="T2" s="67"/>
      <c r="U2" s="217" t="s">
        <v>156</v>
      </c>
      <c r="V2" s="97" t="s">
        <v>3</v>
      </c>
      <c r="W2" s="97" t="s">
        <v>154</v>
      </c>
      <c r="X2" s="217" t="s">
        <v>104</v>
      </c>
      <c r="Y2" s="133"/>
      <c r="Z2" s="424" t="s">
        <v>152</v>
      </c>
      <c r="AA2" s="458" t="s">
        <v>108</v>
      </c>
      <c r="AB2" s="458" t="s">
        <v>197</v>
      </c>
      <c r="AC2" s="508" t="s">
        <v>141</v>
      </c>
      <c r="AD2" s="179" t="s">
        <v>4</v>
      </c>
      <c r="AE2" s="179" t="s">
        <v>3</v>
      </c>
      <c r="AF2" s="68"/>
      <c r="AG2" s="299" t="s">
        <v>2</v>
      </c>
      <c r="AH2" s="309" t="s">
        <v>3</v>
      </c>
      <c r="AI2" s="308" t="s">
        <v>156</v>
      </c>
      <c r="AJ2" s="99" t="s">
        <v>5</v>
      </c>
      <c r="AK2" s="310"/>
      <c r="AL2" s="690"/>
      <c r="AM2" s="86"/>
      <c r="AN2" s="667"/>
      <c r="AO2" s="399"/>
      <c r="AP2" s="692"/>
      <c r="AQ2" s="671"/>
      <c r="AR2" s="86"/>
      <c r="AS2" s="181" t="s">
        <v>21</v>
      </c>
      <c r="AT2" s="294" t="s">
        <v>22</v>
      </c>
      <c r="AU2" s="295" t="s">
        <v>23</v>
      </c>
      <c r="AV2" s="365" t="s">
        <v>24</v>
      </c>
      <c r="AW2" s="263" t="s">
        <v>187</v>
      </c>
      <c r="AX2" s="374" t="s">
        <v>188</v>
      </c>
      <c r="AY2" s="371" t="s">
        <v>124</v>
      </c>
      <c r="AZ2" s="6"/>
      <c r="BA2" s="181" t="s">
        <v>21</v>
      </c>
      <c r="BB2" s="294" t="s">
        <v>22</v>
      </c>
      <c r="BC2" s="295" t="s">
        <v>23</v>
      </c>
      <c r="BD2" s="365" t="s">
        <v>24</v>
      </c>
      <c r="BE2" s="67"/>
      <c r="BF2" s="181" t="s">
        <v>21</v>
      </c>
      <c r="BG2" s="294" t="s">
        <v>25</v>
      </c>
      <c r="BH2" s="365" t="s">
        <v>24</v>
      </c>
      <c r="BI2" s="179" t="s">
        <v>7</v>
      </c>
      <c r="BJ2" s="419" t="s">
        <v>196</v>
      </c>
      <c r="BK2" s="88"/>
      <c r="BL2" s="78"/>
    </row>
    <row r="3" spans="1:64" ht="1.5" customHeight="1" x14ac:dyDescent="0.2">
      <c r="A3" s="67"/>
      <c r="B3" s="128"/>
      <c r="C3" s="283"/>
      <c r="D3" s="67"/>
      <c r="E3" s="68"/>
      <c r="F3" s="68"/>
      <c r="G3" s="68"/>
      <c r="H3" s="68"/>
      <c r="I3" s="68"/>
      <c r="J3" s="6"/>
      <c r="K3" s="68"/>
      <c r="L3" s="68"/>
      <c r="M3" s="68"/>
      <c r="N3" s="84"/>
      <c r="O3" s="20"/>
      <c r="P3" s="257"/>
      <c r="Q3" s="68"/>
      <c r="R3" s="68"/>
      <c r="S3" s="68"/>
      <c r="T3" s="67"/>
      <c r="U3" s="63"/>
      <c r="V3" s="63"/>
      <c r="W3" s="63"/>
      <c r="X3" s="63"/>
      <c r="Y3" s="67"/>
      <c r="Z3" s="425"/>
      <c r="AA3" s="500"/>
      <c r="AB3" s="500"/>
      <c r="AC3" s="509"/>
      <c r="AD3" s="63"/>
      <c r="AE3" s="63"/>
      <c r="AF3" s="67"/>
      <c r="AG3" s="63"/>
      <c r="AH3" s="63"/>
      <c r="AI3" s="63"/>
      <c r="AJ3" s="63"/>
      <c r="AK3" s="67"/>
      <c r="AL3" s="132"/>
      <c r="AM3" s="6"/>
      <c r="AN3" s="67"/>
      <c r="AO3" s="88"/>
      <c r="AP3" s="63"/>
      <c r="AQ3" s="63"/>
      <c r="AR3" s="67"/>
      <c r="AS3" s="67"/>
      <c r="AT3" s="67"/>
      <c r="AU3" s="67"/>
      <c r="AV3" s="366"/>
      <c r="AW3" s="67"/>
      <c r="AX3" s="375"/>
      <c r="AY3" s="372"/>
      <c r="AZ3" s="6"/>
      <c r="BA3" s="67"/>
      <c r="BB3" s="67"/>
      <c r="BC3" s="6"/>
      <c r="BD3" s="366"/>
      <c r="BE3" s="67"/>
      <c r="BF3" s="67"/>
      <c r="BG3" s="67"/>
      <c r="BH3" s="366"/>
      <c r="BI3" s="6"/>
      <c r="BJ3" s="87"/>
      <c r="BK3" s="88"/>
      <c r="BL3" s="78"/>
    </row>
    <row r="4" spans="1:64" ht="12.75" customHeight="1" x14ac:dyDescent="0.2">
      <c r="A4" s="433">
        <v>1</v>
      </c>
      <c r="B4" s="131">
        <f>IF(ISBLANK(F4),"",F4)</f>
        <v>10.5</v>
      </c>
      <c r="C4" s="282">
        <f>IF(ISBLANK(G4),"",G4)</f>
        <v>17.7</v>
      </c>
      <c r="D4" s="685" t="s">
        <v>222</v>
      </c>
      <c r="E4" s="121">
        <v>1</v>
      </c>
      <c r="F4" s="23">
        <v>10.5</v>
      </c>
      <c r="G4" s="23">
        <v>17.7</v>
      </c>
      <c r="H4" s="553">
        <v>13.9</v>
      </c>
      <c r="I4" s="23">
        <f t="shared" ref="I4:I34" si="0">IF(ISBLANK(G4),"",G4-F4)</f>
        <v>7.1999999999999993</v>
      </c>
      <c r="J4" s="6">
        <f t="shared" ref="J4:J34" si="1">IF(C4=G4,0,1)</f>
        <v>0</v>
      </c>
      <c r="K4" s="24">
        <v>38</v>
      </c>
      <c r="L4" s="24">
        <v>66</v>
      </c>
      <c r="M4" s="554">
        <v>52</v>
      </c>
      <c r="N4" s="24">
        <f t="shared" ref="N4:N34" si="2">IF(ISBLANK(K4),"",L4-K4)</f>
        <v>28</v>
      </c>
      <c r="O4" s="50">
        <f t="shared" ref="O4:O34" si="3">IF(B4=F4,0,1)</f>
        <v>0</v>
      </c>
      <c r="P4" s="24">
        <v>1009</v>
      </c>
      <c r="Q4" s="24">
        <v>1012</v>
      </c>
      <c r="R4" s="24">
        <f>IF(ISBLANK(P4),"",AVERAGE(P4:Q4))</f>
        <v>1010.5</v>
      </c>
      <c r="S4" s="24">
        <f t="shared" ref="S4:S34" si="4">IF(ISBLANK(P4),"",Q4-P4)</f>
        <v>3</v>
      </c>
      <c r="T4" s="50">
        <v>0</v>
      </c>
      <c r="U4" s="553">
        <v>9.1999999999999993</v>
      </c>
      <c r="V4" s="553">
        <v>18.5</v>
      </c>
      <c r="W4" s="553">
        <v>27.3</v>
      </c>
      <c r="X4" s="485" t="s">
        <v>105</v>
      </c>
      <c r="Y4" s="72">
        <f>IF(ISBLANK(Z4),"",IF(AQ4&lt;0.5,0,IF(Z4=0,0,IF(Z4&lt;1,1,2))))</f>
        <v>0</v>
      </c>
      <c r="Z4" s="539">
        <v>0</v>
      </c>
      <c r="AA4" s="23"/>
      <c r="AB4" s="23"/>
      <c r="AC4" s="510" t="str">
        <f t="shared" ref="AC4:AC34" si="5">IF(Z4=0,"",Z4/$Z$38)</f>
        <v/>
      </c>
      <c r="AD4" s="7" t="str">
        <f t="shared" ref="AD4:AD34" si="6">IF(Z4&lt;0.3,"",Z4/AQ4)</f>
        <v/>
      </c>
      <c r="AE4" s="485"/>
      <c r="AF4" s="54"/>
      <c r="AG4" s="553">
        <v>0.3</v>
      </c>
      <c r="AH4" s="553">
        <v>6.1</v>
      </c>
      <c r="AI4" s="553">
        <v>3.9</v>
      </c>
      <c r="AJ4" s="7">
        <f t="shared" ref="AJ4:AJ22" si="7">IF(ISBLANK(AH4),"",AH4-AG4)</f>
        <v>5.8</v>
      </c>
      <c r="AK4" s="6"/>
      <c r="AL4" s="554" t="s">
        <v>490</v>
      </c>
      <c r="AM4" s="54"/>
      <c r="AN4" s="23" t="s">
        <v>8</v>
      </c>
      <c r="AO4" s="400"/>
      <c r="AP4" s="485">
        <v>11</v>
      </c>
      <c r="AQ4" s="485">
        <v>0</v>
      </c>
      <c r="AR4" s="134"/>
      <c r="AS4" s="26">
        <f>IF(ISBLANK(F4),"",(AVERAGE($F$4:F4)))</f>
        <v>10.5</v>
      </c>
      <c r="AT4" s="25">
        <f>IF(ISBLANK(G4),"",(AVERAGE($G$4:G4)))</f>
        <v>17.7</v>
      </c>
      <c r="AU4" s="25">
        <f>IF(ISBLANK(H4),"",(AVERAGE($H$4:H4)))</f>
        <v>13.9</v>
      </c>
      <c r="AV4" s="367">
        <f>IF(ISBLANK(G4),"",(AVERAGE($I$4:I4)))</f>
        <v>7.1999999999999993</v>
      </c>
      <c r="AW4" s="22">
        <f>IF(ISBLANK(M4),"",AVERAGE($M$4:M4))</f>
        <v>52</v>
      </c>
      <c r="AX4" s="376">
        <f>IF(ISBLANK(P4),"",(AVERAGE($R$4:R4)))</f>
        <v>1010.5</v>
      </c>
      <c r="AY4" s="368">
        <f>IF(ISBLANK(U4),"",(AVERAGE($U$4:U4)))</f>
        <v>9.1999999999999993</v>
      </c>
      <c r="AZ4" s="6"/>
      <c r="BA4" s="25">
        <f>IF(ISBLANK(F4),"",F4-F91)</f>
        <v>4.2653333333333325</v>
      </c>
      <c r="BB4" s="25">
        <f>IF(ISBLANK(G4),"",G4-G91)</f>
        <v>2.8766666666666669</v>
      </c>
      <c r="BC4" s="25">
        <f>IF(ISBLANK(G4),"",AVERAGE(BA4:BB4))</f>
        <v>3.5709999999999997</v>
      </c>
      <c r="BD4" s="367">
        <f>IF(ISBLANK(G4),"",BB4-BA4)</f>
        <v>-1.3886666666666656</v>
      </c>
      <c r="BE4" s="67"/>
      <c r="BF4" s="25">
        <f>IF(ISBLANK(F4),"",AS4-AVERAGE($F$91:F91))</f>
        <v>4.2653333333333325</v>
      </c>
      <c r="BG4" s="25">
        <f>IF(ISBLANK(G4),"",AT4-AVERAGE($G$91:G91))</f>
        <v>2.8766666666666669</v>
      </c>
      <c r="BH4" s="367">
        <f>IF(ISBLANK(G4),"",BG4-BF4)</f>
        <v>-1.3886666666666656</v>
      </c>
      <c r="BI4" s="115">
        <f t="shared" ref="BI4:BI33" si="8">IF(ISBLANK(Z4),"",AB91/AA91)</f>
        <v>0</v>
      </c>
      <c r="BJ4" s="115">
        <f t="shared" ref="BJ4:BJ34" si="9">IF(ISBLANK(AP4),"",AG91/AH91)</f>
        <v>1.8920377475292336</v>
      </c>
      <c r="BK4" s="402"/>
      <c r="BL4" s="572">
        <v>1</v>
      </c>
    </row>
    <row r="5" spans="1:64" ht="12.75" customHeight="1" x14ac:dyDescent="0.2">
      <c r="A5" s="394">
        <f t="shared" ref="A5:A33" si="10">SUM(A4+1)</f>
        <v>2</v>
      </c>
      <c r="B5" s="131">
        <v>8.8000000000000007</v>
      </c>
      <c r="C5" s="282">
        <f t="shared" ref="C5:C34" si="11">IF(ISBLANK(G5),"",G5)</f>
        <v>15.6</v>
      </c>
      <c r="D5" s="685"/>
      <c r="E5" s="97">
        <f t="shared" ref="E5:E33" si="12">SUM(E4+1)</f>
        <v>2</v>
      </c>
      <c r="F5" s="23">
        <v>6.8</v>
      </c>
      <c r="G5" s="23">
        <v>15.6</v>
      </c>
      <c r="H5" s="553">
        <v>11.6</v>
      </c>
      <c r="I5" s="23">
        <f t="shared" si="0"/>
        <v>8.8000000000000007</v>
      </c>
      <c r="J5" s="6">
        <f t="shared" si="1"/>
        <v>0</v>
      </c>
      <c r="K5" s="24">
        <v>36</v>
      </c>
      <c r="L5" s="24">
        <v>70</v>
      </c>
      <c r="M5" s="554">
        <v>52</v>
      </c>
      <c r="N5" s="24">
        <f t="shared" si="2"/>
        <v>34</v>
      </c>
      <c r="O5" s="50">
        <f t="shared" si="3"/>
        <v>1</v>
      </c>
      <c r="P5" s="24">
        <v>1011</v>
      </c>
      <c r="Q5" s="24">
        <v>1014</v>
      </c>
      <c r="R5" s="24">
        <f t="shared" ref="R5:R34" si="13">IF(ISBLANK(P5),"",AVERAGE(P5:Q5))</f>
        <v>1012.5</v>
      </c>
      <c r="S5" s="24">
        <f t="shared" si="4"/>
        <v>3</v>
      </c>
      <c r="T5" s="50">
        <v>0</v>
      </c>
      <c r="U5" s="553">
        <v>10.4</v>
      </c>
      <c r="V5" s="553">
        <v>19.7</v>
      </c>
      <c r="W5" s="553">
        <v>32</v>
      </c>
      <c r="X5" s="555" t="s">
        <v>105</v>
      </c>
      <c r="Y5" s="72">
        <f t="shared" ref="Y5:Y34" si="14">IF(ISBLANK(Z5),"",IF(AQ5&lt;0.5,0,IF(Z5=0,0,IF(Z5&lt;1,1,2))))</f>
        <v>0</v>
      </c>
      <c r="Z5" s="539">
        <v>0</v>
      </c>
      <c r="AA5" s="23"/>
      <c r="AB5" s="23"/>
      <c r="AC5" s="510" t="str">
        <f t="shared" si="5"/>
        <v/>
      </c>
      <c r="AD5" s="7" t="str">
        <f t="shared" si="6"/>
        <v/>
      </c>
      <c r="AE5" s="485"/>
      <c r="AF5" s="72"/>
      <c r="AG5" s="553">
        <v>-1.9</v>
      </c>
      <c r="AH5" s="553">
        <v>4.8</v>
      </c>
      <c r="AI5" s="553">
        <v>1.5</v>
      </c>
      <c r="AJ5" s="7">
        <f t="shared" si="7"/>
        <v>6.6999999999999993</v>
      </c>
      <c r="AK5" s="6"/>
      <c r="AL5" s="485" t="s">
        <v>491</v>
      </c>
      <c r="AM5" s="54"/>
      <c r="AN5" s="47" t="s">
        <v>253</v>
      </c>
      <c r="AO5" s="400"/>
      <c r="AP5" s="485">
        <v>13</v>
      </c>
      <c r="AQ5" s="485">
        <v>0</v>
      </c>
      <c r="AR5" s="134"/>
      <c r="AS5" s="26">
        <f>IF(ISBLANK(F5),"",(AVERAGE($F$4:F5)))</f>
        <v>8.65</v>
      </c>
      <c r="AT5" s="26">
        <f>IF(ISBLANK(G5),"",(AVERAGE($G$4:G5)))</f>
        <v>16.649999999999999</v>
      </c>
      <c r="AU5" s="25">
        <f>IF(ISBLANK(H5),"",(AVERAGE($H$4:H5)))</f>
        <v>12.75</v>
      </c>
      <c r="AV5" s="368">
        <f>IF(ISBLANK(G5),"",(AVERAGE($I$4:I5)))</f>
        <v>8</v>
      </c>
      <c r="AW5" s="22">
        <f>IF(ISBLANK(M5),"",AVERAGE($M$4:M5))</f>
        <v>52</v>
      </c>
      <c r="AX5" s="376">
        <f>IF(ISBLANK(P5),"",(AVERAGE($R$4:R5)))</f>
        <v>1011.5</v>
      </c>
      <c r="AY5" s="368">
        <f>IF(ISBLANK(U5),"",(AVERAGE($U$4:U5)))</f>
        <v>9.8000000000000007</v>
      </c>
      <c r="AZ5" s="6"/>
      <c r="BA5" s="25">
        <f t="shared" ref="BA5:BA34" si="15">IF(ISBLANK(F5),"",F5-F92)</f>
        <v>0.43066666666666542</v>
      </c>
      <c r="BB5" s="25">
        <f t="shared" ref="BB5:BB34" si="16">IF(ISBLANK(G5),"",G5-G92)</f>
        <v>0.65333333333333421</v>
      </c>
      <c r="BC5" s="25">
        <f>IF(ISBLANK(G5),"",AVERAGE(BA5:BB5))</f>
        <v>0.54199999999999982</v>
      </c>
      <c r="BD5" s="367">
        <f>IF(ISBLANK(G5),"",BB5-BA5)</f>
        <v>0.22266666666666879</v>
      </c>
      <c r="BE5" s="72"/>
      <c r="BF5" s="25">
        <f>IF(ISBLANK(F5),"",AS5-AVERAGE($F$91:F92))</f>
        <v>2.347999999999999</v>
      </c>
      <c r="BG5" s="25">
        <f>IF(ISBLANK(G5),"",AT5-AVERAGE($G$91:G92))</f>
        <v>1.7650000000000006</v>
      </c>
      <c r="BH5" s="367">
        <f t="shared" ref="BH5:BH10" si="17">IF(ISBLANK(G5),"",BG5-BF5)</f>
        <v>-0.58299999999999841</v>
      </c>
      <c r="BI5" s="115">
        <f t="shared" si="8"/>
        <v>0</v>
      </c>
      <c r="BJ5" s="115">
        <f t="shared" si="9"/>
        <v>2.0598465656358074</v>
      </c>
      <c r="BK5" s="420"/>
      <c r="BL5" s="572">
        <v>2</v>
      </c>
    </row>
    <row r="6" spans="1:64" ht="12.75" customHeight="1" x14ac:dyDescent="0.2">
      <c r="A6" s="394">
        <f t="shared" si="10"/>
        <v>3</v>
      </c>
      <c r="B6" s="131">
        <f t="shared" ref="B6:B34" si="18">IF(ISBLANK(F6),"",F6)</f>
        <v>5.2</v>
      </c>
      <c r="C6" s="282">
        <f t="shared" si="11"/>
        <v>14.1</v>
      </c>
      <c r="D6" s="685"/>
      <c r="E6" s="97">
        <f t="shared" si="12"/>
        <v>3</v>
      </c>
      <c r="F6" s="23">
        <v>5.2</v>
      </c>
      <c r="G6" s="23">
        <v>14.1</v>
      </c>
      <c r="H6" s="553">
        <v>9.6999999999999993</v>
      </c>
      <c r="I6" s="23">
        <f t="shared" si="0"/>
        <v>8.8999999999999986</v>
      </c>
      <c r="J6" s="6">
        <f t="shared" si="1"/>
        <v>0</v>
      </c>
      <c r="K6" s="24">
        <v>29</v>
      </c>
      <c r="L6" s="24">
        <v>78</v>
      </c>
      <c r="M6" s="554">
        <v>53</v>
      </c>
      <c r="N6" s="24">
        <f t="shared" si="2"/>
        <v>49</v>
      </c>
      <c r="O6" s="50">
        <f t="shared" si="3"/>
        <v>0</v>
      </c>
      <c r="P6" s="24">
        <v>1014</v>
      </c>
      <c r="Q6" s="24">
        <v>1021</v>
      </c>
      <c r="R6" s="24">
        <f t="shared" si="13"/>
        <v>1017.5</v>
      </c>
      <c r="S6" s="24">
        <f t="shared" si="4"/>
        <v>7</v>
      </c>
      <c r="T6" s="50">
        <v>0</v>
      </c>
      <c r="U6" s="553">
        <v>6.5</v>
      </c>
      <c r="V6" s="553">
        <v>13.8</v>
      </c>
      <c r="W6" s="553">
        <v>21.5</v>
      </c>
      <c r="X6" s="485" t="s">
        <v>106</v>
      </c>
      <c r="Y6" s="72">
        <f t="shared" si="14"/>
        <v>0</v>
      </c>
      <c r="Z6" s="539">
        <v>0</v>
      </c>
      <c r="AA6" s="23"/>
      <c r="AB6" s="23"/>
      <c r="AC6" s="510" t="str">
        <f t="shared" si="5"/>
        <v/>
      </c>
      <c r="AD6" s="7" t="str">
        <f t="shared" si="6"/>
        <v/>
      </c>
      <c r="AE6" s="485"/>
      <c r="AF6" s="72"/>
      <c r="AG6" s="553">
        <v>-4.2</v>
      </c>
      <c r="AH6" s="553">
        <v>4.5</v>
      </c>
      <c r="AI6" s="553">
        <v>-0.2</v>
      </c>
      <c r="AJ6" s="7">
        <f t="shared" si="7"/>
        <v>8.6999999999999993</v>
      </c>
      <c r="AK6" s="6"/>
      <c r="AL6" s="485" t="s">
        <v>492</v>
      </c>
      <c r="AM6" s="54"/>
      <c r="AN6" s="47" t="s">
        <v>253</v>
      </c>
      <c r="AO6" s="400"/>
      <c r="AP6" s="485">
        <v>13</v>
      </c>
      <c r="AQ6" s="485">
        <v>0</v>
      </c>
      <c r="AR6" s="134"/>
      <c r="AS6" s="26">
        <f>IF(ISBLANK(F6),"",(AVERAGE($F$4:F6)))</f>
        <v>7.5</v>
      </c>
      <c r="AT6" s="26">
        <f>IF(ISBLANK(G6),"",(AVERAGE($G$4:G6)))</f>
        <v>15.799999999999999</v>
      </c>
      <c r="AU6" s="25">
        <f>IF(ISBLANK(H6),"",(AVERAGE($H$4:H6)))</f>
        <v>11.733333333333334</v>
      </c>
      <c r="AV6" s="368">
        <f>IF(ISBLANK(G6),"",(AVERAGE($I$4:I6)))</f>
        <v>8.2999999999999989</v>
      </c>
      <c r="AW6" s="22">
        <f>IF(ISBLANK(M6),"",AVERAGE($M$4:M6))</f>
        <v>52.333333333333336</v>
      </c>
      <c r="AX6" s="376">
        <f>IF(ISBLANK(P6),"",(AVERAGE($R$4:R6)))</f>
        <v>1013.5</v>
      </c>
      <c r="AY6" s="368">
        <f>IF(ISBLANK(U6),"",(AVERAGE($U$4:U6)))</f>
        <v>8.7000000000000011</v>
      </c>
      <c r="AZ6" s="6"/>
      <c r="BA6" s="25">
        <f t="shared" si="15"/>
        <v>-1.3040000000000012</v>
      </c>
      <c r="BB6" s="25">
        <f t="shared" si="16"/>
        <v>-0.97000000000000064</v>
      </c>
      <c r="BC6" s="25">
        <f>IF(ISBLANK(G6),"",AVERAGE(BA6:BB6))</f>
        <v>-1.1370000000000009</v>
      </c>
      <c r="BD6" s="367">
        <f t="shared" ref="BD6:BD34" si="19">IF(ISBLANK(G6),"",BB6-BA6)</f>
        <v>0.33400000000000052</v>
      </c>
      <c r="BE6" s="72"/>
      <c r="BF6" s="25">
        <f>IF(ISBLANK(F6),"",AS6-AVERAGE($F$91:F93))</f>
        <v>1.1306666666666656</v>
      </c>
      <c r="BG6" s="25">
        <f>IF(ISBLANK(G6),"",AT6-AVERAGE($G$91:G93))</f>
        <v>0.8533333333333335</v>
      </c>
      <c r="BH6" s="367">
        <f t="shared" si="17"/>
        <v>-0.2773333333333321</v>
      </c>
      <c r="BI6" s="115">
        <f t="shared" si="8"/>
        <v>0</v>
      </c>
      <c r="BJ6" s="115">
        <f t="shared" si="9"/>
        <v>2.1127958551085886</v>
      </c>
      <c r="BK6" s="402"/>
      <c r="BL6" s="572">
        <v>3</v>
      </c>
    </row>
    <row r="7" spans="1:64" ht="12.75" customHeight="1" x14ac:dyDescent="0.2">
      <c r="A7" s="394">
        <f t="shared" si="10"/>
        <v>4</v>
      </c>
      <c r="B7" s="131">
        <f t="shared" si="18"/>
        <v>3.2</v>
      </c>
      <c r="C7" s="282">
        <f t="shared" si="11"/>
        <v>16</v>
      </c>
      <c r="D7" s="685"/>
      <c r="E7" s="97">
        <f t="shared" si="12"/>
        <v>4</v>
      </c>
      <c r="F7" s="23">
        <v>3.2</v>
      </c>
      <c r="G7" s="23">
        <v>16</v>
      </c>
      <c r="H7" s="553">
        <v>10.4</v>
      </c>
      <c r="I7" s="23">
        <f t="shared" si="0"/>
        <v>12.8</v>
      </c>
      <c r="J7" s="6">
        <f t="shared" si="1"/>
        <v>0</v>
      </c>
      <c r="K7" s="24">
        <v>38</v>
      </c>
      <c r="L7" s="24">
        <v>75</v>
      </c>
      <c r="M7" s="554">
        <v>55</v>
      </c>
      <c r="N7" s="24">
        <f t="shared" si="2"/>
        <v>37</v>
      </c>
      <c r="O7" s="50">
        <f t="shared" si="3"/>
        <v>0</v>
      </c>
      <c r="P7" s="24">
        <v>1021</v>
      </c>
      <c r="Q7" s="24">
        <v>1022</v>
      </c>
      <c r="R7" s="24">
        <f t="shared" si="13"/>
        <v>1021.5</v>
      </c>
      <c r="S7" s="24">
        <f t="shared" si="4"/>
        <v>1</v>
      </c>
      <c r="T7" s="50">
        <v>0</v>
      </c>
      <c r="U7" s="553">
        <v>5.0999999999999996</v>
      </c>
      <c r="V7" s="553">
        <v>12.3</v>
      </c>
      <c r="W7" s="553">
        <v>17.3</v>
      </c>
      <c r="X7" s="485" t="s">
        <v>106</v>
      </c>
      <c r="Y7" s="72">
        <f t="shared" si="14"/>
        <v>0</v>
      </c>
      <c r="Z7" s="539">
        <v>0</v>
      </c>
      <c r="AA7" s="23"/>
      <c r="AB7" s="23"/>
      <c r="AC7" s="510" t="str">
        <f t="shared" si="5"/>
        <v/>
      </c>
      <c r="AD7" s="7" t="str">
        <f t="shared" si="6"/>
        <v/>
      </c>
      <c r="AE7" s="485"/>
      <c r="AF7" s="72"/>
      <c r="AG7" s="553">
        <v>-1.9</v>
      </c>
      <c r="AH7" s="553">
        <v>4.5</v>
      </c>
      <c r="AI7" s="553">
        <v>1.4</v>
      </c>
      <c r="AJ7" s="7">
        <f t="shared" si="7"/>
        <v>6.4</v>
      </c>
      <c r="AK7" s="6"/>
      <c r="AL7" s="485" t="s">
        <v>238</v>
      </c>
      <c r="AM7" s="54"/>
      <c r="AN7" s="47" t="s">
        <v>253</v>
      </c>
      <c r="AO7" s="400"/>
      <c r="AP7" s="485">
        <v>13.5</v>
      </c>
      <c r="AQ7" s="485">
        <v>0</v>
      </c>
      <c r="AR7" s="134"/>
      <c r="AS7" s="26">
        <f>IF(ISBLANK(F7),"",(AVERAGE($F$4:F7)))</f>
        <v>6.4249999999999998</v>
      </c>
      <c r="AT7" s="26">
        <f>IF(ISBLANK(G7),"",(AVERAGE($G$4:G7)))</f>
        <v>15.85</v>
      </c>
      <c r="AU7" s="25">
        <f>IF(ISBLANK(H7),"",(AVERAGE($H$4:H7)))</f>
        <v>11.4</v>
      </c>
      <c r="AV7" s="368">
        <f>IF(ISBLANK(G7),"",(AVERAGE($I$4:I7)))</f>
        <v>9.4250000000000007</v>
      </c>
      <c r="AW7" s="22">
        <f>IF(ISBLANK(M7),"",AVERAGE($M$4:M7))</f>
        <v>53</v>
      </c>
      <c r="AX7" s="376">
        <f>IF(ISBLANK(P7),"",(AVERAGE($R$4:R7)))</f>
        <v>1015.5</v>
      </c>
      <c r="AY7" s="368">
        <f>IF(ISBLANK(U7),"",(AVERAGE($U$4:U7)))</f>
        <v>7.8000000000000007</v>
      </c>
      <c r="AZ7" s="6"/>
      <c r="BA7" s="25">
        <f t="shared" si="15"/>
        <v>-3.4386666666666681</v>
      </c>
      <c r="BB7" s="25">
        <f t="shared" si="16"/>
        <v>0.80666666666666842</v>
      </c>
      <c r="BC7" s="25">
        <f t="shared" ref="BC7:BC34" si="20">IF(ISBLANK(G7),"",AVERAGE(BA7:BB7))</f>
        <v>-1.3159999999999998</v>
      </c>
      <c r="BD7" s="367">
        <f t="shared" si="19"/>
        <v>4.2453333333333365</v>
      </c>
      <c r="BE7" s="72"/>
      <c r="BF7" s="25">
        <f>IF(ISBLANK(F7),"",AS7-AVERAGE($F$91:F94))</f>
        <v>-1.166666666666849E-2</v>
      </c>
      <c r="BG7" s="25">
        <f>IF(ISBLANK(G7),"",AT7-AVERAGE($G$91:G94))</f>
        <v>0.84166666666666679</v>
      </c>
      <c r="BH7" s="367">
        <f t="shared" si="17"/>
        <v>0.85333333333333528</v>
      </c>
      <c r="BI7" s="115">
        <f t="shared" si="8"/>
        <v>0</v>
      </c>
      <c r="BJ7" s="115">
        <f t="shared" si="9"/>
        <v>2.1584348549346544</v>
      </c>
      <c r="BK7" s="402"/>
      <c r="BL7" s="572">
        <v>4</v>
      </c>
    </row>
    <row r="8" spans="1:64" ht="12.75" customHeight="1" x14ac:dyDescent="0.2">
      <c r="A8" s="394">
        <f t="shared" si="10"/>
        <v>5</v>
      </c>
      <c r="B8" s="131">
        <f t="shared" si="18"/>
        <v>8.6</v>
      </c>
      <c r="C8" s="282">
        <f t="shared" si="11"/>
        <v>19.600000000000001</v>
      </c>
      <c r="D8" s="685"/>
      <c r="E8" s="97">
        <f t="shared" si="12"/>
        <v>5</v>
      </c>
      <c r="F8" s="23">
        <v>8.6</v>
      </c>
      <c r="G8" s="23">
        <v>19.600000000000001</v>
      </c>
      <c r="H8" s="553">
        <v>13.2</v>
      </c>
      <c r="I8" s="23">
        <f t="shared" si="0"/>
        <v>11.000000000000002</v>
      </c>
      <c r="J8" s="6">
        <f t="shared" si="1"/>
        <v>0</v>
      </c>
      <c r="K8" s="24">
        <v>39</v>
      </c>
      <c r="L8" s="24">
        <v>74</v>
      </c>
      <c r="M8" s="554">
        <v>59</v>
      </c>
      <c r="N8" s="24">
        <f t="shared" si="2"/>
        <v>35</v>
      </c>
      <c r="O8" s="50">
        <f t="shared" si="3"/>
        <v>0</v>
      </c>
      <c r="P8" s="24">
        <v>1018</v>
      </c>
      <c r="Q8" s="24">
        <v>1022</v>
      </c>
      <c r="R8" s="24">
        <f t="shared" si="13"/>
        <v>1020</v>
      </c>
      <c r="S8" s="24">
        <f t="shared" si="4"/>
        <v>4</v>
      </c>
      <c r="T8" s="50">
        <v>0</v>
      </c>
      <c r="U8" s="553">
        <v>4.0999999999999996</v>
      </c>
      <c r="V8" s="553">
        <v>12.3</v>
      </c>
      <c r="W8" s="553">
        <v>19.2</v>
      </c>
      <c r="X8" s="562" t="s">
        <v>112</v>
      </c>
      <c r="Y8" s="72">
        <f t="shared" si="14"/>
        <v>0</v>
      </c>
      <c r="Z8" s="539">
        <v>0</v>
      </c>
      <c r="AA8" s="23"/>
      <c r="AB8" s="23"/>
      <c r="AC8" s="510" t="str">
        <f t="shared" si="5"/>
        <v/>
      </c>
      <c r="AD8" s="7" t="str">
        <f t="shared" si="6"/>
        <v/>
      </c>
      <c r="AE8" s="485"/>
      <c r="AF8" s="72"/>
      <c r="AG8" s="553">
        <v>2.4</v>
      </c>
      <c r="AH8" s="553">
        <v>8.3000000000000007</v>
      </c>
      <c r="AI8" s="553">
        <v>5</v>
      </c>
      <c r="AJ8" s="7">
        <f t="shared" si="7"/>
        <v>5.9</v>
      </c>
      <c r="AK8" s="6"/>
      <c r="AL8" s="485" t="s">
        <v>493</v>
      </c>
      <c r="AM8" s="54"/>
      <c r="AN8" s="302" t="s">
        <v>494</v>
      </c>
      <c r="AO8" s="400"/>
      <c r="AP8" s="485">
        <v>4</v>
      </c>
      <c r="AQ8" s="485">
        <v>0</v>
      </c>
      <c r="AR8" s="134"/>
      <c r="AS8" s="26">
        <f>IF(ISBLANK(F8),"",(AVERAGE($F$4:F8)))</f>
        <v>6.8599999999999994</v>
      </c>
      <c r="AT8" s="26">
        <f>IF(ISBLANK(G8),"",(AVERAGE($G$4:G8)))</f>
        <v>16.600000000000001</v>
      </c>
      <c r="AU8" s="25">
        <f>IF(ISBLANK(H8),"",(AVERAGE($H$4:H8)))</f>
        <v>11.76</v>
      </c>
      <c r="AV8" s="368">
        <f>IF(ISBLANK(G8),"",(AVERAGE($I$4:I8)))</f>
        <v>9.74</v>
      </c>
      <c r="AW8" s="22">
        <f>IF(ISBLANK(M8),"",AVERAGE($M$4:M8))</f>
        <v>54.2</v>
      </c>
      <c r="AX8" s="376">
        <f>IF(ISBLANK(P8),"",(AVERAGE($R$4:R8)))</f>
        <v>1016.4</v>
      </c>
      <c r="AY8" s="368">
        <f>IF(ISBLANK(U8),"",(AVERAGE($U$4:U8)))</f>
        <v>7.0600000000000005</v>
      </c>
      <c r="AZ8" s="6"/>
      <c r="BA8" s="25">
        <f t="shared" si="15"/>
        <v>1.8266666666666644</v>
      </c>
      <c r="BB8" s="25">
        <f t="shared" si="16"/>
        <v>4.2833333333333368</v>
      </c>
      <c r="BC8" s="25">
        <f t="shared" si="20"/>
        <v>3.0550000000000006</v>
      </c>
      <c r="BD8" s="367">
        <f t="shared" si="19"/>
        <v>2.4566666666666723</v>
      </c>
      <c r="BE8" s="72"/>
      <c r="BF8" s="25">
        <f>IF(ISBLANK(F8),"",AS8-AVERAGE($F$91:F95))</f>
        <v>0.35599999999999721</v>
      </c>
      <c r="BG8" s="25">
        <f>IF(ISBLANK(G8),"",AT8-AVERAGE($G$91:G95))</f>
        <v>1.5300000000000029</v>
      </c>
      <c r="BH8" s="367">
        <f t="shared" si="17"/>
        <v>1.1740000000000057</v>
      </c>
      <c r="BI8" s="115">
        <f t="shared" si="8"/>
        <v>0</v>
      </c>
      <c r="BJ8" s="115">
        <f t="shared" si="9"/>
        <v>1.8598234758633632</v>
      </c>
      <c r="BK8" s="420"/>
      <c r="BL8" s="572">
        <v>5</v>
      </c>
    </row>
    <row r="9" spans="1:64" ht="12.75" customHeight="1" x14ac:dyDescent="0.2">
      <c r="A9" s="394">
        <f t="shared" si="10"/>
        <v>6</v>
      </c>
      <c r="B9" s="131">
        <f t="shared" si="18"/>
        <v>9.1</v>
      </c>
      <c r="C9" s="282">
        <f t="shared" si="11"/>
        <v>24.5</v>
      </c>
      <c r="D9" s="685"/>
      <c r="E9" s="97">
        <f t="shared" si="12"/>
        <v>6</v>
      </c>
      <c r="F9" s="23">
        <v>9.1</v>
      </c>
      <c r="G9" s="23">
        <v>24.5</v>
      </c>
      <c r="H9" s="553">
        <v>17.3</v>
      </c>
      <c r="I9" s="23">
        <f t="shared" si="0"/>
        <v>15.4</v>
      </c>
      <c r="J9" s="6">
        <f t="shared" si="1"/>
        <v>0</v>
      </c>
      <c r="K9" s="24">
        <v>32</v>
      </c>
      <c r="L9" s="24">
        <v>70</v>
      </c>
      <c r="M9" s="554">
        <v>48</v>
      </c>
      <c r="N9" s="24">
        <f t="shared" si="2"/>
        <v>38</v>
      </c>
      <c r="O9" s="50">
        <f t="shared" si="3"/>
        <v>0</v>
      </c>
      <c r="P9" s="24">
        <v>1013</v>
      </c>
      <c r="Q9" s="24">
        <v>1017</v>
      </c>
      <c r="R9" s="24">
        <f t="shared" si="13"/>
        <v>1015</v>
      </c>
      <c r="S9" s="24">
        <f t="shared" si="4"/>
        <v>4</v>
      </c>
      <c r="T9" s="50">
        <v>0</v>
      </c>
      <c r="U9" s="553">
        <v>4</v>
      </c>
      <c r="V9" s="553">
        <v>12.7</v>
      </c>
      <c r="W9" s="553">
        <v>19.899999999999999</v>
      </c>
      <c r="X9" s="485" t="s">
        <v>111</v>
      </c>
      <c r="Y9" s="72">
        <f t="shared" si="14"/>
        <v>0</v>
      </c>
      <c r="Z9" s="539">
        <v>0</v>
      </c>
      <c r="AA9" s="23"/>
      <c r="AB9" s="23"/>
      <c r="AC9" s="510" t="str">
        <f t="shared" si="5"/>
        <v/>
      </c>
      <c r="AD9" s="7" t="str">
        <f t="shared" si="6"/>
        <v/>
      </c>
      <c r="AE9" s="485"/>
      <c r="AF9" s="72"/>
      <c r="AG9" s="553">
        <v>2</v>
      </c>
      <c r="AH9" s="553">
        <v>8.4</v>
      </c>
      <c r="AI9" s="553">
        <v>5.5</v>
      </c>
      <c r="AJ9" s="7">
        <f t="shared" si="7"/>
        <v>6.4</v>
      </c>
      <c r="AK9" s="6"/>
      <c r="AL9" s="485" t="s">
        <v>495</v>
      </c>
      <c r="AM9" s="54"/>
      <c r="AN9" s="23" t="s">
        <v>8</v>
      </c>
      <c r="AO9" s="400"/>
      <c r="AP9" s="485">
        <v>10</v>
      </c>
      <c r="AQ9" s="485">
        <v>0</v>
      </c>
      <c r="AR9" s="134"/>
      <c r="AS9" s="26">
        <f>IF(ISBLANK(F9),"",(AVERAGE($F$4:F9)))</f>
        <v>7.2333333333333334</v>
      </c>
      <c r="AT9" s="26">
        <f>IF(ISBLANK(G9),"",(AVERAGE($G$4:G9)))</f>
        <v>17.916666666666668</v>
      </c>
      <c r="AU9" s="25">
        <f>IF(ISBLANK(H9),"",(AVERAGE($H$4:H9)))</f>
        <v>12.683333333333332</v>
      </c>
      <c r="AV9" s="368">
        <f>IF(ISBLANK(G9),"",(AVERAGE($I$4:I9)))</f>
        <v>10.683333333333335</v>
      </c>
      <c r="AW9" s="22">
        <f>IF(ISBLANK(M9),"",AVERAGE($M$4:M9))</f>
        <v>53.166666666666664</v>
      </c>
      <c r="AX9" s="376">
        <f>IF(ISBLANK(P9),"",(AVERAGE($R$4:R9)))</f>
        <v>1016.1666666666666</v>
      </c>
      <c r="AY9" s="368">
        <f>IF(ISBLANK(U9),"",(AVERAGE($U$4:U9)))</f>
        <v>6.5500000000000007</v>
      </c>
      <c r="AZ9" s="6"/>
      <c r="BA9" s="25">
        <f t="shared" si="15"/>
        <v>2.1919999999999975</v>
      </c>
      <c r="BB9" s="25">
        <f t="shared" si="16"/>
        <v>9.06</v>
      </c>
      <c r="BC9" s="25">
        <f t="shared" si="20"/>
        <v>5.6259999999999994</v>
      </c>
      <c r="BD9" s="367">
        <f t="shared" si="19"/>
        <v>6.868000000000003</v>
      </c>
      <c r="BE9" s="72"/>
      <c r="BF9" s="25">
        <f>IF(ISBLANK(F9),"",AS9-AVERAGE($F$91:F96))</f>
        <v>0.66199999999999815</v>
      </c>
      <c r="BG9" s="25">
        <f>IF(ISBLANK(G9),"",AT9-AVERAGE($G$91:G96))</f>
        <v>2.7850000000000019</v>
      </c>
      <c r="BH9" s="367">
        <f t="shared" si="17"/>
        <v>2.1230000000000038</v>
      </c>
      <c r="BI9" s="115">
        <f t="shared" si="8"/>
        <v>0</v>
      </c>
      <c r="BJ9" s="115">
        <f t="shared" si="9"/>
        <v>1.830621952078797</v>
      </c>
      <c r="BK9" s="402"/>
      <c r="BL9" s="572">
        <v>6</v>
      </c>
    </row>
    <row r="10" spans="1:64" ht="12.75" customHeight="1" x14ac:dyDescent="0.2">
      <c r="A10" s="394">
        <f t="shared" si="10"/>
        <v>7</v>
      </c>
      <c r="B10" s="131">
        <f t="shared" si="18"/>
        <v>14.4</v>
      </c>
      <c r="C10" s="282">
        <f t="shared" si="11"/>
        <v>23.2</v>
      </c>
      <c r="D10" s="685"/>
      <c r="E10" s="97">
        <f t="shared" si="12"/>
        <v>7</v>
      </c>
      <c r="F10" s="23">
        <v>14.4</v>
      </c>
      <c r="G10" s="23">
        <v>23.2</v>
      </c>
      <c r="H10" s="553">
        <v>18.399999999999999</v>
      </c>
      <c r="I10" s="23">
        <f t="shared" si="0"/>
        <v>8.7999999999999989</v>
      </c>
      <c r="J10" s="6">
        <f t="shared" si="1"/>
        <v>0</v>
      </c>
      <c r="K10" s="24">
        <v>46</v>
      </c>
      <c r="L10" s="24">
        <v>84</v>
      </c>
      <c r="M10" s="554">
        <v>63</v>
      </c>
      <c r="N10" s="24">
        <f t="shared" si="2"/>
        <v>38</v>
      </c>
      <c r="O10" s="50">
        <f t="shared" si="3"/>
        <v>0</v>
      </c>
      <c r="P10" s="24">
        <v>1009</v>
      </c>
      <c r="Q10" s="24">
        <v>1013</v>
      </c>
      <c r="R10" s="24">
        <f t="shared" si="13"/>
        <v>1011</v>
      </c>
      <c r="S10" s="24">
        <f t="shared" si="4"/>
        <v>4</v>
      </c>
      <c r="T10" s="50">
        <v>0</v>
      </c>
      <c r="U10" s="553">
        <v>3.8</v>
      </c>
      <c r="V10" s="553">
        <v>14.3</v>
      </c>
      <c r="W10" s="553">
        <v>19.7</v>
      </c>
      <c r="X10" s="485" t="s">
        <v>111</v>
      </c>
      <c r="Y10" s="72">
        <f t="shared" si="14"/>
        <v>2</v>
      </c>
      <c r="Z10" s="539">
        <v>1.1000000000000001</v>
      </c>
      <c r="AA10" s="23" t="s">
        <v>8</v>
      </c>
      <c r="AB10" s="23">
        <v>0.5</v>
      </c>
      <c r="AC10" s="510">
        <f t="shared" si="5"/>
        <v>4.5643153526970959E-2</v>
      </c>
      <c r="AD10" s="7">
        <f t="shared" si="6"/>
        <v>0.55000000000000004</v>
      </c>
      <c r="AE10" s="485">
        <v>3</v>
      </c>
      <c r="AF10" s="72"/>
      <c r="AG10" s="553">
        <v>5.3</v>
      </c>
      <c r="AH10" s="553">
        <v>15.1</v>
      </c>
      <c r="AI10" s="553">
        <v>11</v>
      </c>
      <c r="AJ10" s="7">
        <f t="shared" si="7"/>
        <v>9.8000000000000007</v>
      </c>
      <c r="AK10" s="6"/>
      <c r="AL10" s="485" t="s">
        <v>464</v>
      </c>
      <c r="AM10" s="54"/>
      <c r="AN10" s="23" t="s">
        <v>496</v>
      </c>
      <c r="AO10" s="400"/>
      <c r="AP10" s="485">
        <v>1.5</v>
      </c>
      <c r="AQ10" s="485">
        <v>2</v>
      </c>
      <c r="AR10" s="134"/>
      <c r="AS10" s="26">
        <f>IF(ISBLANK(F10),"",(AVERAGE($F$4:F10)))</f>
        <v>8.2571428571428562</v>
      </c>
      <c r="AT10" s="26">
        <f>IF(ISBLANK(G10),"",(AVERAGE($G$4:G10)))</f>
        <v>18.671428571428571</v>
      </c>
      <c r="AU10" s="25">
        <f>IF(ISBLANK(H10),"",(AVERAGE($H$4:H10)))</f>
        <v>13.5</v>
      </c>
      <c r="AV10" s="368">
        <f>IF(ISBLANK(G10),"",(AVERAGE($I$4:I10)))</f>
        <v>10.414285714285715</v>
      </c>
      <c r="AW10" s="22">
        <f>IF(ISBLANK(M10),"",AVERAGE($M$4:M10))</f>
        <v>54.571428571428569</v>
      </c>
      <c r="AX10" s="376">
        <f>IF(ISBLANK(P10),"",(AVERAGE($R$4:R10)))</f>
        <v>1015.4285714285714</v>
      </c>
      <c r="AY10" s="368">
        <f>IF(ISBLANK(U10),"",(AVERAGE($U$4:U10)))</f>
        <v>6.1571428571428575</v>
      </c>
      <c r="AZ10" s="6"/>
      <c r="BA10" s="25">
        <f t="shared" si="15"/>
        <v>7.3573333333333313</v>
      </c>
      <c r="BB10" s="25">
        <f t="shared" si="16"/>
        <v>7.6366666666666685</v>
      </c>
      <c r="BC10" s="25">
        <f t="shared" si="20"/>
        <v>7.4969999999999999</v>
      </c>
      <c r="BD10" s="367">
        <f t="shared" si="19"/>
        <v>0.27933333333333721</v>
      </c>
      <c r="BE10" s="72"/>
      <c r="BF10" s="25">
        <f>IF(ISBLANK(F10),"",AS10-AVERAGE($F$91:F97))</f>
        <v>1.618476190476188</v>
      </c>
      <c r="BG10" s="25">
        <f>IF(ISBLANK(G10),"",AT10-AVERAGE($G$91:G97))</f>
        <v>3.4780952380952392</v>
      </c>
      <c r="BH10" s="367">
        <f t="shared" si="17"/>
        <v>1.8596190476190513</v>
      </c>
      <c r="BI10" s="115">
        <f t="shared" si="8"/>
        <v>8.2566585956416458E-2</v>
      </c>
      <c r="BJ10" s="115">
        <f t="shared" si="9"/>
        <v>1.6024648356257585</v>
      </c>
      <c r="BK10" s="402"/>
      <c r="BL10" s="572">
        <v>7</v>
      </c>
    </row>
    <row r="11" spans="1:64" ht="12.75" customHeight="1" x14ac:dyDescent="0.2">
      <c r="A11" s="394">
        <f t="shared" si="10"/>
        <v>8</v>
      </c>
      <c r="B11" s="131">
        <v>15</v>
      </c>
      <c r="C11" s="282">
        <f t="shared" si="11"/>
        <v>19.600000000000001</v>
      </c>
      <c r="D11" s="685"/>
      <c r="E11" s="97">
        <f t="shared" si="12"/>
        <v>8</v>
      </c>
      <c r="F11" s="23">
        <v>14.6</v>
      </c>
      <c r="G11" s="23">
        <v>19.600000000000001</v>
      </c>
      <c r="H11" s="553">
        <v>17.100000000000001</v>
      </c>
      <c r="I11" s="23">
        <f t="shared" si="0"/>
        <v>5.0000000000000018</v>
      </c>
      <c r="J11" s="6">
        <f t="shared" si="1"/>
        <v>0</v>
      </c>
      <c r="K11" s="24">
        <v>42</v>
      </c>
      <c r="L11" s="24">
        <v>88</v>
      </c>
      <c r="M11" s="554">
        <v>65</v>
      </c>
      <c r="N11" s="24">
        <f t="shared" si="2"/>
        <v>46</v>
      </c>
      <c r="O11" s="50">
        <f t="shared" si="3"/>
        <v>1</v>
      </c>
      <c r="P11" s="24">
        <v>1009</v>
      </c>
      <c r="Q11" s="24">
        <v>1019</v>
      </c>
      <c r="R11" s="24">
        <f t="shared" si="13"/>
        <v>1014</v>
      </c>
      <c r="S11" s="24">
        <f t="shared" si="4"/>
        <v>10</v>
      </c>
      <c r="T11" s="50">
        <v>0</v>
      </c>
      <c r="U11" s="553">
        <v>6.6</v>
      </c>
      <c r="V11" s="553">
        <v>15.9</v>
      </c>
      <c r="W11" s="553">
        <v>22.8</v>
      </c>
      <c r="X11" s="485" t="s">
        <v>111</v>
      </c>
      <c r="Y11" s="72">
        <f t="shared" si="14"/>
        <v>2</v>
      </c>
      <c r="Z11" s="539">
        <v>3</v>
      </c>
      <c r="AA11" s="23">
        <v>1.6</v>
      </c>
      <c r="AB11" s="23">
        <v>0.8</v>
      </c>
      <c r="AC11" s="510">
        <f t="shared" si="5"/>
        <v>0.12448132780082986</v>
      </c>
      <c r="AD11" s="7">
        <f t="shared" si="6"/>
        <v>1.5</v>
      </c>
      <c r="AE11" s="485">
        <v>8</v>
      </c>
      <c r="AF11" s="72"/>
      <c r="AG11" s="553">
        <v>4.9000000000000004</v>
      </c>
      <c r="AH11" s="553">
        <v>14.2</v>
      </c>
      <c r="AI11" s="553">
        <v>10.1</v>
      </c>
      <c r="AJ11" s="7">
        <f t="shared" si="7"/>
        <v>9.2999999999999989</v>
      </c>
      <c r="AK11" s="6"/>
      <c r="AL11" s="485" t="s">
        <v>497</v>
      </c>
      <c r="AM11" s="54"/>
      <c r="AN11" s="23" t="s">
        <v>498</v>
      </c>
      <c r="AO11" s="400"/>
      <c r="AP11" s="485">
        <v>4</v>
      </c>
      <c r="AQ11" s="485">
        <v>2</v>
      </c>
      <c r="AR11" s="134"/>
      <c r="AS11" s="26">
        <f>IF(ISBLANK(F11),"",(AVERAGE($F$4:F11)))</f>
        <v>9.0499999999999989</v>
      </c>
      <c r="AT11" s="26">
        <f>IF(ISBLANK(G11),"",(AVERAGE($G$4:G11)))</f>
        <v>18.787499999999998</v>
      </c>
      <c r="AU11" s="25">
        <f>IF(ISBLANK(H11),"",(AVERAGE($H$4:H11)))</f>
        <v>13.95</v>
      </c>
      <c r="AV11" s="368">
        <f>IF(ISBLANK(G11),"",(AVERAGE($I$4:I11)))</f>
        <v>9.7375000000000007</v>
      </c>
      <c r="AW11" s="22">
        <f>IF(ISBLANK(M11),"",AVERAGE($M$4:M11))</f>
        <v>55.875</v>
      </c>
      <c r="AX11" s="376">
        <f>IF(ISBLANK(P11),"",(AVERAGE($R$4:R11)))</f>
        <v>1015.25</v>
      </c>
      <c r="AY11" s="368">
        <f>IF(ISBLANK(U11),"",(AVERAGE($U$4:U11)))</f>
        <v>6.2125000000000004</v>
      </c>
      <c r="AZ11" s="6"/>
      <c r="BA11" s="25">
        <f t="shared" si="15"/>
        <v>7.4226666666666636</v>
      </c>
      <c r="BB11" s="25">
        <f t="shared" si="16"/>
        <v>3.9133333333333375</v>
      </c>
      <c r="BC11" s="25">
        <f t="shared" si="20"/>
        <v>5.668000000000001</v>
      </c>
      <c r="BD11" s="367">
        <f t="shared" si="19"/>
        <v>-3.5093333333333261</v>
      </c>
      <c r="BE11" s="72"/>
      <c r="BF11" s="25">
        <f>IF(ISBLANK(F11),"",AS11-AVERAGE($F$91:F98))</f>
        <v>2.3439999999999968</v>
      </c>
      <c r="BG11" s="25">
        <f>IF(ISBLANK(G11),"",AT11-AVERAGE($G$91:G98))</f>
        <v>3.5324999999999989</v>
      </c>
      <c r="BH11" s="367">
        <f t="shared" ref="BH11:BH20" si="21">IF(ISBLANK(G11),"",BG11-BF11)</f>
        <v>1.1885000000000021</v>
      </c>
      <c r="BI11" s="115">
        <f t="shared" si="8"/>
        <v>0.26927966101694911</v>
      </c>
      <c r="BJ11" s="115">
        <f t="shared" si="9"/>
        <v>1.4842622665034777</v>
      </c>
      <c r="BK11" s="420"/>
      <c r="BL11" s="572">
        <v>8</v>
      </c>
    </row>
    <row r="12" spans="1:64" ht="12.75" customHeight="1" x14ac:dyDescent="0.2">
      <c r="A12" s="394">
        <f t="shared" si="10"/>
        <v>9</v>
      </c>
      <c r="B12" s="131">
        <f t="shared" si="18"/>
        <v>11.6</v>
      </c>
      <c r="C12" s="282">
        <f t="shared" si="11"/>
        <v>20.2</v>
      </c>
      <c r="D12" s="685"/>
      <c r="E12" s="97">
        <f t="shared" si="12"/>
        <v>9</v>
      </c>
      <c r="F12" s="23">
        <v>11.6</v>
      </c>
      <c r="G12" s="23">
        <v>20.2</v>
      </c>
      <c r="H12" s="553">
        <v>16.3</v>
      </c>
      <c r="I12" s="23">
        <f t="shared" si="0"/>
        <v>8.6</v>
      </c>
      <c r="J12" s="6">
        <f t="shared" si="1"/>
        <v>0</v>
      </c>
      <c r="K12" s="24">
        <v>39</v>
      </c>
      <c r="L12" s="24">
        <v>78</v>
      </c>
      <c r="M12" s="554">
        <v>56</v>
      </c>
      <c r="N12" s="24">
        <f t="shared" si="2"/>
        <v>39</v>
      </c>
      <c r="O12" s="50">
        <f t="shared" si="3"/>
        <v>0</v>
      </c>
      <c r="P12" s="24">
        <v>1019</v>
      </c>
      <c r="Q12" s="24">
        <v>1023</v>
      </c>
      <c r="R12" s="24">
        <f t="shared" si="13"/>
        <v>1021</v>
      </c>
      <c r="S12" s="24">
        <f t="shared" si="4"/>
        <v>4</v>
      </c>
      <c r="T12" s="50">
        <v>0</v>
      </c>
      <c r="U12" s="553">
        <v>5.8</v>
      </c>
      <c r="V12" s="553">
        <v>16.100000000000001</v>
      </c>
      <c r="W12" s="553">
        <v>23.9</v>
      </c>
      <c r="X12" s="485" t="s">
        <v>111</v>
      </c>
      <c r="Y12" s="72">
        <f t="shared" si="14"/>
        <v>0</v>
      </c>
      <c r="Z12" s="539">
        <v>0</v>
      </c>
      <c r="AA12" s="23"/>
      <c r="AB12" s="23"/>
      <c r="AC12" s="510" t="str">
        <f t="shared" si="5"/>
        <v/>
      </c>
      <c r="AD12" s="7" t="str">
        <f t="shared" si="6"/>
        <v/>
      </c>
      <c r="AE12" s="485"/>
      <c r="AF12" s="72"/>
      <c r="AG12" s="553">
        <v>4.5</v>
      </c>
      <c r="AH12" s="553">
        <v>10.8</v>
      </c>
      <c r="AI12" s="553">
        <v>7.2</v>
      </c>
      <c r="AJ12" s="7">
        <f t="shared" si="7"/>
        <v>6.3000000000000007</v>
      </c>
      <c r="AK12" s="6"/>
      <c r="AL12" s="485" t="s">
        <v>473</v>
      </c>
      <c r="AM12" s="54"/>
      <c r="AN12" s="555" t="s">
        <v>8</v>
      </c>
      <c r="AO12" s="400"/>
      <c r="AP12" s="485">
        <v>12.5</v>
      </c>
      <c r="AQ12" s="485">
        <v>0</v>
      </c>
      <c r="AR12" s="134"/>
      <c r="AS12" s="26">
        <f>IF(ISBLANK(F12),"",(AVERAGE($F$4:F12)))</f>
        <v>9.3333333333333321</v>
      </c>
      <c r="AT12" s="26">
        <f>IF(ISBLANK(G12),"",(AVERAGE($G$4:G12)))</f>
        <v>18.944444444444443</v>
      </c>
      <c r="AU12" s="25">
        <f>IF(ISBLANK(H12),"",(AVERAGE($H$4:H12)))</f>
        <v>14.21111111111111</v>
      </c>
      <c r="AV12" s="368">
        <f>IF(ISBLANK(G12),"",(AVERAGE($I$4:I12)))</f>
        <v>9.6111111111111107</v>
      </c>
      <c r="AW12" s="22">
        <f>IF(ISBLANK(M12),"",AVERAGE($M$4:M12))</f>
        <v>55.888888888888886</v>
      </c>
      <c r="AX12" s="376">
        <f>IF(ISBLANK(P12),"",(AVERAGE($R$4:R12)))</f>
        <v>1015.8888888888889</v>
      </c>
      <c r="AY12" s="368">
        <f>IF(ISBLANK(U12),"",(AVERAGE($U$4:U12)))</f>
        <v>6.166666666666667</v>
      </c>
      <c r="AZ12" s="6"/>
      <c r="BA12" s="25">
        <f t="shared" si="15"/>
        <v>4.2879999999999967</v>
      </c>
      <c r="BB12" s="25">
        <f t="shared" si="16"/>
        <v>4.3899999999999988</v>
      </c>
      <c r="BC12" s="25">
        <f t="shared" si="20"/>
        <v>4.3389999999999977</v>
      </c>
      <c r="BD12" s="367">
        <f t="shared" si="19"/>
        <v>0.10200000000000209</v>
      </c>
      <c r="BE12" s="72"/>
      <c r="BF12" s="25">
        <f>IF(ISBLANK(F12),"",AS12-AVERAGE($F$91:F99))</f>
        <v>2.5599999999999961</v>
      </c>
      <c r="BG12" s="25">
        <f>IF(ISBLANK(G12),"",AT12-AVERAGE($G$91:G99))</f>
        <v>3.6277777777777764</v>
      </c>
      <c r="BH12" s="367">
        <f t="shared" si="21"/>
        <v>1.0677777777777804</v>
      </c>
      <c r="BI12" s="115">
        <f t="shared" si="8"/>
        <v>0.23935969868173257</v>
      </c>
      <c r="BJ12" s="115">
        <f t="shared" si="9"/>
        <v>1.5519642753641667</v>
      </c>
      <c r="BK12" s="402"/>
      <c r="BL12" s="572">
        <v>9</v>
      </c>
    </row>
    <row r="13" spans="1:64" ht="12.75" customHeight="1" x14ac:dyDescent="0.2">
      <c r="A13" s="394">
        <f t="shared" si="10"/>
        <v>10</v>
      </c>
      <c r="B13" s="131">
        <f t="shared" si="18"/>
        <v>8.6999999999999993</v>
      </c>
      <c r="C13" s="282">
        <f t="shared" si="11"/>
        <v>21.4</v>
      </c>
      <c r="D13" s="685"/>
      <c r="E13" s="97">
        <f t="shared" si="12"/>
        <v>10</v>
      </c>
      <c r="F13" s="23">
        <v>8.6999999999999993</v>
      </c>
      <c r="G13" s="23">
        <v>21.4</v>
      </c>
      <c r="H13" s="553">
        <v>16.2</v>
      </c>
      <c r="I13" s="23">
        <f t="shared" si="0"/>
        <v>12.7</v>
      </c>
      <c r="J13" s="6">
        <f t="shared" si="1"/>
        <v>0</v>
      </c>
      <c r="K13" s="24">
        <v>33</v>
      </c>
      <c r="L13" s="24">
        <v>85</v>
      </c>
      <c r="M13" s="554">
        <v>55</v>
      </c>
      <c r="N13" s="24">
        <f t="shared" si="2"/>
        <v>52</v>
      </c>
      <c r="O13" s="50">
        <f t="shared" si="3"/>
        <v>0</v>
      </c>
      <c r="P13" s="24">
        <v>1023</v>
      </c>
      <c r="Q13" s="24">
        <v>1025</v>
      </c>
      <c r="R13" s="24">
        <f t="shared" si="13"/>
        <v>1024</v>
      </c>
      <c r="S13" s="24">
        <f t="shared" si="4"/>
        <v>2</v>
      </c>
      <c r="T13" s="50">
        <v>0</v>
      </c>
      <c r="U13" s="553">
        <v>5</v>
      </c>
      <c r="V13" s="553">
        <v>12.3</v>
      </c>
      <c r="W13" s="553">
        <v>16.8</v>
      </c>
      <c r="X13" s="485" t="s">
        <v>110</v>
      </c>
      <c r="Y13" s="72">
        <f t="shared" si="14"/>
        <v>0</v>
      </c>
      <c r="Z13" s="539">
        <v>0</v>
      </c>
      <c r="AA13" s="23"/>
      <c r="AB13" s="23"/>
      <c r="AC13" s="510" t="str">
        <f t="shared" si="5"/>
        <v/>
      </c>
      <c r="AD13" s="7" t="str">
        <f t="shared" si="6"/>
        <v/>
      </c>
      <c r="AE13" s="485"/>
      <c r="AF13" s="72"/>
      <c r="AG13" s="553">
        <v>4.0999999999999996</v>
      </c>
      <c r="AH13" s="553">
        <v>10.5</v>
      </c>
      <c r="AI13" s="553">
        <v>6.5</v>
      </c>
      <c r="AJ13" s="7">
        <f t="shared" si="7"/>
        <v>6.4</v>
      </c>
      <c r="AK13" s="6"/>
      <c r="AL13" s="485" t="s">
        <v>241</v>
      </c>
      <c r="AM13" s="54"/>
      <c r="AN13" s="555" t="s">
        <v>8</v>
      </c>
      <c r="AO13" s="400"/>
      <c r="AP13" s="485">
        <v>12.5</v>
      </c>
      <c r="AQ13" s="485">
        <v>0</v>
      </c>
      <c r="AR13" s="134"/>
      <c r="AS13" s="26">
        <f>IF(ISBLANK(F13),"",(AVERAGE($F$4:F13)))</f>
        <v>9.27</v>
      </c>
      <c r="AT13" s="26">
        <f>IF(ISBLANK(G13),"",(AVERAGE($G$4:G13)))</f>
        <v>19.189999999999998</v>
      </c>
      <c r="AU13" s="25">
        <f>IF(ISBLANK(H13),"",(AVERAGE($H$4:H13)))</f>
        <v>14.41</v>
      </c>
      <c r="AV13" s="368">
        <f>IF(ISBLANK(G13),"",(AVERAGE($I$4:I13)))</f>
        <v>9.92</v>
      </c>
      <c r="AW13" s="22">
        <f>IF(ISBLANK(M13),"",AVERAGE($M$4:M13))</f>
        <v>55.8</v>
      </c>
      <c r="AX13" s="376">
        <f>IF(ISBLANK(P13),"",(AVERAGE($R$4:R13)))</f>
        <v>1016.7</v>
      </c>
      <c r="AY13" s="368">
        <f>IF(ISBLANK(U13),"",(AVERAGE($U$4:U13)))</f>
        <v>6.05</v>
      </c>
      <c r="AZ13" s="6"/>
      <c r="BA13" s="25">
        <f t="shared" si="15"/>
        <v>1.2533333333333294</v>
      </c>
      <c r="BB13" s="25">
        <f t="shared" si="16"/>
        <v>5.4666666666666686</v>
      </c>
      <c r="BC13" s="25">
        <f t="shared" si="20"/>
        <v>3.359999999999999</v>
      </c>
      <c r="BD13" s="367">
        <f t="shared" si="19"/>
        <v>4.2133333333333391</v>
      </c>
      <c r="BE13" s="72"/>
      <c r="BF13" s="25">
        <f>IF(ISBLANK(F13),"",AS13-AVERAGE($F$91:F100))</f>
        <v>2.4293333333333305</v>
      </c>
      <c r="BG13" s="25">
        <f>IF(ISBLANK(G13),"",AT13-AVERAGE($G$91:G100))</f>
        <v>3.8116666666666639</v>
      </c>
      <c r="BH13" s="367">
        <f t="shared" si="21"/>
        <v>1.3823333333333334</v>
      </c>
      <c r="BI13" s="115">
        <f t="shared" si="8"/>
        <v>0.21542372881355931</v>
      </c>
      <c r="BJ13" s="115">
        <f t="shared" si="9"/>
        <v>1.6053488361098891</v>
      </c>
      <c r="BK13" s="402"/>
      <c r="BL13" s="572">
        <v>10</v>
      </c>
    </row>
    <row r="14" spans="1:64" ht="12.75" customHeight="1" x14ac:dyDescent="0.2">
      <c r="A14" s="394">
        <f t="shared" si="10"/>
        <v>11</v>
      </c>
      <c r="B14" s="131">
        <f t="shared" si="18"/>
        <v>10.199999999999999</v>
      </c>
      <c r="C14" s="282">
        <f t="shared" si="11"/>
        <v>17.2</v>
      </c>
      <c r="D14" s="685"/>
      <c r="E14" s="97">
        <f t="shared" si="12"/>
        <v>11</v>
      </c>
      <c r="F14" s="23">
        <v>10.199999999999999</v>
      </c>
      <c r="G14" s="23">
        <v>17.2</v>
      </c>
      <c r="H14" s="553">
        <v>14.3</v>
      </c>
      <c r="I14" s="23">
        <f t="shared" si="0"/>
        <v>7</v>
      </c>
      <c r="J14" s="6">
        <f t="shared" si="1"/>
        <v>0</v>
      </c>
      <c r="K14" s="24">
        <v>46</v>
      </c>
      <c r="L14" s="24">
        <v>85</v>
      </c>
      <c r="M14" s="554">
        <v>64</v>
      </c>
      <c r="N14" s="24">
        <f t="shared" si="2"/>
        <v>39</v>
      </c>
      <c r="O14" s="50">
        <f t="shared" si="3"/>
        <v>0</v>
      </c>
      <c r="P14" s="24">
        <v>1021</v>
      </c>
      <c r="Q14" s="24">
        <v>1024</v>
      </c>
      <c r="R14" s="24">
        <f t="shared" si="13"/>
        <v>1022.5</v>
      </c>
      <c r="S14" s="24">
        <f t="shared" si="4"/>
        <v>3</v>
      </c>
      <c r="T14" s="50">
        <v>0</v>
      </c>
      <c r="U14" s="553">
        <v>4.7</v>
      </c>
      <c r="V14" s="553">
        <v>13</v>
      </c>
      <c r="W14" s="553">
        <v>17.3</v>
      </c>
      <c r="X14" s="485" t="s">
        <v>114</v>
      </c>
      <c r="Y14" s="72">
        <f t="shared" si="14"/>
        <v>0</v>
      </c>
      <c r="Z14" s="539">
        <v>0</v>
      </c>
      <c r="AA14" s="23"/>
      <c r="AB14" s="23"/>
      <c r="AC14" s="510" t="str">
        <f t="shared" si="5"/>
        <v/>
      </c>
      <c r="AD14" s="7" t="str">
        <f t="shared" si="6"/>
        <v/>
      </c>
      <c r="AE14" s="485"/>
      <c r="AF14" s="72"/>
      <c r="AG14" s="553">
        <v>2.8</v>
      </c>
      <c r="AH14" s="553">
        <v>11.1</v>
      </c>
      <c r="AI14" s="553">
        <v>7.3</v>
      </c>
      <c r="AJ14" s="7">
        <f t="shared" si="7"/>
        <v>8.3000000000000007</v>
      </c>
      <c r="AK14" s="6"/>
      <c r="AL14" s="485" t="s">
        <v>499</v>
      </c>
      <c r="AM14" s="54"/>
      <c r="AN14" s="555" t="s">
        <v>8</v>
      </c>
      <c r="AO14" s="400"/>
      <c r="AP14" s="485">
        <v>2</v>
      </c>
      <c r="AQ14" s="485">
        <v>0</v>
      </c>
      <c r="AR14" s="134"/>
      <c r="AS14" s="26">
        <f>IF(ISBLANK(F14),"",(AVERAGE($F$4:F14)))</f>
        <v>9.3545454545454536</v>
      </c>
      <c r="AT14" s="26">
        <f>IF(ISBLANK(G14),"",(AVERAGE($G$4:G14)))</f>
        <v>19.009090909090904</v>
      </c>
      <c r="AU14" s="25">
        <f>IF(ISBLANK(H14),"",(AVERAGE($H$4:H14)))</f>
        <v>14.4</v>
      </c>
      <c r="AV14" s="368">
        <f>IF(ISBLANK(G14),"",(AVERAGE($I$4:I14)))</f>
        <v>9.6545454545454543</v>
      </c>
      <c r="AW14" s="22">
        <f>IF(ISBLANK(M14),"",AVERAGE($M$4:M14))</f>
        <v>56.545454545454547</v>
      </c>
      <c r="AX14" s="376">
        <f>IF(ISBLANK(P14),"",(AVERAGE($R$4:R14)))</f>
        <v>1017.2272727272727</v>
      </c>
      <c r="AY14" s="368">
        <f>IF(ISBLANK(U14),"",(AVERAGE($U$4:U14)))</f>
        <v>5.9272727272727277</v>
      </c>
      <c r="AZ14" s="6"/>
      <c r="BA14" s="25">
        <f t="shared" si="15"/>
        <v>2.6186666666666625</v>
      </c>
      <c r="BB14" s="25">
        <f t="shared" si="16"/>
        <v>1.1433333333333344</v>
      </c>
      <c r="BC14" s="25">
        <f t="shared" si="20"/>
        <v>1.8809999999999985</v>
      </c>
      <c r="BD14" s="367">
        <f t="shared" si="19"/>
        <v>-1.4753333333333281</v>
      </c>
      <c r="BE14" s="72"/>
      <c r="BF14" s="25">
        <f>IF(ISBLANK(F14),"",AS14-AVERAGE($F$91:F101))</f>
        <v>2.4465454545454515</v>
      </c>
      <c r="BG14" s="25">
        <f>IF(ISBLANK(G14),"",AT14-AVERAGE($G$91:G101))</f>
        <v>3.5690909090909049</v>
      </c>
      <c r="BH14" s="367">
        <f t="shared" si="21"/>
        <v>1.1225454545454534</v>
      </c>
      <c r="BI14" s="115">
        <f t="shared" si="8"/>
        <v>0.19583975346687207</v>
      </c>
      <c r="BJ14" s="115">
        <f t="shared" si="9"/>
        <v>1.4873335592076962</v>
      </c>
      <c r="BK14" s="402"/>
      <c r="BL14" s="572">
        <v>11</v>
      </c>
    </row>
    <row r="15" spans="1:64" ht="12.75" customHeight="1" x14ac:dyDescent="0.2">
      <c r="A15" s="394">
        <f t="shared" si="10"/>
        <v>12</v>
      </c>
      <c r="B15" s="131">
        <f t="shared" si="18"/>
        <v>8.8000000000000007</v>
      </c>
      <c r="C15" s="282">
        <f t="shared" si="11"/>
        <v>17.8</v>
      </c>
      <c r="D15" s="685"/>
      <c r="E15" s="97">
        <f t="shared" si="12"/>
        <v>12</v>
      </c>
      <c r="F15" s="23">
        <v>8.8000000000000007</v>
      </c>
      <c r="G15" s="23">
        <v>17.8</v>
      </c>
      <c r="H15" s="553">
        <v>13.8</v>
      </c>
      <c r="I15" s="23">
        <f t="shared" si="0"/>
        <v>9</v>
      </c>
      <c r="J15" s="6">
        <f t="shared" si="1"/>
        <v>0</v>
      </c>
      <c r="K15" s="24">
        <v>39</v>
      </c>
      <c r="L15" s="24">
        <v>79</v>
      </c>
      <c r="M15" s="554">
        <v>57</v>
      </c>
      <c r="N15" s="24">
        <f t="shared" si="2"/>
        <v>40</v>
      </c>
      <c r="O15" s="50">
        <f t="shared" si="3"/>
        <v>0</v>
      </c>
      <c r="P15" s="24">
        <v>1019</v>
      </c>
      <c r="Q15" s="24">
        <v>1022</v>
      </c>
      <c r="R15" s="24">
        <f t="shared" si="13"/>
        <v>1020.5</v>
      </c>
      <c r="S15" s="24">
        <f t="shared" si="4"/>
        <v>3</v>
      </c>
      <c r="T15" s="50">
        <v>0</v>
      </c>
      <c r="U15" s="553">
        <v>6</v>
      </c>
      <c r="V15" s="553">
        <v>13.8</v>
      </c>
      <c r="W15" s="553">
        <v>20.6</v>
      </c>
      <c r="X15" s="485" t="s">
        <v>114</v>
      </c>
      <c r="Y15" s="72">
        <f t="shared" si="14"/>
        <v>0</v>
      </c>
      <c r="Z15" s="539">
        <v>0</v>
      </c>
      <c r="AA15" s="23"/>
      <c r="AB15" s="23"/>
      <c r="AC15" s="510" t="str">
        <f t="shared" si="5"/>
        <v/>
      </c>
      <c r="AD15" s="7" t="str">
        <f t="shared" si="6"/>
        <v/>
      </c>
      <c r="AE15" s="485"/>
      <c r="AF15" s="72"/>
      <c r="AG15" s="553">
        <v>2.6</v>
      </c>
      <c r="AH15" s="553">
        <v>7.8</v>
      </c>
      <c r="AI15" s="553">
        <v>5</v>
      </c>
      <c r="AJ15" s="7">
        <f t="shared" si="7"/>
        <v>5.1999999999999993</v>
      </c>
      <c r="AK15" s="6"/>
      <c r="AL15" s="485" t="s">
        <v>242</v>
      </c>
      <c r="AM15" s="54"/>
      <c r="AN15" s="555" t="s">
        <v>8</v>
      </c>
      <c r="AO15" s="400"/>
      <c r="AP15" s="485">
        <v>7</v>
      </c>
      <c r="AQ15" s="485">
        <v>0</v>
      </c>
      <c r="AR15" s="134"/>
      <c r="AS15" s="26">
        <f>IF(ISBLANK(F15),"",(AVERAGE($F$4:F15)))</f>
        <v>9.3083333333333318</v>
      </c>
      <c r="AT15" s="26">
        <f>IF(ISBLANK(G15),"",(AVERAGE($G$4:G15)))</f>
        <v>18.908333333333331</v>
      </c>
      <c r="AU15" s="25">
        <f>IF(ISBLANK(H15),"",(AVERAGE($H$4:H15)))</f>
        <v>14.350000000000001</v>
      </c>
      <c r="AV15" s="368">
        <f>IF(ISBLANK(G15),"",(AVERAGE($I$4:I15)))</f>
        <v>9.6</v>
      </c>
      <c r="AW15" s="22">
        <f>IF(ISBLANK(M15),"",AVERAGE($M$4:M15))</f>
        <v>56.583333333333336</v>
      </c>
      <c r="AX15" s="376">
        <f>IF(ISBLANK(P15),"",(AVERAGE($R$4:R15)))</f>
        <v>1017.5</v>
      </c>
      <c r="AY15" s="368">
        <f>IF(ISBLANK(U15),"",(AVERAGE($U$4:U15)))</f>
        <v>5.9333333333333336</v>
      </c>
      <c r="AZ15" s="6"/>
      <c r="BA15" s="25">
        <f t="shared" si="15"/>
        <v>1.083999999999997</v>
      </c>
      <c r="BB15" s="25">
        <f t="shared" si="16"/>
        <v>1.620000000000001</v>
      </c>
      <c r="BC15" s="25">
        <f t="shared" si="20"/>
        <v>1.351999999999999</v>
      </c>
      <c r="BD15" s="367">
        <f t="shared" si="19"/>
        <v>0.53600000000000403</v>
      </c>
      <c r="BE15" s="72"/>
      <c r="BF15" s="25">
        <f>IF(ISBLANK(F15),"",AS15-AVERAGE($F$91:F102))</f>
        <v>2.3329999999999957</v>
      </c>
      <c r="BG15" s="25">
        <f>IF(ISBLANK(G15),"",AT15-AVERAGE($G$91:G102))</f>
        <v>3.4066666666666645</v>
      </c>
      <c r="BH15" s="367">
        <f t="shared" si="21"/>
        <v>1.0736666666666688</v>
      </c>
      <c r="BI15" s="115">
        <f t="shared" si="8"/>
        <v>0.1795197740112994</v>
      </c>
      <c r="BJ15" s="115">
        <f t="shared" si="9"/>
        <v>1.4590597069532854</v>
      </c>
      <c r="BK15" s="402"/>
      <c r="BL15" s="572">
        <v>12</v>
      </c>
    </row>
    <row r="16" spans="1:64" ht="12.75" customHeight="1" x14ac:dyDescent="0.2">
      <c r="A16" s="394">
        <f t="shared" si="10"/>
        <v>13</v>
      </c>
      <c r="B16" s="131">
        <f t="shared" si="18"/>
        <v>8.3000000000000007</v>
      </c>
      <c r="C16" s="282">
        <f t="shared" si="11"/>
        <v>18.7</v>
      </c>
      <c r="D16" s="685"/>
      <c r="E16" s="97">
        <f t="shared" si="12"/>
        <v>13</v>
      </c>
      <c r="F16" s="23">
        <v>8.3000000000000007</v>
      </c>
      <c r="G16" s="23">
        <v>18.7</v>
      </c>
      <c r="H16" s="553">
        <v>14.3</v>
      </c>
      <c r="I16" s="23">
        <f t="shared" si="0"/>
        <v>10.399999999999999</v>
      </c>
      <c r="J16" s="6">
        <f t="shared" si="1"/>
        <v>0</v>
      </c>
      <c r="K16" s="24">
        <v>40</v>
      </c>
      <c r="L16" s="24">
        <v>77</v>
      </c>
      <c r="M16" s="554">
        <v>55</v>
      </c>
      <c r="N16" s="24">
        <f t="shared" si="2"/>
        <v>37</v>
      </c>
      <c r="O16" s="50">
        <f t="shared" si="3"/>
        <v>0</v>
      </c>
      <c r="P16" s="24">
        <v>1017</v>
      </c>
      <c r="Q16" s="24">
        <v>1022</v>
      </c>
      <c r="R16" s="24">
        <f t="shared" si="13"/>
        <v>1019.5</v>
      </c>
      <c r="S16" s="24">
        <f t="shared" si="4"/>
        <v>5</v>
      </c>
      <c r="T16" s="50">
        <v>0</v>
      </c>
      <c r="U16" s="553">
        <v>5.0999999999999996</v>
      </c>
      <c r="V16" s="553">
        <v>10.9</v>
      </c>
      <c r="W16" s="553">
        <v>15.9</v>
      </c>
      <c r="X16" s="485" t="s">
        <v>110</v>
      </c>
      <c r="Y16" s="72">
        <f t="shared" si="14"/>
        <v>0</v>
      </c>
      <c r="Z16" s="539">
        <v>0</v>
      </c>
      <c r="AA16" s="23"/>
      <c r="AB16" s="23"/>
      <c r="AC16" s="510" t="str">
        <f t="shared" si="5"/>
        <v/>
      </c>
      <c r="AD16" s="7" t="str">
        <f t="shared" si="6"/>
        <v/>
      </c>
      <c r="AE16" s="485"/>
      <c r="AF16" s="72"/>
      <c r="AG16" s="553">
        <v>3</v>
      </c>
      <c r="AH16" s="553">
        <v>7.9</v>
      </c>
      <c r="AI16" s="553">
        <v>5.0999999999999996</v>
      </c>
      <c r="AJ16" s="7">
        <f t="shared" si="7"/>
        <v>4.9000000000000004</v>
      </c>
      <c r="AK16" s="6"/>
      <c r="AL16" s="485" t="s">
        <v>500</v>
      </c>
      <c r="AM16" s="54"/>
      <c r="AN16" s="555" t="s">
        <v>8</v>
      </c>
      <c r="AO16" s="400"/>
      <c r="AP16" s="485">
        <v>8</v>
      </c>
      <c r="AQ16" s="485">
        <v>0</v>
      </c>
      <c r="AR16" s="134"/>
      <c r="AS16" s="26">
        <f>IF(ISBLANK(F16),"",(AVERAGE($F$4:F16)))</f>
        <v>9.2307692307692299</v>
      </c>
      <c r="AT16" s="26">
        <f>IF(ISBLANK(G16),"",(AVERAGE($G$4:G16)))</f>
        <v>18.892307692307689</v>
      </c>
      <c r="AU16" s="25">
        <f>IF(ISBLANK(H16),"",(AVERAGE($H$4:H16)))</f>
        <v>14.346153846153848</v>
      </c>
      <c r="AV16" s="368">
        <f>IF(ISBLANK(G16),"",(AVERAGE($I$4:I16)))</f>
        <v>9.661538461538461</v>
      </c>
      <c r="AW16" s="22">
        <f>IF(ISBLANK(M16),"",AVERAGE($M$4:M16))</f>
        <v>56.46153846153846</v>
      </c>
      <c r="AX16" s="376">
        <f>IF(ISBLANK(P16),"",(AVERAGE($R$4:R16)))</f>
        <v>1017.6538461538462</v>
      </c>
      <c r="AY16" s="368">
        <f>IF(ISBLANK(U16),"",(AVERAGE($U$4:U16)))</f>
        <v>5.8692307692307688</v>
      </c>
      <c r="AZ16" s="6"/>
      <c r="BA16" s="25">
        <f t="shared" si="15"/>
        <v>0.44933333333333003</v>
      </c>
      <c r="BB16" s="25">
        <f t="shared" si="16"/>
        <v>2.3966666666666647</v>
      </c>
      <c r="BC16" s="25">
        <f t="shared" si="20"/>
        <v>1.4229999999999974</v>
      </c>
      <c r="BD16" s="367">
        <f t="shared" si="19"/>
        <v>1.9473333333333347</v>
      </c>
      <c r="BE16" s="72"/>
      <c r="BF16" s="25">
        <f>IF(ISBLANK(F16),"",AS16-AVERAGE($F$91:F103))</f>
        <v>2.18810256410256</v>
      </c>
      <c r="BG16" s="25">
        <f>IF(ISBLANK(G16),"",AT16-AVERAGE($G$91:G103))</f>
        <v>3.3289743589743548</v>
      </c>
      <c r="BH16" s="367">
        <f t="shared" si="21"/>
        <v>1.1408717948717948</v>
      </c>
      <c r="BI16" s="115">
        <f t="shared" si="8"/>
        <v>0.16571056062581485</v>
      </c>
      <c r="BJ16" s="115">
        <f t="shared" si="9"/>
        <v>1.4477566083838971</v>
      </c>
      <c r="BK16" s="402"/>
      <c r="BL16" s="572">
        <v>13</v>
      </c>
    </row>
    <row r="17" spans="1:64" ht="12.75" customHeight="1" x14ac:dyDescent="0.2">
      <c r="A17" s="394">
        <f t="shared" si="10"/>
        <v>14</v>
      </c>
      <c r="B17" s="131">
        <f t="shared" si="18"/>
        <v>7.5</v>
      </c>
      <c r="C17" s="282">
        <f t="shared" si="11"/>
        <v>16.600000000000001</v>
      </c>
      <c r="D17" s="685"/>
      <c r="E17" s="97">
        <f t="shared" si="12"/>
        <v>14</v>
      </c>
      <c r="F17" s="23">
        <v>7.5</v>
      </c>
      <c r="G17" s="23">
        <v>16.600000000000001</v>
      </c>
      <c r="H17" s="553">
        <v>12.5</v>
      </c>
      <c r="I17" s="23">
        <f t="shared" si="0"/>
        <v>9.1000000000000014</v>
      </c>
      <c r="J17" s="6">
        <f t="shared" si="1"/>
        <v>0</v>
      </c>
      <c r="K17" s="24">
        <v>37</v>
      </c>
      <c r="L17" s="24">
        <v>75</v>
      </c>
      <c r="M17" s="554">
        <v>55</v>
      </c>
      <c r="N17" s="24">
        <f t="shared" si="2"/>
        <v>38</v>
      </c>
      <c r="O17" s="50">
        <f t="shared" si="3"/>
        <v>0</v>
      </c>
      <c r="P17" s="24">
        <v>1018</v>
      </c>
      <c r="Q17" s="24">
        <v>1022</v>
      </c>
      <c r="R17" s="24">
        <f t="shared" si="13"/>
        <v>1020</v>
      </c>
      <c r="S17" s="24">
        <f t="shared" si="4"/>
        <v>4</v>
      </c>
      <c r="T17" s="50">
        <v>0</v>
      </c>
      <c r="U17" s="553">
        <v>5.7</v>
      </c>
      <c r="V17" s="553">
        <v>14</v>
      </c>
      <c r="W17" s="553">
        <v>20.399999999999999</v>
      </c>
      <c r="X17" s="485" t="s">
        <v>128</v>
      </c>
      <c r="Y17" s="72">
        <f t="shared" si="14"/>
        <v>0</v>
      </c>
      <c r="Z17" s="539">
        <v>0</v>
      </c>
      <c r="AA17" s="23"/>
      <c r="AB17" s="23"/>
      <c r="AC17" s="510" t="str">
        <f t="shared" si="5"/>
        <v/>
      </c>
      <c r="AD17" s="7" t="str">
        <f t="shared" si="6"/>
        <v/>
      </c>
      <c r="AE17" s="485"/>
      <c r="AF17" s="72"/>
      <c r="AG17" s="553">
        <v>1.6</v>
      </c>
      <c r="AH17" s="553">
        <v>5.5</v>
      </c>
      <c r="AI17" s="553">
        <v>3.5</v>
      </c>
      <c r="AJ17" s="26">
        <f t="shared" si="7"/>
        <v>3.9</v>
      </c>
      <c r="AK17" s="6"/>
      <c r="AL17" s="485" t="s">
        <v>501</v>
      </c>
      <c r="AM17" s="54">
        <v>1013.25</v>
      </c>
      <c r="AN17" s="555" t="s">
        <v>8</v>
      </c>
      <c r="AO17" s="400"/>
      <c r="AP17" s="485">
        <v>6.5</v>
      </c>
      <c r="AQ17" s="485">
        <v>0</v>
      </c>
      <c r="AR17" s="134"/>
      <c r="AS17" s="26">
        <f>IF(ISBLANK(F17),"",(AVERAGE($F$4:F17)))</f>
        <v>9.1071428571428559</v>
      </c>
      <c r="AT17" s="26">
        <f>IF(ISBLANK(G17),"",(AVERAGE($G$4:G17)))</f>
        <v>18.728571428571428</v>
      </c>
      <c r="AU17" s="25">
        <f>IF(ISBLANK(H17),"",(AVERAGE($H$4:H17)))</f>
        <v>14.214285714285717</v>
      </c>
      <c r="AV17" s="368">
        <f>IF(ISBLANK(G17),"",(AVERAGE($I$4:I17)))</f>
        <v>9.6214285714285701</v>
      </c>
      <c r="AW17" s="22">
        <f>IF(ISBLANK(M17),"",AVERAGE($M$4:M17))</f>
        <v>56.357142857142854</v>
      </c>
      <c r="AX17" s="376">
        <f>IF(ISBLANK(P17),"",(AVERAGE($R$4:R17)))</f>
        <v>1017.8214285714286</v>
      </c>
      <c r="AY17" s="368">
        <f>IF(ISBLANK(U17),"",(AVERAGE($U$4:U17)))</f>
        <v>5.8571428571428568</v>
      </c>
      <c r="AZ17" s="6"/>
      <c r="BA17" s="25">
        <f t="shared" si="15"/>
        <v>-0.48533333333333761</v>
      </c>
      <c r="BB17" s="25">
        <f t="shared" si="16"/>
        <v>0.17333333333333201</v>
      </c>
      <c r="BC17" s="25">
        <f t="shared" si="20"/>
        <v>-0.1560000000000028</v>
      </c>
      <c r="BD17" s="367">
        <f t="shared" si="19"/>
        <v>0.65866666666666962</v>
      </c>
      <c r="BE17" s="72"/>
      <c r="BF17" s="25">
        <f>IF(ISBLANK(F17),"",AS17-AVERAGE($F$91:F104))</f>
        <v>1.997142857142852</v>
      </c>
      <c r="BG17" s="25">
        <f>IF(ISBLANK(G17),"",AT17-AVERAGE($G$91:G104))</f>
        <v>3.103571428571426</v>
      </c>
      <c r="BH17" s="367">
        <f t="shared" si="21"/>
        <v>1.106428571428574</v>
      </c>
      <c r="BI17" s="115">
        <f t="shared" si="8"/>
        <v>0.15387409200968519</v>
      </c>
      <c r="BJ17" s="115">
        <f t="shared" si="9"/>
        <v>1.4197750278712797</v>
      </c>
      <c r="BK17" s="402"/>
      <c r="BL17" s="572">
        <v>14</v>
      </c>
    </row>
    <row r="18" spans="1:64" ht="12.75" customHeight="1" x14ac:dyDescent="0.2">
      <c r="A18" s="394">
        <f t="shared" si="10"/>
        <v>15</v>
      </c>
      <c r="B18" s="131">
        <f t="shared" si="18"/>
        <v>8.3000000000000007</v>
      </c>
      <c r="C18" s="282">
        <f t="shared" si="11"/>
        <v>15.2</v>
      </c>
      <c r="D18" s="685"/>
      <c r="E18" s="97">
        <f t="shared" si="12"/>
        <v>15</v>
      </c>
      <c r="F18" s="23">
        <v>8.3000000000000007</v>
      </c>
      <c r="G18" s="23">
        <v>15.2</v>
      </c>
      <c r="H18" s="553">
        <v>12.4</v>
      </c>
      <c r="I18" s="23">
        <f t="shared" si="0"/>
        <v>6.8999999999999986</v>
      </c>
      <c r="J18" s="6">
        <f t="shared" si="1"/>
        <v>0</v>
      </c>
      <c r="K18" s="24">
        <v>43</v>
      </c>
      <c r="L18" s="24">
        <v>76</v>
      </c>
      <c r="M18" s="554">
        <v>60</v>
      </c>
      <c r="N18" s="24">
        <f t="shared" si="2"/>
        <v>33</v>
      </c>
      <c r="O18" s="50">
        <f t="shared" si="3"/>
        <v>0</v>
      </c>
      <c r="P18" s="24">
        <v>1022</v>
      </c>
      <c r="Q18" s="24">
        <v>1026</v>
      </c>
      <c r="R18" s="24">
        <f t="shared" si="13"/>
        <v>1024</v>
      </c>
      <c r="S18" s="24">
        <f t="shared" si="4"/>
        <v>4</v>
      </c>
      <c r="T18" s="50">
        <v>0</v>
      </c>
      <c r="U18" s="553">
        <v>6.1</v>
      </c>
      <c r="V18" s="553">
        <v>14.3</v>
      </c>
      <c r="W18" s="553">
        <v>19</v>
      </c>
      <c r="X18" s="485" t="s">
        <v>114</v>
      </c>
      <c r="Y18" s="72">
        <f t="shared" si="14"/>
        <v>0</v>
      </c>
      <c r="Z18" s="539">
        <v>0</v>
      </c>
      <c r="AA18" s="23"/>
      <c r="AB18" s="23"/>
      <c r="AC18" s="510" t="str">
        <f t="shared" si="5"/>
        <v/>
      </c>
      <c r="AD18" s="7" t="str">
        <f t="shared" si="6"/>
        <v/>
      </c>
      <c r="AE18" s="485"/>
      <c r="AF18" s="72"/>
      <c r="AG18" s="553">
        <v>2.1</v>
      </c>
      <c r="AH18" s="553">
        <v>7</v>
      </c>
      <c r="AI18" s="553">
        <v>4.5999999999999996</v>
      </c>
      <c r="AJ18" s="26">
        <f t="shared" si="7"/>
        <v>4.9000000000000004</v>
      </c>
      <c r="AK18" s="6"/>
      <c r="AL18" s="485" t="s">
        <v>502</v>
      </c>
      <c r="AM18" s="54">
        <v>1013.25</v>
      </c>
      <c r="AN18" s="555" t="s">
        <v>8</v>
      </c>
      <c r="AO18" s="400"/>
      <c r="AP18" s="485">
        <v>4</v>
      </c>
      <c r="AQ18" s="485">
        <v>0</v>
      </c>
      <c r="AR18" s="134"/>
      <c r="AS18" s="26">
        <f>IF(ISBLANK(F18),"",(AVERAGE($F$4:F18)))</f>
        <v>9.0533333333333328</v>
      </c>
      <c r="AT18" s="26">
        <f>IF(ISBLANK(G18),"",(AVERAGE($G$4:G18)))</f>
        <v>18.493333333333332</v>
      </c>
      <c r="AU18" s="25">
        <f>IF(ISBLANK(H18),"",(AVERAGE($H$4:H18)))</f>
        <v>14.093333333333335</v>
      </c>
      <c r="AV18" s="368">
        <f>IF(ISBLANK(G18),"",(AVERAGE($I$4:I18)))</f>
        <v>9.44</v>
      </c>
      <c r="AW18" s="22">
        <f>IF(ISBLANK(M18),"",AVERAGE($M$4:M18))</f>
        <v>56.6</v>
      </c>
      <c r="AX18" s="376">
        <f>IF(ISBLANK(P18),"",(AVERAGE($R$4:R18)))</f>
        <v>1018.2333333333333</v>
      </c>
      <c r="AY18" s="368">
        <f>IF(ISBLANK(U18),"",(AVERAGE($U$4:U18)))</f>
        <v>5.8733333333333331</v>
      </c>
      <c r="AZ18" s="6"/>
      <c r="BA18" s="25">
        <f t="shared" si="15"/>
        <v>0.18000000000000149</v>
      </c>
      <c r="BB18" s="25">
        <f t="shared" si="16"/>
        <v>-1.3500000000000014</v>
      </c>
      <c r="BC18" s="25">
        <f t="shared" si="20"/>
        <v>-0.58499999999999996</v>
      </c>
      <c r="BD18" s="367">
        <f t="shared" si="19"/>
        <v>-1.5300000000000029</v>
      </c>
      <c r="BE18" s="72"/>
      <c r="BF18" s="25">
        <f>IF(ISBLANK(F18),"",AS18-AVERAGE($F$91:F105))</f>
        <v>1.8759999999999959</v>
      </c>
      <c r="BG18" s="25">
        <f>IF(ISBLANK(G18),"",AT18-AVERAGE($G$91:G105))</f>
        <v>2.8066666666666631</v>
      </c>
      <c r="BH18" s="367">
        <f t="shared" si="21"/>
        <v>0.9306666666666672</v>
      </c>
      <c r="BI18" s="115">
        <f t="shared" si="8"/>
        <v>0.14361581920903951</v>
      </c>
      <c r="BJ18" s="115">
        <f t="shared" si="9"/>
        <v>1.3673854295362293</v>
      </c>
      <c r="BK18" s="402"/>
      <c r="BL18" s="572">
        <v>15</v>
      </c>
    </row>
    <row r="19" spans="1:64" ht="12.75" customHeight="1" x14ac:dyDescent="0.2">
      <c r="A19" s="394">
        <f t="shared" si="10"/>
        <v>16</v>
      </c>
      <c r="B19" s="131">
        <f t="shared" si="18"/>
        <v>11.6</v>
      </c>
      <c r="C19" s="282">
        <f t="shared" si="11"/>
        <v>19.8</v>
      </c>
      <c r="D19" s="685"/>
      <c r="E19" s="97">
        <f t="shared" si="12"/>
        <v>16</v>
      </c>
      <c r="F19" s="23">
        <v>11.6</v>
      </c>
      <c r="G19" s="23">
        <v>19.8</v>
      </c>
      <c r="H19" s="553">
        <v>15</v>
      </c>
      <c r="I19" s="23">
        <f t="shared" si="0"/>
        <v>8.2000000000000011</v>
      </c>
      <c r="J19" s="6">
        <f t="shared" si="1"/>
        <v>0</v>
      </c>
      <c r="K19" s="24">
        <v>45</v>
      </c>
      <c r="L19" s="24">
        <v>81</v>
      </c>
      <c r="M19" s="554">
        <v>64</v>
      </c>
      <c r="N19" s="24">
        <f t="shared" si="2"/>
        <v>36</v>
      </c>
      <c r="O19" s="50">
        <f t="shared" si="3"/>
        <v>0</v>
      </c>
      <c r="P19" s="24">
        <v>1021</v>
      </c>
      <c r="Q19" s="24">
        <v>1024</v>
      </c>
      <c r="R19" s="24">
        <f t="shared" si="13"/>
        <v>1022.5</v>
      </c>
      <c r="S19" s="24">
        <f t="shared" si="4"/>
        <v>3</v>
      </c>
      <c r="T19" s="50">
        <v>0</v>
      </c>
      <c r="U19" s="553">
        <v>7.1</v>
      </c>
      <c r="V19" s="553">
        <v>15.4</v>
      </c>
      <c r="W19" s="553">
        <v>19.7</v>
      </c>
      <c r="X19" s="485" t="s">
        <v>114</v>
      </c>
      <c r="Y19" s="72">
        <f t="shared" si="14"/>
        <v>0</v>
      </c>
      <c r="Z19" s="539">
        <v>0</v>
      </c>
      <c r="AA19" s="23"/>
      <c r="AB19" s="23"/>
      <c r="AC19" s="510" t="str">
        <f t="shared" si="5"/>
        <v/>
      </c>
      <c r="AD19" s="7" t="str">
        <f t="shared" si="6"/>
        <v/>
      </c>
      <c r="AE19" s="485"/>
      <c r="AF19" s="72"/>
      <c r="AG19" s="553">
        <v>5.9</v>
      </c>
      <c r="AH19" s="553">
        <v>9.9</v>
      </c>
      <c r="AI19" s="553">
        <v>8</v>
      </c>
      <c r="AJ19" s="26">
        <f t="shared" si="7"/>
        <v>4</v>
      </c>
      <c r="AK19" s="6"/>
      <c r="AL19" s="485" t="s">
        <v>503</v>
      </c>
      <c r="AM19" s="54">
        <v>1013.25</v>
      </c>
      <c r="AN19" s="555" t="s">
        <v>8</v>
      </c>
      <c r="AO19" s="400"/>
      <c r="AP19" s="485">
        <v>1.5</v>
      </c>
      <c r="AQ19" s="485">
        <v>0</v>
      </c>
      <c r="AR19" s="134"/>
      <c r="AS19" s="26">
        <f>IF(ISBLANK(F19),"",(AVERAGE($F$4:F19)))</f>
        <v>9.2124999999999986</v>
      </c>
      <c r="AT19" s="26">
        <f>IF(ISBLANK(G19),"",(AVERAGE($G$4:G19)))</f>
        <v>18.574999999999999</v>
      </c>
      <c r="AU19" s="25">
        <f>IF(ISBLANK(H19),"",(AVERAGE($H$4:H19)))</f>
        <v>14.150000000000002</v>
      </c>
      <c r="AV19" s="368">
        <f>IF(ISBLANK(G19),"",(AVERAGE($I$4:I19)))</f>
        <v>9.3624999999999989</v>
      </c>
      <c r="AW19" s="22">
        <f>IF(ISBLANK(M19),"",AVERAGE($M$4:M19))</f>
        <v>57.0625</v>
      </c>
      <c r="AX19" s="376">
        <f>IF(ISBLANK(P19),"",(AVERAGE($R$4:R19)))</f>
        <v>1018.5</v>
      </c>
      <c r="AY19" s="368">
        <f>IF(ISBLANK(U19),"",(AVERAGE($U$4:U19)))</f>
        <v>5.9499999999999993</v>
      </c>
      <c r="AZ19" s="6"/>
      <c r="BA19" s="25">
        <f t="shared" si="15"/>
        <v>3.3453333333333291</v>
      </c>
      <c r="BB19" s="25">
        <f t="shared" si="16"/>
        <v>3.1266666666666616</v>
      </c>
      <c r="BC19" s="25">
        <f t="shared" si="20"/>
        <v>3.2359999999999953</v>
      </c>
      <c r="BD19" s="367">
        <f t="shared" si="19"/>
        <v>-0.21866666666666745</v>
      </c>
      <c r="BE19" s="72"/>
      <c r="BF19" s="25">
        <f>IF(ISBLANK(F19),"",AS19-AVERAGE($F$91:F106))</f>
        <v>1.9678333333333287</v>
      </c>
      <c r="BG19" s="25">
        <f>IF(ISBLANK(G19),"",AT19-AVERAGE($G$91:G106))</f>
        <v>2.8266666666666627</v>
      </c>
      <c r="BH19" s="367">
        <f t="shared" si="21"/>
        <v>0.858833333333334</v>
      </c>
      <c r="BI19" s="115">
        <f t="shared" si="8"/>
        <v>0.13463983050847456</v>
      </c>
      <c r="BJ19" s="115">
        <f t="shared" si="9"/>
        <v>1.2953091623957884</v>
      </c>
      <c r="BK19" s="402"/>
      <c r="BL19" s="572">
        <v>16</v>
      </c>
    </row>
    <row r="20" spans="1:64" ht="12.75" customHeight="1" x14ac:dyDescent="0.2">
      <c r="A20" s="394">
        <f t="shared" si="10"/>
        <v>17</v>
      </c>
      <c r="B20" s="131">
        <f t="shared" si="18"/>
        <v>11.5</v>
      </c>
      <c r="C20" s="282">
        <f t="shared" si="11"/>
        <v>18.100000000000001</v>
      </c>
      <c r="D20" s="685"/>
      <c r="E20" s="97">
        <f t="shared" si="12"/>
        <v>17</v>
      </c>
      <c r="F20" s="23">
        <v>11.5</v>
      </c>
      <c r="G20" s="23">
        <v>18.100000000000001</v>
      </c>
      <c r="H20" s="553">
        <v>14.6</v>
      </c>
      <c r="I20" s="23">
        <f t="shared" si="0"/>
        <v>6.6000000000000014</v>
      </c>
      <c r="J20" s="6">
        <f t="shared" si="1"/>
        <v>0</v>
      </c>
      <c r="K20" s="24">
        <v>53</v>
      </c>
      <c r="L20" s="24">
        <v>86</v>
      </c>
      <c r="M20" s="554">
        <v>69</v>
      </c>
      <c r="N20" s="24">
        <f t="shared" si="2"/>
        <v>33</v>
      </c>
      <c r="O20" s="50">
        <f t="shared" si="3"/>
        <v>0</v>
      </c>
      <c r="P20" s="24">
        <v>1017</v>
      </c>
      <c r="Q20" s="24">
        <v>1021</v>
      </c>
      <c r="R20" s="24">
        <f t="shared" si="13"/>
        <v>1019</v>
      </c>
      <c r="S20" s="24">
        <f t="shared" si="4"/>
        <v>4</v>
      </c>
      <c r="T20" s="50">
        <v>0</v>
      </c>
      <c r="U20" s="553">
        <v>6</v>
      </c>
      <c r="V20" s="553">
        <v>12.5</v>
      </c>
      <c r="W20" s="553">
        <v>17.600000000000001</v>
      </c>
      <c r="X20" s="485" t="s">
        <v>114</v>
      </c>
      <c r="Y20" s="72">
        <f t="shared" si="14"/>
        <v>0</v>
      </c>
      <c r="Z20" s="539">
        <v>0</v>
      </c>
      <c r="AA20" s="23"/>
      <c r="AB20" s="23"/>
      <c r="AC20" s="510" t="str">
        <f t="shared" si="5"/>
        <v/>
      </c>
      <c r="AD20" s="7" t="str">
        <f t="shared" si="6"/>
        <v/>
      </c>
      <c r="AE20" s="485"/>
      <c r="AF20" s="72"/>
      <c r="AG20" s="553">
        <v>6.1</v>
      </c>
      <c r="AH20" s="553">
        <v>11.4</v>
      </c>
      <c r="AI20" s="553">
        <v>8.8000000000000007</v>
      </c>
      <c r="AJ20" s="26">
        <f t="shared" si="7"/>
        <v>5.3000000000000007</v>
      </c>
      <c r="AK20" s="6"/>
      <c r="AL20" s="485" t="s">
        <v>353</v>
      </c>
      <c r="AM20" s="54">
        <v>1013.25</v>
      </c>
      <c r="AN20" s="555" t="s">
        <v>8</v>
      </c>
      <c r="AO20" s="400"/>
      <c r="AP20" s="485">
        <v>2</v>
      </c>
      <c r="AQ20" s="485">
        <v>0</v>
      </c>
      <c r="AR20" s="134"/>
      <c r="AS20" s="26">
        <f>IF(ISBLANK(F20),"",(AVERAGE($F$4:F20)))</f>
        <v>9.3470588235294105</v>
      </c>
      <c r="AT20" s="26">
        <f>IF(ISBLANK(G20),"",(AVERAGE($G$4:G20)))</f>
        <v>18.547058823529412</v>
      </c>
      <c r="AU20" s="25">
        <f>IF(ISBLANK(H20),"",(AVERAGE($H$4:H20)))</f>
        <v>14.176470588235295</v>
      </c>
      <c r="AV20" s="368">
        <f>IF(ISBLANK(G20),"",(AVERAGE($I$4:I20)))</f>
        <v>9.1999999999999993</v>
      </c>
      <c r="AW20" s="22">
        <f>IF(ISBLANK(M20),"",AVERAGE($M$4:M20))</f>
        <v>57.764705882352942</v>
      </c>
      <c r="AX20" s="376">
        <f>IF(ISBLANK(P20),"",(AVERAGE($R$4:R20)))</f>
        <v>1018.5294117647059</v>
      </c>
      <c r="AY20" s="368">
        <f>IF(ISBLANK(U20),"",(AVERAGE($U$4:U20)))</f>
        <v>5.9529411764705875</v>
      </c>
      <c r="AZ20" s="6"/>
      <c r="BA20" s="25">
        <f t="shared" si="15"/>
        <v>3.1106666666666634</v>
      </c>
      <c r="BB20" s="25">
        <f t="shared" si="16"/>
        <v>1.3033333333333275</v>
      </c>
      <c r="BC20" s="25">
        <f t="shared" si="20"/>
        <v>2.2069999999999954</v>
      </c>
      <c r="BD20" s="367">
        <f t="shared" si="19"/>
        <v>-1.8073333333333359</v>
      </c>
      <c r="BE20" s="72"/>
      <c r="BF20" s="25">
        <f>IF(ISBLANK(F20),"",AS20-AVERAGE($F$91:F107))</f>
        <v>2.0350588235294067</v>
      </c>
      <c r="BG20" s="25">
        <f>IF(ISBLANK(G20),"",AT20-AVERAGE($G$91:G107))</f>
        <v>2.7370588235294093</v>
      </c>
      <c r="BH20" s="367">
        <f t="shared" si="21"/>
        <v>0.70200000000000262</v>
      </c>
      <c r="BI20" s="115">
        <f t="shared" si="8"/>
        <v>0.12671984047856427</v>
      </c>
      <c r="BJ20" s="115">
        <f t="shared" si="9"/>
        <v>1.2365960206374689</v>
      </c>
      <c r="BK20" s="402"/>
      <c r="BL20" s="572">
        <v>17</v>
      </c>
    </row>
    <row r="21" spans="1:64" ht="12.75" customHeight="1" x14ac:dyDescent="0.2">
      <c r="A21" s="394">
        <f t="shared" si="10"/>
        <v>18</v>
      </c>
      <c r="B21" s="131">
        <v>13.1</v>
      </c>
      <c r="C21" s="282">
        <f t="shared" si="11"/>
        <v>19</v>
      </c>
      <c r="D21" s="685"/>
      <c r="E21" s="97">
        <f t="shared" si="12"/>
        <v>18</v>
      </c>
      <c r="F21" s="23">
        <v>11.4</v>
      </c>
      <c r="G21" s="23">
        <v>19</v>
      </c>
      <c r="H21" s="553">
        <v>14.8</v>
      </c>
      <c r="I21" s="23">
        <f t="shared" si="0"/>
        <v>7.6</v>
      </c>
      <c r="J21" s="6">
        <f t="shared" si="1"/>
        <v>0</v>
      </c>
      <c r="K21" s="24">
        <v>65</v>
      </c>
      <c r="L21" s="24">
        <v>91</v>
      </c>
      <c r="M21" s="554">
        <v>81</v>
      </c>
      <c r="N21" s="24">
        <f t="shared" si="2"/>
        <v>26</v>
      </c>
      <c r="O21" s="50">
        <f t="shared" si="3"/>
        <v>1</v>
      </c>
      <c r="P21" s="24">
        <v>1012</v>
      </c>
      <c r="Q21" s="24">
        <v>1017</v>
      </c>
      <c r="R21" s="24">
        <f t="shared" si="13"/>
        <v>1014.5</v>
      </c>
      <c r="S21" s="24">
        <f t="shared" si="4"/>
        <v>5</v>
      </c>
      <c r="T21" s="50">
        <v>0</v>
      </c>
      <c r="U21" s="553">
        <v>5.7</v>
      </c>
      <c r="V21" s="553">
        <v>13.2</v>
      </c>
      <c r="W21" s="553">
        <v>18.7</v>
      </c>
      <c r="X21" s="485" t="s">
        <v>110</v>
      </c>
      <c r="Y21" s="72">
        <f t="shared" si="14"/>
        <v>2</v>
      </c>
      <c r="Z21" s="539">
        <v>3</v>
      </c>
      <c r="AA21" s="23">
        <v>2.5</v>
      </c>
      <c r="AB21" s="23">
        <v>1.4</v>
      </c>
      <c r="AC21" s="510">
        <f t="shared" si="5"/>
        <v>0.12448132780082986</v>
      </c>
      <c r="AD21" s="7">
        <f t="shared" si="6"/>
        <v>3</v>
      </c>
      <c r="AE21" s="485">
        <v>20</v>
      </c>
      <c r="AF21" s="72"/>
      <c r="AG21" s="553">
        <v>8.3000000000000007</v>
      </c>
      <c r="AH21" s="553">
        <v>13</v>
      </c>
      <c r="AI21" s="553">
        <v>11.4</v>
      </c>
      <c r="AJ21" s="26">
        <f t="shared" si="7"/>
        <v>4.6999999999999993</v>
      </c>
      <c r="AK21" s="6"/>
      <c r="AL21" s="485" t="s">
        <v>505</v>
      </c>
      <c r="AM21" s="54">
        <v>1013.25</v>
      </c>
      <c r="AN21" s="555" t="s">
        <v>506</v>
      </c>
      <c r="AO21" s="400"/>
      <c r="AP21" s="485">
        <v>0.2</v>
      </c>
      <c r="AQ21" s="485">
        <v>1</v>
      </c>
      <c r="AR21" s="134"/>
      <c r="AS21" s="26">
        <f>IF(ISBLANK(F21),"",(AVERAGE($F$4:F21)))</f>
        <v>9.4611111111111104</v>
      </c>
      <c r="AT21" s="26">
        <f>IF(ISBLANK(G21),"",(AVERAGE($G$4:G21)))</f>
        <v>18.572222222222223</v>
      </c>
      <c r="AU21" s="25">
        <f>IF(ISBLANK(H21),"",(AVERAGE($H$4:H21)))</f>
        <v>14.211111111111114</v>
      </c>
      <c r="AV21" s="368">
        <f>IF(ISBLANK(G21),"",(AVERAGE($I$4:I21)))</f>
        <v>9.1111111111111089</v>
      </c>
      <c r="AW21" s="22">
        <f>IF(ISBLANK(M21),"",AVERAGE($M$4:M21))</f>
        <v>59.055555555555557</v>
      </c>
      <c r="AX21" s="376">
        <f>IF(ISBLANK(P21),"",(AVERAGE($R$4:R21)))</f>
        <v>1018.3055555555555</v>
      </c>
      <c r="AY21" s="368">
        <f>IF(ISBLANK(U21),"",(AVERAGE($U$4:U21)))</f>
        <v>5.9388888888888882</v>
      </c>
      <c r="AZ21" s="6"/>
      <c r="BA21" s="25">
        <f t="shared" si="15"/>
        <v>2.8759999999999977</v>
      </c>
      <c r="BB21" s="25">
        <f t="shared" si="16"/>
        <v>2.0799999999999983</v>
      </c>
      <c r="BC21" s="25">
        <f t="shared" si="20"/>
        <v>2.477999999999998</v>
      </c>
      <c r="BD21" s="367">
        <f t="shared" si="19"/>
        <v>-0.79599999999999937</v>
      </c>
      <c r="BE21" s="72"/>
      <c r="BF21" s="25">
        <f>IF(ISBLANK(F21),"",AS21-AVERAGE($F$91:F108))</f>
        <v>2.0817777777777735</v>
      </c>
      <c r="BG21" s="25">
        <f>IF(ISBLANK(G21),"",AT21-AVERAGE($G$91:G108))</f>
        <v>2.7005555555555532</v>
      </c>
      <c r="BH21" s="367">
        <f t="shared" ref="BH21:BH29" si="22">IF(ISBLANK(G21),"",BG21-BF21)</f>
        <v>0.61877777777777965</v>
      </c>
      <c r="BI21" s="115">
        <f t="shared" si="8"/>
        <v>0.20725047080979284</v>
      </c>
      <c r="BJ21" s="115">
        <f t="shared" si="9"/>
        <v>1.1677142473194637</v>
      </c>
      <c r="BK21" s="402"/>
      <c r="BL21" s="572">
        <v>18</v>
      </c>
    </row>
    <row r="22" spans="1:64" ht="12.75" customHeight="1" x14ac:dyDescent="0.2">
      <c r="A22" s="394">
        <f t="shared" si="10"/>
        <v>19</v>
      </c>
      <c r="B22" s="131">
        <f t="shared" si="18"/>
        <v>6.5</v>
      </c>
      <c r="C22" s="282">
        <f t="shared" si="11"/>
        <v>19.600000000000001</v>
      </c>
      <c r="D22" s="685"/>
      <c r="E22" s="97">
        <f t="shared" si="12"/>
        <v>19</v>
      </c>
      <c r="F22" s="23">
        <v>6.5</v>
      </c>
      <c r="G22" s="23">
        <v>19.600000000000001</v>
      </c>
      <c r="H22" s="553">
        <v>14</v>
      </c>
      <c r="I22" s="23">
        <f t="shared" si="0"/>
        <v>13.100000000000001</v>
      </c>
      <c r="J22" s="6">
        <f t="shared" si="1"/>
        <v>0</v>
      </c>
      <c r="K22" s="24">
        <v>38</v>
      </c>
      <c r="L22" s="24">
        <v>91</v>
      </c>
      <c r="M22" s="554">
        <v>63</v>
      </c>
      <c r="N22" s="24">
        <f t="shared" si="2"/>
        <v>53</v>
      </c>
      <c r="O22" s="50">
        <f t="shared" si="3"/>
        <v>0</v>
      </c>
      <c r="P22" s="24">
        <v>1015</v>
      </c>
      <c r="Q22" s="24">
        <v>1019</v>
      </c>
      <c r="R22" s="24">
        <f t="shared" si="13"/>
        <v>1017</v>
      </c>
      <c r="S22" s="24">
        <f t="shared" si="4"/>
        <v>4</v>
      </c>
      <c r="T22" s="50">
        <v>0</v>
      </c>
      <c r="U22" s="553">
        <v>2.4</v>
      </c>
      <c r="V22" s="553">
        <v>8.1</v>
      </c>
      <c r="W22" s="553">
        <v>10.9</v>
      </c>
      <c r="X22" s="562" t="s">
        <v>113</v>
      </c>
      <c r="Y22" s="72">
        <f t="shared" si="14"/>
        <v>0</v>
      </c>
      <c r="Z22" s="539">
        <v>0</v>
      </c>
      <c r="AA22" s="23"/>
      <c r="AB22" s="23"/>
      <c r="AC22" s="510" t="str">
        <f t="shared" si="5"/>
        <v/>
      </c>
      <c r="AD22" s="7" t="str">
        <f t="shared" si="6"/>
        <v/>
      </c>
      <c r="AE22" s="485"/>
      <c r="AF22" s="72"/>
      <c r="AG22" s="553">
        <v>4.5999999999999996</v>
      </c>
      <c r="AH22" s="553">
        <v>9.3000000000000007</v>
      </c>
      <c r="AI22" s="553">
        <v>6.4</v>
      </c>
      <c r="AJ22" s="26">
        <f t="shared" si="7"/>
        <v>4.7000000000000011</v>
      </c>
      <c r="AK22" s="6"/>
      <c r="AL22" s="485" t="s">
        <v>507</v>
      </c>
      <c r="AM22" s="54">
        <v>1013.25</v>
      </c>
      <c r="AN22" s="23" t="s">
        <v>8</v>
      </c>
      <c r="AO22" s="400"/>
      <c r="AP22" s="485">
        <v>9</v>
      </c>
      <c r="AQ22" s="485">
        <v>0</v>
      </c>
      <c r="AR22" s="134"/>
      <c r="AS22" s="26">
        <f>IF(ISBLANK(F22),"",(AVERAGE($F$4:F22)))</f>
        <v>9.3052631578947356</v>
      </c>
      <c r="AT22" s="26">
        <f>IF(ISBLANK(G22),"",(AVERAGE($G$4:G22)))</f>
        <v>18.626315789473686</v>
      </c>
      <c r="AU22" s="25">
        <f>IF(ISBLANK(H22),"",(AVERAGE($H$4:H22)))</f>
        <v>14.200000000000003</v>
      </c>
      <c r="AV22" s="368">
        <f>IF(ISBLANK(G22),"",(AVERAGE($I$4:I22)))</f>
        <v>9.3210526315789455</v>
      </c>
      <c r="AW22" s="22">
        <f>IF(ISBLANK(M22),"",AVERAGE($M$4:M22))</f>
        <v>59.263157894736842</v>
      </c>
      <c r="AX22" s="376">
        <f>IF(ISBLANK(P22),"",(AVERAGE($R$4:R22)))</f>
        <v>1018.2368421052631</v>
      </c>
      <c r="AY22" s="368">
        <f>IF(ISBLANK(U22),"",(AVERAGE($U$4:U22)))</f>
        <v>5.7526315789473683</v>
      </c>
      <c r="AZ22" s="6"/>
      <c r="BA22" s="25">
        <f t="shared" si="15"/>
        <v>-2.1586666666666687</v>
      </c>
      <c r="BB22" s="25">
        <f t="shared" si="16"/>
        <v>2.5566666666666578</v>
      </c>
      <c r="BC22" s="25">
        <f t="shared" si="20"/>
        <v>0.19899999999999451</v>
      </c>
      <c r="BD22" s="367">
        <f t="shared" si="19"/>
        <v>4.7153333333333265</v>
      </c>
      <c r="BE22" s="72"/>
      <c r="BF22" s="25">
        <f>IF(ISBLANK(F22),"",AS22-AVERAGE($F$91:F109))</f>
        <v>1.8585964912280657</v>
      </c>
      <c r="BG22" s="25">
        <f>IF(ISBLANK(G22),"",AT22-AVERAGE($G$91:G109))</f>
        <v>2.6929824561403493</v>
      </c>
      <c r="BH22" s="367">
        <f t="shared" si="22"/>
        <v>0.83438596491228356</v>
      </c>
      <c r="BI22" s="115">
        <f t="shared" si="8"/>
        <v>0.19634255129348793</v>
      </c>
      <c r="BJ22" s="115">
        <f t="shared" si="9"/>
        <v>1.1831110370054876</v>
      </c>
      <c r="BK22" s="402"/>
      <c r="BL22" s="572">
        <v>19</v>
      </c>
    </row>
    <row r="23" spans="1:64" ht="12.75" customHeight="1" x14ac:dyDescent="0.2">
      <c r="A23" s="394">
        <f t="shared" si="10"/>
        <v>20</v>
      </c>
      <c r="B23" s="131">
        <f t="shared" si="18"/>
        <v>10.9</v>
      </c>
      <c r="C23" s="282">
        <f t="shared" si="11"/>
        <v>18.3</v>
      </c>
      <c r="D23" s="685"/>
      <c r="E23" s="97">
        <f t="shared" si="12"/>
        <v>20</v>
      </c>
      <c r="F23" s="23">
        <v>10.9</v>
      </c>
      <c r="G23" s="23">
        <v>18.3</v>
      </c>
      <c r="H23" s="553">
        <v>15.1</v>
      </c>
      <c r="I23" s="23">
        <f t="shared" si="0"/>
        <v>7.4</v>
      </c>
      <c r="J23" s="6">
        <f t="shared" si="1"/>
        <v>0</v>
      </c>
      <c r="K23" s="24">
        <v>41</v>
      </c>
      <c r="L23" s="24">
        <v>67</v>
      </c>
      <c r="M23" s="554">
        <v>53</v>
      </c>
      <c r="N23" s="24">
        <f t="shared" si="2"/>
        <v>26</v>
      </c>
      <c r="O23" s="50">
        <f t="shared" si="3"/>
        <v>0</v>
      </c>
      <c r="P23" s="24">
        <v>1016</v>
      </c>
      <c r="Q23" s="24">
        <v>1021</v>
      </c>
      <c r="R23" s="24">
        <f t="shared" si="13"/>
        <v>1018.5</v>
      </c>
      <c r="S23" s="24">
        <f t="shared" si="4"/>
        <v>5</v>
      </c>
      <c r="T23" s="50">
        <v>0</v>
      </c>
      <c r="U23" s="553">
        <v>4.7</v>
      </c>
      <c r="V23" s="553">
        <v>11.8</v>
      </c>
      <c r="W23" s="553">
        <v>17.600000000000001</v>
      </c>
      <c r="X23" s="555" t="s">
        <v>114</v>
      </c>
      <c r="Y23" s="72">
        <f t="shared" si="14"/>
        <v>0</v>
      </c>
      <c r="Z23" s="539">
        <v>0</v>
      </c>
      <c r="AA23" s="23"/>
      <c r="AB23" s="23"/>
      <c r="AC23" s="510" t="str">
        <f t="shared" si="5"/>
        <v/>
      </c>
      <c r="AD23" s="7" t="str">
        <f t="shared" si="6"/>
        <v/>
      </c>
      <c r="AE23" s="485"/>
      <c r="AF23" s="72"/>
      <c r="AG23" s="553">
        <v>4.0999999999999996</v>
      </c>
      <c r="AH23" s="553">
        <v>7.8</v>
      </c>
      <c r="AI23" s="553">
        <v>5.3</v>
      </c>
      <c r="AJ23" s="26">
        <f t="shared" ref="AJ23:AJ28" si="23">IF(ISBLANK(AG23),"",AH23-AG23)</f>
        <v>3.7</v>
      </c>
      <c r="AK23" s="6"/>
      <c r="AL23" s="485" t="s">
        <v>508</v>
      </c>
      <c r="AM23" s="54">
        <v>1013.25</v>
      </c>
      <c r="AN23" s="23" t="s">
        <v>8</v>
      </c>
      <c r="AO23" s="400"/>
      <c r="AP23" s="485">
        <v>7</v>
      </c>
      <c r="AQ23" s="485">
        <v>0</v>
      </c>
      <c r="AR23" s="134"/>
      <c r="AS23" s="26">
        <f>IF(ISBLANK(F23),"",(AVERAGE($F$4:F23)))</f>
        <v>9.3849999999999998</v>
      </c>
      <c r="AT23" s="26">
        <f>IF(ISBLANK(G23),"",(AVERAGE($G$4:G23)))</f>
        <v>18.610000000000003</v>
      </c>
      <c r="AU23" s="25">
        <f>IF(ISBLANK(H23),"",(AVERAGE($H$4:H23)))</f>
        <v>14.245000000000005</v>
      </c>
      <c r="AV23" s="368">
        <f>IF(ISBLANK(G23),"",(AVERAGE($I$4:I23)))</f>
        <v>9.2249999999999979</v>
      </c>
      <c r="AW23" s="22">
        <f>IF(ISBLANK(M23),"",AVERAGE($M$4:M23))</f>
        <v>58.95</v>
      </c>
      <c r="AX23" s="376">
        <f>IF(ISBLANK(P23),"",(AVERAGE($R$4:R23)))</f>
        <v>1018.25</v>
      </c>
      <c r="AY23" s="368">
        <f>IF(ISBLANK(U23),"",(AVERAGE($U$4:U23)))</f>
        <v>5.7</v>
      </c>
      <c r="AZ23" s="6"/>
      <c r="BA23" s="25">
        <f t="shared" si="15"/>
        <v>2.1066666666666656</v>
      </c>
      <c r="BB23" s="25">
        <f t="shared" si="16"/>
        <v>1.1333333333333222</v>
      </c>
      <c r="BC23" s="25">
        <f t="shared" si="20"/>
        <v>1.6199999999999939</v>
      </c>
      <c r="BD23" s="367">
        <f t="shared" si="19"/>
        <v>-0.97333333333334338</v>
      </c>
      <c r="BE23" s="72"/>
      <c r="BF23" s="25">
        <f>IF(ISBLANK(F23),"",AS23-AVERAGE($F$91:F110))</f>
        <v>1.8709999999999969</v>
      </c>
      <c r="BG23" s="25">
        <f>IF(ISBLANK(G23),"",AT23-AVERAGE($G$91:G110))</f>
        <v>2.6149999999999984</v>
      </c>
      <c r="BH23" s="367">
        <f t="shared" si="22"/>
        <v>0.74400000000000155</v>
      </c>
      <c r="BI23" s="115">
        <f t="shared" si="8"/>
        <v>0.18652542372881356</v>
      </c>
      <c r="BJ23" s="115">
        <f t="shared" si="9"/>
        <v>1.1801413716152205</v>
      </c>
      <c r="BK23" s="88"/>
      <c r="BL23" s="572">
        <v>20</v>
      </c>
    </row>
    <row r="24" spans="1:64" ht="12.75" customHeight="1" x14ac:dyDescent="0.2">
      <c r="A24" s="394">
        <f t="shared" si="10"/>
        <v>21</v>
      </c>
      <c r="B24" s="131">
        <f t="shared" si="18"/>
        <v>7.8</v>
      </c>
      <c r="C24" s="282">
        <f t="shared" si="11"/>
        <v>21</v>
      </c>
      <c r="D24" s="685"/>
      <c r="E24" s="97">
        <f t="shared" si="12"/>
        <v>21</v>
      </c>
      <c r="F24" s="23">
        <v>7.8</v>
      </c>
      <c r="G24" s="23">
        <v>21</v>
      </c>
      <c r="H24" s="553">
        <v>16.100000000000001</v>
      </c>
      <c r="I24" s="23">
        <f t="shared" si="0"/>
        <v>13.2</v>
      </c>
      <c r="J24" s="6">
        <f t="shared" si="1"/>
        <v>0</v>
      </c>
      <c r="K24" s="24">
        <v>39</v>
      </c>
      <c r="L24" s="24">
        <v>83</v>
      </c>
      <c r="M24" s="554">
        <v>55</v>
      </c>
      <c r="N24" s="24">
        <f t="shared" si="2"/>
        <v>44</v>
      </c>
      <c r="O24" s="50">
        <f t="shared" si="3"/>
        <v>0</v>
      </c>
      <c r="P24" s="24">
        <v>1014</v>
      </c>
      <c r="Q24" s="24">
        <v>1022</v>
      </c>
      <c r="R24" s="24">
        <f t="shared" si="13"/>
        <v>1018</v>
      </c>
      <c r="S24" s="24">
        <f t="shared" si="4"/>
        <v>8</v>
      </c>
      <c r="T24" s="50">
        <v>0</v>
      </c>
      <c r="U24" s="553">
        <v>5.4</v>
      </c>
      <c r="V24" s="553">
        <v>14.5</v>
      </c>
      <c r="W24" s="553">
        <v>22.3</v>
      </c>
      <c r="X24" s="555" t="s">
        <v>110</v>
      </c>
      <c r="Y24" s="72">
        <f t="shared" si="14"/>
        <v>0</v>
      </c>
      <c r="Z24" s="539">
        <v>0</v>
      </c>
      <c r="AA24" s="23"/>
      <c r="AB24" s="23"/>
      <c r="AC24" s="510" t="str">
        <f t="shared" si="5"/>
        <v/>
      </c>
      <c r="AD24" s="7" t="str">
        <f t="shared" si="6"/>
        <v/>
      </c>
      <c r="AE24" s="485"/>
      <c r="AF24" s="72"/>
      <c r="AG24" s="553">
        <v>4.4000000000000004</v>
      </c>
      <c r="AH24" s="553">
        <v>9.4</v>
      </c>
      <c r="AI24" s="553">
        <v>6.6</v>
      </c>
      <c r="AJ24" s="26">
        <f t="shared" si="23"/>
        <v>5</v>
      </c>
      <c r="AK24" s="6"/>
      <c r="AL24" s="485" t="s">
        <v>509</v>
      </c>
      <c r="AM24" s="54">
        <v>1013.25</v>
      </c>
      <c r="AN24" s="23" t="s">
        <v>8</v>
      </c>
      <c r="AO24" s="400"/>
      <c r="AP24" s="485">
        <v>13.5</v>
      </c>
      <c r="AQ24" s="485">
        <v>0</v>
      </c>
      <c r="AR24" s="134"/>
      <c r="AS24" s="26">
        <f>IF(ISBLANK(F24),"",(AVERAGE($F$4:F24)))</f>
        <v>9.3095238095238102</v>
      </c>
      <c r="AT24" s="26">
        <f>IF(ISBLANK(G24),"",(AVERAGE($G$4:G24)))</f>
        <v>18.723809523809525</v>
      </c>
      <c r="AU24" s="25">
        <f>IF(ISBLANK(H24),"",(AVERAGE($H$4:H24)))</f>
        <v>14.333333333333339</v>
      </c>
      <c r="AV24" s="368">
        <f>IF(ISBLANK(G24),"",(AVERAGE($I$4:I24)))</f>
        <v>9.4142857142857128</v>
      </c>
      <c r="AW24" s="22">
        <f>IF(ISBLANK(M24),"",AVERAGE($M$4:M24))</f>
        <v>58.761904761904759</v>
      </c>
      <c r="AX24" s="376">
        <f>IF(ISBLANK(P24),"",(AVERAGE($R$4:R24)))</f>
        <v>1018.2380952380952</v>
      </c>
      <c r="AY24" s="368">
        <f>IF(ISBLANK(U24),"",(AVERAGE($U$4:U24)))</f>
        <v>5.6857142857142859</v>
      </c>
      <c r="AZ24" s="6"/>
      <c r="BA24" s="25">
        <f t="shared" si="15"/>
        <v>-1.128000000000001</v>
      </c>
      <c r="BB24" s="25">
        <f t="shared" si="16"/>
        <v>3.7100000000000009</v>
      </c>
      <c r="BC24" s="25">
        <f t="shared" si="20"/>
        <v>1.2909999999999999</v>
      </c>
      <c r="BD24" s="367">
        <f t="shared" si="19"/>
        <v>4.8380000000000019</v>
      </c>
      <c r="BE24" s="72"/>
      <c r="BF24" s="25">
        <f>IF(ISBLANK(F24),"",AS24-AVERAGE($F$91:F111))</f>
        <v>1.7281904761904743</v>
      </c>
      <c r="BG24" s="25">
        <f>IF(ISBLANK(G24),"",AT24-AVERAGE($G$91:G111))</f>
        <v>2.6671428571428528</v>
      </c>
      <c r="BH24" s="367">
        <f t="shared" si="22"/>
        <v>0.93895238095237854</v>
      </c>
      <c r="BI24" s="115">
        <f t="shared" si="8"/>
        <v>0.17764326069410813</v>
      </c>
      <c r="BJ24" s="115">
        <f t="shared" si="9"/>
        <v>1.2285851541103063</v>
      </c>
      <c r="BK24" s="88"/>
      <c r="BL24" s="572">
        <v>21</v>
      </c>
    </row>
    <row r="25" spans="1:64" ht="12.75" customHeight="1" x14ac:dyDescent="0.2">
      <c r="A25" s="394">
        <f t="shared" si="10"/>
        <v>22</v>
      </c>
      <c r="B25" s="131">
        <f t="shared" si="18"/>
        <v>11.4</v>
      </c>
      <c r="C25" s="282">
        <f t="shared" si="11"/>
        <v>18.3</v>
      </c>
      <c r="D25" s="685"/>
      <c r="E25" s="97">
        <f t="shared" si="12"/>
        <v>22</v>
      </c>
      <c r="F25" s="23">
        <v>11.4</v>
      </c>
      <c r="G25" s="23">
        <v>18.3</v>
      </c>
      <c r="H25" s="553">
        <v>14.9</v>
      </c>
      <c r="I25" s="23">
        <f t="shared" si="0"/>
        <v>6.9</v>
      </c>
      <c r="J25" s="6">
        <f t="shared" si="1"/>
        <v>0</v>
      </c>
      <c r="K25" s="24">
        <v>35</v>
      </c>
      <c r="L25" s="24">
        <v>84</v>
      </c>
      <c r="M25" s="554">
        <v>55</v>
      </c>
      <c r="N25" s="24">
        <f t="shared" si="2"/>
        <v>49</v>
      </c>
      <c r="O25" s="50">
        <f t="shared" si="3"/>
        <v>0</v>
      </c>
      <c r="P25" s="24">
        <v>1011</v>
      </c>
      <c r="Q25" s="24">
        <v>1023</v>
      </c>
      <c r="R25" s="24">
        <f t="shared" si="13"/>
        <v>1017</v>
      </c>
      <c r="S25" s="24">
        <f t="shared" si="4"/>
        <v>12</v>
      </c>
      <c r="T25" s="50">
        <v>0</v>
      </c>
      <c r="U25" s="553">
        <v>9.1</v>
      </c>
      <c r="V25" s="553">
        <v>21</v>
      </c>
      <c r="W25" s="553">
        <v>33.799999999999997</v>
      </c>
      <c r="X25" s="555" t="s">
        <v>110</v>
      </c>
      <c r="Y25" s="72">
        <f t="shared" si="14"/>
        <v>2</v>
      </c>
      <c r="Z25" s="539">
        <v>1.1000000000000001</v>
      </c>
      <c r="AA25" s="23">
        <v>1.1000000000000001</v>
      </c>
      <c r="AB25" s="23">
        <v>0.5</v>
      </c>
      <c r="AC25" s="510">
        <f t="shared" si="5"/>
        <v>4.5643153526970959E-2</v>
      </c>
      <c r="AD25" s="7">
        <f t="shared" si="6"/>
        <v>1.1000000000000001</v>
      </c>
      <c r="AE25" s="485">
        <v>5</v>
      </c>
      <c r="AF25" s="72"/>
      <c r="AG25" s="553">
        <v>2.2999999999999998</v>
      </c>
      <c r="AH25" s="553">
        <v>10</v>
      </c>
      <c r="AI25" s="553">
        <v>5.4</v>
      </c>
      <c r="AJ25" s="26">
        <f t="shared" si="23"/>
        <v>7.7</v>
      </c>
      <c r="AK25" s="6"/>
      <c r="AL25" s="485" t="s">
        <v>510</v>
      </c>
      <c r="AM25" s="54">
        <v>1013.25</v>
      </c>
      <c r="AN25" s="23" t="s">
        <v>511</v>
      </c>
      <c r="AO25" s="400"/>
      <c r="AP25" s="485">
        <v>8</v>
      </c>
      <c r="AQ25" s="485">
        <v>1</v>
      </c>
      <c r="AR25" s="134"/>
      <c r="AS25" s="26">
        <f>IF(ISBLANK(F25),"",(AVERAGE($F$4:F25)))</f>
        <v>9.4045454545454543</v>
      </c>
      <c r="AT25" s="26">
        <f>IF(ISBLANK(G25),"",(AVERAGE($G$4:G25)))</f>
        <v>18.704545454545457</v>
      </c>
      <c r="AU25" s="25">
        <f>IF(ISBLANK(H25),"",(AVERAGE($H$4:H25)))</f>
        <v>14.359090909090913</v>
      </c>
      <c r="AV25" s="368">
        <f>IF(ISBLANK(G25),"",(AVERAGE($I$4:I25)))</f>
        <v>9.2999999999999989</v>
      </c>
      <c r="AW25" s="22">
        <f>IF(ISBLANK(M25),"",AVERAGE($M$4:M25))</f>
        <v>58.590909090909093</v>
      </c>
      <c r="AX25" s="376">
        <f>IF(ISBLANK(P25),"",(AVERAGE($R$4:R25)))</f>
        <v>1018.1818181818181</v>
      </c>
      <c r="AY25" s="368">
        <f>IF(ISBLANK(U25),"",(AVERAGE($U$4:U25)))</f>
        <v>5.8409090909090908</v>
      </c>
      <c r="AZ25" s="6"/>
      <c r="BA25" s="25">
        <f t="shared" si="15"/>
        <v>2.3373333333333335</v>
      </c>
      <c r="BB25" s="25">
        <f t="shared" si="16"/>
        <v>0.8866666666666525</v>
      </c>
      <c r="BC25" s="25">
        <f t="shared" si="20"/>
        <v>1.611999999999993</v>
      </c>
      <c r="BD25" s="367">
        <f t="shared" si="19"/>
        <v>-1.450666666666681</v>
      </c>
      <c r="BE25" s="72"/>
      <c r="BF25" s="25">
        <f>IF(ISBLANK(F25),"",AS25-AVERAGE($F$91:F112))</f>
        <v>1.7558787878787845</v>
      </c>
      <c r="BG25" s="25">
        <f>IF(ISBLANK(G25),"",AT25-AVERAGE($G$91:G112))</f>
        <v>2.5862121212121174</v>
      </c>
      <c r="BH25" s="367">
        <f t="shared" si="22"/>
        <v>0.83033333333333292</v>
      </c>
      <c r="BI25" s="115">
        <f t="shared" si="8"/>
        <v>0.19583975346687207</v>
      </c>
      <c r="BJ25" s="115">
        <f t="shared" si="9"/>
        <v>1.230957627212288</v>
      </c>
      <c r="BK25" s="88"/>
      <c r="BL25" s="572">
        <v>22</v>
      </c>
    </row>
    <row r="26" spans="1:64" ht="12.75" customHeight="1" x14ac:dyDescent="0.2">
      <c r="A26" s="394">
        <f t="shared" si="10"/>
        <v>23</v>
      </c>
      <c r="B26" s="131">
        <f t="shared" si="18"/>
        <v>10.3</v>
      </c>
      <c r="C26" s="282">
        <f t="shared" si="11"/>
        <v>18.899999999999999</v>
      </c>
      <c r="D26" s="685"/>
      <c r="E26" s="97">
        <f t="shared" si="12"/>
        <v>23</v>
      </c>
      <c r="F26" s="23">
        <v>10.3</v>
      </c>
      <c r="G26" s="23">
        <v>18.899999999999999</v>
      </c>
      <c r="H26" s="553">
        <v>13.9</v>
      </c>
      <c r="I26" s="23">
        <f t="shared" si="0"/>
        <v>8.5999999999999979</v>
      </c>
      <c r="J26" s="6">
        <f t="shared" si="1"/>
        <v>0</v>
      </c>
      <c r="K26" s="24">
        <v>44</v>
      </c>
      <c r="L26" s="24">
        <v>74</v>
      </c>
      <c r="M26" s="554">
        <v>62</v>
      </c>
      <c r="N26" s="24">
        <f t="shared" si="2"/>
        <v>30</v>
      </c>
      <c r="O26" s="50">
        <f t="shared" si="3"/>
        <v>0</v>
      </c>
      <c r="P26" s="24">
        <v>1017</v>
      </c>
      <c r="Q26" s="24">
        <v>1022</v>
      </c>
      <c r="R26" s="24">
        <f t="shared" si="13"/>
        <v>1019.5</v>
      </c>
      <c r="S26" s="24">
        <f t="shared" si="4"/>
        <v>5</v>
      </c>
      <c r="T26" s="50">
        <v>0</v>
      </c>
      <c r="U26" s="553">
        <v>9.3000000000000007</v>
      </c>
      <c r="V26" s="553">
        <v>22.5</v>
      </c>
      <c r="W26" s="553">
        <v>32</v>
      </c>
      <c r="X26" s="555" t="s">
        <v>110</v>
      </c>
      <c r="Y26" s="72">
        <f t="shared" si="14"/>
        <v>0</v>
      </c>
      <c r="Z26" s="539">
        <v>0.1</v>
      </c>
      <c r="AA26" s="23"/>
      <c r="AB26" s="23"/>
      <c r="AC26" s="518">
        <f t="shared" si="5"/>
        <v>4.1493775933609959E-3</v>
      </c>
      <c r="AD26" s="7" t="str">
        <f t="shared" si="6"/>
        <v/>
      </c>
      <c r="AE26" s="485"/>
      <c r="AF26" s="72"/>
      <c r="AG26" s="553">
        <v>3.4</v>
      </c>
      <c r="AH26" s="553">
        <v>9.3000000000000007</v>
      </c>
      <c r="AI26" s="553">
        <v>6.5</v>
      </c>
      <c r="AJ26" s="26">
        <f t="shared" si="23"/>
        <v>5.9</v>
      </c>
      <c r="AK26" s="6"/>
      <c r="AL26" s="485" t="s">
        <v>512</v>
      </c>
      <c r="AM26" s="54">
        <v>1013.25</v>
      </c>
      <c r="AN26" s="302" t="s">
        <v>513</v>
      </c>
      <c r="AO26" s="400"/>
      <c r="AP26" s="485">
        <v>4.5</v>
      </c>
      <c r="AQ26" s="485">
        <v>0.3</v>
      </c>
      <c r="AR26" s="134"/>
      <c r="AS26" s="26">
        <f>IF(ISBLANK(F26),"",(AVERAGE($F$4:F26)))</f>
        <v>9.4434782608695667</v>
      </c>
      <c r="AT26" s="26">
        <f>IF(ISBLANK(G26),"",(AVERAGE($G$4:G26)))</f>
        <v>18.713043478260872</v>
      </c>
      <c r="AU26" s="25">
        <f>IF(ISBLANK(H26),"",(AVERAGE($H$4:H26)))</f>
        <v>14.339130434782613</v>
      </c>
      <c r="AV26" s="368">
        <f>IF(ISBLANK(G26),"",(AVERAGE($I$4:I26)))</f>
        <v>9.2695652173913032</v>
      </c>
      <c r="AW26" s="22">
        <f>IF(ISBLANK(M26),"",AVERAGE($M$4:M26))</f>
        <v>58.739130434782609</v>
      </c>
      <c r="AX26" s="376">
        <f>IF(ISBLANK(P26),"",(AVERAGE($R$4:R26)))</f>
        <v>1018.2391304347826</v>
      </c>
      <c r="AY26" s="368">
        <f>IF(ISBLANK(U26),"",(AVERAGE($U$4:U26)))</f>
        <v>5.9913043478260875</v>
      </c>
      <c r="AZ26" s="6"/>
      <c r="BA26" s="25">
        <f t="shared" si="15"/>
        <v>1.1026666666666678</v>
      </c>
      <c r="BB26" s="25">
        <f t="shared" si="16"/>
        <v>1.3633333333333155</v>
      </c>
      <c r="BC26" s="25">
        <f t="shared" si="20"/>
        <v>1.2329999999999917</v>
      </c>
      <c r="BD26" s="367">
        <f t="shared" si="19"/>
        <v>0.26066666666664773</v>
      </c>
      <c r="BE26" s="72"/>
      <c r="BF26" s="25">
        <f>IF(ISBLANK(F26),"",AS26-AVERAGE($F$91:F113))</f>
        <v>1.7274782608695638</v>
      </c>
      <c r="BG26" s="25">
        <f>IF(ISBLANK(G26),"",AT26-AVERAGE($G$91:G113))</f>
        <v>2.5330434782608648</v>
      </c>
      <c r="BH26" s="367">
        <f t="shared" si="22"/>
        <v>0.80556521739130105</v>
      </c>
      <c r="BI26" s="115">
        <f t="shared" si="8"/>
        <v>0.18960943257184965</v>
      </c>
      <c r="BJ26" s="115">
        <f t="shared" si="9"/>
        <v>1.2078311572192517</v>
      </c>
      <c r="BK26" s="88"/>
      <c r="BL26" s="572">
        <v>23</v>
      </c>
    </row>
    <row r="27" spans="1:64" ht="12.75" customHeight="1" x14ac:dyDescent="0.2">
      <c r="A27" s="394">
        <f t="shared" si="10"/>
        <v>24</v>
      </c>
      <c r="B27" s="131">
        <f t="shared" si="18"/>
        <v>8.1999999999999993</v>
      </c>
      <c r="C27" s="282">
        <f t="shared" si="11"/>
        <v>19</v>
      </c>
      <c r="D27" s="685"/>
      <c r="E27" s="97">
        <f t="shared" si="12"/>
        <v>24</v>
      </c>
      <c r="F27" s="23">
        <v>8.1999999999999993</v>
      </c>
      <c r="G27" s="23">
        <v>19</v>
      </c>
      <c r="H27" s="553">
        <v>13.8</v>
      </c>
      <c r="I27" s="23">
        <f t="shared" si="0"/>
        <v>10.8</v>
      </c>
      <c r="J27" s="6">
        <f t="shared" si="1"/>
        <v>0</v>
      </c>
      <c r="K27" s="24">
        <v>34</v>
      </c>
      <c r="L27" s="24">
        <v>76</v>
      </c>
      <c r="M27" s="555">
        <v>51</v>
      </c>
      <c r="N27" s="24">
        <f t="shared" si="2"/>
        <v>42</v>
      </c>
      <c r="O27" s="50">
        <f t="shared" si="3"/>
        <v>0</v>
      </c>
      <c r="P27" s="24">
        <v>1020</v>
      </c>
      <c r="Q27" s="24">
        <v>1029</v>
      </c>
      <c r="R27" s="24">
        <f t="shared" si="13"/>
        <v>1024.5</v>
      </c>
      <c r="S27" s="24">
        <f t="shared" si="4"/>
        <v>9</v>
      </c>
      <c r="T27" s="50">
        <v>0</v>
      </c>
      <c r="U27" s="553">
        <v>6.6</v>
      </c>
      <c r="V27" s="553">
        <v>15</v>
      </c>
      <c r="W27" s="553">
        <v>21.9</v>
      </c>
      <c r="X27" s="555" t="s">
        <v>114</v>
      </c>
      <c r="Y27" s="72">
        <f t="shared" si="14"/>
        <v>0</v>
      </c>
      <c r="Z27" s="539">
        <v>0</v>
      </c>
      <c r="AA27" s="23"/>
      <c r="AB27" s="23"/>
      <c r="AC27" s="510" t="str">
        <f t="shared" si="5"/>
        <v/>
      </c>
      <c r="AD27" s="7" t="str">
        <f t="shared" si="6"/>
        <v/>
      </c>
      <c r="AE27" s="485"/>
      <c r="AF27" s="72"/>
      <c r="AG27" s="553">
        <v>0.7</v>
      </c>
      <c r="AH27" s="553">
        <v>5.0999999999999996</v>
      </c>
      <c r="AI27" s="553">
        <v>3.1</v>
      </c>
      <c r="AJ27" s="26">
        <f t="shared" si="23"/>
        <v>4.3999999999999995</v>
      </c>
      <c r="AK27" s="6"/>
      <c r="AL27" s="485" t="s">
        <v>514</v>
      </c>
      <c r="AM27" s="54">
        <v>1013.25</v>
      </c>
      <c r="AN27" s="23" t="s">
        <v>8</v>
      </c>
      <c r="AO27" s="400"/>
      <c r="AP27" s="485">
        <v>13</v>
      </c>
      <c r="AQ27" s="485">
        <v>0</v>
      </c>
      <c r="AR27" s="134"/>
      <c r="AS27" s="26">
        <f>IF(ISBLANK(F27),"",(AVERAGE($F$4:F27)))</f>
        <v>9.3916666666666675</v>
      </c>
      <c r="AT27" s="26">
        <f>IF(ISBLANK(G27),"",(AVERAGE($G$4:G27)))</f>
        <v>18.725000000000001</v>
      </c>
      <c r="AU27" s="25">
        <f>IF(ISBLANK(H27),"",(AVERAGE($H$4:H27)))</f>
        <v>14.31666666666667</v>
      </c>
      <c r="AV27" s="368">
        <f>IF(ISBLANK(G27),"",(AVERAGE($I$4:I27)))</f>
        <v>9.3333333333333321</v>
      </c>
      <c r="AW27" s="22">
        <f>IF(ISBLANK(M27),"",AVERAGE($M$4:M27))</f>
        <v>58.416666666666664</v>
      </c>
      <c r="AX27" s="376">
        <f>IF(ISBLANK(P27),"",(AVERAGE($R$4:R27)))</f>
        <v>1018.5</v>
      </c>
      <c r="AY27" s="368">
        <f>IF(ISBLANK(U27),"",(AVERAGE($U$4:U27)))</f>
        <v>6.0166666666666666</v>
      </c>
      <c r="AZ27" s="6"/>
      <c r="BA27" s="25">
        <f t="shared" si="15"/>
        <v>-1.1319999999999997</v>
      </c>
      <c r="BB27" s="25">
        <f t="shared" si="16"/>
        <v>1.3399999999999999</v>
      </c>
      <c r="BC27" s="25">
        <f t="shared" si="20"/>
        <v>0.10400000000000009</v>
      </c>
      <c r="BD27" s="367">
        <f t="shared" si="19"/>
        <v>2.4719999999999995</v>
      </c>
      <c r="BE27" s="72"/>
      <c r="BF27" s="25">
        <f>IF(ISBLANK(F27),"",AS27-AVERAGE($F$91:F114))</f>
        <v>1.6083333333333316</v>
      </c>
      <c r="BG27" s="25">
        <f>IF(ISBLANK(G27),"",AT27-AVERAGE($G$91:G114))</f>
        <v>2.4833333333333272</v>
      </c>
      <c r="BH27" s="367">
        <f t="shared" si="22"/>
        <v>0.87499999999999556</v>
      </c>
      <c r="BI27" s="115">
        <f t="shared" si="8"/>
        <v>0.18170903954802256</v>
      </c>
      <c r="BJ27" s="115">
        <f t="shared" si="9"/>
        <v>1.244961612511793</v>
      </c>
      <c r="BK27" s="88"/>
      <c r="BL27" s="572">
        <v>24</v>
      </c>
    </row>
    <row r="28" spans="1:64" ht="12.75" customHeight="1" x14ac:dyDescent="0.2">
      <c r="A28" s="394">
        <f t="shared" si="10"/>
        <v>25</v>
      </c>
      <c r="B28" s="131">
        <f t="shared" si="18"/>
        <v>6.1</v>
      </c>
      <c r="C28" s="282">
        <f t="shared" si="11"/>
        <v>20.6</v>
      </c>
      <c r="D28" s="685"/>
      <c r="E28" s="97">
        <f t="shared" si="12"/>
        <v>25</v>
      </c>
      <c r="F28" s="23">
        <v>6.1</v>
      </c>
      <c r="G28" s="23">
        <v>20.6</v>
      </c>
      <c r="H28" s="553">
        <v>15.3</v>
      </c>
      <c r="I28" s="23">
        <f t="shared" si="0"/>
        <v>14.500000000000002</v>
      </c>
      <c r="J28" s="6">
        <f t="shared" si="1"/>
        <v>0</v>
      </c>
      <c r="K28" s="24">
        <v>27</v>
      </c>
      <c r="L28" s="24">
        <v>72</v>
      </c>
      <c r="M28" s="555">
        <v>46</v>
      </c>
      <c r="N28" s="24">
        <f t="shared" si="2"/>
        <v>45</v>
      </c>
      <c r="O28" s="50">
        <f t="shared" si="3"/>
        <v>0</v>
      </c>
      <c r="P28" s="24">
        <v>1012</v>
      </c>
      <c r="Q28" s="24">
        <v>1028</v>
      </c>
      <c r="R28" s="24">
        <f t="shared" si="13"/>
        <v>1020</v>
      </c>
      <c r="S28" s="24">
        <f t="shared" si="4"/>
        <v>16</v>
      </c>
      <c r="T28" s="50">
        <v>0</v>
      </c>
      <c r="U28" s="553">
        <v>4.8</v>
      </c>
      <c r="V28" s="553">
        <v>16.100000000000001</v>
      </c>
      <c r="W28" s="553">
        <v>20.8</v>
      </c>
      <c r="X28" s="555" t="s">
        <v>111</v>
      </c>
      <c r="Y28" s="72">
        <f t="shared" si="14"/>
        <v>0</v>
      </c>
      <c r="Z28" s="539">
        <v>0</v>
      </c>
      <c r="AA28" s="23"/>
      <c r="AB28" s="23"/>
      <c r="AC28" s="510" t="str">
        <f t="shared" si="5"/>
        <v/>
      </c>
      <c r="AD28" s="7" t="str">
        <f t="shared" si="6"/>
        <v/>
      </c>
      <c r="AE28" s="485"/>
      <c r="AF28" s="72"/>
      <c r="AG28" s="553">
        <v>-0.4</v>
      </c>
      <c r="AH28" s="553">
        <v>6.6</v>
      </c>
      <c r="AI28" s="553">
        <v>3</v>
      </c>
      <c r="AJ28" s="26">
        <f t="shared" si="23"/>
        <v>7</v>
      </c>
      <c r="AK28" s="6"/>
      <c r="AL28" s="485" t="s">
        <v>515</v>
      </c>
      <c r="AM28" s="54">
        <v>1013.25</v>
      </c>
      <c r="AN28" s="23" t="s">
        <v>8</v>
      </c>
      <c r="AO28" s="400"/>
      <c r="AP28" s="485">
        <v>13</v>
      </c>
      <c r="AQ28" s="485">
        <v>0</v>
      </c>
      <c r="AR28" s="134"/>
      <c r="AS28" s="26">
        <f>IF(ISBLANK(F28),"",(AVERAGE($F$4:F28)))</f>
        <v>9.26</v>
      </c>
      <c r="AT28" s="26">
        <f>IF(ISBLANK(G28),"",(AVERAGE($G$4:G28)))</f>
        <v>18.8</v>
      </c>
      <c r="AU28" s="25">
        <f>IF(ISBLANK(H28),"",(AVERAGE($H$4:H28)))</f>
        <v>14.356000000000003</v>
      </c>
      <c r="AV28" s="368">
        <f>IF(ISBLANK(G28),"",(AVERAGE($I$4:I28)))</f>
        <v>9.5399999999999991</v>
      </c>
      <c r="AW28" s="22">
        <f>IF(ISBLANK(M28),"",AVERAGE($M$4:M28))</f>
        <v>57.92</v>
      </c>
      <c r="AX28" s="376">
        <f>IF(ISBLANK(P28),"",(AVERAGE($R$4:R28)))</f>
        <v>1018.56</v>
      </c>
      <c r="AY28" s="368">
        <f>IF(ISBLANK(U28),"",(AVERAGE($U$4:U28)))</f>
        <v>5.9680000000000009</v>
      </c>
      <c r="AZ28" s="6"/>
      <c r="BA28" s="25">
        <f t="shared" si="15"/>
        <v>-3.3666666666666654</v>
      </c>
      <c r="BB28" s="25">
        <f t="shared" si="16"/>
        <v>2.8166666666666487</v>
      </c>
      <c r="BC28" s="25">
        <f t="shared" si="20"/>
        <v>-0.27500000000000835</v>
      </c>
      <c r="BD28" s="367">
        <f t="shared" si="19"/>
        <v>6.183333333333314</v>
      </c>
      <c r="BE28" s="72"/>
      <c r="BF28" s="25">
        <f>IF(ISBLANK(F28),"",AS28-AVERAGE($F$91:F115))</f>
        <v>1.40933333333333</v>
      </c>
      <c r="BG28" s="25">
        <f>IF(ISBLANK(G28),"",AT28-AVERAGE($G$91:G115))</f>
        <v>2.496666666666659</v>
      </c>
      <c r="BH28" s="367">
        <f t="shared" si="22"/>
        <v>1.087333333333329</v>
      </c>
      <c r="BI28" s="115">
        <f t="shared" si="8"/>
        <v>0.17444067796610166</v>
      </c>
      <c r="BJ28" s="115">
        <f t="shared" si="9"/>
        <v>1.2788785092581549</v>
      </c>
      <c r="BK28" s="88"/>
      <c r="BL28" s="572">
        <v>25</v>
      </c>
    </row>
    <row r="29" spans="1:64" ht="12.75" customHeight="1" x14ac:dyDescent="0.2">
      <c r="A29" s="394">
        <f t="shared" si="10"/>
        <v>26</v>
      </c>
      <c r="B29" s="131">
        <v>11.9</v>
      </c>
      <c r="C29" s="282">
        <f t="shared" si="11"/>
        <v>15.1</v>
      </c>
      <c r="D29" s="685"/>
      <c r="E29" s="97">
        <f t="shared" si="12"/>
        <v>26</v>
      </c>
      <c r="F29" s="23">
        <v>10.9</v>
      </c>
      <c r="G29" s="23">
        <v>15.1</v>
      </c>
      <c r="H29" s="553">
        <v>13.2</v>
      </c>
      <c r="I29" s="23">
        <f t="shared" si="0"/>
        <v>4.1999999999999993</v>
      </c>
      <c r="J29" s="6">
        <f t="shared" si="1"/>
        <v>0</v>
      </c>
      <c r="K29" s="24">
        <v>46</v>
      </c>
      <c r="L29" s="24">
        <v>87</v>
      </c>
      <c r="M29" s="555">
        <v>68</v>
      </c>
      <c r="N29" s="24">
        <f t="shared" si="2"/>
        <v>41</v>
      </c>
      <c r="O29" s="50">
        <f t="shared" si="3"/>
        <v>1</v>
      </c>
      <c r="P29" s="24">
        <v>1005</v>
      </c>
      <c r="Q29" s="24">
        <v>1013</v>
      </c>
      <c r="R29" s="24">
        <f t="shared" si="13"/>
        <v>1009</v>
      </c>
      <c r="S29" s="24">
        <f t="shared" si="4"/>
        <v>8</v>
      </c>
      <c r="T29" s="50">
        <v>0</v>
      </c>
      <c r="U29" s="553">
        <v>7.7</v>
      </c>
      <c r="V29" s="553">
        <v>20.100000000000001</v>
      </c>
      <c r="W29" s="553">
        <v>26.8</v>
      </c>
      <c r="X29" s="555" t="s">
        <v>110</v>
      </c>
      <c r="Y29" s="72">
        <f t="shared" si="14"/>
        <v>2</v>
      </c>
      <c r="Z29" s="539">
        <v>14.5</v>
      </c>
      <c r="AA29" s="23">
        <v>5.2</v>
      </c>
      <c r="AB29" s="23">
        <v>3.8</v>
      </c>
      <c r="AC29" s="510">
        <f t="shared" si="5"/>
        <v>0.60165975103734437</v>
      </c>
      <c r="AD29" s="7">
        <f t="shared" si="6"/>
        <v>4.833333333333333</v>
      </c>
      <c r="AE29" s="485">
        <v>80</v>
      </c>
      <c r="AF29" s="72"/>
      <c r="AG29" s="553">
        <v>3.1</v>
      </c>
      <c r="AH29" s="553">
        <v>11.5</v>
      </c>
      <c r="AI29" s="553">
        <v>7.2</v>
      </c>
      <c r="AJ29" s="7">
        <f t="shared" ref="AJ29:AJ34" si="24">IF(ISBLANK(AH29),"",AH29-AG29)</f>
        <v>8.4</v>
      </c>
      <c r="AK29" s="6"/>
      <c r="AL29" s="485" t="s">
        <v>395</v>
      </c>
      <c r="AM29" s="54">
        <v>1013.25</v>
      </c>
      <c r="AN29" s="23" t="s">
        <v>524</v>
      </c>
      <c r="AO29" s="400"/>
      <c r="AP29" s="485">
        <v>2</v>
      </c>
      <c r="AQ29" s="485">
        <v>3</v>
      </c>
      <c r="AR29" s="134"/>
      <c r="AS29" s="26">
        <f>IF(ISBLANK(F29),"",(AVERAGE($F$4:F29)))</f>
        <v>9.3230769230769237</v>
      </c>
      <c r="AT29" s="26">
        <f>IF(ISBLANK(G29),"",(AVERAGE($G$4:G29)))</f>
        <v>18.657692307692312</v>
      </c>
      <c r="AU29" s="25">
        <f>IF(ISBLANK(H29),"",(AVERAGE($H$4:H29)))</f>
        <v>14.311538461538465</v>
      </c>
      <c r="AV29" s="368">
        <f>IF(ISBLANK(G29),"",(AVERAGE($I$4:I29)))</f>
        <v>9.3346153846153825</v>
      </c>
      <c r="AW29" s="22">
        <f>IF(ISBLANK(M29),"",AVERAGE($M$4:M29))</f>
        <v>58.307692307692307</v>
      </c>
      <c r="AX29" s="376">
        <f>IF(ISBLANK(P29),"",(AVERAGE($R$4:R29)))</f>
        <v>1018.1923076923077</v>
      </c>
      <c r="AY29" s="368">
        <f>IF(ISBLANK(U29),"",(AVERAGE($U$4:U29)))</f>
        <v>6.0346153846153845</v>
      </c>
      <c r="AZ29" s="6"/>
      <c r="BA29" s="25">
        <f t="shared" si="15"/>
        <v>1.2986666666666693</v>
      </c>
      <c r="BB29" s="25">
        <f t="shared" si="16"/>
        <v>-2.806666666666688</v>
      </c>
      <c r="BC29" s="25">
        <f t="shared" si="20"/>
        <v>-0.75400000000000933</v>
      </c>
      <c r="BD29" s="367">
        <f t="shared" si="19"/>
        <v>-4.1053333333333573</v>
      </c>
      <c r="BE29" s="72"/>
      <c r="BF29" s="25">
        <f>IF(ISBLANK(F29),"",AS29-AVERAGE($F$91:F116))</f>
        <v>1.4050769230769209</v>
      </c>
      <c r="BG29" s="25">
        <f>IF(ISBLANK(G29),"",AT29-AVERAGE($G$91:G116))</f>
        <v>2.2926923076923025</v>
      </c>
      <c r="BH29" s="367">
        <f t="shared" si="22"/>
        <v>0.88761538461538159</v>
      </c>
      <c r="BI29" s="115">
        <f t="shared" si="8"/>
        <v>0.46075619295958276</v>
      </c>
      <c r="BJ29" s="115">
        <f t="shared" si="9"/>
        <v>1.240415199272596</v>
      </c>
      <c r="BK29" s="88"/>
      <c r="BL29" s="572">
        <v>26</v>
      </c>
    </row>
    <row r="30" spans="1:64" ht="12.75" customHeight="1" x14ac:dyDescent="0.2">
      <c r="A30" s="394">
        <f t="shared" si="10"/>
        <v>27</v>
      </c>
      <c r="B30" s="131">
        <f t="shared" si="18"/>
        <v>10.1</v>
      </c>
      <c r="C30" s="282">
        <f t="shared" si="11"/>
        <v>15.7</v>
      </c>
      <c r="D30" s="685"/>
      <c r="E30" s="97">
        <f t="shared" si="12"/>
        <v>27</v>
      </c>
      <c r="F30" s="23">
        <v>10.1</v>
      </c>
      <c r="G30" s="23">
        <v>15.7</v>
      </c>
      <c r="H30" s="553">
        <v>12.8</v>
      </c>
      <c r="I30" s="23">
        <f t="shared" si="0"/>
        <v>5.6</v>
      </c>
      <c r="J30" s="6">
        <f t="shared" si="1"/>
        <v>0</v>
      </c>
      <c r="K30" s="24">
        <v>46</v>
      </c>
      <c r="L30" s="24">
        <v>80</v>
      </c>
      <c r="M30" s="554">
        <v>63</v>
      </c>
      <c r="N30" s="24">
        <f t="shared" si="2"/>
        <v>34</v>
      </c>
      <c r="O30" s="50">
        <f t="shared" si="3"/>
        <v>0</v>
      </c>
      <c r="P30" s="24">
        <v>1013</v>
      </c>
      <c r="Q30" s="24">
        <v>1018</v>
      </c>
      <c r="R30" s="24">
        <f t="shared" si="13"/>
        <v>1015.5</v>
      </c>
      <c r="S30" s="24">
        <f t="shared" si="4"/>
        <v>5</v>
      </c>
      <c r="T30" s="50">
        <v>0</v>
      </c>
      <c r="U30" s="553">
        <v>5.4</v>
      </c>
      <c r="V30" s="553">
        <v>11.8</v>
      </c>
      <c r="W30" s="553">
        <v>17.5</v>
      </c>
      <c r="X30" s="553" t="s">
        <v>114</v>
      </c>
      <c r="Y30" s="72">
        <f t="shared" si="14"/>
        <v>0</v>
      </c>
      <c r="Z30" s="539">
        <v>0</v>
      </c>
      <c r="AA30" s="23"/>
      <c r="AB30" s="23"/>
      <c r="AC30" s="510" t="str">
        <f t="shared" si="5"/>
        <v/>
      </c>
      <c r="AD30" s="7" t="str">
        <f t="shared" si="6"/>
        <v/>
      </c>
      <c r="AE30" s="485"/>
      <c r="AF30" s="72"/>
      <c r="AG30" s="553">
        <v>3.2</v>
      </c>
      <c r="AH30" s="553">
        <v>8.8000000000000007</v>
      </c>
      <c r="AI30" s="553">
        <v>5.7</v>
      </c>
      <c r="AJ30" s="26">
        <f t="shared" si="24"/>
        <v>5.6000000000000005</v>
      </c>
      <c r="AK30" s="6"/>
      <c r="AL30" s="485" t="s">
        <v>516</v>
      </c>
      <c r="AM30" s="54">
        <v>1013.25</v>
      </c>
      <c r="AN30" s="23" t="s">
        <v>8</v>
      </c>
      <c r="AO30" s="400"/>
      <c r="AP30" s="485">
        <v>3</v>
      </c>
      <c r="AQ30" s="485">
        <v>0</v>
      </c>
      <c r="AR30" s="134"/>
      <c r="AS30" s="26">
        <f>IF(ISBLANK(F30),"",(AVERAGE($F$4:F30)))</f>
        <v>9.3518518518518512</v>
      </c>
      <c r="AT30" s="26">
        <f>IF(ISBLANK(G30),"",(AVERAGE($G$4:G30)))</f>
        <v>18.548148148148151</v>
      </c>
      <c r="AU30" s="25">
        <f>IF(ISBLANK(H30),"",(AVERAGE($H$4:H30)))</f>
        <v>14.255555555555558</v>
      </c>
      <c r="AV30" s="368">
        <f>IF(ISBLANK(G30),"",(AVERAGE($I$4:I30)))</f>
        <v>9.1962962962962944</v>
      </c>
      <c r="AW30" s="22">
        <f>IF(ISBLANK(M30),"",AVERAGE($M$4:M30))</f>
        <v>58.481481481481481</v>
      </c>
      <c r="AX30" s="376">
        <f>IF(ISBLANK(P30),"",(AVERAGE($R$4:R30)))</f>
        <v>1018.0925925925926</v>
      </c>
      <c r="AY30" s="368">
        <f>IF(ISBLANK(U30),"",(AVERAGE($U$4:U30)))</f>
        <v>6.011111111111112</v>
      </c>
      <c r="AZ30" s="6"/>
      <c r="BA30" s="25">
        <f t="shared" si="15"/>
        <v>0.36400000000000254</v>
      </c>
      <c r="BB30" s="25">
        <f t="shared" si="16"/>
        <v>-2.3300000000000018</v>
      </c>
      <c r="BC30" s="25">
        <f t="shared" si="20"/>
        <v>-0.98299999999999965</v>
      </c>
      <c r="BD30" s="367">
        <f t="shared" si="19"/>
        <v>-2.6940000000000044</v>
      </c>
      <c r="BE30" s="72"/>
      <c r="BF30" s="25">
        <f>IF(ISBLANK(F30),"",AS30-AVERAGE($F$91:F117))</f>
        <v>1.3665185185185154</v>
      </c>
      <c r="BG30" s="25">
        <f>IF(ISBLANK(G30),"",AT30-AVERAGE($G$91:G117))</f>
        <v>2.121481481481478</v>
      </c>
      <c r="BH30" s="367">
        <f>IF(ISBLANK(G30),"",BG30-BF30)</f>
        <v>0.75496296296296261</v>
      </c>
      <c r="BI30" s="115">
        <f t="shared" si="8"/>
        <v>0.44369114877589444</v>
      </c>
      <c r="BJ30" s="115">
        <f t="shared" si="9"/>
        <v>1.2108735529943901</v>
      </c>
      <c r="BK30" s="421"/>
      <c r="BL30" s="572">
        <v>27</v>
      </c>
    </row>
    <row r="31" spans="1:64" ht="12.75" customHeight="1" x14ac:dyDescent="0.2">
      <c r="A31" s="394">
        <f t="shared" si="10"/>
        <v>28</v>
      </c>
      <c r="B31" s="131">
        <f t="shared" si="18"/>
        <v>9.1999999999999993</v>
      </c>
      <c r="C31" s="282">
        <f t="shared" si="11"/>
        <v>15.6</v>
      </c>
      <c r="D31" s="685"/>
      <c r="E31" s="97">
        <f t="shared" si="12"/>
        <v>28</v>
      </c>
      <c r="F31" s="23">
        <v>9.1999999999999993</v>
      </c>
      <c r="G31" s="23">
        <v>15.6</v>
      </c>
      <c r="H31" s="553">
        <v>12.9</v>
      </c>
      <c r="I31" s="23">
        <f t="shared" si="0"/>
        <v>6.4</v>
      </c>
      <c r="J31" s="6">
        <f t="shared" si="1"/>
        <v>0</v>
      </c>
      <c r="K31" s="24">
        <v>57</v>
      </c>
      <c r="L31" s="24">
        <v>77</v>
      </c>
      <c r="M31" s="554">
        <v>69</v>
      </c>
      <c r="N31" s="24">
        <f t="shared" si="2"/>
        <v>20</v>
      </c>
      <c r="O31" s="50">
        <f t="shared" si="3"/>
        <v>0</v>
      </c>
      <c r="P31" s="24">
        <v>1012</v>
      </c>
      <c r="Q31" s="24">
        <v>1018</v>
      </c>
      <c r="R31" s="24">
        <f t="shared" si="13"/>
        <v>1015</v>
      </c>
      <c r="S31" s="24">
        <f t="shared" si="4"/>
        <v>6</v>
      </c>
      <c r="T31" s="50">
        <v>0</v>
      </c>
      <c r="U31" s="553">
        <v>7.2</v>
      </c>
      <c r="V31" s="553">
        <v>16.600000000000001</v>
      </c>
      <c r="W31" s="553">
        <v>22.5</v>
      </c>
      <c r="X31" s="485" t="s">
        <v>110</v>
      </c>
      <c r="Y31" s="72">
        <f t="shared" si="14"/>
        <v>0</v>
      </c>
      <c r="Z31" s="539">
        <v>0.1</v>
      </c>
      <c r="AA31" s="23"/>
      <c r="AB31" s="23"/>
      <c r="AC31" s="510">
        <f t="shared" si="5"/>
        <v>4.1493775933609959E-3</v>
      </c>
      <c r="AD31" s="7" t="str">
        <f t="shared" si="6"/>
        <v/>
      </c>
      <c r="AE31" s="485"/>
      <c r="AF31" s="72"/>
      <c r="AG31" s="553">
        <v>4.0999999999999996</v>
      </c>
      <c r="AH31" s="553">
        <v>10.6</v>
      </c>
      <c r="AI31" s="553">
        <v>7.3</v>
      </c>
      <c r="AJ31" s="26">
        <f t="shared" si="24"/>
        <v>6.5</v>
      </c>
      <c r="AK31" s="6"/>
      <c r="AL31" s="485" t="s">
        <v>517</v>
      </c>
      <c r="AM31" s="54">
        <v>1013.25</v>
      </c>
      <c r="AN31" s="302" t="s">
        <v>518</v>
      </c>
      <c r="AO31" s="400"/>
      <c r="AP31" s="485">
        <v>1.5</v>
      </c>
      <c r="AQ31" s="485">
        <v>0.4</v>
      </c>
      <c r="AR31" s="134"/>
      <c r="AS31" s="26">
        <f>IF(ISBLANK(F31),"",(AVERAGE($F$4:F31)))</f>
        <v>9.3464285714285715</v>
      </c>
      <c r="AT31" s="26">
        <f>IF(ISBLANK(G31),"",(AVERAGE($G$4:G31)))</f>
        <v>18.442857142857147</v>
      </c>
      <c r="AU31" s="25">
        <f>IF(ISBLANK(H31),"",(AVERAGE($H$4:H31)))</f>
        <v>14.207142857142859</v>
      </c>
      <c r="AV31" s="368">
        <f>IF(ISBLANK(G31),"",(AVERAGE($I$4:I31)))</f>
        <v>9.0964285714285698</v>
      </c>
      <c r="AW31" s="22">
        <f>IF(ISBLANK(M31),"",AVERAGE($M$4:M31))</f>
        <v>58.857142857142854</v>
      </c>
      <c r="AX31" s="376">
        <f>IF(ISBLANK(P31),"",(AVERAGE($R$4:R31)))</f>
        <v>1017.9821428571429</v>
      </c>
      <c r="AY31" s="368">
        <f>IF(ISBLANK(U31),"",(AVERAGE($U$4:U31)))</f>
        <v>6.0535714285714288</v>
      </c>
      <c r="AZ31" s="6"/>
      <c r="BA31" s="25">
        <f t="shared" si="15"/>
        <v>-0.67066666666666386</v>
      </c>
      <c r="BB31" s="25">
        <f t="shared" si="16"/>
        <v>-2.5533333333333577</v>
      </c>
      <c r="BC31" s="25">
        <f t="shared" si="20"/>
        <v>-1.6120000000000108</v>
      </c>
      <c r="BD31" s="367">
        <f t="shared" si="19"/>
        <v>-1.8826666666666938</v>
      </c>
      <c r="BE31" s="72"/>
      <c r="BF31" s="25">
        <f>IF(ISBLANK(F31),"",AS31-AVERAGE($F$91:F118))</f>
        <v>1.2937619047619027</v>
      </c>
      <c r="BG31" s="25">
        <f>IF(ISBLANK(G31),"",AT31-AVERAGE($G$91:G118))</f>
        <v>1.9545238095238062</v>
      </c>
      <c r="BH31" s="367">
        <f>IF(ISBLANK(G31),"",BG31-BF31)</f>
        <v>0.66076190476190355</v>
      </c>
      <c r="BI31" s="115">
        <f t="shared" si="8"/>
        <v>0.42972154963680381</v>
      </c>
      <c r="BJ31" s="115">
        <f t="shared" si="9"/>
        <v>1.1746405055865681</v>
      </c>
      <c r="BK31" s="421"/>
      <c r="BL31" s="572">
        <v>28</v>
      </c>
    </row>
    <row r="32" spans="1:64" ht="12.75" customHeight="1" x14ac:dyDescent="0.2">
      <c r="A32" s="394">
        <f t="shared" si="10"/>
        <v>29</v>
      </c>
      <c r="B32" s="131">
        <f t="shared" si="18"/>
        <v>13.3</v>
      </c>
      <c r="C32" s="282">
        <f t="shared" si="11"/>
        <v>19.100000000000001</v>
      </c>
      <c r="D32" s="685"/>
      <c r="E32" s="97">
        <f t="shared" si="12"/>
        <v>29</v>
      </c>
      <c r="F32" s="23">
        <v>13.3</v>
      </c>
      <c r="G32" s="23">
        <v>19.100000000000001</v>
      </c>
      <c r="H32" s="553">
        <v>16.100000000000001</v>
      </c>
      <c r="I32" s="23">
        <f t="shared" si="0"/>
        <v>5.8000000000000007</v>
      </c>
      <c r="J32" s="6">
        <f t="shared" si="1"/>
        <v>0</v>
      </c>
      <c r="K32" s="24">
        <v>60</v>
      </c>
      <c r="L32" s="24">
        <v>80</v>
      </c>
      <c r="M32" s="554">
        <v>71</v>
      </c>
      <c r="N32" s="24">
        <f t="shared" si="2"/>
        <v>20</v>
      </c>
      <c r="O32" s="50">
        <f t="shared" si="3"/>
        <v>0</v>
      </c>
      <c r="P32" s="24">
        <v>1011</v>
      </c>
      <c r="Q32" s="24">
        <v>1014</v>
      </c>
      <c r="R32" s="24">
        <f t="shared" si="13"/>
        <v>1012.5</v>
      </c>
      <c r="S32" s="24">
        <f t="shared" si="4"/>
        <v>3</v>
      </c>
      <c r="T32" s="50">
        <v>0</v>
      </c>
      <c r="U32" s="553">
        <v>8.6</v>
      </c>
      <c r="V32" s="553">
        <v>17.8</v>
      </c>
      <c r="W32" s="553">
        <v>27.7</v>
      </c>
      <c r="X32" s="485" t="s">
        <v>110</v>
      </c>
      <c r="Y32" s="72">
        <f t="shared" si="14"/>
        <v>0</v>
      </c>
      <c r="Z32" s="557">
        <v>0</v>
      </c>
      <c r="AA32" s="558"/>
      <c r="AB32" s="23"/>
      <c r="AC32" s="510" t="str">
        <f t="shared" si="5"/>
        <v/>
      </c>
      <c r="AD32" s="7" t="str">
        <f t="shared" si="6"/>
        <v/>
      </c>
      <c r="AE32" s="559"/>
      <c r="AF32" s="72"/>
      <c r="AG32" s="553">
        <v>9.6</v>
      </c>
      <c r="AH32" s="553">
        <v>12.2</v>
      </c>
      <c r="AI32" s="553">
        <v>10.8</v>
      </c>
      <c r="AJ32" s="26">
        <f t="shared" si="24"/>
        <v>2.5999999999999996</v>
      </c>
      <c r="AK32" s="6"/>
      <c r="AL32" s="485" t="s">
        <v>519</v>
      </c>
      <c r="AM32" s="54">
        <v>1013.25</v>
      </c>
      <c r="AN32" s="23" t="s">
        <v>8</v>
      </c>
      <c r="AO32" s="400"/>
      <c r="AP32" s="485">
        <v>5</v>
      </c>
      <c r="AQ32" s="485">
        <v>0</v>
      </c>
      <c r="AR32" s="134"/>
      <c r="AS32" s="26">
        <f>IF(ISBLANK(F32),"",(AVERAGE($F$4:F32)))</f>
        <v>9.4827586206896548</v>
      </c>
      <c r="AT32" s="26">
        <f>IF(ISBLANK(G32),"",(AVERAGE($G$4:G32)))</f>
        <v>18.465517241379313</v>
      </c>
      <c r="AU32" s="25">
        <f>IF(ISBLANK(H32),"",(AVERAGE($H$4:H32)))</f>
        <v>14.272413793103452</v>
      </c>
      <c r="AV32" s="368">
        <f>IF(ISBLANK(G32),"",(AVERAGE($I$4:I32)))</f>
        <v>8.982758620689653</v>
      </c>
      <c r="AW32" s="22">
        <f>IF(ISBLANK(M32),"",AVERAGE($M$4:M32))</f>
        <v>59.275862068965516</v>
      </c>
      <c r="AX32" s="376">
        <f>IF(ISBLANK(P32),"",(AVERAGE($R$4:R32)))</f>
        <v>1017.7931034482758</v>
      </c>
      <c r="AY32" s="368">
        <f>IF(ISBLANK(U32),"",(AVERAGE($U$4:U32)))</f>
        <v>6.1413793103448278</v>
      </c>
      <c r="AZ32" s="6"/>
      <c r="BA32" s="25">
        <f t="shared" si="15"/>
        <v>3.2946666666666715</v>
      </c>
      <c r="BB32" s="25">
        <f t="shared" si="16"/>
        <v>0.82333333333330927</v>
      </c>
      <c r="BC32" s="25">
        <f t="shared" si="20"/>
        <v>2.0589999999999904</v>
      </c>
      <c r="BD32" s="367">
        <f t="shared" si="19"/>
        <v>-2.4713333333333622</v>
      </c>
      <c r="BE32" s="72"/>
      <c r="BF32" s="25">
        <f>IF(ISBLANK(F32),"",AS32-AVERAGE($F$91:F119))</f>
        <v>1.362758620689652</v>
      </c>
      <c r="BG32" s="25">
        <f>IF(ISBLANK(G32),"",AT32-AVERAGE($G$91:G119))</f>
        <v>1.9155172413793053</v>
      </c>
      <c r="BH32" s="367">
        <f>IF(ISBLANK(G32),"",BG32-BF32)</f>
        <v>0.55275862068965331</v>
      </c>
      <c r="BI32" s="115">
        <f t="shared" si="8"/>
        <v>0.41490356516656923</v>
      </c>
      <c r="BJ32" s="115">
        <f t="shared" si="9"/>
        <v>1.1606602216971946</v>
      </c>
      <c r="BK32" s="88"/>
      <c r="BL32" s="572">
        <v>29</v>
      </c>
    </row>
    <row r="33" spans="1:64" ht="12.75" customHeight="1" x14ac:dyDescent="0.2">
      <c r="A33" s="394">
        <f t="shared" si="10"/>
        <v>30</v>
      </c>
      <c r="B33" s="131">
        <v>12.9</v>
      </c>
      <c r="C33" s="282">
        <f t="shared" si="11"/>
        <v>20.5</v>
      </c>
      <c r="D33" s="685"/>
      <c r="E33" s="97">
        <f t="shared" si="12"/>
        <v>30</v>
      </c>
      <c r="F33" s="23">
        <v>11.2</v>
      </c>
      <c r="G33" s="23">
        <v>20.5</v>
      </c>
      <c r="H33" s="553">
        <v>14.8</v>
      </c>
      <c r="I33" s="23">
        <f t="shared" si="0"/>
        <v>9.3000000000000007</v>
      </c>
      <c r="J33" s="6">
        <f t="shared" si="1"/>
        <v>0</v>
      </c>
      <c r="K33" s="24">
        <v>57</v>
      </c>
      <c r="L33" s="24">
        <v>89</v>
      </c>
      <c r="M33" s="554">
        <v>80</v>
      </c>
      <c r="N33" s="24">
        <f t="shared" si="2"/>
        <v>32</v>
      </c>
      <c r="O33" s="50">
        <f t="shared" si="3"/>
        <v>1</v>
      </c>
      <c r="P33" s="24">
        <v>1008</v>
      </c>
      <c r="Q33" s="24">
        <v>1013</v>
      </c>
      <c r="R33" s="24">
        <f t="shared" si="13"/>
        <v>1010.5</v>
      </c>
      <c r="S33" s="24">
        <f t="shared" si="4"/>
        <v>5</v>
      </c>
      <c r="T33" s="50">
        <v>0</v>
      </c>
      <c r="U33" s="553">
        <v>5.2</v>
      </c>
      <c r="V33" s="553">
        <v>15.6</v>
      </c>
      <c r="W33" s="553">
        <v>19.899999999999999</v>
      </c>
      <c r="X33" s="485" t="s">
        <v>110</v>
      </c>
      <c r="Y33" s="72">
        <f t="shared" si="14"/>
        <v>2</v>
      </c>
      <c r="Z33" s="557">
        <v>1.1000000000000001</v>
      </c>
      <c r="AA33" s="558">
        <v>0.5</v>
      </c>
      <c r="AB33" s="23">
        <v>0.3</v>
      </c>
      <c r="AC33" s="510">
        <f t="shared" si="5"/>
        <v>4.5643153526970959E-2</v>
      </c>
      <c r="AD33" s="7">
        <f t="shared" si="6"/>
        <v>0.3666666666666667</v>
      </c>
      <c r="AE33" s="559">
        <v>1.5</v>
      </c>
      <c r="AF33" s="72"/>
      <c r="AG33" s="553">
        <v>8.8000000000000007</v>
      </c>
      <c r="AH33" s="553">
        <v>13.5</v>
      </c>
      <c r="AI33" s="553">
        <v>11.1</v>
      </c>
      <c r="AJ33" s="26">
        <f t="shared" si="24"/>
        <v>4.6999999999999993</v>
      </c>
      <c r="AK33" s="6"/>
      <c r="AL33" s="485" t="s">
        <v>520</v>
      </c>
      <c r="AM33" s="54">
        <v>1013.25</v>
      </c>
      <c r="AN33" s="555" t="s">
        <v>521</v>
      </c>
      <c r="AO33" s="400"/>
      <c r="AP33" s="485">
        <v>3</v>
      </c>
      <c r="AQ33" s="485">
        <v>3</v>
      </c>
      <c r="AR33" s="134"/>
      <c r="AS33" s="26">
        <f>IF(ISBLANK(F33),"",(AVERAGE($F$4:F33)))</f>
        <v>9.5399999999999991</v>
      </c>
      <c r="AT33" s="26">
        <f>IF(ISBLANK(G33),"",(AVERAGE($G$4:G33)))</f>
        <v>18.533333333333339</v>
      </c>
      <c r="AU33" s="25">
        <f>IF(ISBLANK(H33),"",(AVERAGE($H$4:H33)))</f>
        <v>14.290000000000003</v>
      </c>
      <c r="AV33" s="368">
        <f>IF(ISBLANK(G33),"",(AVERAGE($I$4:I33)))</f>
        <v>8.9933333333333323</v>
      </c>
      <c r="AW33" s="22">
        <f>IF(ISBLANK(M33),"",AVERAGE($M$4:M33))</f>
        <v>59.966666666666669</v>
      </c>
      <c r="AX33" s="376">
        <f>IF(ISBLANK(P33),"",(AVERAGE($R$4:R33)))</f>
        <v>1017.55</v>
      </c>
      <c r="AY33" s="368">
        <f>IF(ISBLANK(U33),"",(AVERAGE($U$4:U33)))</f>
        <v>6.1099999999999994</v>
      </c>
      <c r="AZ33" s="6"/>
      <c r="BA33" s="25">
        <f t="shared" si="15"/>
        <v>1.0599999999999987</v>
      </c>
      <c r="BB33" s="25">
        <f t="shared" si="16"/>
        <v>2.1000000000000014</v>
      </c>
      <c r="BC33" s="25">
        <f t="shared" si="20"/>
        <v>1.58</v>
      </c>
      <c r="BD33" s="367">
        <f t="shared" si="19"/>
        <v>1.0400000000000027</v>
      </c>
      <c r="BE33" s="72"/>
      <c r="BF33" s="25">
        <f>IF(ISBLANK(F33),"",AS33-AVERAGE($F$91:F120))</f>
        <v>1.3526666666666642</v>
      </c>
      <c r="BG33" s="25">
        <f>IF(ISBLANK(G33),"",AT33-AVERAGE($G$91:G120))</f>
        <v>1.9216666666666633</v>
      </c>
      <c r="BH33" s="367">
        <f>IF(ISBLANK(G33),"",BG33-BF33)</f>
        <v>0.56899999999999906</v>
      </c>
      <c r="BI33" s="115">
        <f t="shared" si="8"/>
        <v>0.42033898305084744</v>
      </c>
      <c r="BJ33" s="115">
        <f t="shared" si="9"/>
        <v>1.1366692263110703</v>
      </c>
      <c r="BK33" s="88"/>
      <c r="BL33" s="572">
        <v>30</v>
      </c>
    </row>
    <row r="34" spans="1:64" ht="12.75" customHeight="1" x14ac:dyDescent="0.2">
      <c r="A34" s="394">
        <v>31</v>
      </c>
      <c r="B34" s="131">
        <f t="shared" si="18"/>
        <v>7.8</v>
      </c>
      <c r="C34" s="282">
        <f t="shared" si="11"/>
        <v>17.7</v>
      </c>
      <c r="D34" s="685"/>
      <c r="E34" s="97">
        <v>31</v>
      </c>
      <c r="F34" s="23">
        <v>7.8</v>
      </c>
      <c r="G34" s="23">
        <v>17.7</v>
      </c>
      <c r="H34" s="553">
        <v>12.7</v>
      </c>
      <c r="I34" s="23">
        <f t="shared" si="0"/>
        <v>9.8999999999999986</v>
      </c>
      <c r="J34" s="6">
        <f t="shared" si="1"/>
        <v>0</v>
      </c>
      <c r="K34" s="24">
        <v>35</v>
      </c>
      <c r="L34" s="24">
        <v>87</v>
      </c>
      <c r="M34" s="554">
        <v>63</v>
      </c>
      <c r="N34" s="24">
        <f t="shared" si="2"/>
        <v>52</v>
      </c>
      <c r="O34" s="50">
        <f t="shared" si="3"/>
        <v>0</v>
      </c>
      <c r="P34" s="24">
        <v>1012</v>
      </c>
      <c r="Q34" s="24">
        <v>1027</v>
      </c>
      <c r="R34" s="24">
        <f t="shared" si="13"/>
        <v>1019.5</v>
      </c>
      <c r="S34" s="24">
        <f t="shared" si="4"/>
        <v>15</v>
      </c>
      <c r="T34" s="50">
        <v>0</v>
      </c>
      <c r="U34" s="553">
        <v>4.0999999999999996</v>
      </c>
      <c r="V34" s="553">
        <v>11.8</v>
      </c>
      <c r="W34" s="553">
        <v>16.8</v>
      </c>
      <c r="X34" s="485" t="s">
        <v>128</v>
      </c>
      <c r="Y34" s="72">
        <f t="shared" si="14"/>
        <v>0</v>
      </c>
      <c r="Z34" s="557">
        <v>0.1</v>
      </c>
      <c r="AA34" s="558"/>
      <c r="AB34" s="558"/>
      <c r="AC34" s="510">
        <f t="shared" si="5"/>
        <v>4.1493775933609959E-3</v>
      </c>
      <c r="AD34" s="7" t="str">
        <f t="shared" si="6"/>
        <v/>
      </c>
      <c r="AE34" s="559"/>
      <c r="AF34" s="72"/>
      <c r="AG34" s="553">
        <v>1.7</v>
      </c>
      <c r="AH34" s="553">
        <v>8.8000000000000007</v>
      </c>
      <c r="AI34" s="553">
        <v>5.0999999999999996</v>
      </c>
      <c r="AJ34" s="26">
        <f t="shared" si="24"/>
        <v>7.1000000000000005</v>
      </c>
      <c r="AK34" s="6"/>
      <c r="AL34" s="485" t="s">
        <v>522</v>
      </c>
      <c r="AM34" s="54">
        <v>1013.25</v>
      </c>
      <c r="AN34" s="302" t="s">
        <v>523</v>
      </c>
      <c r="AO34" s="400"/>
      <c r="AP34" s="485">
        <v>9</v>
      </c>
      <c r="AQ34" s="485">
        <v>0.3</v>
      </c>
      <c r="AR34" s="134"/>
      <c r="AS34" s="26">
        <f>IF(ISBLANK(F6),"",(AVERAGE($F$4:F34)))</f>
        <v>9.4838709677419359</v>
      </c>
      <c r="AT34" s="26">
        <f>IF(ISBLANK(G6),"",(AVERAGE($G$4:G34)))</f>
        <v>18.506451612903231</v>
      </c>
      <c r="AU34" s="25">
        <f>IF(ISBLANK(H5),"",(AVERAGE($H$4:H34)))</f>
        <v>14.238709677419358</v>
      </c>
      <c r="AV34" s="368">
        <f>IF(ISBLANK(G6),"",(AVERAGE($I$4:I34)))</f>
        <v>9.0225806451612875</v>
      </c>
      <c r="AW34" s="22">
        <f>IF(ISBLANK(M5),"",AVERAGE($M$4:M34))</f>
        <v>60.064516129032256</v>
      </c>
      <c r="AX34" s="376">
        <f>IF(ISBLANK(P6),"",(AVERAGE($R$4:R34)))</f>
        <v>1017.6129032258065</v>
      </c>
      <c r="AY34" s="368">
        <f>IF(ISBLANK(U6),"",(AVERAGE($U$4:U34)))</f>
        <v>6.0451612903225795</v>
      </c>
      <c r="AZ34" s="6"/>
      <c r="BA34" s="25">
        <f t="shared" si="15"/>
        <v>-2.3400000000000007</v>
      </c>
      <c r="BB34" s="25">
        <f t="shared" si="16"/>
        <v>-0.69999999999999929</v>
      </c>
      <c r="BC34" s="25">
        <f t="shared" si="20"/>
        <v>-1.52</v>
      </c>
      <c r="BD34" s="367">
        <f t="shared" si="19"/>
        <v>1.6400000000000015</v>
      </c>
      <c r="BE34" s="72"/>
      <c r="BF34" s="25">
        <f>IF(ISBLANK(F34),"",AS34-AVERAGE($F$91:F121))</f>
        <v>1.2335483870967732</v>
      </c>
      <c r="BG34" s="25">
        <f>IF(ISBLANK(G34),"",AT34-AVERAGE($G$91:G121))</f>
        <v>1.8370967741935473</v>
      </c>
      <c r="BH34" s="367">
        <f>IF(ISBLANK(G34),"",BG34-BF34)</f>
        <v>0.60354838709677416</v>
      </c>
      <c r="BI34" s="138">
        <f>IF(ISBLANK(Z6),"",AB121/AA121)</f>
        <v>0.40847457627118644</v>
      </c>
      <c r="BJ34" s="115">
        <f t="shared" si="9"/>
        <v>1.1457894736842107</v>
      </c>
      <c r="BK34" s="88"/>
      <c r="BL34" s="572">
        <v>31</v>
      </c>
    </row>
    <row r="35" spans="1:64" s="10" customFormat="1" ht="3" customHeight="1" x14ac:dyDescent="0.2">
      <c r="A35" s="67"/>
      <c r="B35" s="284"/>
      <c r="C35" s="285"/>
      <c r="D35" s="685"/>
      <c r="E35" s="15"/>
      <c r="F35" s="29"/>
      <c r="G35" s="29"/>
      <c r="H35" s="28"/>
      <c r="I35" s="29"/>
      <c r="J35" s="6"/>
      <c r="K35" s="30"/>
      <c r="L35" s="30"/>
      <c r="M35" s="30"/>
      <c r="N35" s="30"/>
      <c r="O35" s="17"/>
      <c r="P35" s="30"/>
      <c r="Q35" s="30"/>
      <c r="R35" s="30"/>
      <c r="S35" s="30"/>
      <c r="T35" s="50"/>
      <c r="U35" s="28"/>
      <c r="V35" s="28"/>
      <c r="W35" s="32"/>
      <c r="X35" s="28"/>
      <c r="Y35" s="67"/>
      <c r="Z35" s="501"/>
      <c r="AA35" s="501"/>
      <c r="AB35" s="501"/>
      <c r="AC35" s="511"/>
      <c r="AD35" s="28"/>
      <c r="AE35" s="28"/>
      <c r="AF35" s="6"/>
      <c r="AG35" s="28"/>
      <c r="AH35" s="28"/>
      <c r="AI35" s="28"/>
      <c r="AJ35" s="28"/>
      <c r="AK35" s="67"/>
      <c r="AL35" s="95"/>
      <c r="AM35" s="6"/>
      <c r="AN35" s="29"/>
      <c r="AO35" s="400"/>
      <c r="AP35" s="28"/>
      <c r="AQ35" s="28"/>
      <c r="AR35" s="67"/>
      <c r="AS35" s="31"/>
      <c r="AT35" s="32"/>
      <c r="AU35" s="83"/>
      <c r="AV35" s="33"/>
      <c r="AW35" s="33"/>
      <c r="AX35" s="32"/>
      <c r="AY35" s="112"/>
      <c r="AZ35" s="54"/>
      <c r="BA35" s="112"/>
      <c r="BB35" s="112"/>
      <c r="BC35" s="112"/>
      <c r="BD35" s="82"/>
      <c r="BE35" s="402"/>
      <c r="BF35" s="32"/>
      <c r="BG35" s="32"/>
      <c r="BH35" s="32"/>
      <c r="BI35" s="28"/>
      <c r="BJ35" s="584"/>
      <c r="BK35" s="88"/>
      <c r="BL35" s="78"/>
    </row>
    <row r="36" spans="1:64" ht="12.75" customHeight="1" x14ac:dyDescent="0.2">
      <c r="A36" s="67"/>
      <c r="B36" s="697"/>
      <c r="C36" s="698"/>
      <c r="D36" s="685"/>
      <c r="E36" s="4"/>
      <c r="F36" s="25"/>
      <c r="G36" s="25"/>
      <c r="H36" s="21"/>
      <c r="I36" s="25"/>
      <c r="J36" s="18"/>
      <c r="K36" s="22"/>
      <c r="L36" s="22"/>
      <c r="M36" s="22"/>
      <c r="N36" s="22"/>
      <c r="O36" s="18"/>
      <c r="P36" s="48"/>
      <c r="Q36" s="48"/>
      <c r="R36" s="48"/>
      <c r="S36" s="48"/>
      <c r="T36" s="67"/>
      <c r="U36" s="21"/>
      <c r="V36" s="21"/>
      <c r="W36" s="21"/>
      <c r="X36" s="21"/>
      <c r="Y36" s="67"/>
      <c r="Z36" s="458" t="s">
        <v>34</v>
      </c>
      <c r="AA36" s="502"/>
      <c r="AB36" s="502"/>
      <c r="AC36" s="512"/>
      <c r="AD36" s="430" t="s">
        <v>202</v>
      </c>
      <c r="AE36" s="111"/>
      <c r="AF36" s="6"/>
      <c r="AG36" s="21"/>
      <c r="AJ36" s="21"/>
      <c r="AK36" s="67"/>
      <c r="AM36" s="6"/>
      <c r="AN36" s="182" t="s">
        <v>121</v>
      </c>
      <c r="AO36" s="402"/>
      <c r="AP36" s="185" t="s">
        <v>34</v>
      </c>
      <c r="AQ36" s="520" t="s">
        <v>34</v>
      </c>
      <c r="AR36" s="67"/>
      <c r="AS36" s="271" t="s">
        <v>16</v>
      </c>
      <c r="AT36" s="152" t="s">
        <v>26</v>
      </c>
      <c r="AU36" s="11" t="s">
        <v>41</v>
      </c>
      <c r="AV36" s="416" t="s">
        <v>81</v>
      </c>
      <c r="AW36" s="11" t="s">
        <v>6</v>
      </c>
      <c r="AX36" s="296" t="s">
        <v>79</v>
      </c>
      <c r="AY36" s="182" t="s">
        <v>201</v>
      </c>
      <c r="AZ36" s="71"/>
      <c r="BA36" s="699" t="s">
        <v>78</v>
      </c>
      <c r="BB36" s="699"/>
      <c r="BC36" s="569" t="s">
        <v>200</v>
      </c>
      <c r="BD36" s="417" t="s">
        <v>253</v>
      </c>
      <c r="BE36" s="402"/>
      <c r="BH36" s="21"/>
      <c r="BK36" s="88"/>
      <c r="BL36" s="78"/>
    </row>
    <row r="37" spans="1:64" ht="3" customHeight="1" x14ac:dyDescent="0.2">
      <c r="A37" s="73"/>
      <c r="B37" s="284"/>
      <c r="C37" s="286"/>
      <c r="D37" s="685"/>
      <c r="E37" s="35"/>
      <c r="F37" s="36"/>
      <c r="G37" s="36"/>
      <c r="H37" s="34"/>
      <c r="I37" s="36"/>
      <c r="J37" s="60"/>
      <c r="K37" s="37"/>
      <c r="L37" s="37"/>
      <c r="M37" s="37"/>
      <c r="N37" s="37"/>
      <c r="O37" s="18"/>
      <c r="P37" s="37"/>
      <c r="Q37" s="37"/>
      <c r="R37" s="37"/>
      <c r="S37" s="37"/>
      <c r="T37" s="73"/>
      <c r="U37" s="34"/>
      <c r="V37" s="34"/>
      <c r="W37" s="34"/>
      <c r="X37" s="34"/>
      <c r="Y37" s="73"/>
      <c r="Z37" s="503"/>
      <c r="AA37" s="503"/>
      <c r="AB37" s="503"/>
      <c r="AC37" s="513"/>
      <c r="AD37" s="261"/>
      <c r="AE37" s="261"/>
      <c r="AF37" s="6"/>
      <c r="AG37" s="34"/>
      <c r="AH37" s="34"/>
      <c r="AI37" s="34"/>
      <c r="AJ37" s="34"/>
      <c r="AK37" s="73"/>
      <c r="AL37" s="95"/>
      <c r="AM37" s="6"/>
      <c r="AN37" s="34"/>
      <c r="AO37" s="403"/>
      <c r="AP37" s="34"/>
      <c r="AQ37" s="34"/>
      <c r="AR37" s="73"/>
      <c r="AS37" s="272"/>
      <c r="AT37" s="270"/>
      <c r="AU37" s="36"/>
      <c r="AV37" s="269"/>
      <c r="AW37" s="36"/>
      <c r="AX37" s="297"/>
      <c r="AY37" s="269"/>
      <c r="AZ37" s="76"/>
      <c r="BA37" s="687"/>
      <c r="BB37" s="687"/>
      <c r="BC37" s="36"/>
      <c r="BD37" s="34"/>
      <c r="BE37" s="522"/>
      <c r="BF37" s="95"/>
      <c r="BG37" s="34"/>
      <c r="BH37" s="34"/>
      <c r="BI37" s="364"/>
      <c r="BJ37" s="364"/>
      <c r="BK37" s="403"/>
      <c r="BL37" s="79"/>
    </row>
    <row r="38" spans="1:64" ht="12.75" customHeight="1" x14ac:dyDescent="0.2">
      <c r="A38" s="67"/>
      <c r="B38" s="700" t="s">
        <v>4</v>
      </c>
      <c r="C38" s="701"/>
      <c r="D38" s="685"/>
      <c r="E38" s="4" t="s">
        <v>4</v>
      </c>
      <c r="F38" s="152">
        <f>IF(ISBLANK(F4),"",AVERAGE(F4:F34))</f>
        <v>9.4838709677419359</v>
      </c>
      <c r="G38" s="151">
        <f>IF(ISBLANK(G4),"",AVERAGE(G4:G34))</f>
        <v>18.506451612903231</v>
      </c>
      <c r="H38" s="14">
        <f>IF(ISBLANK(H4),"",AVERAGE(H4:H34))</f>
        <v>14.238709677419358</v>
      </c>
      <c r="I38" s="129">
        <f>IF(ISBLANK(F4),"",AVERAGE(I4:I34))</f>
        <v>9.0225806451612875</v>
      </c>
      <c r="J38" s="19"/>
      <c r="K38" s="156">
        <f>IF(ISBLANK(K4),"",AVERAGE(K4:K34))</f>
        <v>41.903225806451616</v>
      </c>
      <c r="L38" s="153">
        <f>IF(ISBLANK(K4),"",AVERAGE(L4:L34))</f>
        <v>79.516129032258064</v>
      </c>
      <c r="M38" s="9">
        <f>IF(ISBLANK(M4),"",AVERAGE(M4:M34))</f>
        <v>60.064516129032256</v>
      </c>
      <c r="N38" s="398">
        <f>IF(ISBLANK(K4),"",AVERAGE(N4:N34))</f>
        <v>37.612903225806448</v>
      </c>
      <c r="O38" s="18"/>
      <c r="P38" s="154">
        <f>IF(ISBLANK(P4),"",AVERAGE(P4:P34))</f>
        <v>1014.8064516129032</v>
      </c>
      <c r="Q38" s="155">
        <f>IF(ISBLANK(P4),"",AVERAGE(Q4:Q34))</f>
        <v>1020.4193548387096</v>
      </c>
      <c r="R38" s="378">
        <f>IF(ISBLANK(P4),"",AVERAGE(P4:Q34))</f>
        <v>1017.6129032258065</v>
      </c>
      <c r="S38" s="130">
        <f>IF(ISBLANK(P4),"",AVERAGE(S4:S34))</f>
        <v>5.612903225806452</v>
      </c>
      <c r="T38" s="70"/>
      <c r="U38" s="266">
        <f>IF(ISBLANK(U4),"",AVERAGE(U4:U34))</f>
        <v>6.0451612903225795</v>
      </c>
      <c r="V38" s="266">
        <f>IF(ISBLANK(V4),"",AVERAGE(V4:V34))</f>
        <v>14.764516129032263</v>
      </c>
      <c r="W38" s="266">
        <f>IF(ISBLANK(U4),"",AVERAGE(W4:W34))</f>
        <v>21.29354838709677</v>
      </c>
      <c r="X38" s="266" t="s">
        <v>105</v>
      </c>
      <c r="Y38" s="56"/>
      <c r="Z38" s="466">
        <f>SUM(Z4:Z34)</f>
        <v>24.1</v>
      </c>
      <c r="AA38" s="466">
        <f>IF($AN$38=0,"",AVERAGE(AA4:AA34))</f>
        <v>2.1799999999999997</v>
      </c>
      <c r="AB38" s="466">
        <f>IF($AN$38=0,"",AVERAGE(AB4:AB34))</f>
        <v>1.2166666666666666</v>
      </c>
      <c r="AC38" s="514">
        <f>IF($AN$38=0,"",AVERAGE(AC4:AC34))</f>
        <v>0.1111111111111111</v>
      </c>
      <c r="AD38" s="182">
        <f>IF(Z38=0,"",Z38/AQ38)</f>
        <v>1.8538461538461537</v>
      </c>
      <c r="AE38" s="182">
        <f>IF($AN$38=0,"",AVERAGE(AE4:AE34))</f>
        <v>19.583333333333332</v>
      </c>
      <c r="AF38" s="6"/>
      <c r="AG38" s="263">
        <f>IF(ISBLANK(AG4),"",AVERAGE(AG4:AG34))</f>
        <v>3.1451612903225801</v>
      </c>
      <c r="AH38" s="321">
        <f>IF(ISBLANK(AH4),"",AVERAGE(AH4:AH34))</f>
        <v>9.1516129032258071</v>
      </c>
      <c r="AI38" s="301">
        <f>IF(ISBLANK(AI4),"",AVERAGE(AI4:AI34))</f>
        <v>6.0999999999999988</v>
      </c>
      <c r="AJ38" s="46">
        <f>IF(ISBLANK(AG4),"",AVERAGE(AJ4:AJ34))</f>
        <v>6.0064516129032262</v>
      </c>
      <c r="AK38" s="311"/>
      <c r="AL38" s="669" t="s">
        <v>487</v>
      </c>
      <c r="AM38" s="6"/>
      <c r="AN38" s="254">
        <f>COUNTIF(AL91:AL121,1)</f>
        <v>6</v>
      </c>
      <c r="AO38" s="224"/>
      <c r="AP38" s="528">
        <f>SUM(AP4:AP34)</f>
        <v>217.7</v>
      </c>
      <c r="AQ38" s="432">
        <f>SUM(AQ4:AQ34)</f>
        <v>13.000000000000002</v>
      </c>
      <c r="AR38" s="56"/>
      <c r="AS38" s="358">
        <f>COUNTIF(G4:G34, "&gt;25")</f>
        <v>0</v>
      </c>
      <c r="AT38" s="357">
        <f>COUNTIF(B4:B34,"&lt;0")</f>
        <v>0</v>
      </c>
      <c r="AU38" s="145">
        <f>SUM(COUNTIF(AN4:AN34,"Thunder"),COUNTIF(AN4:AN34,"*Thunder*"),COUNTIF(AN4:AN34,"*Storm*"))</f>
        <v>1</v>
      </c>
      <c r="AV38" s="396">
        <f xml:space="preserve"> SUM(COUNTIF(AN4:AN34,"*Slt*"),COUNTIF(AN4:AN34,"*Snw*"))</f>
        <v>0</v>
      </c>
      <c r="AW38" s="145">
        <f>COUNTIF(W4:W34, "&gt;38")</f>
        <v>0</v>
      </c>
      <c r="AX38" s="359">
        <f xml:space="preserve"> SUM(COUNTIF(AN4:AN34,"Hail"),COUNTIF(AN4:AN34,"*Hail*"))</f>
        <v>1</v>
      </c>
      <c r="AY38" s="396">
        <f>COUNTIF(Z4:Z34,"&gt;19.9")</f>
        <v>0</v>
      </c>
      <c r="AZ38" s="360"/>
      <c r="BA38" s="689">
        <f xml:space="preserve"> SUM(COUNTIF(AN4:AN34,"cm"),COUNTIF(AN4:AN34,"*cm*"))</f>
        <v>0</v>
      </c>
      <c r="BB38" s="689"/>
      <c r="BC38" s="568">
        <f xml:space="preserve"> SUM(COUNTIF(AN4:AN34,"Dense"),COUNTIF(AN4:AN34,"*Dense*"))</f>
        <v>0</v>
      </c>
      <c r="BD38" s="417">
        <f t="array" ref="BD38">SUM(IF(AP4:AP34&gt;0.95*AT91:AT121,1,0))</f>
        <v>3</v>
      </c>
      <c r="BE38" s="523"/>
      <c r="BH38" s="25"/>
      <c r="BK38" s="88"/>
      <c r="BL38" s="78"/>
    </row>
    <row r="39" spans="1:64" ht="12.75" customHeight="1" x14ac:dyDescent="0.2">
      <c r="A39" s="67"/>
      <c r="B39" s="214">
        <f>IF(ISBLANK(F4),"",AVERAGE(B4:B34))</f>
        <v>9.7032258064516128</v>
      </c>
      <c r="C39" s="287">
        <f>IF(ISBLANK(P4),"",AVERAGE(C4:C34))</f>
        <v>18.506451612903231</v>
      </c>
      <c r="D39" s="686"/>
      <c r="E39" s="4" t="s">
        <v>9</v>
      </c>
      <c r="F39" s="163">
        <v>8.3000000000000007</v>
      </c>
      <c r="G39" s="94">
        <v>16.7</v>
      </c>
      <c r="H39" s="390" t="s">
        <v>4</v>
      </c>
      <c r="I39" s="162">
        <f>G39-F39</f>
        <v>8.3999999999999986</v>
      </c>
      <c r="J39" s="19"/>
      <c r="K39" s="22"/>
      <c r="L39" s="22"/>
      <c r="M39" s="538" t="s">
        <v>4</v>
      </c>
      <c r="N39" s="22"/>
      <c r="O39" s="18"/>
      <c r="P39" s="22"/>
      <c r="Q39" s="22"/>
      <c r="R39" s="380">
        <v>1013.25</v>
      </c>
      <c r="S39" s="22"/>
      <c r="T39" s="70"/>
      <c r="U39" s="259">
        <v>4.7</v>
      </c>
      <c r="V39" s="259"/>
      <c r="X39" s="260"/>
      <c r="Y39" s="70"/>
      <c r="Z39" s="504">
        <v>59</v>
      </c>
      <c r="AA39" s="105"/>
      <c r="AB39" s="505"/>
      <c r="AC39" s="515"/>
      <c r="AD39" s="490">
        <f>Z39/AQ39</f>
        <v>1.6388888888888888</v>
      </c>
      <c r="AF39" s="6"/>
      <c r="AG39" s="25"/>
      <c r="AI39" s="25"/>
      <c r="AJ39" s="25"/>
      <c r="AK39" s="56"/>
      <c r="AL39" s="669"/>
      <c r="AM39" s="6"/>
      <c r="AN39" s="253">
        <v>9</v>
      </c>
      <c r="AO39" s="224"/>
      <c r="AP39" s="529">
        <v>190</v>
      </c>
      <c r="AQ39" s="460">
        <v>36</v>
      </c>
      <c r="AR39" s="67"/>
      <c r="AT39" s="357">
        <v>0.1</v>
      </c>
      <c r="AU39" s="22">
        <v>2</v>
      </c>
      <c r="AV39" s="253">
        <v>0</v>
      </c>
      <c r="AW39" s="145"/>
      <c r="AX39" s="359"/>
      <c r="AZ39" s="360"/>
      <c r="BA39" s="688">
        <v>0</v>
      </c>
      <c r="BB39" s="688"/>
      <c r="BC39" s="145"/>
      <c r="BD39" s="145"/>
      <c r="BE39" s="360"/>
      <c r="BF39" s="147"/>
      <c r="BG39" s="147"/>
      <c r="BH39" s="147"/>
      <c r="BI39" s="147"/>
      <c r="BK39" s="88"/>
      <c r="BL39" s="78"/>
    </row>
    <row r="40" spans="1:64" ht="12.75" customHeight="1" x14ac:dyDescent="0.2">
      <c r="A40" s="67"/>
      <c r="B40" s="215">
        <f>IF(ISBLANK(F4),"",B39-F38)</f>
        <v>0.21935483870967687</v>
      </c>
      <c r="C40" s="288">
        <f>IF(ISBLANK(P4),"",C39-G38)</f>
        <v>0</v>
      </c>
      <c r="D40" s="686"/>
      <c r="E40" s="4" t="s">
        <v>10</v>
      </c>
      <c r="F40" s="152">
        <f>IF(ISBLANK(F4),"",F38-F39)</f>
        <v>1.1838709677419352</v>
      </c>
      <c r="G40" s="151">
        <f>IF(ISBLANK(G4),"",G38-G39)</f>
        <v>1.8064516129032313</v>
      </c>
      <c r="H40" s="383">
        <f>IF(M53&lt;1,"",AVERAGE(F4:G34))</f>
        <v>13.995161290322581</v>
      </c>
      <c r="I40" s="129">
        <f>IF(ISBLANK(F4),"",SUM(I38-I39))</f>
        <v>0.62258064516128897</v>
      </c>
      <c r="J40" s="19"/>
      <c r="K40" s="22"/>
      <c r="L40" s="22"/>
      <c r="M40" s="537">
        <f>IF(M53&lt;1,"",AVERAGE(K4:L34))</f>
        <v>60.70967741935484</v>
      </c>
      <c r="N40" s="25"/>
      <c r="O40" s="18"/>
      <c r="P40" s="102"/>
      <c r="Q40" s="22"/>
      <c r="R40" s="378">
        <f>IF(ISBLANK(P4),"",R38-R39)</f>
        <v>4.3629032258064626</v>
      </c>
      <c r="S40" s="22"/>
      <c r="T40" s="70"/>
      <c r="U40" s="266">
        <f>IF(ISBLANK(U4),"",U38-U39)</f>
        <v>1.3451612903225794</v>
      </c>
      <c r="V40" s="435">
        <f>IF(ISBLANK(U5),"",CORREL(U4:U34,V4:V34))</f>
        <v>0.86630971221359243</v>
      </c>
      <c r="W40" s="435">
        <f>IF(ISBLANK(U5),"",CORREL(U4:U34,W4:W34))</f>
        <v>0.88867824832050724</v>
      </c>
      <c r="X40" s="435">
        <f>IF(ISBLANK(V5),"",CORREL(V4:V34,W4:W34))</f>
        <v>0.95287800071018536</v>
      </c>
      <c r="Y40" s="70"/>
      <c r="Z40" s="465">
        <f>IF(ISBLANK(Z4),"",AB47/AB48)</f>
        <v>0.40847457627118644</v>
      </c>
      <c r="AA40" s="506">
        <f>Z38/Z39</f>
        <v>0.40847457627118644</v>
      </c>
      <c r="AB40" s="506"/>
      <c r="AC40" s="516"/>
      <c r="AD40" s="262">
        <f>IF(Z38&lt;0.3,"",AD38/(Z39/AQ39))</f>
        <v>1.1311603650586701</v>
      </c>
      <c r="AE40" s="527">
        <f>IF($AN$38=0,"",AVERAGE(AD4:AD34))</f>
        <v>1.8916666666666668</v>
      </c>
      <c r="AF40" s="6"/>
      <c r="AI40" s="25"/>
      <c r="AJ40" s="25"/>
      <c r="AK40" s="56"/>
      <c r="AL40" s="669"/>
      <c r="AM40" s="6"/>
      <c r="AN40" s="254">
        <f>SUM(AN38-AN39)</f>
        <v>-3</v>
      </c>
      <c r="AO40" s="224"/>
      <c r="AP40" s="530">
        <f>IF(ISBLANK(AP4),"",AP47/AP54)</f>
        <v>1.1457894736842105</v>
      </c>
      <c r="AQ40" s="427">
        <f>IF(ISBLANK(AQ4),"",AQ47/(AQ39/E34))</f>
        <v>0.36111111111111116</v>
      </c>
      <c r="AR40" s="418"/>
      <c r="AT40" s="357">
        <f>SUM(AT38-AT39)</f>
        <v>-0.1</v>
      </c>
      <c r="AU40" s="145">
        <f>SUM(AU38-AU39)</f>
        <v>-1</v>
      </c>
      <c r="AV40" s="396">
        <f>AV38-AV39</f>
        <v>0</v>
      </c>
      <c r="AW40" s="145"/>
      <c r="AX40" s="359"/>
      <c r="AZ40" s="360"/>
      <c r="BA40" s="689">
        <f>BA38-BA39</f>
        <v>0</v>
      </c>
      <c r="BB40" s="689"/>
      <c r="BC40" s="145"/>
      <c r="BD40" s="145"/>
      <c r="BE40" s="360"/>
      <c r="BI40" s="25"/>
      <c r="BK40" s="88"/>
      <c r="BL40" s="78"/>
    </row>
    <row r="41" spans="1:64" ht="4.5" customHeight="1" x14ac:dyDescent="0.2">
      <c r="A41" s="74"/>
      <c r="B41" s="289"/>
      <c r="C41" s="290"/>
      <c r="D41" s="686"/>
      <c r="E41" s="40"/>
      <c r="F41" s="41"/>
      <c r="G41" s="41"/>
      <c r="H41" s="42"/>
      <c r="I41" s="41"/>
      <c r="J41" s="61"/>
      <c r="K41" s="43"/>
      <c r="L41" s="43"/>
      <c r="M41" s="44"/>
      <c r="N41" s="43"/>
      <c r="O41" s="18"/>
      <c r="P41" s="43"/>
      <c r="Q41" s="43"/>
      <c r="R41" s="44"/>
      <c r="S41" s="43"/>
      <c r="T41" s="74"/>
      <c r="U41" s="41"/>
      <c r="V41" s="41"/>
      <c r="W41" s="41"/>
      <c r="X41" s="41"/>
      <c r="Y41" s="77"/>
      <c r="Z41" s="507"/>
      <c r="AA41" s="507"/>
      <c r="AB41" s="507"/>
      <c r="AC41" s="517"/>
      <c r="AD41" s="41"/>
      <c r="AE41" s="41"/>
      <c r="AF41" s="6"/>
      <c r="AG41" s="41"/>
      <c r="AH41" s="41"/>
      <c r="AI41" s="41"/>
      <c r="AJ41" s="41"/>
      <c r="AK41" s="77"/>
      <c r="AL41" s="669"/>
      <c r="AM41" s="6"/>
      <c r="AN41" s="39"/>
      <c r="AO41" s="39"/>
      <c r="AP41" s="39"/>
      <c r="AQ41" s="39"/>
      <c r="AR41" s="39"/>
      <c r="AS41" s="41"/>
      <c r="AT41" s="43"/>
      <c r="AU41" s="41"/>
      <c r="AV41" s="41"/>
      <c r="AW41" s="41"/>
      <c r="AX41" s="41"/>
      <c r="AY41" s="41"/>
      <c r="AZ41" s="77"/>
      <c r="BA41" s="41"/>
      <c r="BB41" s="41"/>
      <c r="BC41" s="41"/>
      <c r="BD41" s="41"/>
      <c r="BE41" s="77"/>
      <c r="BF41" s="41"/>
      <c r="BG41" s="41"/>
      <c r="BH41" s="39"/>
      <c r="BI41" s="41"/>
      <c r="BJ41" s="41"/>
      <c r="BK41" s="39"/>
      <c r="BL41" s="80"/>
    </row>
    <row r="42" spans="1:64" ht="12.75" customHeight="1" x14ac:dyDescent="0.2">
      <c r="A42" s="67"/>
      <c r="B42" s="705" t="s">
        <v>98</v>
      </c>
      <c r="C42" s="706"/>
      <c r="D42" s="686"/>
      <c r="E42" s="4" t="s">
        <v>5</v>
      </c>
      <c r="F42" s="25">
        <f>F86-F85</f>
        <v>11.399999999999999</v>
      </c>
      <c r="G42" s="25">
        <f>G86-G85</f>
        <v>10.4</v>
      </c>
      <c r="H42" s="25">
        <f>H86-H85</f>
        <v>8.6999999999999993</v>
      </c>
      <c r="I42" s="25">
        <f>I86-I85</f>
        <v>11.200000000000001</v>
      </c>
      <c r="J42" s="20"/>
      <c r="K42" s="22">
        <f>K86-K85</f>
        <v>38</v>
      </c>
      <c r="L42" s="22">
        <f>L86-L85</f>
        <v>25</v>
      </c>
      <c r="M42" s="22">
        <f>M86-M85</f>
        <v>35</v>
      </c>
      <c r="N42" s="22">
        <f>N86-N85</f>
        <v>33</v>
      </c>
      <c r="O42" s="20"/>
      <c r="P42" s="22">
        <f>P86-P85</f>
        <v>18</v>
      </c>
      <c r="Q42" s="22">
        <f>Q86-Q85</f>
        <v>17</v>
      </c>
      <c r="R42" s="22">
        <f>R86-R85</f>
        <v>15.5</v>
      </c>
      <c r="S42" s="22">
        <f>S86-S85</f>
        <v>15</v>
      </c>
      <c r="T42" s="75"/>
      <c r="U42" s="25">
        <f>U86-U85</f>
        <v>8</v>
      </c>
      <c r="V42" s="25">
        <f>V86-V85</f>
        <v>14.4</v>
      </c>
      <c r="W42" s="25">
        <f>W86-W85</f>
        <v>22.9</v>
      </c>
      <c r="X42" s="25"/>
      <c r="Y42" s="135"/>
      <c r="Z42" s="38">
        <f>Z86-Z85</f>
        <v>14.5</v>
      </c>
      <c r="AA42" s="38">
        <f>AA86-AA85</f>
        <v>4.7</v>
      </c>
      <c r="AB42" s="38">
        <f>AB86-AB85</f>
        <v>3.5</v>
      </c>
      <c r="AC42" s="510">
        <f>AC86-AC85</f>
        <v>0.59751037344398339</v>
      </c>
      <c r="AD42" s="25">
        <f>AE86-AE85</f>
        <v>4.4666666666666668</v>
      </c>
      <c r="AE42" s="22">
        <f>AD86-AD85</f>
        <v>78.5</v>
      </c>
      <c r="AF42" s="6"/>
      <c r="AG42" s="25">
        <f>AG86-AG85</f>
        <v>13.8</v>
      </c>
      <c r="AH42" s="25">
        <f>AH86-AH85</f>
        <v>10.6</v>
      </c>
      <c r="AI42" s="25">
        <f>AI86-AI85</f>
        <v>11.6</v>
      </c>
      <c r="AJ42" s="25">
        <f>AJ86-AJ85</f>
        <v>7.2000000000000011</v>
      </c>
      <c r="AK42" s="56"/>
      <c r="AL42" s="669"/>
      <c r="AM42" s="6"/>
      <c r="AN42" s="4" t="s">
        <v>80</v>
      </c>
      <c r="AO42" s="223"/>
      <c r="AP42" s="25">
        <f>AP86-AP85</f>
        <v>13.3</v>
      </c>
      <c r="AQ42" s="22">
        <f>AQ86-AQ85</f>
        <v>3</v>
      </c>
      <c r="AR42" s="70"/>
      <c r="AS42" s="25">
        <f t="shared" ref="AS42:AY42" si="25">AS86-AS85</f>
        <v>2.6799999999999997</v>
      </c>
      <c r="AT42" s="25">
        <f t="shared" si="25"/>
        <v>2.5899999999999963</v>
      </c>
      <c r="AU42" s="25">
        <f t="shared" si="25"/>
        <v>2.6500000000000004</v>
      </c>
      <c r="AV42" s="25">
        <f t="shared" si="25"/>
        <v>1.7005747126436823</v>
      </c>
      <c r="AW42" s="25">
        <f t="shared" si="25"/>
        <v>6.8978494623655919</v>
      </c>
      <c r="AX42" s="25">
        <f t="shared" si="25"/>
        <v>3.3099999999999454</v>
      </c>
      <c r="AY42" s="25">
        <f t="shared" si="25"/>
        <v>1.3742857142857146</v>
      </c>
      <c r="AZ42" s="56"/>
      <c r="BA42" s="25">
        <f>G42</f>
        <v>10.4</v>
      </c>
      <c r="BB42" s="25">
        <f>H42</f>
        <v>8.6999999999999993</v>
      </c>
      <c r="BC42" s="25">
        <f>I42</f>
        <v>11.200000000000001</v>
      </c>
      <c r="BD42" s="22"/>
      <c r="BE42" s="67"/>
      <c r="BF42" s="13">
        <f>AS42</f>
        <v>2.6799999999999997</v>
      </c>
      <c r="BG42" s="13">
        <f>AT42</f>
        <v>2.5899999999999963</v>
      </c>
      <c r="BH42" s="13">
        <f>BH86-BH85</f>
        <v>1.5702413793103505</v>
      </c>
      <c r="BI42" s="93">
        <f>BI86-BI85</f>
        <v>0.46075619295958276</v>
      </c>
      <c r="BJ42" s="93">
        <f>BJ86-BJ85</f>
        <v>0.7231542495522929</v>
      </c>
      <c r="BK42" s="88"/>
      <c r="BL42" s="78"/>
    </row>
    <row r="43" spans="1:64" ht="12.75" customHeight="1" x14ac:dyDescent="0.2">
      <c r="A43" s="67"/>
      <c r="B43" s="216">
        <f>COUNTIF(O4:O34,1)</f>
        <v>5</v>
      </c>
      <c r="C43" s="291">
        <f>COUNTIF(J4:J34,1)</f>
        <v>0</v>
      </c>
      <c r="D43" s="686"/>
      <c r="E43" s="12" t="s">
        <v>174</v>
      </c>
      <c r="F43" s="25">
        <f>IF(ISBLANK($G$6),"",STDEV(F4:F34))</f>
        <v>2.5583975159193635</v>
      </c>
      <c r="G43" s="25">
        <f>IF(ISBLANK($G$6),"",STDEV(G4:G34))</f>
        <v>2.3836855894280879</v>
      </c>
      <c r="H43" s="25">
        <f>IF(ISBLANK($H$6),"",STDEV(H4:H34))</f>
        <v>1.9262532577268119</v>
      </c>
      <c r="I43" s="25">
        <f>IF(ISBLANK($G$6),"",STDEV(I4:I34))</f>
        <v>2.8217854486618199</v>
      </c>
      <c r="J43" s="56"/>
      <c r="K43" s="25">
        <f>IF(ISBLANK($G$6),"",STDEV(K4:K34))</f>
        <v>8.923208835053595</v>
      </c>
      <c r="L43" s="25">
        <f>IF(ISBLANK($G$6),"",STDEV(L4:L34))</f>
        <v>6.869599540691028</v>
      </c>
      <c r="M43" s="25">
        <f>IF(ISBLANK($H$6),"",STDEV(M4:M34))</f>
        <v>8.3822649439992034</v>
      </c>
      <c r="N43" s="25">
        <f>IF(ISBLANK($G$6),"",STDEV(N4:N34))</f>
        <v>8.6935892831244228</v>
      </c>
      <c r="O43" s="56"/>
      <c r="P43" s="25">
        <f>IF(ISBLANK($G$6),"",STDEV(P4:P34))</f>
        <v>4.6862874775861396</v>
      </c>
      <c r="Q43" s="25">
        <f>IF(ISBLANK($G$6),"",STDEV(Q4:Q34))</f>
        <v>4.6243860388768514</v>
      </c>
      <c r="R43" s="25">
        <f>IF(ISBLANK($G$6),"",STDEV(R4:R34))</f>
        <v>4.3025373858909406</v>
      </c>
      <c r="S43" s="25">
        <f>IF(ISBLANK($G$6),"",STDEV(S4:S34))</f>
        <v>3.5560035560053342</v>
      </c>
      <c r="T43" s="75"/>
      <c r="U43" s="25">
        <f>IF(ISBLANK($G$6),"",STDEV(U4:U34))</f>
        <v>1.8380857269955999</v>
      </c>
      <c r="V43" s="25">
        <f>IF(ISBLANK($G$6),"",STDEV(V4:V34))</f>
        <v>3.1933836169071541</v>
      </c>
      <c r="W43" s="25">
        <f>IF(ISBLANK($G$6),"",STDEV(W4:W34))</f>
        <v>5.108746453150796</v>
      </c>
      <c r="X43" s="25"/>
      <c r="Y43" s="135"/>
      <c r="Z43" s="38">
        <f>IF(ISBLANK($G$6),"",STDEV(Z4:Z34))</f>
        <v>2.6656718574522453</v>
      </c>
      <c r="AA43" s="38">
        <f>IF(AA86-AA85=0,"",STDEV(AA4:AA34))</f>
        <v>1.840380395461765</v>
      </c>
      <c r="AB43" s="38">
        <f>IF(AB86-AB85=0,"",STDEV(AB4:AB34))</f>
        <v>1.3227496613746181</v>
      </c>
      <c r="AC43" s="510">
        <f>IF(AC86-AC85=0,"",STDEV(AC4:AC34))</f>
        <v>0.18979465589296113</v>
      </c>
      <c r="AD43" s="25">
        <f>IF(AE86-AE85=0,"",STDEV(AD4:AD34))</f>
        <v>1.7197464283369737</v>
      </c>
      <c r="AE43" s="25">
        <f>IF(AD86-AD85=0,"",STDEV(AE4:AE34))</f>
        <v>30.3288916161911</v>
      </c>
      <c r="AF43" s="6"/>
      <c r="AG43" s="25">
        <f>IF(ISBLANK($AG$6),"",STDEV(AG4:AG34))</f>
        <v>3.0148342917068631</v>
      </c>
      <c r="AH43" s="25">
        <f>IF(ISBLANK($AH$6),"",STDEV(AH4:AH34))</f>
        <v>2.8602879770799206</v>
      </c>
      <c r="AI43" s="25">
        <f>IF(ISBLANK($AI$6),"",STDEV(AI4:AI34))</f>
        <v>2.9070030386407719</v>
      </c>
      <c r="AJ43" s="25">
        <f>IF(ISBLANK($AH$6),"",STDEV(AJ4:AJ34))</f>
        <v>1.7101531089098341</v>
      </c>
      <c r="AK43" s="56"/>
      <c r="AL43" s="669"/>
      <c r="AM43" s="6"/>
      <c r="AN43" s="22">
        <f>M53-AN91</f>
        <v>9</v>
      </c>
      <c r="AO43" s="224"/>
      <c r="AP43" s="25">
        <f>IF(ISBLANK($AP$6),"",STDEV(AP4:AP34))</f>
        <v>4.4924907477121838</v>
      </c>
      <c r="AQ43" s="25">
        <f>IF(ISBLANK($AQ$6),"",STDEV(AQ4:AQ34))</f>
        <v>0.87346793676650758</v>
      </c>
      <c r="AR43" s="56"/>
      <c r="AS43" s="25">
        <f>IF(ISBLANK($G$6),"",STDEV(AS4:AS34))</f>
        <v>0.86377529526770602</v>
      </c>
      <c r="AT43" s="25">
        <f>IF(ISBLANK($G$6),"",STDEV(AT4:AT34))</f>
        <v>0.87712865176135302</v>
      </c>
      <c r="AU43" s="25">
        <f>IF(ISBLANK($G$6),"",STDEV(AU4:AU34))</f>
        <v>0.85281793932625216</v>
      </c>
      <c r="AV43" s="25">
        <f>IF(ISBLANK($G$6),"",STDEV(AV4:AV34))</f>
        <v>0.63388545380025085</v>
      </c>
      <c r="AW43" s="25">
        <f>IF(ISBLANK($M$6),"",STDEV(AW4:AW34))</f>
        <v>2.4231886233217477</v>
      </c>
      <c r="AX43" s="25">
        <f>IF(ISBLANK($G$6),"",STDEV(AX4:AX34))</f>
        <v>2.0102024192577126</v>
      </c>
      <c r="AY43" s="25">
        <f>IF(ISBLANK($G$6),"",STDEV(BA4:BA34))</f>
        <v>2.6399961188921903</v>
      </c>
      <c r="AZ43" s="56"/>
      <c r="BA43" s="25">
        <f>IF(ISBLANK($G$6),"",STDEV(BB4:BB34))</f>
        <v>2.6806905884609917</v>
      </c>
      <c r="BB43" s="25">
        <f>IF(ISBLANK($G$6),"",STDEV(BD4:BD34))</f>
        <v>2.8035607432511926</v>
      </c>
      <c r="BC43" s="25">
        <f>IF(ISBLANK($G$6),"",STDEV(BD4:BD34))</f>
        <v>2.8035607432511926</v>
      </c>
      <c r="BD43" s="25"/>
      <c r="BE43" s="56"/>
      <c r="BF43" s="25">
        <f>IF(ISBLANK($G$6),"",STDEV(BF4:BF34))</f>
        <v>0.7599855087795212</v>
      </c>
      <c r="BG43" s="25">
        <f>IF(ISBLANK($G$6),"",STDEV(BG4:BG34))</f>
        <v>0.75333067317606273</v>
      </c>
      <c r="BH43" s="25">
        <f>IF(ISBLANK($G$6),"",STDEV(BH4:BH34))</f>
        <v>0.63731916931928156</v>
      </c>
      <c r="BI43" s="93">
        <f>IF(ISBLANK($Z$6),"",STDEV(BI4:BI34))</f>
        <v>0.14092232165576279</v>
      </c>
      <c r="BJ43" s="93">
        <f>IF(ISBLANK($Z$6),"",STDEV(BJ4:BJ34))</f>
        <v>0.308672492225051</v>
      </c>
      <c r="BK43" s="402"/>
      <c r="BL43" s="78"/>
    </row>
    <row r="44" spans="1:64" ht="4.5" customHeight="1" x14ac:dyDescent="0.2">
      <c r="A44" s="67"/>
      <c r="B44" s="63"/>
      <c r="C44" s="66"/>
      <c r="D44" s="63"/>
      <c r="E44" s="64"/>
      <c r="F44" s="66"/>
      <c r="G44" s="66"/>
      <c r="H44" s="66"/>
      <c r="I44" s="66"/>
      <c r="J44" s="62"/>
      <c r="K44" s="66"/>
      <c r="L44" s="66"/>
      <c r="M44" s="66"/>
      <c r="N44" s="65"/>
      <c r="O44" s="62"/>
      <c r="P44" s="66"/>
      <c r="Q44" s="66"/>
      <c r="R44" s="66"/>
      <c r="S44" s="66"/>
      <c r="T44" s="66"/>
      <c r="U44" s="66"/>
      <c r="V44" s="66"/>
      <c r="W44" s="66"/>
      <c r="X44" s="66"/>
      <c r="Y44" s="135"/>
      <c r="Z44" s="66"/>
      <c r="AA44" s="66"/>
      <c r="AB44" s="66"/>
      <c r="AC44" s="66"/>
      <c r="AD44" s="66"/>
      <c r="AE44" s="66"/>
      <c r="AF44" s="6"/>
      <c r="AG44" s="66"/>
      <c r="AH44" s="66"/>
      <c r="AI44" s="132"/>
      <c r="AJ44" s="132"/>
      <c r="AK44" s="6"/>
      <c r="AL44" s="132"/>
      <c r="AM44" s="6"/>
      <c r="AN44" s="66"/>
      <c r="AO44" s="402"/>
      <c r="AP44" s="63"/>
      <c r="AQ44" s="63"/>
      <c r="AR44" s="67"/>
      <c r="AS44" s="66"/>
      <c r="AT44" s="65"/>
      <c r="AU44" s="66"/>
      <c r="AV44" s="66"/>
      <c r="AW44" s="66"/>
      <c r="AX44" s="66"/>
      <c r="AY44" s="66"/>
      <c r="AZ44" s="56"/>
      <c r="BA44" s="66"/>
      <c r="BB44" s="66"/>
      <c r="BC44" s="66"/>
      <c r="BD44" s="66"/>
      <c r="BE44" s="56"/>
      <c r="BF44" s="66"/>
      <c r="BG44" s="66"/>
      <c r="BH44" s="63"/>
      <c r="BI44" s="63"/>
      <c r="BJ44" s="66"/>
      <c r="BK44" s="88"/>
      <c r="BL44" s="78"/>
    </row>
    <row r="45" spans="1:64" ht="5.25" customHeight="1" thickBot="1" x14ac:dyDescent="0.25">
      <c r="A45" s="67"/>
      <c r="B45" s="21"/>
      <c r="C45" s="25"/>
      <c r="D45" s="21"/>
      <c r="E45" s="4"/>
      <c r="F45" s="25"/>
      <c r="G45" s="25"/>
      <c r="H45" s="25"/>
      <c r="I45" s="25"/>
      <c r="J45" s="18"/>
      <c r="K45" s="25"/>
      <c r="L45" s="25"/>
      <c r="M45" s="25"/>
      <c r="N45" s="22"/>
      <c r="O45" s="18"/>
      <c r="P45" s="25"/>
      <c r="Q45" s="25"/>
      <c r="R45" s="25"/>
      <c r="S45" s="25"/>
      <c r="T45" s="56"/>
      <c r="U45" s="25"/>
      <c r="V45" s="25"/>
      <c r="W45" s="25"/>
      <c r="X45" s="25"/>
      <c r="Y45" s="135"/>
      <c r="AF45" s="56"/>
      <c r="AG45" s="25"/>
      <c r="AH45" s="25"/>
      <c r="AK45" s="6"/>
      <c r="AM45" s="6"/>
      <c r="AN45" s="25"/>
      <c r="AO45" s="402"/>
      <c r="AP45" s="21"/>
      <c r="AQ45" s="21"/>
      <c r="AR45" s="67"/>
      <c r="AS45" s="25"/>
      <c r="AT45" s="22"/>
      <c r="AU45" s="25"/>
      <c r="AV45" s="25"/>
      <c r="AW45" s="25"/>
      <c r="AX45" s="25"/>
      <c r="AY45" s="25"/>
      <c r="AZ45" s="56"/>
      <c r="BA45" s="25"/>
      <c r="BB45" s="25"/>
      <c r="BC45" s="25"/>
      <c r="BD45" s="25"/>
      <c r="BE45" s="56"/>
      <c r="BF45" s="25"/>
      <c r="BG45" s="25"/>
      <c r="BH45" s="21"/>
      <c r="BI45" s="21"/>
      <c r="BJ45" s="25"/>
      <c r="BK45" s="67"/>
      <c r="BL45" s="78"/>
    </row>
    <row r="46" spans="1:64" ht="15" customHeight="1" x14ac:dyDescent="0.2">
      <c r="A46" s="67"/>
      <c r="B46" s="702" t="s">
        <v>132</v>
      </c>
      <c r="C46" s="703"/>
      <c r="D46" s="703"/>
      <c r="E46" s="704"/>
      <c r="F46" s="349">
        <f>F40</f>
        <v>1.1838709677419352</v>
      </c>
      <c r="G46" s="350">
        <f>G40</f>
        <v>1.8064516129032313</v>
      </c>
      <c r="H46" s="382">
        <f>AY82</f>
        <v>1.4951612903225815</v>
      </c>
      <c r="I46" s="352">
        <f>I40</f>
        <v>0.62258064516128897</v>
      </c>
      <c r="J46" s="18"/>
      <c r="K46" s="353">
        <f>K38</f>
        <v>41.903225806451616</v>
      </c>
      <c r="L46" s="298">
        <f>L38</f>
        <v>79.516129032258064</v>
      </c>
      <c r="M46" s="354">
        <f>M38</f>
        <v>60.064516129032256</v>
      </c>
      <c r="N46" s="25">
        <f>N38</f>
        <v>37.612903225806448</v>
      </c>
      <c r="O46" s="18"/>
      <c r="P46" s="25"/>
      <c r="Q46" s="25"/>
      <c r="R46" s="381">
        <f>R40</f>
        <v>4.3629032258064626</v>
      </c>
      <c r="S46" s="162">
        <f>S38</f>
        <v>5.612903225806452</v>
      </c>
      <c r="T46" s="56"/>
      <c r="U46" s="355">
        <f>U38</f>
        <v>6.0451612903225795</v>
      </c>
      <c r="W46" s="304" t="s">
        <v>113</v>
      </c>
      <c r="X46" s="22">
        <f>COUNTIF(X4:X34,"N")</f>
        <v>1</v>
      </c>
      <c r="Y46" s="135"/>
      <c r="Z46" s="681" t="s">
        <v>151</v>
      </c>
      <c r="AA46" s="668">
        <f>IF(AN48=0,"n/a",Z38/AN48)</f>
        <v>4.0166666666666666</v>
      </c>
      <c r="AB46" s="385" t="s">
        <v>189</v>
      </c>
      <c r="AC46" s="268" t="s">
        <v>282</v>
      </c>
      <c r="AF46" s="135"/>
      <c r="AG46" s="392">
        <f>AG38</f>
        <v>3.1451612903225801</v>
      </c>
      <c r="AH46" s="393">
        <f>AH38</f>
        <v>9.1516129032258071</v>
      </c>
      <c r="AI46" s="348">
        <f>AI38</f>
        <v>6.0999999999999988</v>
      </c>
      <c r="AJ46" s="49">
        <f>AJ38</f>
        <v>6.0064516129032262</v>
      </c>
      <c r="AK46" s="126"/>
      <c r="AL46" s="356"/>
      <c r="AM46" s="6"/>
      <c r="AO46" s="404"/>
      <c r="AP46" s="445">
        <f>AP38/AP39</f>
        <v>1.1457894736842105</v>
      </c>
      <c r="AQ46" s="446">
        <f>AQ38/AQ39</f>
        <v>0.36111111111111116</v>
      </c>
      <c r="AR46" s="6"/>
      <c r="AS46" s="696" t="s">
        <v>131</v>
      </c>
      <c r="AT46" s="650"/>
      <c r="AU46" s="650"/>
      <c r="AV46" s="650"/>
      <c r="AW46" s="650"/>
      <c r="AX46" s="650"/>
      <c r="AY46" s="25"/>
      <c r="AZ46" s="56"/>
      <c r="BC46" s="25"/>
      <c r="BD46" s="25"/>
      <c r="BE46" s="56"/>
      <c r="BF46" s="693" t="s">
        <v>232</v>
      </c>
      <c r="BG46" s="693"/>
      <c r="BH46" s="693"/>
      <c r="BI46" s="693"/>
      <c r="BJ46" s="693"/>
      <c r="BK46" s="67"/>
      <c r="BL46" s="78"/>
    </row>
    <row r="47" spans="1:64" ht="12.75" customHeight="1" x14ac:dyDescent="0.2">
      <c r="A47" s="67"/>
      <c r="B47" s="682" t="s">
        <v>17</v>
      </c>
      <c r="C47" s="683"/>
      <c r="D47" s="684"/>
      <c r="E47" s="581" t="s">
        <v>15</v>
      </c>
      <c r="F47" s="349">
        <f>F38</f>
        <v>9.4838709677419359</v>
      </c>
      <c r="G47" s="350">
        <f>G38</f>
        <v>18.506451612903231</v>
      </c>
      <c r="H47" s="351">
        <f>H38</f>
        <v>14.238709677419358</v>
      </c>
      <c r="I47" s="352">
        <f>I38</f>
        <v>9.0225806451612875</v>
      </c>
      <c r="J47" s="18"/>
      <c r="K47" s="21"/>
      <c r="L47" s="170"/>
      <c r="M47" s="52"/>
      <c r="N47" s="118"/>
      <c r="O47" s="18"/>
      <c r="P47" s="21"/>
      <c r="Q47" s="21"/>
      <c r="R47" s="381">
        <f>R38</f>
        <v>1017.6129032258065</v>
      </c>
      <c r="S47" s="21"/>
      <c r="T47" s="56"/>
      <c r="U47" s="7"/>
      <c r="W47" s="143" t="s">
        <v>105</v>
      </c>
      <c r="X47" s="22">
        <f>COUNTIF(X4:X34,"NE")</f>
        <v>2</v>
      </c>
      <c r="Y47" s="56"/>
      <c r="Z47" s="681"/>
      <c r="AA47" s="668"/>
      <c r="AB47" s="384">
        <f>IF(M53=0,"",AVERAGE(Z4:Z34))</f>
        <v>0.77741935483870972</v>
      </c>
      <c r="AC47" s="323" t="str">
        <f>IF(M54&gt;0,IF(Z38&gt;Z39,"",AC48/M54/AB48),"n/a")</f>
        <v>n/a</v>
      </c>
      <c r="AE47" s="548"/>
      <c r="AF47" s="56"/>
      <c r="AH47" s="124"/>
      <c r="AI47" s="124"/>
      <c r="AJ47" s="124"/>
      <c r="AK47" s="126"/>
      <c r="AL47" s="124"/>
      <c r="AM47" s="6"/>
      <c r="AN47" s="179" t="s">
        <v>67</v>
      </c>
      <c r="AO47" s="405"/>
      <c r="AP47" s="456">
        <f>IF(ISBLANK(AP4),"",AVERAGE(AP4:AP34))</f>
        <v>7.0225806451612902</v>
      </c>
      <c r="AQ47" s="443">
        <f>IF(ISBLANK(AQ4),"",AVERAGE(AQ4:AQ34))</f>
        <v>0.41935483870967749</v>
      </c>
      <c r="AR47" s="6"/>
      <c r="AS47" s="25"/>
      <c r="AT47" s="22"/>
      <c r="AU47" s="25"/>
      <c r="AV47" s="25"/>
      <c r="AW47" s="25"/>
      <c r="AX47" s="25"/>
      <c r="AY47" s="695" t="s">
        <v>35</v>
      </c>
      <c r="AZ47" s="695"/>
      <c r="BA47" s="695"/>
      <c r="BB47" s="695"/>
      <c r="BC47" s="695"/>
      <c r="BD47" s="695"/>
      <c r="BE47" s="67"/>
      <c r="BF47" s="694" t="s">
        <v>169</v>
      </c>
      <c r="BG47" s="694"/>
      <c r="BH47" s="694"/>
      <c r="BI47" s="694"/>
      <c r="BJ47" s="694"/>
      <c r="BK47" s="2"/>
      <c r="BL47" s="78"/>
    </row>
    <row r="48" spans="1:64" ht="12.75" customHeight="1" x14ac:dyDescent="0.2">
      <c r="A48" s="67"/>
      <c r="B48" s="707" t="s">
        <v>51</v>
      </c>
      <c r="C48" s="708"/>
      <c r="D48" s="709"/>
      <c r="E48" s="142">
        <f>IF(ISBLANK(H5),"",CORREL(H4:H34,R4:R34))</f>
        <v>-0.17067498169093417</v>
      </c>
      <c r="F48" s="576">
        <f>IF(ISBLANK(H5),"",ABS(E48))</f>
        <v>0.17067498169093417</v>
      </c>
      <c r="J48" s="18"/>
      <c r="K48" s="636" t="s">
        <v>377</v>
      </c>
      <c r="L48" s="636"/>
      <c r="M48" s="636"/>
      <c r="N48" s="636"/>
      <c r="O48" s="17"/>
      <c r="R48" s="25"/>
      <c r="S48" s="25"/>
      <c r="T48" s="56"/>
      <c r="U48" s="266"/>
      <c r="W48" s="304" t="s">
        <v>106</v>
      </c>
      <c r="X48" s="22">
        <f>COUNTIF(X4:X34,"E")</f>
        <v>2</v>
      </c>
      <c r="Y48" s="6"/>
      <c r="AB48" s="438">
        <f>Z39/E34</f>
        <v>1.903225806451613</v>
      </c>
      <c r="AC48" s="579">
        <f>ABS(Z39-Z38)</f>
        <v>34.9</v>
      </c>
      <c r="AD48" s="578" t="str">
        <f>IF(Z38&gt;Z39,"Excess","Deficit")</f>
        <v>Deficit</v>
      </c>
      <c r="AE48" s="547"/>
      <c r="AF48" s="6"/>
      <c r="AK48" s="6"/>
      <c r="AL48" s="124"/>
      <c r="AM48" s="6"/>
      <c r="AN48" s="5">
        <f>SUM(AJ91:AJ121)</f>
        <v>6</v>
      </c>
      <c r="AO48" s="406"/>
      <c r="AR48" s="6"/>
      <c r="AS48" s="641" t="s">
        <v>447</v>
      </c>
      <c r="AT48" s="642"/>
      <c r="AU48" s="643"/>
      <c r="AV48" s="139"/>
      <c r="AY48" s="4" t="s">
        <v>164</v>
      </c>
      <c r="AZ48" s="68"/>
      <c r="BA48" s="4" t="s">
        <v>199</v>
      </c>
      <c r="BB48" s="329" t="s">
        <v>166</v>
      </c>
      <c r="BC48" s="147" t="s">
        <v>326</v>
      </c>
      <c r="BD48" s="147" t="s">
        <v>10</v>
      </c>
      <c r="BE48" s="67"/>
      <c r="BF48" s="181" t="s">
        <v>21</v>
      </c>
      <c r="BG48" s="294" t="s">
        <v>22</v>
      </c>
      <c r="BH48" s="335" t="s">
        <v>171</v>
      </c>
      <c r="BI48" s="336" t="s">
        <v>170</v>
      </c>
      <c r="BJ48" s="97" t="s">
        <v>172</v>
      </c>
      <c r="BK48" s="16"/>
      <c r="BL48" s="78"/>
    </row>
    <row r="49" spans="1:64" ht="12.75" customHeight="1" x14ac:dyDescent="0.2">
      <c r="A49" s="67"/>
      <c r="B49" s="707" t="s">
        <v>50</v>
      </c>
      <c r="C49" s="708"/>
      <c r="D49" s="709"/>
      <c r="E49" s="89">
        <f>IF(ISBLANK(H5),"",CORREL(H4:H34,M4:M34))</f>
        <v>9.7695013066183473E-2</v>
      </c>
      <c r="F49" s="576">
        <f>IF(ISBLANK(H5),"",ABS(E49))</f>
        <v>9.7695013066183473E-2</v>
      </c>
      <c r="H49" s="4"/>
      <c r="I49" s="4"/>
      <c r="J49" s="18"/>
      <c r="K49" s="152">
        <f ca="1">IF(ISBLANK(F4),"",F38-AVERAGE(OFFSET(F91,0,0,M53)))</f>
        <v>1.2335483870967732</v>
      </c>
      <c r="L49" s="151">
        <f ca="1">IF(ISBLANK(G4),"",G38-AVERAGE(OFFSET(G91,0,0,M53)))</f>
        <v>1.8370967741935473</v>
      </c>
      <c r="M49" s="14">
        <f ca="1">IF(ISBLANK(G4),"",AVERAGE(K49:L49))</f>
        <v>1.5353225806451603</v>
      </c>
      <c r="N49" s="129">
        <f ca="1">IF(ISBLANK(H4),"",I38-AVERAGE(OFFSET(I91,0,0,M53)))</f>
        <v>0.60354838709676706</v>
      </c>
      <c r="O49" s="18"/>
      <c r="R49" s="21"/>
      <c r="S49" s="21"/>
      <c r="T49" s="56"/>
      <c r="U49" s="300"/>
      <c r="W49" s="304" t="s">
        <v>112</v>
      </c>
      <c r="X49" s="22">
        <f>COUNTIF(X4:X34,"SE")</f>
        <v>1</v>
      </c>
      <c r="Y49" s="67"/>
      <c r="Z49" s="648" t="s">
        <v>115</v>
      </c>
      <c r="AA49" s="648"/>
      <c r="AE49" s="547"/>
      <c r="AF49" s="67"/>
      <c r="AG49" s="710" t="s">
        <v>179</v>
      </c>
      <c r="AH49" s="710"/>
      <c r="AI49" s="710"/>
      <c r="AJ49" s="710"/>
      <c r="AK49" s="313"/>
      <c r="AL49" s="124"/>
      <c r="AM49" s="67"/>
      <c r="AO49" s="224"/>
      <c r="AP49" s="457" t="s">
        <v>215</v>
      </c>
      <c r="AR49" s="6"/>
      <c r="AS49" s="644" t="s">
        <v>17</v>
      </c>
      <c r="AT49" s="645"/>
      <c r="AU49" s="280" t="s">
        <v>15</v>
      </c>
      <c r="AX49" s="361">
        <v>1</v>
      </c>
      <c r="AY49" s="23">
        <f t="shared" ref="AY49:AY79" si="26">IF(ISBLANK(G4),"",AVERAGE(F4:G4))</f>
        <v>14.1</v>
      </c>
      <c r="AZ49" s="50"/>
      <c r="BA49" s="26">
        <f>BC4</f>
        <v>3.5709999999999997</v>
      </c>
      <c r="BB49" s="25">
        <f t="shared" ref="BB49:BB79" si="27">IF(ISBLANK(H4),"",AY49-H4)</f>
        <v>0.19999999999999929</v>
      </c>
      <c r="BC49" s="25">
        <f>IF(ISBLANK(G4),"",(AVERAGE($AY$49:AY49)))</f>
        <v>14.1</v>
      </c>
      <c r="BD49" s="13">
        <f>IF(ISBLANK(G4),"",AVERAGE(BF4:BG4))</f>
        <v>3.5709999999999997</v>
      </c>
      <c r="BE49" s="67"/>
      <c r="BF49" s="556">
        <v>0.25347222222222221</v>
      </c>
      <c r="BG49" s="556">
        <v>0.61458333333333337</v>
      </c>
      <c r="BH49" s="556">
        <v>0.80555555555555547</v>
      </c>
      <c r="BI49" s="556">
        <v>0.28125</v>
      </c>
      <c r="BJ49" s="556">
        <v>0.78611111111111109</v>
      </c>
      <c r="BK49" s="20"/>
      <c r="BL49" s="78"/>
    </row>
    <row r="50" spans="1:64" ht="12.75" customHeight="1" x14ac:dyDescent="0.2">
      <c r="A50" s="67"/>
      <c r="B50" s="707" t="s">
        <v>56</v>
      </c>
      <c r="C50" s="708"/>
      <c r="D50" s="709"/>
      <c r="E50" s="89">
        <f>IF(ISBLANK(H5),"",CORREL(M4:M34,R4:R34))</f>
        <v>-0.37822978166495874</v>
      </c>
      <c r="F50" s="576">
        <f>IF(ISBLANK(H5),"",ABS(E50))</f>
        <v>0.37822978166495874</v>
      </c>
      <c r="G50" s="607" t="s">
        <v>427</v>
      </c>
      <c r="H50" s="820" t="s">
        <v>423</v>
      </c>
      <c r="I50" s="821"/>
      <c r="J50" s="18"/>
      <c r="K50" s="8"/>
      <c r="L50" s="118"/>
      <c r="M50" s="118"/>
      <c r="N50" s="118"/>
      <c r="O50" s="18"/>
      <c r="Q50" s="662" t="s">
        <v>132</v>
      </c>
      <c r="R50" s="662"/>
      <c r="T50" s="68"/>
      <c r="U50" s="300"/>
      <c r="W50" s="305" t="s">
        <v>111</v>
      </c>
      <c r="X50" s="22">
        <f>COUNTIF(X4:X34,"S")</f>
        <v>5</v>
      </c>
      <c r="Y50" s="84"/>
      <c r="Z50" s="661" t="s">
        <v>120</v>
      </c>
      <c r="AA50" s="660">
        <v>0</v>
      </c>
      <c r="AB50" s="322"/>
      <c r="AC50" s="646" t="s">
        <v>285</v>
      </c>
      <c r="AD50" s="647"/>
      <c r="AF50" s="67"/>
      <c r="AH50" s="713">
        <f>SUM(AW91:AW121)</f>
        <v>0</v>
      </c>
      <c r="AI50" s="713"/>
      <c r="AJ50" s="93">
        <f>IF(M53=0,"",AH50/M53)</f>
        <v>0</v>
      </c>
      <c r="AK50" s="68"/>
      <c r="AM50" s="67"/>
      <c r="AN50" s="180" t="s">
        <v>68</v>
      </c>
      <c r="AO50" s="87"/>
      <c r="AP50" s="397">
        <f>IF(M53=0,"",AP38/SUM(AT91:AT121))</f>
        <v>0.4952685457458218</v>
      </c>
      <c r="AR50" s="6"/>
      <c r="AS50" s="637" t="s">
        <v>44</v>
      </c>
      <c r="AT50" s="638"/>
      <c r="AU50" s="92">
        <f>IF(AP4=AP5,"",IF(AP42=0,"",CORREL(G4:G34,AP4:AP34)))</f>
        <v>7.0956371395019341E-2</v>
      </c>
      <c r="AV50" s="577">
        <f>IF(AP4=AP5,"",IF(AP42=0,"",ABS(AU50)))</f>
        <v>7.0956371395019341E-2</v>
      </c>
      <c r="AX50" s="361">
        <v>2</v>
      </c>
      <c r="AY50" s="23">
        <f t="shared" si="26"/>
        <v>11.2</v>
      </c>
      <c r="AZ50" s="50"/>
      <c r="BA50" s="26">
        <f t="shared" ref="BA50:BA79" si="28">BC5</f>
        <v>0.54199999999999982</v>
      </c>
      <c r="BB50" s="25">
        <f t="shared" si="27"/>
        <v>-0.40000000000000036</v>
      </c>
      <c r="BC50" s="25">
        <f>IF(ISBLANK(G5),"",(AVERAGE($AY$49:AY50)))</f>
        <v>12.649999999999999</v>
      </c>
      <c r="BD50" s="13">
        <f t="shared" ref="BD50:BD79" si="29">IF(ISBLANK(G5),"",AVERAGE(BF5:BG5))</f>
        <v>2.0564999999999998</v>
      </c>
      <c r="BE50" s="67"/>
      <c r="BF50" s="556">
        <v>0.2638888888888889</v>
      </c>
      <c r="BG50" s="556">
        <v>0.55555555555555558</v>
      </c>
      <c r="BH50" s="556">
        <v>0.64583333333333337</v>
      </c>
      <c r="BI50" s="556">
        <v>0.28472222222222221</v>
      </c>
      <c r="BJ50" s="556">
        <v>0.64652777777777781</v>
      </c>
      <c r="BK50" s="55"/>
      <c r="BL50" s="78"/>
    </row>
    <row r="51" spans="1:64" ht="12.75" customHeight="1" x14ac:dyDescent="0.2">
      <c r="A51" s="67"/>
      <c r="B51" s="707" t="s">
        <v>11</v>
      </c>
      <c r="C51" s="708"/>
      <c r="D51" s="709"/>
      <c r="E51" s="89">
        <f>IF(ISBLANK(H5),"",CORREL(F4:F34,G4:G34))</f>
        <v>0.34967130943968489</v>
      </c>
      <c r="F51" s="576">
        <f>IF(ISBLANK(H5),"",ABS(E51))</f>
        <v>0.34967130943968489</v>
      </c>
      <c r="H51" s="821" t="s">
        <v>424</v>
      </c>
      <c r="I51" s="821"/>
      <c r="J51" s="18"/>
      <c r="K51" s="8"/>
      <c r="N51" s="187"/>
      <c r="O51" s="18"/>
      <c r="P51" s="21"/>
      <c r="Q51" s="649" t="s">
        <v>143</v>
      </c>
      <c r="R51" s="649"/>
      <c r="S51" s="21"/>
      <c r="T51" s="68"/>
      <c r="W51" s="304" t="s">
        <v>110</v>
      </c>
      <c r="X51" s="22">
        <f>COUNTIF(X4:X34,"SW")</f>
        <v>10</v>
      </c>
      <c r="Y51" s="67"/>
      <c r="Z51" s="661"/>
      <c r="AA51" s="660"/>
      <c r="AC51" s="714" t="s">
        <v>286</v>
      </c>
      <c r="AD51" s="717">
        <v>0</v>
      </c>
      <c r="AF51" s="67"/>
      <c r="AG51" s="650"/>
      <c r="AH51" s="650"/>
      <c r="AI51" s="650"/>
      <c r="AJ51" s="650"/>
      <c r="AK51" s="6"/>
      <c r="AM51" s="67"/>
      <c r="AN51" s="5">
        <f>M53-AN48</f>
        <v>25</v>
      </c>
      <c r="AO51" s="406"/>
      <c r="AR51" s="6"/>
      <c r="AS51" s="637" t="s">
        <v>39</v>
      </c>
      <c r="AT51" s="638"/>
      <c r="AU51" s="92">
        <f>IF(AP4=AP5,"",IF(AP42=0,"",CORREL(AP4:AP34,I4:I34)))</f>
        <v>0.63318644653769995</v>
      </c>
      <c r="AV51" s="577">
        <f>IF(AP4=AP5,"",IF(AP42=0,"",ABS(AU51)))</f>
        <v>0.63318644653769995</v>
      </c>
      <c r="AX51" s="361">
        <v>3</v>
      </c>
      <c r="AY51" s="23">
        <f t="shared" si="26"/>
        <v>9.65</v>
      </c>
      <c r="AZ51" s="50"/>
      <c r="BA51" s="26">
        <f t="shared" si="28"/>
        <v>-1.1370000000000009</v>
      </c>
      <c r="BB51" s="25">
        <f t="shared" si="27"/>
        <v>-4.9999999999998934E-2</v>
      </c>
      <c r="BC51" s="25">
        <f>IF(ISBLANK(G6),"",(AVERAGE($AY$49:AY51)))</f>
        <v>11.649999999999999</v>
      </c>
      <c r="BD51" s="13">
        <f t="shared" si="29"/>
        <v>0.99199999999999955</v>
      </c>
      <c r="BE51" s="67"/>
      <c r="BF51" s="556">
        <v>0.24305555555555555</v>
      </c>
      <c r="BG51" s="556">
        <v>0.625</v>
      </c>
      <c r="BH51" s="556">
        <v>0.69791666666666663</v>
      </c>
      <c r="BI51" s="556">
        <v>0.27430555555555552</v>
      </c>
      <c r="BJ51" s="556">
        <v>0.44861111111111113</v>
      </c>
      <c r="BK51" s="18"/>
      <c r="BL51" s="78"/>
    </row>
    <row r="52" spans="1:64" ht="12.75" customHeight="1" x14ac:dyDescent="0.2">
      <c r="A52" s="67"/>
      <c r="B52" s="707" t="s">
        <v>92</v>
      </c>
      <c r="C52" s="708"/>
      <c r="D52" s="709"/>
      <c r="E52" s="89">
        <f>IF(ISBLANK(H5),"",CORREL(K4:K34,L4:L34))</f>
        <v>0.41792416435109708</v>
      </c>
      <c r="F52" s="576">
        <f>IF(ISBLANK(H5),"",ABS(E52))</f>
        <v>0.41792416435109708</v>
      </c>
      <c r="H52" s="598"/>
      <c r="I52" s="598"/>
      <c r="J52" s="18"/>
      <c r="K52" s="8"/>
      <c r="L52" s="187" t="s">
        <v>346</v>
      </c>
      <c r="M52" s="118"/>
      <c r="N52" s="118"/>
      <c r="O52" s="18"/>
      <c r="P52" s="25"/>
      <c r="Q52" s="715">
        <f>IF(ISBLANK(H5),"",AVERAGE(F48:F66,F72:F80,AV50:AV60))</f>
        <v>0.35170365431811423</v>
      </c>
      <c r="R52" s="716"/>
      <c r="S52" s="25"/>
      <c r="T52" s="67"/>
      <c r="W52" s="304" t="s">
        <v>114</v>
      </c>
      <c r="X52" s="22">
        <f>COUNTIF(X4:X34,"W")</f>
        <v>8</v>
      </c>
      <c r="Y52" s="67"/>
      <c r="Z52" s="659" t="s">
        <v>116</v>
      </c>
      <c r="AA52" s="711">
        <f>(Z38+AA50)/Z39</f>
        <v>0.40847457627118644</v>
      </c>
      <c r="AC52" s="714"/>
      <c r="AD52" s="717"/>
      <c r="AF52" s="67"/>
      <c r="AG52" s="712" t="s">
        <v>180</v>
      </c>
      <c r="AH52" s="712"/>
      <c r="AI52" s="712"/>
      <c r="AJ52" s="712"/>
      <c r="AK52" s="314"/>
      <c r="AM52" s="67"/>
      <c r="AO52" s="407"/>
      <c r="AP52" s="639" t="s">
        <v>190</v>
      </c>
      <c r="AQ52" s="640"/>
      <c r="AR52" s="6"/>
      <c r="AS52" s="637" t="s">
        <v>40</v>
      </c>
      <c r="AT52" s="638"/>
      <c r="AU52" s="92">
        <f>IF(AP4=AP5,"",IF(AP42=0,"",CORREL(AP4:AP34,K4:K34)))</f>
        <v>-0.76610231361447501</v>
      </c>
      <c r="AV52" s="577">
        <f>IF(AP4=AP5,"",IF(AP42=0,"",ABS(AU52)))</f>
        <v>0.76610231361447501</v>
      </c>
      <c r="AX52" s="361">
        <v>4</v>
      </c>
      <c r="AY52" s="23">
        <f t="shared" si="26"/>
        <v>9.6</v>
      </c>
      <c r="AZ52" s="50"/>
      <c r="BA52" s="26">
        <f t="shared" si="28"/>
        <v>-1.3159999999999998</v>
      </c>
      <c r="BB52" s="25">
        <f t="shared" si="27"/>
        <v>-0.80000000000000071</v>
      </c>
      <c r="BC52" s="25">
        <f>IF(ISBLANK(G7),"",(AVERAGE($AY$49:AY52)))</f>
        <v>11.137499999999999</v>
      </c>
      <c r="BD52" s="13">
        <f t="shared" si="29"/>
        <v>0.41499999999999915</v>
      </c>
      <c r="BE52" s="6"/>
      <c r="BF52" s="556">
        <v>0.25</v>
      </c>
      <c r="BG52" s="556">
        <v>0.66319444444444442</v>
      </c>
      <c r="BH52" s="556">
        <v>0.72222222222222221</v>
      </c>
      <c r="BI52" s="556">
        <v>0.2951388888888889</v>
      </c>
      <c r="BJ52" s="556">
        <v>0.7416666666666667</v>
      </c>
      <c r="BK52" s="18"/>
      <c r="BL52" s="78"/>
    </row>
    <row r="53" spans="1:64" ht="12.75" customHeight="1" x14ac:dyDescent="0.2">
      <c r="A53" s="67"/>
      <c r="B53" s="707" t="s">
        <v>93</v>
      </c>
      <c r="C53" s="708"/>
      <c r="D53" s="709"/>
      <c r="E53" s="89">
        <f>IF(ISBLANK(H5),"",CORREL(P4:P34,Q4:Q34))</f>
        <v>0.70833806824998602</v>
      </c>
      <c r="F53" s="576">
        <f>IF(ISBLANK(H5),"",ABS(E53))</f>
        <v>0.70833806824998602</v>
      </c>
      <c r="H53" s="598"/>
      <c r="I53" s="598"/>
      <c r="J53" s="18"/>
      <c r="K53" s="8"/>
      <c r="L53" s="21" t="s">
        <v>88</v>
      </c>
      <c r="M53" s="21">
        <f>COUNT(H4:H34)</f>
        <v>31</v>
      </c>
      <c r="N53" s="118"/>
      <c r="O53" s="18"/>
      <c r="Q53" s="663" t="s">
        <v>34</v>
      </c>
      <c r="R53" s="663"/>
      <c r="S53" s="22"/>
      <c r="T53" s="67"/>
      <c r="U53" s="7"/>
      <c r="W53" s="304" t="s">
        <v>128</v>
      </c>
      <c r="X53" s="22">
        <f>COUNTIF(X4:X34,"NW")</f>
        <v>2</v>
      </c>
      <c r="Y53" s="136"/>
      <c r="Z53" s="659"/>
      <c r="AA53" s="711"/>
      <c r="AB53" s="323"/>
      <c r="AC53" s="542" t="s">
        <v>281</v>
      </c>
      <c r="AD53" s="549">
        <f>IF(Z38=0,"",AD51/Z38)</f>
        <v>0</v>
      </c>
      <c r="AF53" s="67"/>
      <c r="AH53" s="713">
        <f>SUM(AX91:AX121)</f>
        <v>8</v>
      </c>
      <c r="AI53" s="713"/>
      <c r="AJ53" s="93">
        <f>IF(M53=0,"",AH53/M53)</f>
        <v>0.25806451612903225</v>
      </c>
      <c r="AK53" s="68"/>
      <c r="AL53" s="4"/>
      <c r="AM53" s="67"/>
      <c r="AN53" s="179" t="s">
        <v>77</v>
      </c>
      <c r="AO53" s="88"/>
      <c r="AP53" s="718" t="str">
        <f>IF(M54=0,"",(AP39-AP38)/M54/(AP39/E34))</f>
        <v/>
      </c>
      <c r="AQ53" s="719"/>
      <c r="AR53" s="6"/>
      <c r="AS53" s="637" t="s">
        <v>38</v>
      </c>
      <c r="AT53" s="638"/>
      <c r="AU53" s="92">
        <f>IF(AQ38=0,"",CORREL(AP4:AP34,AQ4:AQ34))</f>
        <v>-0.44548866181244523</v>
      </c>
      <c r="AV53" s="577">
        <f>IF(AQ38=0,"",ABS(AU53))</f>
        <v>0.44548866181244523</v>
      </c>
      <c r="AX53" s="361">
        <v>5</v>
      </c>
      <c r="AY53" s="23">
        <f t="shared" si="26"/>
        <v>14.100000000000001</v>
      </c>
      <c r="AZ53" s="50"/>
      <c r="BA53" s="26">
        <f t="shared" si="28"/>
        <v>3.0550000000000006</v>
      </c>
      <c r="BB53" s="25">
        <f t="shared" si="27"/>
        <v>0.90000000000000213</v>
      </c>
      <c r="BC53" s="25">
        <f>IF(ISBLANK(G8),"",(AVERAGE($AY$49:AY53)))</f>
        <v>11.73</v>
      </c>
      <c r="BD53" s="13">
        <f t="shared" si="29"/>
        <v>0.94300000000000006</v>
      </c>
      <c r="BE53" s="6"/>
      <c r="BF53" s="556">
        <v>9.7222222222222224E-2</v>
      </c>
      <c r="BG53" s="556">
        <v>0.72222222222222221</v>
      </c>
      <c r="BH53" s="556">
        <v>0.75694444444444453</v>
      </c>
      <c r="BI53" s="556">
        <v>0.12847222222222224</v>
      </c>
      <c r="BJ53" s="556">
        <v>0.63611111111111118</v>
      </c>
      <c r="BK53" s="18"/>
      <c r="BL53" s="78"/>
    </row>
    <row r="54" spans="1:64" ht="12.75" customHeight="1" x14ac:dyDescent="0.2">
      <c r="A54" s="67"/>
      <c r="B54" s="707" t="s">
        <v>53</v>
      </c>
      <c r="C54" s="708"/>
      <c r="D54" s="709"/>
      <c r="E54" s="89">
        <f>IF(ISBLANK(H5),"",(CORREL(G4:G34,R4:R34)))</f>
        <v>-2.7537266836091871E-2</v>
      </c>
      <c r="F54" s="576">
        <f>IF(ISBLANK(H5),"",ABS(E54))</f>
        <v>2.7537266836091871E-2</v>
      </c>
      <c r="H54" s="598"/>
      <c r="I54" s="598"/>
      <c r="J54" s="18"/>
      <c r="K54" s="8"/>
      <c r="L54" s="21" t="s">
        <v>89</v>
      </c>
      <c r="M54" s="21">
        <f>SUM(E34-M53)</f>
        <v>0</v>
      </c>
      <c r="N54" s="187"/>
      <c r="O54" s="18"/>
      <c r="Q54" s="5">
        <f>SUM(E69,E83,AU63)</f>
        <v>10</v>
      </c>
      <c r="R54" s="21" t="s">
        <v>193</v>
      </c>
      <c r="S54" s="608"/>
      <c r="T54" s="67"/>
      <c r="U54" s="7"/>
      <c r="W54" s="300"/>
      <c r="X54" s="25"/>
      <c r="Y54" s="136"/>
      <c r="Z54" s="659" t="s">
        <v>153</v>
      </c>
      <c r="AA54" s="659" t="str">
        <f>IF(M54&gt;0,(Z39-Z38)/M54,"n/a")</f>
        <v>n/a</v>
      </c>
      <c r="AB54" s="267"/>
      <c r="AC54" s="542" t="s">
        <v>283</v>
      </c>
      <c r="AD54" s="549">
        <f>IF(AT67=0,"",AV38/AT67)</f>
        <v>0</v>
      </c>
      <c r="AF54" s="67"/>
      <c r="AK54" s="6"/>
      <c r="AM54" s="67"/>
      <c r="AN54" s="138">
        <f>IF(M53=0,"",AN48/M53)</f>
        <v>0.19354838709677419</v>
      </c>
      <c r="AO54" s="406"/>
      <c r="AP54" s="531">
        <f>AP39/E34</f>
        <v>6.129032258064516</v>
      </c>
      <c r="AQ54" s="532" t="str">
        <f>IF(M54=0,"",(AP39-AP38)/M54)</f>
        <v/>
      </c>
      <c r="AR54" s="6"/>
      <c r="AS54" s="637" t="s">
        <v>49</v>
      </c>
      <c r="AT54" s="638"/>
      <c r="AU54" s="92">
        <f>IF(AQ38=0,"",CORREL(AQ4:AQ34,I4:I34))</f>
        <v>-0.35951808229683269</v>
      </c>
      <c r="AV54" s="577">
        <f>IF(AQ38=0,"",ABS(AU54))</f>
        <v>0.35951808229683269</v>
      </c>
      <c r="AX54" s="361">
        <v>6</v>
      </c>
      <c r="AY54" s="23">
        <f t="shared" si="26"/>
        <v>16.8</v>
      </c>
      <c r="AZ54" s="50"/>
      <c r="BA54" s="26">
        <f t="shared" si="28"/>
        <v>5.6259999999999994</v>
      </c>
      <c r="BB54" s="25">
        <f t="shared" si="27"/>
        <v>-0.5</v>
      </c>
      <c r="BC54" s="25">
        <f>IF(ISBLANK(G9),"",(AVERAGE($AY$49:AY54)))</f>
        <v>12.575000000000001</v>
      </c>
      <c r="BD54" s="13">
        <f t="shared" si="29"/>
        <v>1.7235</v>
      </c>
      <c r="BE54" s="6"/>
      <c r="BF54" s="556">
        <v>0.25347222222222221</v>
      </c>
      <c r="BG54" s="556">
        <v>0.69444444444444453</v>
      </c>
      <c r="BH54" s="556">
        <v>0.77777777777777779</v>
      </c>
      <c r="BI54" s="556">
        <v>0.29166666666666669</v>
      </c>
      <c r="BJ54" s="556">
        <v>0.73124999999999996</v>
      </c>
      <c r="BK54" s="18"/>
      <c r="BL54" s="78"/>
    </row>
    <row r="55" spans="1:64" ht="12.75" customHeight="1" x14ac:dyDescent="0.2">
      <c r="A55" s="67"/>
      <c r="B55" s="707" t="s">
        <v>54</v>
      </c>
      <c r="C55" s="708"/>
      <c r="D55" s="709"/>
      <c r="E55" s="89">
        <f>IF(ISBLANK(H5),"",CORREL(F4:F34,R4:R34))</f>
        <v>-0.40878888710635586</v>
      </c>
      <c r="F55" s="576">
        <f>IF(ISBLANK(H5),"",ABS(E55))</f>
        <v>0.40878888710635586</v>
      </c>
      <c r="H55" s="598"/>
      <c r="I55" s="598"/>
      <c r="J55" s="20"/>
      <c r="K55" s="8"/>
      <c r="L55" s="118"/>
      <c r="M55" s="118"/>
      <c r="N55" s="118"/>
      <c r="O55" s="18"/>
      <c r="Q55" s="21"/>
      <c r="S55" s="21"/>
      <c r="T55" s="67"/>
      <c r="U55" s="7"/>
      <c r="W55" s="300" t="s">
        <v>129</v>
      </c>
      <c r="X55" s="22">
        <f>MAX(X46:X53)</f>
        <v>10</v>
      </c>
      <c r="Y55" s="136"/>
      <c r="Z55" s="659"/>
      <c r="AA55" s="659"/>
      <c r="AB55" s="267"/>
      <c r="AC55" s="543" t="s">
        <v>284</v>
      </c>
      <c r="AD55" s="546" t="s">
        <v>205</v>
      </c>
      <c r="AE55" s="267"/>
      <c r="AF55" s="67"/>
      <c r="AK55" s="6"/>
      <c r="AM55" s="67"/>
      <c r="AO55" s="408"/>
      <c r="AR55" s="6"/>
      <c r="AS55" s="637" t="s">
        <v>96</v>
      </c>
      <c r="AT55" s="638"/>
      <c r="AU55" s="92">
        <f>IF(AQ38=0,"",CORREL(M4:M34,AQ4:AQ34))</f>
        <v>0.54751529169062696</v>
      </c>
      <c r="AV55" s="577">
        <f>IF(AQ38=0,"",ABS(AU55))</f>
        <v>0.54751529169062696</v>
      </c>
      <c r="AX55" s="361">
        <v>7</v>
      </c>
      <c r="AY55" s="23">
        <f t="shared" si="26"/>
        <v>18.8</v>
      </c>
      <c r="AZ55" s="50"/>
      <c r="BA55" s="26">
        <f t="shared" si="28"/>
        <v>7.4969999999999999</v>
      </c>
      <c r="BB55" s="25">
        <f t="shared" si="27"/>
        <v>0.40000000000000213</v>
      </c>
      <c r="BC55" s="25">
        <f>IF(ISBLANK(G10),"",(AVERAGE($AY$49:AY55)))</f>
        <v>13.464285714285714</v>
      </c>
      <c r="BD55" s="13">
        <f t="shared" si="29"/>
        <v>2.5482857142857136</v>
      </c>
      <c r="BE55" s="6"/>
      <c r="BF55" s="556">
        <v>0.26041666666666669</v>
      </c>
      <c r="BG55" s="556">
        <v>0.61805555555555558</v>
      </c>
      <c r="BH55" s="556">
        <v>0.64027777777777783</v>
      </c>
      <c r="BI55" s="556">
        <v>0.4513888888888889</v>
      </c>
      <c r="BJ55" s="556">
        <v>0.63402777777777775</v>
      </c>
      <c r="BK55" s="18"/>
      <c r="BL55" s="78"/>
    </row>
    <row r="56" spans="1:64" ht="12.75" customHeight="1" thickBot="1" x14ac:dyDescent="0.25">
      <c r="A56" s="67"/>
      <c r="B56" s="707" t="s">
        <v>55</v>
      </c>
      <c r="C56" s="708"/>
      <c r="D56" s="709"/>
      <c r="E56" s="89">
        <f>IF(ISBLANK(H5),"",CORREL(I4:I34,R4:R34))</f>
        <v>0.34737023952113627</v>
      </c>
      <c r="F56" s="576">
        <f>IF(ISBLANK(H5),"",ABS(E56))</f>
        <v>0.34737023952113627</v>
      </c>
      <c r="J56" s="20"/>
      <c r="O56" s="20"/>
      <c r="T56" s="67"/>
      <c r="U56" s="7"/>
      <c r="V56" s="7"/>
      <c r="W56" s="25"/>
      <c r="X56" s="25"/>
      <c r="Y56" s="136"/>
      <c r="AD56" s="267"/>
      <c r="AE56" s="267"/>
      <c r="AF56" s="166"/>
      <c r="AG56" s="710" t="s">
        <v>126</v>
      </c>
      <c r="AH56" s="710"/>
      <c r="AI56" s="710"/>
      <c r="AJ56" s="710"/>
      <c r="AK56" s="313"/>
      <c r="AL56" s="152"/>
      <c r="AM56" s="67"/>
      <c r="AN56" s="181" t="s">
        <v>109</v>
      </c>
      <c r="AO56" s="88"/>
      <c r="AR56" s="6"/>
      <c r="AS56" s="637" t="s">
        <v>37</v>
      </c>
      <c r="AT56" s="638"/>
      <c r="AU56" s="92">
        <f>IF(AQ38=0,"",CORREL(Z4:Z34,AQ4:AQ34))</f>
        <v>0.70282874265557005</v>
      </c>
      <c r="AV56" s="577">
        <f>IF(AQ38=0,"",ABS(AU56))</f>
        <v>0.70282874265557005</v>
      </c>
      <c r="AX56" s="361">
        <v>8</v>
      </c>
      <c r="AY56" s="23">
        <f t="shared" si="26"/>
        <v>17.100000000000001</v>
      </c>
      <c r="AZ56" s="50"/>
      <c r="BA56" s="26">
        <f t="shared" si="28"/>
        <v>5.668000000000001</v>
      </c>
      <c r="BB56" s="25">
        <f t="shared" si="27"/>
        <v>0</v>
      </c>
      <c r="BC56" s="25">
        <f>IF(ISBLANK(G11),"",(AVERAGE($AY$49:AY56)))</f>
        <v>13.918749999999999</v>
      </c>
      <c r="BD56" s="13">
        <f t="shared" si="29"/>
        <v>2.9382499999999978</v>
      </c>
      <c r="BE56" s="6"/>
      <c r="BF56" s="556">
        <v>0.33333333333333331</v>
      </c>
      <c r="BG56" s="556">
        <v>0.71527777777777779</v>
      </c>
      <c r="BH56" s="556">
        <v>0.77777777777777779</v>
      </c>
      <c r="BI56" s="556">
        <v>0.36805555555555558</v>
      </c>
      <c r="BJ56" s="556">
        <v>0.58750000000000002</v>
      </c>
      <c r="BK56" s="18"/>
      <c r="BL56" s="78"/>
    </row>
    <row r="57" spans="1:64" ht="12.75" customHeight="1" x14ac:dyDescent="0.2">
      <c r="A57" s="67"/>
      <c r="B57" s="707" t="s">
        <v>94</v>
      </c>
      <c r="C57" s="708"/>
      <c r="D57" s="709"/>
      <c r="E57" s="89">
        <f>IF(ISBLANK(H5),"",CORREL(N4:N34,R4:R34))</f>
        <v>0.29974548738032042</v>
      </c>
      <c r="F57" s="576">
        <f>IF(ISBLANK(H5),"",ABS(E57))</f>
        <v>0.29974548738032042</v>
      </c>
      <c r="H57" s="720" t="s">
        <v>135</v>
      </c>
      <c r="I57" s="721"/>
      <c r="J57" s="193"/>
      <c r="K57" s="721" t="s">
        <v>35</v>
      </c>
      <c r="L57" s="721"/>
      <c r="M57" s="721"/>
      <c r="N57" s="721"/>
      <c r="O57" s="194"/>
      <c r="P57" s="721" t="s">
        <v>136</v>
      </c>
      <c r="Q57" s="721"/>
      <c r="R57" s="721"/>
      <c r="S57" s="721"/>
      <c r="T57" s="195"/>
      <c r="U57" s="651" t="s">
        <v>159</v>
      </c>
      <c r="V57" s="653" t="s">
        <v>134</v>
      </c>
      <c r="W57" s="655" t="s">
        <v>160</v>
      </c>
      <c r="X57" s="657" t="s">
        <v>181</v>
      </c>
      <c r="Y57" s="196"/>
      <c r="Z57" s="724" t="s">
        <v>133</v>
      </c>
      <c r="AA57" s="724"/>
      <c r="AB57" s="725"/>
      <c r="AC57" s="726" t="s">
        <v>122</v>
      </c>
      <c r="AD57" s="727"/>
      <c r="AE57" s="728"/>
      <c r="AF57" s="166"/>
      <c r="AH57" s="713">
        <f t="array" ref="AH57">MAX(FREQUENCY(IF(AW91:AW121=1,ROW(91:121)),IF(AW91:AW121&lt;&gt;1,ROW(91:121))))</f>
        <v>0</v>
      </c>
      <c r="AI57" s="713"/>
      <c r="AJ57" s="4"/>
      <c r="AK57" s="68"/>
      <c r="AL57" s="4"/>
      <c r="AM57" s="67"/>
      <c r="AN57" s="138">
        <f>IF(AN48=0,"",AN38/AN48)</f>
        <v>1</v>
      </c>
      <c r="AO57" s="223"/>
      <c r="AR57" s="6"/>
      <c r="AS57" s="637" t="s">
        <v>45</v>
      </c>
      <c r="AT57" s="638"/>
      <c r="AU57" s="92">
        <f>IF(AP4=AP5,"",IF(AP42=0,"",CORREL(AP4:AP34,R4:R34)))</f>
        <v>0.26871554975292711</v>
      </c>
      <c r="AV57" s="577">
        <f>IF(AP4=AP5,"",IF(AP42=0,"",ABS(AU57)))</f>
        <v>0.26871554975292711</v>
      </c>
      <c r="AX57" s="361">
        <v>9</v>
      </c>
      <c r="AY57" s="23">
        <f t="shared" si="26"/>
        <v>15.899999999999999</v>
      </c>
      <c r="AZ57" s="50"/>
      <c r="BA57" s="26">
        <f t="shared" si="28"/>
        <v>4.3389999999999977</v>
      </c>
      <c r="BB57" s="25">
        <f t="shared" si="27"/>
        <v>-0.40000000000000213</v>
      </c>
      <c r="BC57" s="25">
        <f>IF(ISBLANK(G12),"",(AVERAGE($AY$49:AY57)))</f>
        <v>14.138888888888889</v>
      </c>
      <c r="BD57" s="13">
        <f t="shared" si="29"/>
        <v>3.0938888888888862</v>
      </c>
      <c r="BE57" s="6"/>
      <c r="BF57" s="556">
        <v>0.23263888888888887</v>
      </c>
      <c r="BG57" s="556">
        <v>0.61458333333333337</v>
      </c>
      <c r="BH57" s="556">
        <v>0.6875</v>
      </c>
      <c r="BI57" s="556">
        <v>0.27083333333333331</v>
      </c>
      <c r="BJ57" s="556">
        <v>0.63958333333333328</v>
      </c>
      <c r="BK57" s="18"/>
      <c r="BL57" s="78"/>
    </row>
    <row r="58" spans="1:64" ht="12.75" x14ac:dyDescent="0.2">
      <c r="A58" s="67"/>
      <c r="B58" s="707" t="s">
        <v>14</v>
      </c>
      <c r="C58" s="708"/>
      <c r="D58" s="709"/>
      <c r="E58" s="89">
        <f>IF(ISBLANK(H5),"",CORREL(I4:I34,N4:N34))</f>
        <v>0.42281920718252053</v>
      </c>
      <c r="F58" s="576">
        <f>IF(ISBLANK(H5),"",ABS(E58))</f>
        <v>0.42281920718252053</v>
      </c>
      <c r="H58" s="722"/>
      <c r="I58" s="723"/>
      <c r="J58" s="204"/>
      <c r="K58" s="205" t="s">
        <v>2</v>
      </c>
      <c r="L58" s="206" t="s">
        <v>3</v>
      </c>
      <c r="M58" s="207" t="s">
        <v>156</v>
      </c>
      <c r="N58" s="208" t="s">
        <v>5</v>
      </c>
      <c r="O58" s="204"/>
      <c r="P58" s="205" t="s">
        <v>2</v>
      </c>
      <c r="Q58" s="206" t="s">
        <v>3</v>
      </c>
      <c r="R58" s="207" t="s">
        <v>4</v>
      </c>
      <c r="S58" s="208" t="s">
        <v>5</v>
      </c>
      <c r="T58" s="209"/>
      <c r="U58" s="652"/>
      <c r="V58" s="654"/>
      <c r="W58" s="656"/>
      <c r="X58" s="658"/>
      <c r="Y58" s="210"/>
      <c r="Z58" s="211" t="s">
        <v>137</v>
      </c>
      <c r="AA58" s="211" t="s">
        <v>235</v>
      </c>
      <c r="AB58" s="495" t="s">
        <v>138</v>
      </c>
      <c r="AC58" s="533" t="s">
        <v>140</v>
      </c>
      <c r="AD58" s="534" t="s">
        <v>235</v>
      </c>
      <c r="AE58" s="535" t="s">
        <v>141</v>
      </c>
      <c r="AF58" s="166"/>
      <c r="AG58" s="650"/>
      <c r="AH58" s="650"/>
      <c r="AI58" s="650"/>
      <c r="AJ58" s="650"/>
      <c r="AK58" s="6"/>
      <c r="AM58" s="67"/>
      <c r="AO58" s="224"/>
      <c r="AR58" s="6"/>
      <c r="AS58" s="637" t="s">
        <v>46</v>
      </c>
      <c r="AT58" s="638"/>
      <c r="AU58" s="92">
        <f>IF(ISBLANK(U5),"",CORREL(U4:U34,R4:R34))</f>
        <v>-0.27779657568257393</v>
      </c>
      <c r="AV58" s="577">
        <f>IF(ISBLANK(U5),"",ABS(AU58))</f>
        <v>0.27779657568257393</v>
      </c>
      <c r="AX58" s="361">
        <v>10</v>
      </c>
      <c r="AY58" s="23">
        <f t="shared" si="26"/>
        <v>15.049999999999999</v>
      </c>
      <c r="AZ58" s="50"/>
      <c r="BA58" s="26">
        <f t="shared" si="28"/>
        <v>3.359999999999999</v>
      </c>
      <c r="BB58" s="25">
        <f t="shared" si="27"/>
        <v>-1.1500000000000004</v>
      </c>
      <c r="BC58" s="25">
        <f>IF(ISBLANK(G13),"",(AVERAGE($AY$49:AY58)))</f>
        <v>14.23</v>
      </c>
      <c r="BD58" s="13">
        <f t="shared" si="29"/>
        <v>3.1204999999999972</v>
      </c>
      <c r="BE58" s="6"/>
      <c r="BF58" s="556">
        <v>0.24652777777777779</v>
      </c>
      <c r="BG58" s="556">
        <v>0.70138888888888884</v>
      </c>
      <c r="BH58" s="556">
        <v>0.71527777777777779</v>
      </c>
      <c r="BI58" s="556">
        <v>0.28472222222222221</v>
      </c>
      <c r="BJ58" s="556">
        <v>0.48333333333333334</v>
      </c>
      <c r="BK58" s="18"/>
      <c r="BL58" s="78"/>
    </row>
    <row r="59" spans="1:64" ht="12.75" x14ac:dyDescent="0.2">
      <c r="A59" s="67"/>
      <c r="B59" s="707" t="s">
        <v>52</v>
      </c>
      <c r="C59" s="708"/>
      <c r="D59" s="709"/>
      <c r="E59" s="89">
        <f>IF(ISBLANK(H5),"",CORREL(L4:L34,R4:R34))</f>
        <v>-0.1244009182179214</v>
      </c>
      <c r="F59" s="576">
        <f>IF(ISBLANK(H5),"",ABS(E59))</f>
        <v>0.1244009182179214</v>
      </c>
      <c r="H59" s="729" t="s">
        <v>19</v>
      </c>
      <c r="I59" s="730"/>
      <c r="J59" s="191"/>
      <c r="K59" s="100">
        <f>IF(ISBLANK(F4),"",AVERAGE(F4:F18))</f>
        <v>9.0533333333333328</v>
      </c>
      <c r="L59" s="100">
        <f>IF(ISBLANK(G4),"",AVERAGE(G4:G18))</f>
        <v>18.493333333333332</v>
      </c>
      <c r="M59" s="100">
        <f>IF(ISBLANK(H4),"",AVERAGE(H4:H18))</f>
        <v>14.093333333333335</v>
      </c>
      <c r="N59" s="100">
        <f>IF(ISBLANK(G4),"",AVERAGE(I4:I18))</f>
        <v>9.44</v>
      </c>
      <c r="O59" s="191"/>
      <c r="P59" s="100">
        <f>IF(ISBLANK(F4),"",K59-AVERAGE(F91:F105))</f>
        <v>1.8759999999999959</v>
      </c>
      <c r="Q59" s="100">
        <f>IF(ISBLANK(G4),"",L59-AVERAGE(G91:G105))</f>
        <v>2.8066666666666631</v>
      </c>
      <c r="R59" s="100">
        <f>IF(ISBLANK(H4),"",M59-AVERAGE(H91:H105))</f>
        <v>2.6613333333333316</v>
      </c>
      <c r="S59" s="100">
        <f>IF(ISBLANK(G4),"",N59-AVERAGE(I91:I105))</f>
        <v>0.9306666666666672</v>
      </c>
      <c r="T59" s="166"/>
      <c r="U59" s="342">
        <f>IF(ISBLANK(M4),"",AVERAGE(M4:M18))</f>
        <v>56.6</v>
      </c>
      <c r="V59" s="342">
        <f>IF(ISBLANK(P4),"",AVERAGE(R4:R18))</f>
        <v>1018.2333333333333</v>
      </c>
      <c r="W59" s="345">
        <f>IF(ISBLANK(U4),"",AVERAGE(U4:U18))</f>
        <v>5.8733333333333331</v>
      </c>
      <c r="X59" s="100">
        <f>IF(ISBLANK(AI4),"",AVERAGE(AI4:AI18))</f>
        <v>5.1599999999999993</v>
      </c>
      <c r="Y59" s="192"/>
      <c r="Z59" s="38">
        <f>IF(ISBLANK(Z4),"",SUM(Z4:Z18))</f>
        <v>4.0999999999999996</v>
      </c>
      <c r="AA59" s="492">
        <f>IF(ISBLANK(Z4),"",Z59/($Z$39/$E$34*15))</f>
        <v>0.14361581920903951</v>
      </c>
      <c r="AB59" s="496">
        <f>IF(Z38=0,"",Z59/$Z$38)</f>
        <v>0.17012448132780081</v>
      </c>
      <c r="AC59" s="499">
        <f>IF(ISBLANK(AP4),"",SUM(AP4:AP18))</f>
        <v>122.5</v>
      </c>
      <c r="AD59" s="492">
        <f>IF(ISBLANK(AP4),"",AC59/SUM(AS91:AS105))</f>
        <v>1.3673854295362293</v>
      </c>
      <c r="AE59" s="197">
        <f>IF(ISBLANK(AP4),"",AC59/$AP$38)</f>
        <v>0.56270096463022512</v>
      </c>
      <c r="AF59" s="166"/>
      <c r="AG59" s="712" t="s">
        <v>127</v>
      </c>
      <c r="AH59" s="712"/>
      <c r="AI59" s="712"/>
      <c r="AJ59" s="712"/>
      <c r="AK59" s="314"/>
      <c r="AL59" s="151"/>
      <c r="AM59" s="67"/>
      <c r="AN59" s="182" t="s">
        <v>66</v>
      </c>
      <c r="AO59" s="87"/>
      <c r="AP59" s="800" t="s">
        <v>97</v>
      </c>
      <c r="AQ59" s="800"/>
      <c r="AR59" s="6"/>
      <c r="AS59" s="637" t="s">
        <v>47</v>
      </c>
      <c r="AT59" s="638"/>
      <c r="AU59" s="92">
        <f>IF(AQ38=0,"",CORREL(AQ4:AQ34,R4:R34))</f>
        <v>-0.6321208621152985</v>
      </c>
      <c r="AV59" s="577">
        <f>IF(AQ38=0,"",ABS(AU59))</f>
        <v>0.6321208621152985</v>
      </c>
      <c r="AX59" s="361">
        <v>11</v>
      </c>
      <c r="AY59" s="23">
        <f t="shared" si="26"/>
        <v>13.7</v>
      </c>
      <c r="AZ59" s="50"/>
      <c r="BA59" s="26">
        <f t="shared" si="28"/>
        <v>1.8809999999999985</v>
      </c>
      <c r="BB59" s="25">
        <f t="shared" si="27"/>
        <v>-0.60000000000000142</v>
      </c>
      <c r="BC59" s="25">
        <f>IF(ISBLANK(G14),"",(AVERAGE($AY$49:AY59)))</f>
        <v>14.181818181818182</v>
      </c>
      <c r="BD59" s="13">
        <f t="shared" si="29"/>
        <v>3.0078181818181782</v>
      </c>
      <c r="BE59" s="6"/>
      <c r="BF59" s="556">
        <v>0.28125</v>
      </c>
      <c r="BG59" s="556">
        <v>0.72916666666666663</v>
      </c>
      <c r="BH59" s="556">
        <v>0.77083333333333337</v>
      </c>
      <c r="BI59" s="556">
        <v>0.32291666666666669</v>
      </c>
      <c r="BJ59" s="556">
        <v>0.63055555555555554</v>
      </c>
      <c r="BK59" s="18"/>
      <c r="BL59" s="78"/>
    </row>
    <row r="60" spans="1:64" ht="12.75" customHeight="1" x14ac:dyDescent="0.2">
      <c r="A60" s="67"/>
      <c r="B60" s="707" t="s">
        <v>57</v>
      </c>
      <c r="C60" s="708"/>
      <c r="D60" s="709"/>
      <c r="E60" s="89">
        <f>IF(ISBLANK(H5),"",CORREL(G4:G34,N4:N34))</f>
        <v>0.14955748163064048</v>
      </c>
      <c r="F60" s="576">
        <f>IF(ISBLANK(H5),"",ABS(E60))</f>
        <v>0.14955748163064048</v>
      </c>
      <c r="H60" s="729" t="s">
        <v>18</v>
      </c>
      <c r="I60" s="730"/>
      <c r="J60" s="191"/>
      <c r="K60" s="100">
        <f>IF(ISBLANK(F19),"",AVERAGE(F19:F34))</f>
        <v>9.8874999999999993</v>
      </c>
      <c r="L60" s="100">
        <f>IF(ISBLANK(G19),"",AVERAGE(G19:G34))</f>
        <v>18.518749999999997</v>
      </c>
      <c r="M60" s="100">
        <f>IF(ISBLANK(H19),"",AVERAGE(H19:H34))</f>
        <v>14.375000000000002</v>
      </c>
      <c r="N60" s="100">
        <f>IF(ISBLANK(G19),"",AVERAGE(I19:I34))</f>
        <v>8.6312499999999996</v>
      </c>
      <c r="O60" s="191"/>
      <c r="P60" s="100">
        <f>IF(ISBLANK(F19),"",K60-AVERAGE(F106:F121))</f>
        <v>0.63124999999999787</v>
      </c>
      <c r="Q60" s="100">
        <f>IF(ISBLANK(G19),"",L60-AVERAGE(G106:G121))</f>
        <v>0.92812499999998721</v>
      </c>
      <c r="R60" s="100">
        <f>IF(ISBLANK(H19),"",M60-AVERAGE(H106:H121))</f>
        <v>0.95156249999999609</v>
      </c>
      <c r="S60" s="100">
        <f>IF(ISBLANK(G19),"",N60-AVERAGE(I106:I121))</f>
        <v>0.29687499999998934</v>
      </c>
      <c r="T60" s="166"/>
      <c r="U60" s="342">
        <f>IF(ISBLANK(M19),"",AVERAGE(M19:M34))</f>
        <v>63.3125</v>
      </c>
      <c r="V60" s="342">
        <f>IF(ISBLANK(P19),"",AVERAGE(R19:R34))</f>
        <v>1017.03125</v>
      </c>
      <c r="W60" s="345">
        <f>IF(ISBLANK(U19),"",AVERAGE(U19:U34))</f>
        <v>6.2062499999999998</v>
      </c>
      <c r="X60" s="100">
        <f>IF(ISBLANK(AI19),"",AVERAGE(AI19:AI34))</f>
        <v>6.9812499999999993</v>
      </c>
      <c r="Y60" s="192"/>
      <c r="Z60" s="38">
        <f>IF(ISBLANK(Z19),"",SUM(Z19:Z34))</f>
        <v>20.000000000000004</v>
      </c>
      <c r="AA60" s="492">
        <f>IF(ISBLANK(Z19),"",(Z60/($Z$39/$E$34*16)))</f>
        <v>0.65677966101694929</v>
      </c>
      <c r="AB60" s="496">
        <f>IF(ISBLANK(Z19),"",Z60/$Z$38)</f>
        <v>0.82987551867219922</v>
      </c>
      <c r="AC60" s="118">
        <f>IF(ISBLANK(AP19),"",SUM(AP19:AP34))</f>
        <v>95.2</v>
      </c>
      <c r="AD60" s="492">
        <f>IF(ISBLANK(AP19),"",AC60/SUM(AS106:AS121))</f>
        <v>0.94808469810686113</v>
      </c>
      <c r="AE60" s="197">
        <f>IF(ISBLANK(AP19),"",AC60/$AP$38)</f>
        <v>0.43729903536977494</v>
      </c>
      <c r="AF60" s="166"/>
      <c r="AH60" s="713">
        <f t="array" ref="AH60">MAX(FREQUENCY(IF(AX91:AX121=1,ROW(91:121)),IF(AX91:AX121&lt;&gt;1,ROW(91:121))))</f>
        <v>6</v>
      </c>
      <c r="AI60" s="713"/>
      <c r="AJ60" s="4"/>
      <c r="AK60" s="68"/>
      <c r="AL60" s="4"/>
      <c r="AM60" s="67"/>
      <c r="AN60" s="53">
        <f t="array" ref="AN60">MAX(FREQUENCY(IF(AJ91:AJ121=1,ROW(53:83)),IF(AJ91:AJ121&lt;&gt;1,ROW(53:83))))</f>
        <v>2</v>
      </c>
      <c r="AO60" s="223"/>
      <c r="AP60" s="767" t="s">
        <v>525</v>
      </c>
      <c r="AQ60" s="767"/>
      <c r="AR60" s="6"/>
      <c r="AS60" s="801" t="s">
        <v>48</v>
      </c>
      <c r="AT60" s="802"/>
      <c r="AU60" s="96">
        <f>IF(U42=0,"",CORREL(U4:U34,S4:S34))</f>
        <v>-1.9165273775013137E-2</v>
      </c>
      <c r="AV60" s="577">
        <f>IF(U42=0,"",ABS(AU60))</f>
        <v>1.9165273775013137E-2</v>
      </c>
      <c r="AX60" s="361">
        <v>12</v>
      </c>
      <c r="AY60" s="23">
        <f t="shared" si="26"/>
        <v>13.3</v>
      </c>
      <c r="AZ60" s="50"/>
      <c r="BA60" s="26">
        <f t="shared" si="28"/>
        <v>1.351999999999999</v>
      </c>
      <c r="BB60" s="25">
        <f t="shared" si="27"/>
        <v>-0.5</v>
      </c>
      <c r="BC60" s="25">
        <f>IF(ISBLANK(G15),"",(AVERAGE($AY$49:AY60)))</f>
        <v>14.108333333333334</v>
      </c>
      <c r="BD60" s="13">
        <f t="shared" si="29"/>
        <v>2.8698333333333301</v>
      </c>
      <c r="BE60" s="6"/>
      <c r="BF60" s="556">
        <v>0.23958333333333334</v>
      </c>
      <c r="BG60" s="556">
        <v>0.65277777777777779</v>
      </c>
      <c r="BH60" s="556">
        <v>0.63888888888888895</v>
      </c>
      <c r="BI60" s="556">
        <v>0.28125</v>
      </c>
      <c r="BJ60" s="556">
        <v>0.58819444444444446</v>
      </c>
      <c r="BK60" s="18"/>
      <c r="BL60" s="78"/>
    </row>
    <row r="61" spans="1:64" ht="12.75" x14ac:dyDescent="0.2">
      <c r="A61" s="67"/>
      <c r="B61" s="707" t="s">
        <v>58</v>
      </c>
      <c r="C61" s="708"/>
      <c r="D61" s="709"/>
      <c r="E61" s="89">
        <f>IF(ISBLANK(H5),"",CORREL(G4:G34,K4:K34))</f>
        <v>-6.4379258844504669E-2</v>
      </c>
      <c r="F61" s="576">
        <f>IF(ISBLANK(H5),"",ABS(E61))</f>
        <v>6.4379258844504669E-2</v>
      </c>
      <c r="H61" s="198"/>
      <c r="I61" s="110"/>
      <c r="J61" s="191"/>
      <c r="K61" s="50"/>
      <c r="L61" s="50"/>
      <c r="M61" s="50"/>
      <c r="N61" s="50"/>
      <c r="O61" s="191"/>
      <c r="P61" s="50"/>
      <c r="Q61" s="50"/>
      <c r="R61" s="50"/>
      <c r="S61" s="50"/>
      <c r="T61" s="166"/>
      <c r="U61" s="343"/>
      <c r="V61" s="343"/>
      <c r="W61" s="346"/>
      <c r="X61" s="50"/>
      <c r="Y61" s="192"/>
      <c r="Z61" s="110"/>
      <c r="AA61" s="493"/>
      <c r="AB61" s="497"/>
      <c r="AC61" s="69"/>
      <c r="AD61" s="493"/>
      <c r="AE61" s="199"/>
      <c r="AF61" s="166"/>
      <c r="AK61" s="6"/>
      <c r="AM61" s="136"/>
      <c r="AO61" s="225"/>
      <c r="AP61" s="767"/>
      <c r="AQ61" s="767"/>
      <c r="AR61" s="6"/>
      <c r="AX61" s="361">
        <v>13</v>
      </c>
      <c r="AY61" s="23">
        <f t="shared" si="26"/>
        <v>13.5</v>
      </c>
      <c r="AZ61" s="50"/>
      <c r="BA61" s="26">
        <f t="shared" si="28"/>
        <v>1.4229999999999974</v>
      </c>
      <c r="BB61" s="25">
        <f t="shared" si="27"/>
        <v>-0.80000000000000071</v>
      </c>
      <c r="BC61" s="25">
        <f>IF(ISBLANK(G16),"",(AVERAGE($AY$49:AY61)))</f>
        <v>14.061538461538463</v>
      </c>
      <c r="BD61" s="13">
        <f t="shared" si="29"/>
        <v>2.7585384615384574</v>
      </c>
      <c r="BE61" s="6"/>
      <c r="BF61" s="556">
        <v>0.24305555555555555</v>
      </c>
      <c r="BG61" s="556">
        <v>0.58680555555555558</v>
      </c>
      <c r="BH61" s="556">
        <v>0.59375</v>
      </c>
      <c r="BI61" s="556">
        <v>0.27430555555555552</v>
      </c>
      <c r="BJ61" s="556">
        <v>0.67569444444444438</v>
      </c>
      <c r="BK61" s="18"/>
      <c r="BL61" s="78"/>
    </row>
    <row r="62" spans="1:64" ht="12.75" x14ac:dyDescent="0.2">
      <c r="A62" s="67"/>
      <c r="B62" s="707" t="s">
        <v>59</v>
      </c>
      <c r="C62" s="708"/>
      <c r="D62" s="709"/>
      <c r="E62" s="89">
        <f>IF(ISBLANK(H5),"",CORREL(I4:I34,K4:K34))</f>
        <v>-0.56174568741738617</v>
      </c>
      <c r="F62" s="576">
        <f>IF(ISBLANK(H5),"",ABS(E62))</f>
        <v>0.56174568741738617</v>
      </c>
      <c r="H62" s="729" t="s">
        <v>27</v>
      </c>
      <c r="I62" s="730"/>
      <c r="J62" s="191"/>
      <c r="K62" s="100">
        <f>IF(ISBLANK(F4),"",AVERAGE(F4:F13))</f>
        <v>9.27</v>
      </c>
      <c r="L62" s="100">
        <f>IF(ISBLANK(G4),"",AVERAGE(G4:G13))</f>
        <v>19.189999999999998</v>
      </c>
      <c r="M62" s="100">
        <f>IF(ISBLANK(H4),"",AVERAGE(H4:H13))</f>
        <v>14.41</v>
      </c>
      <c r="N62" s="100">
        <f>IF(ISBLANK(G4),"",AVERAGE(I4:I13))</f>
        <v>9.92</v>
      </c>
      <c r="O62" s="191"/>
      <c r="P62" s="100">
        <f>IF(ISBLANK(F4),"",K62-AVERAGE(F91:F100))</f>
        <v>2.4293333333333305</v>
      </c>
      <c r="Q62" s="100">
        <f>IF(ISBLANK(G4),"",L62-AVERAGE(G91:G100))</f>
        <v>3.8116666666666639</v>
      </c>
      <c r="R62" s="100">
        <f>IF(ISBLANK(H4),"",M62-AVERAGE(H91:H100))</f>
        <v>3.3004999999999995</v>
      </c>
      <c r="S62" s="100">
        <f>IF(ISBLANK(G4),"",N62-AVERAGE(I91:I100))</f>
        <v>1.3823333333333352</v>
      </c>
      <c r="T62" s="166"/>
      <c r="U62" s="342">
        <f>IF(ISBLANK(M4),"",AVERAGE(M4:M13))</f>
        <v>55.8</v>
      </c>
      <c r="V62" s="342">
        <f>IF(ISBLANK(P4),"",AVERAGE(R4:R13))</f>
        <v>1016.7</v>
      </c>
      <c r="W62" s="345">
        <f>IF(ISBLANK(U4),"",AVERAGE(U4:U13))</f>
        <v>6.05</v>
      </c>
      <c r="X62" s="100">
        <f>IF(ISBLANK(AI4),"",AVERAGE(AI4:AI13))</f>
        <v>5.19</v>
      </c>
      <c r="Y62" s="192"/>
      <c r="Z62" s="38">
        <f>IF(ISBLANK(Z4),"",SUM(Z4:Z13))</f>
        <v>4.0999999999999996</v>
      </c>
      <c r="AA62" s="492">
        <f>IF(ISBLANK(Z4),"",Z62/($Z$39/$E$34*10))</f>
        <v>0.21542372881355931</v>
      </c>
      <c r="AB62" s="496">
        <f>IF(Z38=0,"",Z62/$Z$38)</f>
        <v>0.17012448132780081</v>
      </c>
      <c r="AC62" s="118">
        <f>IF(ISBLANK(AP4),"",SUM(AP4:AP13))</f>
        <v>95</v>
      </c>
      <c r="AD62" s="492">
        <f>IF(ISBLANK(AP4),"",AC62/SUM(AS91:AS100))</f>
        <v>1.6053488361098891</v>
      </c>
      <c r="AE62" s="197">
        <f>IF(ISBLANK(AP4),"",AC62/$AP$38)</f>
        <v>0.43638033991731745</v>
      </c>
      <c r="AF62" s="222"/>
      <c r="AK62" s="6"/>
      <c r="AM62" s="136"/>
      <c r="AN62" s="180" t="s">
        <v>65</v>
      </c>
      <c r="AO62" s="226"/>
      <c r="AP62" s="767"/>
      <c r="AQ62" s="767"/>
      <c r="AR62" s="6"/>
      <c r="AS62" s="785" t="s">
        <v>4</v>
      </c>
      <c r="AT62" s="785"/>
      <c r="AU62" s="220">
        <f>IF(AQ38=0,"",AVERAGE(AV50:AV60))</f>
        <v>0.42939947012077107</v>
      </c>
      <c r="AV62" s="577">
        <f>AU62</f>
        <v>0.42939947012077107</v>
      </c>
      <c r="AX62" s="361">
        <v>14</v>
      </c>
      <c r="AY62" s="23">
        <f t="shared" si="26"/>
        <v>12.05</v>
      </c>
      <c r="AZ62" s="50"/>
      <c r="BA62" s="26">
        <f t="shared" si="28"/>
        <v>-0.1560000000000028</v>
      </c>
      <c r="BB62" s="25">
        <f t="shared" si="27"/>
        <v>-0.44999999999999929</v>
      </c>
      <c r="BC62" s="25">
        <f>IF(ISBLANK(G17),"",(AVERAGE($AY$49:AY62)))</f>
        <v>13.917857142857144</v>
      </c>
      <c r="BD62" s="13">
        <f t="shared" si="29"/>
        <v>2.550357142857139</v>
      </c>
      <c r="BE62" s="6"/>
      <c r="BF62" s="556">
        <v>0.23611111111111113</v>
      </c>
      <c r="BG62" s="556">
        <v>0.6875</v>
      </c>
      <c r="BH62" s="556">
        <v>0.69791666666666663</v>
      </c>
      <c r="BI62" s="556">
        <v>0.26041666666666669</v>
      </c>
      <c r="BJ62" s="556">
        <v>0.68055555555555547</v>
      </c>
      <c r="BK62" s="55"/>
      <c r="BL62" s="78"/>
    </row>
    <row r="63" spans="1:64" ht="12.75" customHeight="1" x14ac:dyDescent="0.2">
      <c r="A63" s="67"/>
      <c r="B63" s="707" t="s">
        <v>72</v>
      </c>
      <c r="C63" s="708"/>
      <c r="D63" s="709"/>
      <c r="E63" s="89">
        <f>IF(ISBLANK(H5),"",CORREL(R4:R34,K4:K34))</f>
        <v>-0.38780316715349572</v>
      </c>
      <c r="F63" s="576">
        <f>IF(ISBLANK(H5),"",ABS(E63))</f>
        <v>0.38780316715349572</v>
      </c>
      <c r="H63" s="729" t="s">
        <v>28</v>
      </c>
      <c r="I63" s="730"/>
      <c r="J63" s="191"/>
      <c r="K63" s="100">
        <f>IF(ISBLANK(F14),"",AVERAGE(F14:F23))</f>
        <v>9.5</v>
      </c>
      <c r="L63" s="100">
        <f>IF(ISBLANK(G14),"",AVERAGE(G14:G23))</f>
        <v>18.03</v>
      </c>
      <c r="M63" s="100">
        <f>IF(ISBLANK(H14),"",AVERAGE(H14:H23))</f>
        <v>14.080000000000002</v>
      </c>
      <c r="N63" s="100">
        <f>IF(ISBLANK(G14),"",AVERAGE(I14:I23))</f>
        <v>8.5300000000000011</v>
      </c>
      <c r="O63" s="191"/>
      <c r="P63" s="100">
        <f>IF(ISBLANK(F14),"",K63-AVERAGE(F101:F110))</f>
        <v>1.3126666666666651</v>
      </c>
      <c r="Q63" s="100">
        <f>IF(ISBLANK(G14),"",L63-AVERAGE(G101:G110))</f>
        <v>1.4183333333333294</v>
      </c>
      <c r="R63" s="100">
        <f>IF(ISBLANK(H14),"",M63-AVERAGE(H101:H110))</f>
        <v>1.6805000000000003</v>
      </c>
      <c r="S63" s="100">
        <f>IF(ISBLANK(G14),"",N63-AVERAGE(I101:I110))</f>
        <v>0.10566666666666613</v>
      </c>
      <c r="T63" s="166"/>
      <c r="U63" s="342">
        <f>IF(ISBLANK(M14),"",AVERAGE(M14:M23))</f>
        <v>62.1</v>
      </c>
      <c r="V63" s="342">
        <f>IF(ISBLANK(P14),"",AVERAGE(R14:R23))</f>
        <v>1019.8</v>
      </c>
      <c r="W63" s="345">
        <f>IF(ISBLANK(U14),"",AVERAGE(U14:U23))</f>
        <v>5.3500000000000005</v>
      </c>
      <c r="X63" s="100">
        <f>IF(ISBLANK(AI14),"",AVERAGE(AI14:AI23))</f>
        <v>6.5399999999999991</v>
      </c>
      <c r="Y63" s="192"/>
      <c r="Z63" s="38">
        <f>IF(ISBLANK(Z14),"",SUM(Z14:Z23))</f>
        <v>3</v>
      </c>
      <c r="AA63" s="492">
        <f>IF(ISBLANK(Z14),"",Z63/($Z$39/$E$34*10))</f>
        <v>0.15762711864406781</v>
      </c>
      <c r="AB63" s="496">
        <f>IF(ISBLANK(Z14),"",Z63/$Z$38)</f>
        <v>0.12448132780082986</v>
      </c>
      <c r="AC63" s="118">
        <f>IF(ISBLANK(AP14),"",SUM(AP14:AP23))</f>
        <v>47.2</v>
      </c>
      <c r="AD63" s="492">
        <f>IF(ISBLANK(AP14),"",AC63/SUM(AS101:AS110))</f>
        <v>0.76977185228275125</v>
      </c>
      <c r="AE63" s="197">
        <f>IF(ISBLANK(AP14),"",AC63/$AP$38)</f>
        <v>0.21681212677997247</v>
      </c>
      <c r="AF63" s="222"/>
      <c r="AK63" s="315"/>
      <c r="AL63" s="306"/>
      <c r="AM63" s="136"/>
      <c r="AN63" s="5">
        <f>MIN(AT79,AN92)</f>
        <v>9</v>
      </c>
      <c r="AO63" s="227"/>
      <c r="AP63" s="835" t="s">
        <v>271</v>
      </c>
      <c r="AQ63" s="835"/>
      <c r="AR63" s="6"/>
      <c r="AS63" s="785" t="s">
        <v>34</v>
      </c>
      <c r="AT63" s="785"/>
      <c r="AU63" s="9">
        <f>AN96+AN101</f>
        <v>5</v>
      </c>
      <c r="AV63" s="103" t="s">
        <v>69</v>
      </c>
      <c r="AX63" s="361">
        <v>15</v>
      </c>
      <c r="AY63" s="23">
        <f t="shared" si="26"/>
        <v>11.75</v>
      </c>
      <c r="AZ63" s="50"/>
      <c r="BA63" s="26">
        <f t="shared" si="28"/>
        <v>-0.58499999999999996</v>
      </c>
      <c r="BB63" s="25">
        <f t="shared" si="27"/>
        <v>-0.65000000000000036</v>
      </c>
      <c r="BC63" s="25">
        <f>IF(ISBLANK(G18),"",(AVERAGE($AY$49:AY63)))</f>
        <v>13.773333333333335</v>
      </c>
      <c r="BD63" s="13">
        <f t="shared" si="29"/>
        <v>2.3413333333333295</v>
      </c>
      <c r="BE63" s="6"/>
      <c r="BF63" s="556">
        <v>0.23611111111111113</v>
      </c>
      <c r="BG63" s="556">
        <v>0.68402777777777779</v>
      </c>
      <c r="BH63" s="556">
        <v>0.56944444444444442</v>
      </c>
      <c r="BI63" s="556">
        <v>0.19444444444444445</v>
      </c>
      <c r="BJ63" s="556">
        <v>0.66874999999999996</v>
      </c>
      <c r="BK63" s="18"/>
      <c r="BL63" s="78"/>
    </row>
    <row r="64" spans="1:64" ht="12.75" x14ac:dyDescent="0.2">
      <c r="A64" s="67"/>
      <c r="B64" s="707" t="s">
        <v>74</v>
      </c>
      <c r="C64" s="708"/>
      <c r="D64" s="709"/>
      <c r="E64" s="89">
        <f>IF(ISBLANK(H5),"",CORREL(K4:K34,N4:N34))</f>
        <v>-0.69617243125712447</v>
      </c>
      <c r="F64" s="576">
        <f>IF(ISBLANK(H5),"",ABS(E64))</f>
        <v>0.69617243125712447</v>
      </c>
      <c r="H64" s="729" t="s">
        <v>42</v>
      </c>
      <c r="I64" s="730"/>
      <c r="J64" s="191"/>
      <c r="K64" s="100">
        <f>IF(ISBLANK(F24),"",AVERAGE(F24:F34))</f>
        <v>9.663636363636364</v>
      </c>
      <c r="L64" s="100">
        <f>IF(ISBLANK(G24),"",AVERAGE(G24:G34))</f>
        <v>18.318181818181813</v>
      </c>
      <c r="M64" s="100">
        <f>IF(ISBLANK(H24),"",AVERAGE(H24:H34))</f>
        <v>14.227272727272727</v>
      </c>
      <c r="N64" s="100">
        <f>IF(ISBLANK(G24),"",AVERAGE(I24:I34))</f>
        <v>8.6545454545454543</v>
      </c>
      <c r="O64" s="191"/>
      <c r="P64" s="100">
        <f>IF(ISBLANK(F24),"",K64-AVERAGE(F111:F121))</f>
        <v>7.4545454545457801E-2</v>
      </c>
      <c r="Q64" s="100">
        <f>IF(ISBLANK(G24),"",L64-AVERAGE(G111:G121))</f>
        <v>0.42272727272725419</v>
      </c>
      <c r="R64" s="100">
        <f>IF(ISBLANK(H24),"",M64-AVERAGE(H111:H121))</f>
        <v>0.4849999999999941</v>
      </c>
      <c r="S64" s="100">
        <f>IF(ISBLANK(G24),"",N64-AVERAGE(I111:I121))</f>
        <v>0.34818181818180705</v>
      </c>
      <c r="T64" s="166"/>
      <c r="U64" s="342">
        <f>IF(ISBLANK(M24),"",AVERAGE(M24:M34))</f>
        <v>62.090909090909093</v>
      </c>
      <c r="V64" s="342">
        <f>IF(ISBLANK(P24),"",AVERAGE(R24:R34))</f>
        <v>1016.4545454545455</v>
      </c>
      <c r="W64" s="345">
        <f>IF(ISBLANK(U24),"",AVERAGE(U24:U34))</f>
        <v>6.672727272727272</v>
      </c>
      <c r="X64" s="100">
        <f>IF(ISBLANK(AI24),"",AVERAGE(AI24:AI34))</f>
        <v>6.5272727272727256</v>
      </c>
      <c r="Y64" s="192"/>
      <c r="Z64" s="38">
        <f>IF(ISBLANK(Z24),"",SUM(Z24:Z34))</f>
        <v>17</v>
      </c>
      <c r="AA64" s="492">
        <f>IF(ISBLANK(Z24),"",Z64/($Z$39/$E$34*11))</f>
        <v>0.81201848998459158</v>
      </c>
      <c r="AB64" s="496">
        <f>IF(ISBLANK(Z24),"",Z64/$Z$38)</f>
        <v>0.70539419087136923</v>
      </c>
      <c r="AC64" s="118">
        <f>IF(ISBLANK(AP24),"",SUM(AP24:AP34))</f>
        <v>75.5</v>
      </c>
      <c r="AD64" s="492">
        <f>IF(ISBLANK(AP24),"",AC64/SUM(AS111:AS121))</f>
        <v>1.0862377628220836</v>
      </c>
      <c r="AE64" s="197">
        <f>IF(ISBLANK(AP24),"",AC64/$AP$38)</f>
        <v>0.34680753330271019</v>
      </c>
      <c r="AF64" s="50"/>
      <c r="AG64" s="739" t="s">
        <v>177</v>
      </c>
      <c r="AH64" s="739"/>
      <c r="AI64" s="739"/>
      <c r="AJ64" s="739"/>
      <c r="AK64" s="68"/>
      <c r="AL64" s="4"/>
      <c r="AM64" s="136"/>
      <c r="AN64" s="105"/>
      <c r="AO64" s="228"/>
      <c r="AP64" s="835"/>
      <c r="AQ64" s="835"/>
      <c r="AR64" s="6"/>
      <c r="AX64" s="361">
        <v>16</v>
      </c>
      <c r="AY64" s="23">
        <f t="shared" si="26"/>
        <v>15.7</v>
      </c>
      <c r="AZ64" s="50"/>
      <c r="BA64" s="26">
        <f t="shared" si="28"/>
        <v>3.2359999999999953</v>
      </c>
      <c r="BB64" s="25">
        <f t="shared" si="27"/>
        <v>0.69999999999999929</v>
      </c>
      <c r="BC64" s="25">
        <f>IF(ISBLANK(G19),"",(AVERAGE($AY$49:AY64)))</f>
        <v>13.893750000000001</v>
      </c>
      <c r="BD64" s="13">
        <f t="shared" si="29"/>
        <v>2.3972499999999957</v>
      </c>
      <c r="BE64" s="6"/>
      <c r="BF64" s="556">
        <v>0.14930555555555555</v>
      </c>
      <c r="BG64" s="556">
        <v>0.65972222222222221</v>
      </c>
      <c r="BH64" s="556">
        <v>0.67708333333333337</v>
      </c>
      <c r="BI64" s="556">
        <v>0.27083333333333331</v>
      </c>
      <c r="BJ64" s="556">
        <v>0.43333333333333335</v>
      </c>
      <c r="BK64" s="18"/>
      <c r="BL64" s="78"/>
    </row>
    <row r="65" spans="1:64" ht="12.75" customHeight="1" thickBot="1" x14ac:dyDescent="0.25">
      <c r="A65" s="67"/>
      <c r="B65" s="707" t="s">
        <v>73</v>
      </c>
      <c r="C65" s="708"/>
      <c r="D65" s="709"/>
      <c r="E65" s="89">
        <f>IF(ISBLANK(H5),"",CORREL(F4:F34,I4:I34))</f>
        <v>-0.61127647227379434</v>
      </c>
      <c r="F65" s="576">
        <f>IF(ISBLANK(H5),"",ABS(E65))</f>
        <v>0.61127647227379434</v>
      </c>
      <c r="G65" s="21"/>
      <c r="H65" s="198"/>
      <c r="I65" s="110"/>
      <c r="J65" s="191"/>
      <c r="K65" s="50"/>
      <c r="L65" s="50"/>
      <c r="M65" s="50"/>
      <c r="N65" s="50"/>
      <c r="O65" s="191"/>
      <c r="P65" s="50"/>
      <c r="Q65" s="50"/>
      <c r="R65" s="50"/>
      <c r="S65" s="50"/>
      <c r="T65" s="166"/>
      <c r="U65" s="343"/>
      <c r="V65" s="343"/>
      <c r="W65" s="346"/>
      <c r="X65" s="50"/>
      <c r="Y65" s="192"/>
      <c r="Z65" s="110"/>
      <c r="AA65" s="493"/>
      <c r="AB65" s="497"/>
      <c r="AC65" s="69"/>
      <c r="AD65" s="493"/>
      <c r="AE65" s="199"/>
      <c r="AF65" s="50"/>
      <c r="AH65" s="713">
        <f>SUM(BH91:BH121)</f>
        <v>1</v>
      </c>
      <c r="AI65" s="713"/>
      <c r="AJ65" s="93">
        <f>IF(M53=0,"",AH65/M53)</f>
        <v>3.2258064516129031E-2</v>
      </c>
      <c r="AK65" s="6"/>
      <c r="AM65" s="136"/>
      <c r="AO65" s="229"/>
      <c r="AP65" s="835"/>
      <c r="AQ65" s="835"/>
      <c r="AR65" s="6"/>
      <c r="AV65" s="332"/>
      <c r="AW65" s="332"/>
      <c r="AX65" s="361">
        <v>17</v>
      </c>
      <c r="AY65" s="23">
        <f t="shared" si="26"/>
        <v>14.8</v>
      </c>
      <c r="AZ65" s="50"/>
      <c r="BA65" s="26">
        <f t="shared" si="28"/>
        <v>2.2069999999999954</v>
      </c>
      <c r="BB65" s="25">
        <f t="shared" si="27"/>
        <v>0.20000000000000107</v>
      </c>
      <c r="BC65" s="25">
        <f>IF(ISBLANK(G20),"",(AVERAGE($AY$49:AY65)))</f>
        <v>13.947058823529414</v>
      </c>
      <c r="BD65" s="13">
        <f t="shared" si="29"/>
        <v>2.386058823529408</v>
      </c>
      <c r="BE65" s="6"/>
      <c r="BF65" s="556">
        <v>0.23611111111111113</v>
      </c>
      <c r="BG65" s="556">
        <v>0.60416666666666663</v>
      </c>
      <c r="BH65" s="556">
        <v>0.60069444444444442</v>
      </c>
      <c r="BI65" s="556" t="s">
        <v>233</v>
      </c>
      <c r="BJ65" s="556">
        <v>0.6645833333333333</v>
      </c>
      <c r="BK65" s="18"/>
      <c r="BL65" s="78"/>
    </row>
    <row r="66" spans="1:64" ht="12.75" customHeight="1" thickTop="1" x14ac:dyDescent="0.2">
      <c r="A66" s="67"/>
      <c r="B66" s="707" t="s">
        <v>82</v>
      </c>
      <c r="C66" s="708"/>
      <c r="D66" s="709"/>
      <c r="E66" s="89">
        <f>IF(ISBLANK(H5),"",CORREL(G4:G34,I4:I34))</f>
        <v>0.52771105637231863</v>
      </c>
      <c r="F66" s="576">
        <f>IF(ISBLANK(H5),"",ABS(E66))</f>
        <v>0.52771105637231863</v>
      </c>
      <c r="H66" s="729" t="s">
        <v>29</v>
      </c>
      <c r="I66" s="730"/>
      <c r="J66" s="191"/>
      <c r="K66" s="100">
        <f>IF(ISBLANK(F4),"",AVERAGE(F4:F8))</f>
        <v>6.8599999999999994</v>
      </c>
      <c r="L66" s="100">
        <f>IF(ISBLANK(G4),"",AVERAGE(G4:G8))</f>
        <v>16.600000000000001</v>
      </c>
      <c r="M66" s="100">
        <f>IF(ISBLANK(H4),"",AVERAGE(H4:H8))</f>
        <v>11.76</v>
      </c>
      <c r="N66" s="100">
        <f>IF(ISBLANK(G4),"",AVERAGE(I4:I8))</f>
        <v>9.74</v>
      </c>
      <c r="O66" s="191"/>
      <c r="P66" s="100">
        <f>IF(ISBLANK(F4),"",K66-AVERAGE(F91:F95))</f>
        <v>0.35599999999999721</v>
      </c>
      <c r="Q66" s="100">
        <f>IF(ISBLANK(G4),"",L66-AVERAGE(G91:G95))</f>
        <v>1.5300000000000029</v>
      </c>
      <c r="R66" s="100">
        <f>IF(ISBLANK(H4),"",M66-AVERAGE(H91:H95))</f>
        <v>0.97299999999999898</v>
      </c>
      <c r="S66" s="100">
        <f>IF(ISBLANK(G4),"",N66-AVERAGE(I91:I95))</f>
        <v>1.1740000000000013</v>
      </c>
      <c r="T66" s="166"/>
      <c r="U66" s="342">
        <f>IF(ISBLANK(M4),"",AVERAGE(M4:M8))</f>
        <v>54.2</v>
      </c>
      <c r="V66" s="342">
        <f>IF(ISBLANK(P4),"",AVERAGE(R4:R8))</f>
        <v>1016.4</v>
      </c>
      <c r="W66" s="345">
        <f>IF(ISBLANK(U4),"",AVERAGE(U4:U8))</f>
        <v>7.0600000000000005</v>
      </c>
      <c r="X66" s="100">
        <f>IF(ISBLANK(AI4),"",AVERAGE(AI4:AI8))</f>
        <v>2.3199999999999998</v>
      </c>
      <c r="Y66" s="192"/>
      <c r="Z66" s="100">
        <f>IF(ISBLANK(Z4),"",SUM(Z4:Z8))</f>
        <v>0</v>
      </c>
      <c r="AA66" s="492">
        <f>IF(ISBLANK(Z4),"",Z66/($Z$39/$E$34*5))</f>
        <v>0</v>
      </c>
      <c r="AB66" s="496">
        <f>IF(Z38=0,"",Z66/$Z$38)</f>
        <v>0</v>
      </c>
      <c r="AC66" s="165">
        <f>IF(ISBLANK(AP4),"",SUM(AP4:AP8))</f>
        <v>54.5</v>
      </c>
      <c r="AD66" s="492">
        <f>IF(ISBLANK(AP4),"",AC66/SUM(AS91:AS95))</f>
        <v>1.8598234758633632</v>
      </c>
      <c r="AE66" s="197">
        <f>IF(ISBLANK(AP4),"",AC66/$AP$38)</f>
        <v>0.25034451079467157</v>
      </c>
      <c r="AF66" s="50"/>
      <c r="AG66" s="650"/>
      <c r="AH66" s="650"/>
      <c r="AI66" s="650"/>
      <c r="AJ66" s="650"/>
      <c r="AK66" s="316"/>
      <c r="AM66" s="136"/>
      <c r="AN66" s="190" t="s">
        <v>254</v>
      </c>
      <c r="AO66" s="229"/>
      <c r="AP66" s="835"/>
      <c r="AQ66" s="835"/>
      <c r="AR66" s="6"/>
      <c r="AT66" s="186" t="s">
        <v>86</v>
      </c>
      <c r="AU66" s="186"/>
      <c r="AV66" s="571"/>
      <c r="AW66" s="571"/>
      <c r="AX66" s="361">
        <v>18</v>
      </c>
      <c r="AY66" s="23">
        <f t="shared" si="26"/>
        <v>15.2</v>
      </c>
      <c r="AZ66" s="50"/>
      <c r="BA66" s="26">
        <f t="shared" si="28"/>
        <v>2.477999999999998</v>
      </c>
      <c r="BB66" s="25">
        <f t="shared" si="27"/>
        <v>0.39999999999999858</v>
      </c>
      <c r="BC66" s="25">
        <f>IF(ISBLANK(G21),"",(AVERAGE($AY$49:AY66)))</f>
        <v>14.016666666666667</v>
      </c>
      <c r="BD66" s="13">
        <f t="shared" si="29"/>
        <v>2.3911666666666633</v>
      </c>
      <c r="BE66" s="6"/>
      <c r="BF66" s="556">
        <v>0.21875</v>
      </c>
      <c r="BG66" s="556">
        <v>0.67361111111111116</v>
      </c>
      <c r="BH66" s="556">
        <v>0.70138888888888884</v>
      </c>
      <c r="BI66" s="556">
        <v>0.31597222222222221</v>
      </c>
      <c r="BJ66" s="556">
        <v>0.44930555555555557</v>
      </c>
      <c r="BK66" s="18"/>
      <c r="BL66" s="78"/>
    </row>
    <row r="67" spans="1:64" ht="12.75" x14ac:dyDescent="0.2">
      <c r="A67" s="67"/>
      <c r="B67" s="740"/>
      <c r="C67" s="741"/>
      <c r="D67" s="741"/>
      <c r="E67" s="157"/>
      <c r="F67" s="576"/>
      <c r="H67" s="729" t="s">
        <v>36</v>
      </c>
      <c r="I67" s="730"/>
      <c r="J67" s="191"/>
      <c r="K67" s="100">
        <f>IF(ISBLANK(F9),"",AVERAGE(F9:F13))</f>
        <v>11.680000000000001</v>
      </c>
      <c r="L67" s="100">
        <f>IF(ISBLANK(G9),"",AVERAGE(G9:G13))</f>
        <v>21.78</v>
      </c>
      <c r="M67" s="100">
        <f>IF(ISBLANK(H9),"",AVERAGE(H9:H13))</f>
        <v>17.060000000000002</v>
      </c>
      <c r="N67" s="100">
        <f>IF(ISBLANK(G9),"",AVERAGE(I9:I13))</f>
        <v>10.1</v>
      </c>
      <c r="O67" s="191"/>
      <c r="P67" s="100">
        <f>IF(ISBLANK(F9),"",K67-AVERAGE(F96:F100))</f>
        <v>4.5026666666666646</v>
      </c>
      <c r="Q67" s="100">
        <f>IF(ISBLANK(G9),"",L67-AVERAGE(G96:G100))</f>
        <v>6.0933333333333337</v>
      </c>
      <c r="R67" s="100">
        <f>IF(ISBLANK(H9),"",M67-AVERAGE(H96:H100))</f>
        <v>5.6280000000000019</v>
      </c>
      <c r="S67" s="100">
        <f>IF(ISBLANK(G9),"",N67-AVERAGE(I96:I100))</f>
        <v>1.5906666666666691</v>
      </c>
      <c r="T67" s="166"/>
      <c r="U67" s="342">
        <f>IF(ISBLANK(M9),"",AVERAGE(M9:M13))</f>
        <v>57.4</v>
      </c>
      <c r="V67" s="342">
        <f>IF(ISBLANK(P9),"",AVERAGE(R9:R13))</f>
        <v>1017</v>
      </c>
      <c r="W67" s="345">
        <f>IF(ISBLANK(U9),"",AVERAGE(U9:U13))</f>
        <v>5.04</v>
      </c>
      <c r="X67" s="100">
        <f>IF(ISBLANK(AI9),"",AVERAGE(AI9:AI13))</f>
        <v>8.06</v>
      </c>
      <c r="Y67" s="192"/>
      <c r="Z67" s="100">
        <f>IF(ISBLANK(Z9),"",SUM(Z9:Z13))</f>
        <v>4.0999999999999996</v>
      </c>
      <c r="AA67" s="492">
        <f>IF(ISBLANK(Z9),"",Z67/($Z$39/$E$34*5))</f>
        <v>0.43084745762711862</v>
      </c>
      <c r="AB67" s="496">
        <f>IF(ISBLANK(Z9),"",Z67/$Z$38)</f>
        <v>0.17012448132780081</v>
      </c>
      <c r="AC67" s="165">
        <f>IF(ISBLANK(AP9),"",SUM(AP9:AP13))</f>
        <v>40.5</v>
      </c>
      <c r="AD67" s="492">
        <f>IF(ISBLANK(AP9),"",AC67/SUM(AS96:AS100))</f>
        <v>1.3557250904585973</v>
      </c>
      <c r="AE67" s="197">
        <f>IF(ISBLANK(AP9),"",AC67/$AP$38)</f>
        <v>0.18603582912264585</v>
      </c>
      <c r="AF67" s="50"/>
      <c r="AG67" s="780" t="s">
        <v>178</v>
      </c>
      <c r="AH67" s="780"/>
      <c r="AI67" s="780"/>
      <c r="AJ67" s="780"/>
      <c r="AK67" s="84"/>
      <c r="AM67" s="71"/>
      <c r="AN67" s="5">
        <f t="array" ref="AN67">SUM(IF(AP4:AP34&gt;0.25*AT91:AT121,1,0))</f>
        <v>22</v>
      </c>
      <c r="AO67" s="229"/>
      <c r="AP67" s="835"/>
      <c r="AQ67" s="835"/>
      <c r="AR67" s="6"/>
      <c r="AT67" s="187">
        <f>M53-AT70</f>
        <v>6</v>
      </c>
      <c r="AU67" s="187"/>
      <c r="AV67" s="571"/>
      <c r="AW67" s="571"/>
      <c r="AX67" s="361">
        <v>19</v>
      </c>
      <c r="AY67" s="23">
        <f t="shared" si="26"/>
        <v>13.05</v>
      </c>
      <c r="AZ67" s="50"/>
      <c r="BA67" s="26">
        <f t="shared" si="28"/>
        <v>0.19899999999999451</v>
      </c>
      <c r="BB67" s="25">
        <f t="shared" si="27"/>
        <v>-0.94999999999999929</v>
      </c>
      <c r="BC67" s="25">
        <f>IF(ISBLANK(G22),"",(AVERAGE($AY$49:AY67)))</f>
        <v>13.965789473684211</v>
      </c>
      <c r="BD67" s="13">
        <f t="shared" si="29"/>
        <v>2.2757894736842075</v>
      </c>
      <c r="BE67" s="6"/>
      <c r="BF67" s="556">
        <v>0.23611111111111113</v>
      </c>
      <c r="BG67" s="556">
        <v>0.6875</v>
      </c>
      <c r="BH67" s="556">
        <v>0.69791666666666663</v>
      </c>
      <c r="BI67" s="556">
        <v>0.28472222222222221</v>
      </c>
      <c r="BJ67" s="556">
        <v>0.81319444444444444</v>
      </c>
      <c r="BK67" s="18"/>
      <c r="BL67" s="78"/>
    </row>
    <row r="68" spans="1:64" ht="12.75" customHeight="1" x14ac:dyDescent="0.2">
      <c r="A68" s="67"/>
      <c r="B68" s="731" t="s">
        <v>4</v>
      </c>
      <c r="C68" s="732"/>
      <c r="D68" s="732"/>
      <c r="E68" s="582">
        <f>IF(ISBLANK(H5),"",AVERAGE(F48:F66))</f>
        <v>0.35536004629770818</v>
      </c>
      <c r="F68" s="576">
        <f>IF(ISBLANK(H5),"",ABS(E68))</f>
        <v>0.35536004629770818</v>
      </c>
      <c r="H68" s="729" t="s">
        <v>30</v>
      </c>
      <c r="I68" s="730"/>
      <c r="J68" s="191"/>
      <c r="K68" s="100">
        <f>IF(ISBLANK(F14),"",AVERAGE(F14:F18))</f>
        <v>8.6199999999999992</v>
      </c>
      <c r="L68" s="100">
        <f>IF(ISBLANK(G14),"",AVERAGE(G14:G18))</f>
        <v>17.100000000000001</v>
      </c>
      <c r="M68" s="100">
        <f>IF(ISBLANK(H14),"",AVERAGE(H14:H18))</f>
        <v>13.460000000000003</v>
      </c>
      <c r="N68" s="100">
        <f>IF(ISBLANK(G14),"",AVERAGE(I14:I18))</f>
        <v>8.48</v>
      </c>
      <c r="O68" s="191"/>
      <c r="P68" s="100">
        <f>IF(ISBLANK(F14),"",K68-AVERAGE(F101:F105))</f>
        <v>0.76933333333333032</v>
      </c>
      <c r="Q68" s="100">
        <f>IF(ISBLANK(G14),"",L68-AVERAGE(G101:G105))</f>
        <v>0.79666666666666686</v>
      </c>
      <c r="R68" s="100">
        <f>IF(ISBLANK(H14),"",M68-AVERAGE(H101:H105))</f>
        <v>1.3830000000000009</v>
      </c>
      <c r="S68" s="100">
        <f>IF(ISBLANK(G14),"",N68-AVERAGE(I101:I105))</f>
        <v>2.733333333333654E-2</v>
      </c>
      <c r="T68" s="166"/>
      <c r="U68" s="342">
        <f>IF(ISBLANK(M14),"",AVERAGE(M14:M18))</f>
        <v>58.2</v>
      </c>
      <c r="V68" s="342">
        <f>IF(ISBLANK(P14),"",AVERAGE(R14:R18))</f>
        <v>1021.3</v>
      </c>
      <c r="W68" s="345">
        <f>IF(ISBLANK(U14),"",AVERAGE(U14:U18))</f>
        <v>5.5200000000000005</v>
      </c>
      <c r="X68" s="100">
        <f>IF(ISBLANK(AI14),"",AVERAGE(AI14:AI18))</f>
        <v>5.0999999999999996</v>
      </c>
      <c r="Y68" s="192"/>
      <c r="Z68" s="100">
        <f>IF(ISBLANK(Z14),"",SUM(Z14:Z18))</f>
        <v>0</v>
      </c>
      <c r="AA68" s="492">
        <f>IF(ISBLANK(Z14),"",Z68/($Z$39/$E$34*5))</f>
        <v>0</v>
      </c>
      <c r="AB68" s="496">
        <f>IF(ISBLANK(Z14),"",Z68/$Z$38)</f>
        <v>0</v>
      </c>
      <c r="AC68" s="165">
        <f>IF(ISBLANK(AP14),"",SUM(AP14:AP18))</f>
        <v>27.5</v>
      </c>
      <c r="AD68" s="492">
        <f>IF(ISBLANK(AP14),"",AC68/SUM(AS101:AS105))</f>
        <v>0.90431192756073076</v>
      </c>
      <c r="AE68" s="197">
        <f>IF(ISBLANK(AP14),"",AC68/$AP$38)</f>
        <v>0.12632062471290767</v>
      </c>
      <c r="AF68" s="50"/>
      <c r="AH68" s="781">
        <f>SUM(AY91:AY121)</f>
        <v>17</v>
      </c>
      <c r="AI68" s="781"/>
      <c r="AJ68" s="93">
        <f>IF(M53=0,"",AH68/M53)</f>
        <v>0.54838709677419351</v>
      </c>
      <c r="AK68" s="6"/>
      <c r="AM68" s="136"/>
      <c r="AO68" s="228"/>
      <c r="AP68" s="835"/>
      <c r="AQ68" s="835"/>
      <c r="AR68" s="6"/>
      <c r="AT68" s="4"/>
      <c r="AU68" s="4"/>
      <c r="AV68" s="571"/>
      <c r="AW68" s="571"/>
      <c r="AX68" s="361">
        <v>20</v>
      </c>
      <c r="AY68" s="23">
        <f t="shared" si="26"/>
        <v>14.600000000000001</v>
      </c>
      <c r="AZ68" s="50"/>
      <c r="BA68" s="26">
        <f t="shared" si="28"/>
        <v>1.6199999999999939</v>
      </c>
      <c r="BB68" s="25">
        <f t="shared" si="27"/>
        <v>-0.49999999999999822</v>
      </c>
      <c r="BC68" s="25">
        <f>IF(ISBLANK(G23),"",(AVERAGE($AY$49:AY68)))</f>
        <v>13.997500000000002</v>
      </c>
      <c r="BD68" s="13">
        <f t="shared" si="29"/>
        <v>2.2429999999999977</v>
      </c>
      <c r="BE68" s="6"/>
      <c r="BF68" s="556">
        <v>0.24305555555555555</v>
      </c>
      <c r="BG68" s="556">
        <v>0.54513888888888895</v>
      </c>
      <c r="BH68" s="556">
        <v>0.58333333333333337</v>
      </c>
      <c r="BI68" s="556">
        <v>0.28125</v>
      </c>
      <c r="BJ68" s="556">
        <v>0.59513888888888888</v>
      </c>
      <c r="BK68" s="54"/>
      <c r="BL68" s="78"/>
    </row>
    <row r="69" spans="1:64" ht="12.75" customHeight="1" x14ac:dyDescent="0.2">
      <c r="A69" s="67"/>
      <c r="B69" s="731" t="s">
        <v>34</v>
      </c>
      <c r="C69" s="732"/>
      <c r="D69" s="732"/>
      <c r="E69" s="583">
        <f>AN100+AN97</f>
        <v>5</v>
      </c>
      <c r="F69" s="85" t="s">
        <v>90</v>
      </c>
      <c r="H69" s="729" t="s">
        <v>31</v>
      </c>
      <c r="I69" s="730"/>
      <c r="J69" s="191"/>
      <c r="K69" s="100">
        <f>IF(ISBLANK(F19),"",AVERAGE(F19:F23))</f>
        <v>10.379999999999999</v>
      </c>
      <c r="L69" s="100">
        <f>IF(ISBLANK(G19),"",AVERAGE(G19:G23))</f>
        <v>18.96</v>
      </c>
      <c r="M69" s="100">
        <f>IF(ISBLANK(H19),"",AVERAGE(H19:H23))</f>
        <v>14.7</v>
      </c>
      <c r="N69" s="100">
        <f>IF(ISBLANK(G19),"",AVERAGE(I19:I23))</f>
        <v>8.58</v>
      </c>
      <c r="O69" s="191"/>
      <c r="P69" s="100">
        <f>IF(ISBLANK(F19),"",K69-AVERAGE(F106:F110))</f>
        <v>1.8559999999999963</v>
      </c>
      <c r="Q69" s="100">
        <f>IF(ISBLANK(G19),"",L69-AVERAGE(G106:G110))</f>
        <v>2.039999999999992</v>
      </c>
      <c r="R69" s="100">
        <f>IF(ISBLANK(H19),"",M69-AVERAGE(H106:H110))</f>
        <v>1.9779999999999944</v>
      </c>
      <c r="S69" s="100">
        <f>IF(ISBLANK(G19),"",N69-AVERAGE(I106:I110))</f>
        <v>0.18399999999999572</v>
      </c>
      <c r="T69" s="166"/>
      <c r="U69" s="342">
        <f>IF(ISBLANK(M19),"",AVERAGE(M19:M23))</f>
        <v>66</v>
      </c>
      <c r="V69" s="342">
        <f>IF(ISBLANK(P19),"",AVERAGE(R19:R23))</f>
        <v>1018.3</v>
      </c>
      <c r="W69" s="345">
        <f>IF(ISBLANK(U19),"",AVERAGE(U19:U23))</f>
        <v>5.18</v>
      </c>
      <c r="X69" s="100">
        <f>IF(ISBLANK(AI19),"",AVERAGE(AI19:AI23))</f>
        <v>7.9799999999999995</v>
      </c>
      <c r="Y69" s="192"/>
      <c r="Z69" s="100">
        <f>IF(ISBLANK(Z19),"",SUM(Z19:Z23))</f>
        <v>3</v>
      </c>
      <c r="AA69" s="492">
        <f>IF(ISBLANK(Z19),"",Z69/($Z$39/$E$34*5))</f>
        <v>0.31525423728813562</v>
      </c>
      <c r="AB69" s="496">
        <f>IF(ISBLANK(Z19),"",Z69/$Z$38)</f>
        <v>0.12448132780082986</v>
      </c>
      <c r="AC69" s="165">
        <f>IF(ISBLANK(AP19),"",SUM(AP19:AP23))</f>
        <v>19.7</v>
      </c>
      <c r="AD69" s="492">
        <f>IF(ISBLANK(AP19),"",AC69/SUM(AS106:AS110))</f>
        <v>0.63739588910247758</v>
      </c>
      <c r="AE69" s="197">
        <f>IF(ISBLANK(AP19),"",AC69/$AP$38)</f>
        <v>9.0491502067064772E-2</v>
      </c>
      <c r="AF69" s="50"/>
      <c r="AK69" s="6"/>
      <c r="AM69" s="136"/>
      <c r="AN69" s="183" t="s">
        <v>255</v>
      </c>
      <c r="AO69" s="228"/>
      <c r="AP69" s="767" t="s">
        <v>195</v>
      </c>
      <c r="AQ69" s="767"/>
      <c r="AR69" s="6"/>
      <c r="AT69" s="189" t="s">
        <v>85</v>
      </c>
      <c r="AU69" s="189"/>
      <c r="AV69" s="603"/>
      <c r="AW69" s="571"/>
      <c r="AX69" s="361">
        <v>21</v>
      </c>
      <c r="AY69" s="23">
        <f t="shared" si="26"/>
        <v>14.4</v>
      </c>
      <c r="AZ69" s="50"/>
      <c r="BA69" s="26">
        <f t="shared" si="28"/>
        <v>1.2909999999999999</v>
      </c>
      <c r="BB69" s="25">
        <f t="shared" si="27"/>
        <v>-1.7000000000000011</v>
      </c>
      <c r="BC69" s="25">
        <f>IF(ISBLANK(G24),"",(AVERAGE($AY$49:AY69)))</f>
        <v>14.016666666666667</v>
      </c>
      <c r="BD69" s="13">
        <f t="shared" si="29"/>
        <v>2.1976666666666635</v>
      </c>
      <c r="BE69" s="6"/>
      <c r="BF69" s="556">
        <v>0.23611111111111113</v>
      </c>
      <c r="BG69" s="556">
        <v>0.63194444444444442</v>
      </c>
      <c r="BH69" s="556">
        <v>0.79166666666666663</v>
      </c>
      <c r="BI69" s="556">
        <v>0.27777777777777779</v>
      </c>
      <c r="BJ69" s="556">
        <v>0.75902777777777775</v>
      </c>
      <c r="BK69" s="54"/>
      <c r="BL69" s="78"/>
    </row>
    <row r="70" spans="1:64" ht="12.75" x14ac:dyDescent="0.2">
      <c r="A70" s="67"/>
      <c r="B70" s="160"/>
      <c r="C70" s="161"/>
      <c r="D70" s="161"/>
      <c r="E70" s="158"/>
      <c r="F70" s="120"/>
      <c r="H70" s="729" t="s">
        <v>32</v>
      </c>
      <c r="I70" s="730"/>
      <c r="J70" s="191"/>
      <c r="K70" s="100">
        <f>IF(ISBLANK(F24),"",AVERAGE(F24:F28))</f>
        <v>8.7600000000000016</v>
      </c>
      <c r="L70" s="100">
        <f>IF(ISBLANK(G24),"",AVERAGE(G24:G28))</f>
        <v>19.559999999999995</v>
      </c>
      <c r="M70" s="100">
        <f>IF(ISBLANK(H24),"",AVERAGE(H24:H28))</f>
        <v>14.8</v>
      </c>
      <c r="N70" s="100">
        <f>IF(ISBLANK(G24),"",AVERAGE(I24:I28))</f>
        <v>10.8</v>
      </c>
      <c r="O70" s="191"/>
      <c r="P70" s="100">
        <f>IF(ISBLANK(F24),"",K70-AVERAGE(F111:F115))</f>
        <v>-0.43733333333333135</v>
      </c>
      <c r="Q70" s="100">
        <f>IF(ISBLANK(G24),"",L70-AVERAGE(G111:G115))</f>
        <v>2.0233333333333157</v>
      </c>
      <c r="R70" s="100">
        <f>IF(ISBLANK(H24),"",M70-AVERAGE(H111:H115))</f>
        <v>1.4329999999999963</v>
      </c>
      <c r="S70" s="100">
        <f>IF(ISBLANK(G24),"",N70-AVERAGE(I111:I115))</f>
        <v>2.4606666666666577</v>
      </c>
      <c r="T70" s="166"/>
      <c r="U70" s="342">
        <f>IF(ISBLANK(M24),"",AVERAGE(M24:M28))</f>
        <v>53.8</v>
      </c>
      <c r="V70" s="342">
        <f>IF(ISBLANK(P24),"",AVERAGE(R24:R28))</f>
        <v>1019.8</v>
      </c>
      <c r="W70" s="345">
        <f>IF(ISBLANK(U24),"",AVERAGE(U24:U28))</f>
        <v>7.0399999999999991</v>
      </c>
      <c r="X70" s="100">
        <f>IF(ISBLANK(AI24),"",AVERAGE(AI24:AI28))</f>
        <v>4.92</v>
      </c>
      <c r="Y70" s="192"/>
      <c r="Z70" s="100">
        <f>IF(ISBLANK(Z24),"",SUM(Z24:Z28))</f>
        <v>1.2000000000000002</v>
      </c>
      <c r="AA70" s="492">
        <f>IF(ISBLANK(Z24),"",Z70/($Z$39/$E$34*5))</f>
        <v>0.12610169491525428</v>
      </c>
      <c r="AB70" s="496">
        <f>IF(ISBLANK(Z24),"",Z70/$Z$38)</f>
        <v>4.9792531120331954E-2</v>
      </c>
      <c r="AC70" s="165">
        <f>IF(ISBLANK(AP24),"",SUM(AP24:AP28))</f>
        <v>52</v>
      </c>
      <c r="AD70" s="492">
        <f>IF(ISBLANK(AP24),"",AC70/SUM(AS111:AS115))</f>
        <v>1.6582817900086717</v>
      </c>
      <c r="AE70" s="197">
        <f>IF(ISBLANK(AP24),"",AC70/$AP$38)</f>
        <v>0.2388608176389527</v>
      </c>
      <c r="AF70" s="50"/>
      <c r="AK70" s="6"/>
      <c r="AM70" s="149"/>
      <c r="AN70" s="5">
        <f>M53-AN67</f>
        <v>9</v>
      </c>
      <c r="AO70" s="88"/>
      <c r="AP70" s="767"/>
      <c r="AQ70" s="767"/>
      <c r="AR70" s="6"/>
      <c r="AT70" s="5">
        <f>M53-SUM(BI91:BI121)</f>
        <v>25</v>
      </c>
      <c r="AU70" s="5"/>
      <c r="AV70" s="571"/>
      <c r="AW70" s="571"/>
      <c r="AX70" s="361">
        <v>22</v>
      </c>
      <c r="AY70" s="23">
        <f t="shared" si="26"/>
        <v>14.850000000000001</v>
      </c>
      <c r="AZ70" s="50"/>
      <c r="BA70" s="26">
        <f t="shared" si="28"/>
        <v>1.611999999999993</v>
      </c>
      <c r="BB70" s="25">
        <f t="shared" si="27"/>
        <v>-4.9999999999998934E-2</v>
      </c>
      <c r="BC70" s="25">
        <f>IF(ISBLANK(G25),"",(AVERAGE($AY$49:AY70)))</f>
        <v>14.054545454545456</v>
      </c>
      <c r="BD70" s="13">
        <f t="shared" si="29"/>
        <v>2.1710454545454509</v>
      </c>
      <c r="BE70" s="6"/>
      <c r="BF70" s="556">
        <v>0.28472222222222221</v>
      </c>
      <c r="BG70" s="556">
        <v>0.63194444444444442</v>
      </c>
      <c r="BH70" s="556">
        <v>0.66666666666666663</v>
      </c>
      <c r="BI70" s="556">
        <v>0.24305555555555555</v>
      </c>
      <c r="BJ70" s="556">
        <v>0.62013888888888891</v>
      </c>
      <c r="BK70" s="54"/>
      <c r="BL70" s="78"/>
    </row>
    <row r="71" spans="1:64" ht="13.5" customHeight="1" thickBot="1" x14ac:dyDescent="0.25">
      <c r="A71" s="67"/>
      <c r="B71" s="748" t="s">
        <v>7</v>
      </c>
      <c r="C71" s="749"/>
      <c r="D71" s="749"/>
      <c r="E71" s="221" t="s">
        <v>15</v>
      </c>
      <c r="F71" s="120"/>
      <c r="G71" s="575" t="s">
        <v>340</v>
      </c>
      <c r="H71" s="750" t="s">
        <v>43</v>
      </c>
      <c r="I71" s="751"/>
      <c r="J71" s="200"/>
      <c r="K71" s="201">
        <f>IF(ISBLANK(F29),"",AVERAGE(F29:F34))</f>
        <v>10.416666666666666</v>
      </c>
      <c r="L71" s="201">
        <f>IF(ISBLANK(G29),"",AVERAGE(G29:G34))</f>
        <v>17.283333333333335</v>
      </c>
      <c r="M71" s="201">
        <f>IF(ISBLANK(H29),"",AVERAGE(H29:H34))</f>
        <v>13.75</v>
      </c>
      <c r="N71" s="201">
        <f>IF(ISBLANK(G29),"",AVERAGE(I29:I34))</f>
        <v>6.8666666666666671</v>
      </c>
      <c r="O71" s="200"/>
      <c r="P71" s="201">
        <f>IF(ISBLANK(F29),"",K71-AVERAGE(F116:F121))</f>
        <v>0.50111111111111128</v>
      </c>
      <c r="Q71" s="201">
        <f>IF(ISBLANK(G29),"",L71-AVERAGE(G116:G121))</f>
        <v>-0.91111111111112209</v>
      </c>
      <c r="R71" s="201">
        <f>IF(ISBLANK(H29),"",M71-AVERAGE(H116:H121))</f>
        <v>-0.30500000000000504</v>
      </c>
      <c r="S71" s="201">
        <f>IF(ISBLANK(G29),"",N71-AVERAGE(I116:I121))</f>
        <v>-1.4122222222222351</v>
      </c>
      <c r="T71" s="202"/>
      <c r="U71" s="344">
        <f>IF(ISBLANK(M29),"",AVERAGE(M29:M34))</f>
        <v>69</v>
      </c>
      <c r="V71" s="344">
        <f>IF(ISBLANK(P29),"",AVERAGE(R29:R34))</f>
        <v>1013.6666666666666</v>
      </c>
      <c r="W71" s="347">
        <f>IF(ISBLANK(U29),"",AVERAGE(U29:U34))</f>
        <v>6.3666666666666671</v>
      </c>
      <c r="X71" s="201">
        <f>IF(ISBLANK(AI29),"",AVERAGE(AI29:AI34))</f>
        <v>7.8666666666666671</v>
      </c>
      <c r="Y71" s="203"/>
      <c r="Z71" s="201">
        <f>IF(ISBLANK(Z29),"",SUM(Z29:Z34))</f>
        <v>15.799999999999999</v>
      </c>
      <c r="AA71" s="494">
        <f>IF(ISBLANK(Z29),"",Z71/($Z$39/$E$34*6))</f>
        <v>1.3836158192090393</v>
      </c>
      <c r="AB71" s="498">
        <f>IF(ISBLANK(Z29),"",Z71/$Z$38)</f>
        <v>0.65560165975103724</v>
      </c>
      <c r="AC71" s="255">
        <f>IF(ISBLANK(AP29),"",SUM(AP29:AP34))</f>
        <v>23.5</v>
      </c>
      <c r="AD71" s="494">
        <f>IF(ISBLANK(AP29),"",AC71/SUM(AS116:AS121))</f>
        <v>0.61601853455910449</v>
      </c>
      <c r="AE71" s="256">
        <f>IF(ISBLANK(AP29),"",AC71/$AP$38)</f>
        <v>0.10794671566375746</v>
      </c>
      <c r="AF71" s="50"/>
      <c r="AG71" s="739" t="s">
        <v>125</v>
      </c>
      <c r="AH71" s="739"/>
      <c r="AI71" s="739"/>
      <c r="AJ71" s="739"/>
      <c r="AK71" s="315"/>
      <c r="AL71" s="306"/>
      <c r="AM71" s="136"/>
      <c r="AO71" s="88"/>
      <c r="AP71" s="767"/>
      <c r="AQ71" s="767"/>
      <c r="AR71" s="6"/>
      <c r="AT71" s="52"/>
      <c r="AU71" s="52"/>
      <c r="AV71" s="571"/>
      <c r="AW71" s="571"/>
      <c r="AX71" s="361">
        <v>23</v>
      </c>
      <c r="AY71" s="23">
        <f t="shared" si="26"/>
        <v>14.6</v>
      </c>
      <c r="AZ71" s="50"/>
      <c r="BA71" s="26">
        <f t="shared" si="28"/>
        <v>1.2329999999999917</v>
      </c>
      <c r="BB71" s="25">
        <f t="shared" si="27"/>
        <v>0.69999999999999929</v>
      </c>
      <c r="BC71" s="25">
        <f>IF(ISBLANK(G26),"",(AVERAGE($AY$49:AY71)))</f>
        <v>14.07826086956522</v>
      </c>
      <c r="BD71" s="13">
        <f t="shared" si="29"/>
        <v>2.1302608695652143</v>
      </c>
      <c r="BE71" s="6"/>
      <c r="BF71" s="556">
        <v>0.18055555555555555</v>
      </c>
      <c r="BG71" s="556">
        <v>0.57638888888888895</v>
      </c>
      <c r="BH71" s="556">
        <v>0.57638888888888895</v>
      </c>
      <c r="BI71" s="556">
        <v>0.29166666666666669</v>
      </c>
      <c r="BJ71" s="556">
        <v>0.58888888888888891</v>
      </c>
      <c r="BK71" s="54"/>
      <c r="BL71" s="78"/>
    </row>
    <row r="72" spans="1:64" ht="12.75" customHeight="1" x14ac:dyDescent="0.2">
      <c r="A72" s="67"/>
      <c r="B72" s="742" t="s">
        <v>33</v>
      </c>
      <c r="C72" s="743"/>
      <c r="D72" s="744"/>
      <c r="E72" s="89">
        <f>IF(Z38=0,"",CORREL(Z4:Z34,R4:R34))</f>
        <v>-0.46711083835451456</v>
      </c>
      <c r="F72" s="576">
        <f>IF(Z38=0,"",ABS(E72))</f>
        <v>0.46711083835451456</v>
      </c>
      <c r="G72" s="574">
        <f>IF(Z38=0,"",IF(AQ86&lt;0.5,"n/a",CORREL(Y4:Y34,R4:R34)))</f>
        <v>-0.57250076432690855</v>
      </c>
      <c r="H72" s="102"/>
      <c r="I72" s="21"/>
      <c r="J72" s="20"/>
      <c r="K72" s="21"/>
      <c r="O72" s="20"/>
      <c r="Q72" s="122"/>
      <c r="S72" s="100"/>
      <c r="T72" s="166"/>
      <c r="W72" s="24"/>
      <c r="X72" s="24"/>
      <c r="Y72" s="192"/>
      <c r="Z72" s="24"/>
      <c r="AA72" s="24"/>
      <c r="AB72" s="24"/>
      <c r="AC72" s="24"/>
      <c r="AF72" s="6"/>
      <c r="AH72" s="713">
        <f t="array" ref="AH72">MAX(FREQUENCY(IF(BH91:BH121=1,ROW(91:121)),IF(BH91:BH121&lt;&gt;1,ROW(91:121))))</f>
        <v>1</v>
      </c>
      <c r="AI72" s="713"/>
      <c r="AJ72" s="4"/>
      <c r="AK72" s="68"/>
      <c r="AL72" s="474"/>
      <c r="AM72" s="136"/>
      <c r="AN72" s="185" t="s">
        <v>123</v>
      </c>
      <c r="AO72" s="409"/>
      <c r="AP72" s="767"/>
      <c r="AQ72" s="767"/>
      <c r="AR72" s="6"/>
      <c r="AT72" s="307" t="s">
        <v>87</v>
      </c>
      <c r="AU72" s="307"/>
      <c r="AV72" s="571"/>
      <c r="AW72" s="571"/>
      <c r="AX72" s="361">
        <v>24</v>
      </c>
      <c r="AY72" s="23">
        <f t="shared" si="26"/>
        <v>13.6</v>
      </c>
      <c r="AZ72" s="50"/>
      <c r="BA72" s="26">
        <f t="shared" si="28"/>
        <v>0.10400000000000009</v>
      </c>
      <c r="BB72" s="25">
        <f t="shared" si="27"/>
        <v>-0.20000000000000107</v>
      </c>
      <c r="BC72" s="25">
        <f>IF(ISBLANK(G27),"",(AVERAGE($AY$49:AY72)))</f>
        <v>14.058333333333337</v>
      </c>
      <c r="BD72" s="13">
        <f t="shared" si="29"/>
        <v>2.0458333333333294</v>
      </c>
      <c r="BE72" s="6"/>
      <c r="BF72" s="556">
        <v>0.22569444444444445</v>
      </c>
      <c r="BG72" s="556">
        <v>0.6875</v>
      </c>
      <c r="BH72" s="556">
        <v>0.77083333333333337</v>
      </c>
      <c r="BI72" s="556">
        <v>0.23958333333333334</v>
      </c>
      <c r="BJ72" s="556">
        <v>0.50902777777777775</v>
      </c>
      <c r="BK72" s="54"/>
      <c r="BL72" s="78"/>
    </row>
    <row r="73" spans="1:64" ht="12.75" customHeight="1" x14ac:dyDescent="0.2">
      <c r="A73" s="67"/>
      <c r="B73" s="742" t="s">
        <v>61</v>
      </c>
      <c r="C73" s="743"/>
      <c r="D73" s="744"/>
      <c r="E73" s="89">
        <f>IF(Z38=0,"",CORREL(Z4:Z34,H4:H34))</f>
        <v>5.239432909197793E-3</v>
      </c>
      <c r="F73" s="576">
        <f>IF(Z38=0,"",ABS(E73))</f>
        <v>5.239432909197793E-3</v>
      </c>
      <c r="H73" s="102"/>
      <c r="J73" s="20"/>
      <c r="K73" s="231"/>
      <c r="L73" s="4" t="s">
        <v>352</v>
      </c>
      <c r="M73" s="4" t="s">
        <v>10</v>
      </c>
      <c r="N73" s="122"/>
      <c r="O73" s="20"/>
      <c r="Q73" s="753" t="s">
        <v>103</v>
      </c>
      <c r="R73" s="754"/>
      <c r="S73" s="754"/>
      <c r="T73" s="754"/>
      <c r="U73" s="754"/>
      <c r="V73" s="754"/>
      <c r="W73" s="754"/>
      <c r="X73" s="754"/>
      <c r="Y73" s="754"/>
      <c r="Z73" s="754"/>
      <c r="AA73" s="754"/>
      <c r="AB73" s="755"/>
      <c r="AC73" s="303"/>
      <c r="AD73" s="800" t="s">
        <v>270</v>
      </c>
      <c r="AE73" s="800"/>
      <c r="AF73" s="6"/>
      <c r="AG73" s="650"/>
      <c r="AH73" s="650"/>
      <c r="AI73" s="650"/>
      <c r="AJ73" s="650"/>
      <c r="AK73" s="6"/>
      <c r="AL73" s="477"/>
      <c r="AM73" s="136"/>
      <c r="AN73" s="138">
        <f>IF(M53=0,"",AN67/M53)</f>
        <v>0.70967741935483875</v>
      </c>
      <c r="AO73" s="409"/>
      <c r="AP73" s="783" t="s">
        <v>269</v>
      </c>
      <c r="AQ73" s="661"/>
      <c r="AR73" s="6"/>
      <c r="AT73" s="587">
        <f>IF(AT67=0,"",AT67/M53)</f>
        <v>0.19354838709677419</v>
      </c>
      <c r="AU73" s="587"/>
      <c r="AV73" s="571"/>
      <c r="AW73" s="571"/>
      <c r="AX73" s="361">
        <v>25</v>
      </c>
      <c r="AY73" s="23">
        <f t="shared" si="26"/>
        <v>13.350000000000001</v>
      </c>
      <c r="AZ73" s="50"/>
      <c r="BA73" s="26">
        <f t="shared" si="28"/>
        <v>-0.27500000000000835</v>
      </c>
      <c r="BB73" s="25">
        <f t="shared" si="27"/>
        <v>-1.9499999999999993</v>
      </c>
      <c r="BC73" s="25">
        <f>IF(ISBLANK(G28),"",(AVERAGE($AY$49:AY73)))</f>
        <v>14.030000000000005</v>
      </c>
      <c r="BD73" s="13">
        <f t="shared" si="29"/>
        <v>1.9529999999999945</v>
      </c>
      <c r="BE73" s="6"/>
      <c r="BF73" s="556">
        <v>0.23263888888888887</v>
      </c>
      <c r="BG73" s="556">
        <v>0.57638888888888895</v>
      </c>
      <c r="BH73" s="556">
        <v>0.71180555555555547</v>
      </c>
      <c r="BI73" s="556">
        <v>0.27777777777777779</v>
      </c>
      <c r="BJ73" s="556">
        <v>0.49861111111111112</v>
      </c>
      <c r="BK73" s="54"/>
      <c r="BL73" s="78"/>
    </row>
    <row r="74" spans="1:64" ht="12.75" customHeight="1" x14ac:dyDescent="0.2">
      <c r="A74" s="67"/>
      <c r="B74" s="742" t="s">
        <v>60</v>
      </c>
      <c r="C74" s="743"/>
      <c r="D74" s="744"/>
      <c r="E74" s="89">
        <f>IF(Z38=0,"",CORREL(Z4:Z34,G4:G34))</f>
        <v>-0.19848257234677083</v>
      </c>
      <c r="F74" s="576">
        <f>IF(Z38=0,"",ABS(E74))</f>
        <v>0.19848257234677083</v>
      </c>
      <c r="G74" s="236"/>
      <c r="H74" s="747" t="s">
        <v>2</v>
      </c>
      <c r="I74" s="237" t="s">
        <v>203</v>
      </c>
      <c r="J74" s="245"/>
      <c r="K74" s="106">
        <f>F39</f>
        <v>8.3000000000000007</v>
      </c>
      <c r="L74" s="108" t="str">
        <f>IF(ISBLANK(F4),"",(IF(M54=0,"n/a",(E34*K74-M53*F38)/M54)))</f>
        <v>n/a</v>
      </c>
      <c r="M74" s="106" t="str">
        <f>IF(ISBLANK(F4),"",IF(M54&gt;0,L74-F39,"n/a"))</f>
        <v>n/a</v>
      </c>
      <c r="N74" s="246" t="s">
        <v>142</v>
      </c>
      <c r="O74" s="67"/>
      <c r="Q74" s="733" t="s">
        <v>527</v>
      </c>
      <c r="R74" s="734"/>
      <c r="S74" s="734"/>
      <c r="T74" s="734"/>
      <c r="U74" s="734"/>
      <c r="V74" s="734"/>
      <c r="W74" s="734"/>
      <c r="X74" s="734"/>
      <c r="Y74" s="734"/>
      <c r="Z74" s="734"/>
      <c r="AA74" s="734"/>
      <c r="AB74" s="735"/>
      <c r="AC74" s="437"/>
      <c r="AD74" s="1" t="s">
        <v>238</v>
      </c>
      <c r="AE74" s="1" t="s">
        <v>244</v>
      </c>
      <c r="AF74" s="6"/>
      <c r="AG74" s="780" t="s">
        <v>130</v>
      </c>
      <c r="AH74" s="780"/>
      <c r="AI74" s="780"/>
      <c r="AJ74" s="780"/>
      <c r="AK74" s="316"/>
      <c r="AL74" s="477"/>
      <c r="AM74" s="136"/>
      <c r="AO74" s="88"/>
      <c r="AP74" s="661"/>
      <c r="AQ74" s="661"/>
      <c r="AR74" s="6"/>
      <c r="AV74" s="571"/>
      <c r="AW74" s="571"/>
      <c r="AX74" s="361">
        <v>26</v>
      </c>
      <c r="AY74" s="23">
        <f t="shared" si="26"/>
        <v>13</v>
      </c>
      <c r="AZ74" s="50"/>
      <c r="BA74" s="26">
        <f t="shared" si="28"/>
        <v>-0.75400000000000933</v>
      </c>
      <c r="BB74" s="25">
        <f t="shared" si="27"/>
        <v>-0.19999999999999929</v>
      </c>
      <c r="BC74" s="25">
        <f>IF(ISBLANK(G29),"",(AVERAGE($AY$49:AY74)))</f>
        <v>13.99038461538462</v>
      </c>
      <c r="BD74" s="13">
        <f t="shared" si="29"/>
        <v>1.8488846153846117</v>
      </c>
      <c r="BE74" s="6"/>
      <c r="BF74" s="556">
        <v>0.26041666666666669</v>
      </c>
      <c r="BG74" s="556">
        <v>0.58333333333333337</v>
      </c>
      <c r="BH74" s="556" t="s">
        <v>274</v>
      </c>
      <c r="BI74" s="556" t="s">
        <v>532</v>
      </c>
      <c r="BJ74" s="556">
        <v>0.60972222222222217</v>
      </c>
      <c r="BK74" s="54"/>
      <c r="BL74" s="78"/>
    </row>
    <row r="75" spans="1:64" ht="12.75" customHeight="1" x14ac:dyDescent="0.2">
      <c r="A75" s="67"/>
      <c r="B75" s="742" t="s">
        <v>64</v>
      </c>
      <c r="C75" s="743"/>
      <c r="D75" s="744"/>
      <c r="E75" s="89">
        <f>IF(Z38=0,"",CORREL(Z4:Z34,I4:I34))</f>
        <v>-0.39331177714764565</v>
      </c>
      <c r="F75" s="576">
        <f>IF(Z38=0,"",ABS(E75))</f>
        <v>0.39331177714764565</v>
      </c>
      <c r="G75" s="236"/>
      <c r="H75" s="746"/>
      <c r="I75" s="238" t="s">
        <v>149</v>
      </c>
      <c r="J75" s="191"/>
      <c r="K75" s="249">
        <f>F39</f>
        <v>8.3000000000000007</v>
      </c>
      <c r="L75" s="91">
        <f>IF(ISBLANK(F4),"",(M54*K75+M53*F38)/E34)</f>
        <v>9.4838709677419359</v>
      </c>
      <c r="M75" s="232">
        <f>IF(ISBLANK(F4),"",L75-F39)</f>
        <v>1.1838709677419352</v>
      </c>
      <c r="N75" s="248" t="s">
        <v>148</v>
      </c>
      <c r="O75" s="67"/>
      <c r="Q75" s="736"/>
      <c r="R75" s="737"/>
      <c r="S75" s="737"/>
      <c r="T75" s="737"/>
      <c r="U75" s="737"/>
      <c r="V75" s="737"/>
      <c r="W75" s="737"/>
      <c r="X75" s="737"/>
      <c r="Y75" s="737"/>
      <c r="Z75" s="737"/>
      <c r="AA75" s="737"/>
      <c r="AB75" s="738"/>
      <c r="AC75" s="437"/>
      <c r="AD75" s="1" t="s">
        <v>240</v>
      </c>
      <c r="AE75" s="1" t="s">
        <v>245</v>
      </c>
      <c r="AF75" s="6"/>
      <c r="AH75" s="781">
        <f t="array" ref="AH75">MAX(FREQUENCY(IF(AY91:AY121=1,ROW(91:121)),IF(AY91:AY121&lt;&gt;1,ROW(91:121))))</f>
        <v>9</v>
      </c>
      <c r="AI75" s="781"/>
      <c r="AJ75" s="5"/>
      <c r="AK75" s="84"/>
      <c r="AL75" s="5"/>
      <c r="AM75" s="136"/>
      <c r="AN75" s="184" t="s">
        <v>293</v>
      </c>
      <c r="AO75" s="88"/>
      <c r="AP75" s="661"/>
      <c r="AQ75" s="661"/>
      <c r="AR75" s="6"/>
      <c r="AT75" s="589" t="s">
        <v>84</v>
      </c>
      <c r="AU75" s="589"/>
      <c r="AV75" s="571"/>
      <c r="AW75" s="571"/>
      <c r="AX75" s="361">
        <v>27</v>
      </c>
      <c r="AY75" s="23">
        <f t="shared" si="26"/>
        <v>12.899999999999999</v>
      </c>
      <c r="AZ75" s="50"/>
      <c r="BA75" s="26">
        <f t="shared" si="28"/>
        <v>-0.98299999999999965</v>
      </c>
      <c r="BB75" s="25">
        <f t="shared" si="27"/>
        <v>9.9999999999997868E-2</v>
      </c>
      <c r="BC75" s="25">
        <f>IF(ISBLANK(G30),"",(AVERAGE($AY$49:AY75)))</f>
        <v>13.950000000000003</v>
      </c>
      <c r="BD75" s="13">
        <f t="shared" si="29"/>
        <v>1.7439999999999967</v>
      </c>
      <c r="BE75" s="6"/>
      <c r="BF75" s="556">
        <v>0.23958333333333334</v>
      </c>
      <c r="BG75" s="556">
        <v>0.8125</v>
      </c>
      <c r="BH75" s="556">
        <v>0.83333333333333337</v>
      </c>
      <c r="BI75" s="556">
        <v>0.33680555555555558</v>
      </c>
      <c r="BJ75" s="556">
        <v>0.57222222222222219</v>
      </c>
      <c r="BK75" s="54"/>
      <c r="BL75" s="78"/>
    </row>
    <row r="76" spans="1:64" ht="12.75" customHeight="1" x14ac:dyDescent="0.2">
      <c r="A76" s="67"/>
      <c r="B76" s="742" t="s">
        <v>62</v>
      </c>
      <c r="C76" s="743"/>
      <c r="D76" s="744"/>
      <c r="E76" s="89">
        <f>IF(Z38=0,"",CORREL(Z4:Z34,M4:M34))</f>
        <v>0.31871590424499668</v>
      </c>
      <c r="F76" s="576">
        <f>IF(Z38=0,"",ABS(E76))</f>
        <v>0.31871590424499668</v>
      </c>
      <c r="G76" s="236"/>
      <c r="H76" s="745" t="s">
        <v>3</v>
      </c>
      <c r="I76" s="237" t="s">
        <v>203</v>
      </c>
      <c r="J76" s="191"/>
      <c r="K76" s="90">
        <f>G39</f>
        <v>16.7</v>
      </c>
      <c r="L76" s="38" t="str">
        <f>IF(ISBLANK(G4),"",IF(M54&gt;0,(E34*K76-G38*M53)/M54,"n/a"))</f>
        <v>n/a</v>
      </c>
      <c r="M76" s="90" t="str">
        <f>IF(ISBLANK(G4),"",IF(M54&gt;0,L76-G39,"n/a"))</f>
        <v>n/a</v>
      </c>
      <c r="N76" s="247" t="s">
        <v>142</v>
      </c>
      <c r="O76" s="67"/>
      <c r="Q76" s="832" t="s">
        <v>528</v>
      </c>
      <c r="R76" s="833"/>
      <c r="S76" s="833"/>
      <c r="T76" s="833"/>
      <c r="U76" s="833"/>
      <c r="V76" s="833"/>
      <c r="W76" s="833"/>
      <c r="X76" s="833"/>
      <c r="Y76" s="833"/>
      <c r="Z76" s="833"/>
      <c r="AA76" s="833"/>
      <c r="AB76" s="834"/>
      <c r="AC76" s="437"/>
      <c r="AD76" s="1" t="s">
        <v>241</v>
      </c>
      <c r="AE76" s="1" t="s">
        <v>246</v>
      </c>
      <c r="AF76" s="6"/>
      <c r="AK76" s="6"/>
      <c r="AM76" s="136"/>
      <c r="AN76" s="5">
        <f>COUNTIF(AP4:AP34, "0")</f>
        <v>0</v>
      </c>
      <c r="AO76" s="88"/>
      <c r="AP76" s="782" t="s">
        <v>272</v>
      </c>
      <c r="AQ76" s="782"/>
      <c r="AR76" s="6"/>
      <c r="AT76" s="188">
        <f>AN94</f>
        <v>2</v>
      </c>
      <c r="AU76" s="188"/>
      <c r="AV76" s="571"/>
      <c r="AW76" s="571"/>
      <c r="AX76" s="361">
        <v>28</v>
      </c>
      <c r="AY76" s="23">
        <f t="shared" si="26"/>
        <v>12.399999999999999</v>
      </c>
      <c r="AZ76" s="50"/>
      <c r="BA76" s="26">
        <f t="shared" si="28"/>
        <v>-1.6120000000000108</v>
      </c>
      <c r="BB76" s="25">
        <f t="shared" si="27"/>
        <v>-0.50000000000000178</v>
      </c>
      <c r="BC76" s="25">
        <f>IF(ISBLANK(G31),"",(AVERAGE($AY$49:AY76)))</f>
        <v>13.894642857142859</v>
      </c>
      <c r="BD76" s="13">
        <f t="shared" si="29"/>
        <v>1.6241428571428544</v>
      </c>
      <c r="BE76" s="6"/>
      <c r="BF76" s="556">
        <v>0.21180555555555555</v>
      </c>
      <c r="BG76" s="556">
        <v>0.70486111111111116</v>
      </c>
      <c r="BH76" s="556">
        <v>0.81597222222222221</v>
      </c>
      <c r="BI76" s="556">
        <v>0.3923611111111111</v>
      </c>
      <c r="BJ76" s="556">
        <v>0.79652777777777783</v>
      </c>
      <c r="BK76" s="54"/>
      <c r="BL76" s="78"/>
    </row>
    <row r="77" spans="1:64" ht="12.75" customHeight="1" x14ac:dyDescent="0.2">
      <c r="A77" s="67"/>
      <c r="B77" s="742" t="s">
        <v>95</v>
      </c>
      <c r="C77" s="743"/>
      <c r="D77" s="744"/>
      <c r="E77" s="89">
        <f>IF(Z38=0,"",CORREL(Z4:Z34,L4:L34))</f>
        <v>0.34341830301841625</v>
      </c>
      <c r="F77" s="576">
        <f>IF(Z38=0,"",ABS(E77))</f>
        <v>0.34341830301841625</v>
      </c>
      <c r="G77" s="236"/>
      <c r="H77" s="746"/>
      <c r="I77" s="238" t="s">
        <v>149</v>
      </c>
      <c r="J77" s="191"/>
      <c r="K77" s="249">
        <f>G39</f>
        <v>16.7</v>
      </c>
      <c r="L77" s="91">
        <f>IF(ISBLANK(G4),"",(M54*K77+M53*G38)/E34)</f>
        <v>18.506451612903231</v>
      </c>
      <c r="M77" s="233">
        <f>IF(ISBLANK(G4),"",L77-G39)</f>
        <v>1.8064516129032313</v>
      </c>
      <c r="N77" s="248" t="s">
        <v>148</v>
      </c>
      <c r="O77" s="67"/>
      <c r="Q77" s="768" t="s">
        <v>529</v>
      </c>
      <c r="R77" s="769"/>
      <c r="S77" s="769"/>
      <c r="T77" s="769"/>
      <c r="U77" s="769"/>
      <c r="V77" s="769"/>
      <c r="W77" s="769"/>
      <c r="X77" s="769"/>
      <c r="Y77" s="769"/>
      <c r="Z77" s="769"/>
      <c r="AA77" s="769"/>
      <c r="AB77" s="770"/>
      <c r="AC77" s="437"/>
      <c r="AD77" s="1" t="s">
        <v>242</v>
      </c>
      <c r="AE77" s="1" t="s">
        <v>247</v>
      </c>
      <c r="AF77" s="6"/>
      <c r="AK77" s="6"/>
      <c r="AM77" s="136"/>
      <c r="AN77" s="105"/>
      <c r="AO77" s="410"/>
      <c r="AP77" s="782"/>
      <c r="AQ77" s="782"/>
      <c r="AR77" s="6"/>
      <c r="AT77" s="21"/>
      <c r="AU77" s="21"/>
      <c r="AV77" s="571"/>
      <c r="AW77" s="571"/>
      <c r="AX77" s="361">
        <v>29</v>
      </c>
      <c r="AY77" s="23">
        <f t="shared" si="26"/>
        <v>16.200000000000003</v>
      </c>
      <c r="AZ77" s="50"/>
      <c r="BA77" s="26">
        <f t="shared" si="28"/>
        <v>2.0589999999999904</v>
      </c>
      <c r="BB77" s="25">
        <f t="shared" si="27"/>
        <v>0.10000000000000142</v>
      </c>
      <c r="BC77" s="25">
        <f>IF(ISBLANK(G32),"",(AVERAGE($AY$49:AY77)))</f>
        <v>13.974137931034484</v>
      </c>
      <c r="BD77" s="13">
        <f t="shared" si="29"/>
        <v>1.6391379310344787</v>
      </c>
      <c r="BE77" s="6"/>
      <c r="BF77" s="556">
        <v>0.1423611111111111</v>
      </c>
      <c r="BG77" s="556">
        <v>0.50347222222222221</v>
      </c>
      <c r="BH77" s="556">
        <v>0.51388888888888895</v>
      </c>
      <c r="BI77" s="556">
        <v>0.125</v>
      </c>
      <c r="BJ77" s="556">
        <v>0.60486111111111118</v>
      </c>
      <c r="BK77" s="54"/>
      <c r="BL77" s="78"/>
    </row>
    <row r="78" spans="1:64" ht="12.75" customHeight="1" x14ac:dyDescent="0.2">
      <c r="A78" s="67"/>
      <c r="B78" s="742" t="s">
        <v>63</v>
      </c>
      <c r="C78" s="743"/>
      <c r="D78" s="744"/>
      <c r="E78" s="89">
        <f>IF(Z38=0,"",CORREL(Z4:Z34,N4:N34))</f>
        <v>6.491259336638916E-2</v>
      </c>
      <c r="F78" s="576">
        <f>IF(Z38=0,"",ABS(E78))</f>
        <v>6.491259336638916E-2</v>
      </c>
      <c r="G78" s="236"/>
      <c r="H78" s="745" t="s">
        <v>4</v>
      </c>
      <c r="I78" s="237" t="s">
        <v>203</v>
      </c>
      <c r="J78" s="191"/>
      <c r="K78" s="90">
        <f>AY81</f>
        <v>12.5</v>
      </c>
      <c r="L78" s="38" t="str">
        <f>IF(ISBLANK(F4),"",IF(M54&gt;0,(E34*K78-AY80*M53)/M54,"n/a"))</f>
        <v>n/a</v>
      </c>
      <c r="M78" s="90" t="str">
        <f>IF(ISBLANK(F4),"",IF(M54&gt;0,L78-AY81,"n/a"))</f>
        <v>n/a</v>
      </c>
      <c r="N78" s="247" t="s">
        <v>142</v>
      </c>
      <c r="O78" s="67"/>
      <c r="Q78" s="811" t="s">
        <v>530</v>
      </c>
      <c r="R78" s="812"/>
      <c r="S78" s="812"/>
      <c r="T78" s="812"/>
      <c r="U78" s="812"/>
      <c r="V78" s="812"/>
      <c r="W78" s="812"/>
      <c r="X78" s="812"/>
      <c r="Y78" s="812"/>
      <c r="Z78" s="812"/>
      <c r="AA78" s="812"/>
      <c r="AB78" s="813"/>
      <c r="AC78" s="437"/>
      <c r="AD78" s="1" t="s">
        <v>243</v>
      </c>
      <c r="AE78" s="1" t="s">
        <v>248</v>
      </c>
      <c r="AF78" s="6"/>
      <c r="AG78" s="804" t="s">
        <v>273</v>
      </c>
      <c r="AH78" s="804"/>
      <c r="AI78" s="804"/>
      <c r="AJ78" s="804"/>
      <c r="AK78" s="317"/>
      <c r="AL78" s="308"/>
      <c r="AM78" s="136"/>
      <c r="AN78" s="230" t="s">
        <v>175</v>
      </c>
      <c r="AO78" s="88"/>
      <c r="AP78" s="782"/>
      <c r="AQ78" s="782"/>
      <c r="AR78" s="6"/>
      <c r="AT78" s="189" t="s">
        <v>83</v>
      </c>
      <c r="AU78" s="189"/>
      <c r="AV78" s="603"/>
      <c r="AW78" s="571"/>
      <c r="AX78" s="361">
        <v>30</v>
      </c>
      <c r="AY78" s="23">
        <f t="shared" si="26"/>
        <v>15.85</v>
      </c>
      <c r="AZ78" s="50"/>
      <c r="BA78" s="26">
        <f t="shared" si="28"/>
        <v>1.58</v>
      </c>
      <c r="BB78" s="38">
        <f t="shared" si="27"/>
        <v>1.0499999999999989</v>
      </c>
      <c r="BC78" s="38">
        <f>IF(ISBLANK(G33),"",(AVERAGE($AY$49:AY78)))</f>
        <v>14.036666666666669</v>
      </c>
      <c r="BD78" s="13">
        <f t="shared" si="29"/>
        <v>1.6371666666666638</v>
      </c>
      <c r="BE78" s="6"/>
      <c r="BF78" s="556">
        <v>0.15972222222222224</v>
      </c>
      <c r="BG78" s="556">
        <v>0.5625</v>
      </c>
      <c r="BH78" s="556">
        <v>0.60069444444444442</v>
      </c>
      <c r="BI78" s="556">
        <v>0.92708333333333337</v>
      </c>
      <c r="BJ78" s="556">
        <v>0.52708333333333335</v>
      </c>
      <c r="BK78" s="54"/>
      <c r="BL78" s="78"/>
    </row>
    <row r="79" spans="1:64" ht="12.75" customHeight="1" x14ac:dyDescent="0.2">
      <c r="A79" s="67"/>
      <c r="B79" s="742" t="s">
        <v>76</v>
      </c>
      <c r="C79" s="743"/>
      <c r="D79" s="744"/>
      <c r="E79" s="89">
        <f>IF(Z38=0,"",CORREL(Z4:Z34,F4:F34))</f>
        <v>0.24887508611347142</v>
      </c>
      <c r="F79" s="576">
        <f>IF(Z38=0,"",ABS(E79))</f>
        <v>0.24887508611347142</v>
      </c>
      <c r="G79" s="236"/>
      <c r="H79" s="746"/>
      <c r="I79" s="238" t="s">
        <v>149</v>
      </c>
      <c r="J79" s="191"/>
      <c r="K79" s="250">
        <f>AVERAGE(K75,K77)</f>
        <v>12.5</v>
      </c>
      <c r="L79" s="38">
        <f>IF(ISBLANK(F4),"",(M54*K79+M53*AY80)/E34)</f>
        <v>13.995161290322581</v>
      </c>
      <c r="M79" s="234">
        <f>IF(ISBLANK(F4),"",L79-AY81)</f>
        <v>1.4951612903225815</v>
      </c>
      <c r="N79" s="248" t="s">
        <v>148</v>
      </c>
      <c r="O79" s="67"/>
      <c r="Q79" s="811"/>
      <c r="R79" s="812"/>
      <c r="S79" s="812"/>
      <c r="T79" s="812"/>
      <c r="U79" s="812"/>
      <c r="V79" s="812"/>
      <c r="W79" s="812"/>
      <c r="X79" s="812"/>
      <c r="Y79" s="812"/>
      <c r="Z79" s="812"/>
      <c r="AA79" s="812"/>
      <c r="AB79" s="813"/>
      <c r="AC79" s="437"/>
      <c r="AD79" s="1" t="s">
        <v>239</v>
      </c>
      <c r="AE79" s="1" t="s">
        <v>249</v>
      </c>
      <c r="AF79" s="6"/>
      <c r="AH79" s="778">
        <v>0.8</v>
      </c>
      <c r="AI79" s="778"/>
      <c r="AJ79" s="52" t="s">
        <v>531</v>
      </c>
      <c r="AK79" s="318"/>
      <c r="AL79" s="309"/>
      <c r="AM79" s="136"/>
      <c r="AN79" s="4">
        <f t="array" ref="AN79">MAX(FREQUENCY(IF(AV91:AV121=1,ROW(91:121)),IF(AV91:AV121&lt;&gt;1,ROW(91:121))))</f>
        <v>7</v>
      </c>
      <c r="AO79" s="88"/>
      <c r="AP79" s="803" t="s">
        <v>278</v>
      </c>
      <c r="AQ79" s="661"/>
      <c r="AR79" s="6"/>
      <c r="AT79" s="5">
        <f>AN95</f>
        <v>9</v>
      </c>
      <c r="AU79" s="5"/>
      <c r="AV79" s="5"/>
      <c r="AX79" s="386">
        <v>31</v>
      </c>
      <c r="AY79" s="387">
        <f t="shared" si="26"/>
        <v>12.75</v>
      </c>
      <c r="AZ79" s="388"/>
      <c r="BA79" s="101">
        <f t="shared" si="28"/>
        <v>-1.52</v>
      </c>
      <c r="BB79" s="91">
        <f t="shared" si="27"/>
        <v>5.0000000000000711E-2</v>
      </c>
      <c r="BC79" s="91">
        <f>IF(ISBLANK(G34),"",(AVERAGE($AY$49:AY79)))</f>
        <v>13.995161290322583</v>
      </c>
      <c r="BD79" s="241">
        <f t="shared" si="29"/>
        <v>1.5353225806451603</v>
      </c>
      <c r="BE79" s="243"/>
      <c r="BF79" s="560">
        <v>0.22569444444444445</v>
      </c>
      <c r="BG79" s="560">
        <v>0.73263888888888884</v>
      </c>
      <c r="BH79" s="560">
        <v>0.77430555555555547</v>
      </c>
      <c r="BI79" s="560">
        <v>0.23611111111111113</v>
      </c>
      <c r="BJ79" s="560">
        <v>0.51736111111111105</v>
      </c>
      <c r="BK79" s="58"/>
      <c r="BL79" s="78"/>
    </row>
    <row r="80" spans="1:64" ht="12.75" customHeight="1" x14ac:dyDescent="0.2">
      <c r="A80" s="67"/>
      <c r="B80" s="742" t="s">
        <v>75</v>
      </c>
      <c r="C80" s="743"/>
      <c r="D80" s="744"/>
      <c r="E80" s="89">
        <f>IF(Z38=0,"",CORREL(Z4:Z34,K4:K34))</f>
        <v>0.2011409599201171</v>
      </c>
      <c r="F80" s="576">
        <f>IF(Z38=0,"",ABS(E80))</f>
        <v>0.2011409599201171</v>
      </c>
      <c r="G80" s="236"/>
      <c r="H80" s="745" t="s">
        <v>5</v>
      </c>
      <c r="I80" s="237" t="s">
        <v>203</v>
      </c>
      <c r="J80" s="191"/>
      <c r="K80" s="106">
        <f>K76-K74</f>
        <v>8.3999999999999986</v>
      </c>
      <c r="L80" s="108" t="str">
        <f>IF(ISBLANK(F4),"",IF(M54&gt;0,(E34*K80-I38*M53)/M54,"n/a"))</f>
        <v>n/a</v>
      </c>
      <c r="M80" s="90" t="str">
        <f>IF(ISBLANK(F4),"",IF(M54&gt;0,L80-I39,"n/a"))</f>
        <v>n/a</v>
      </c>
      <c r="N80" s="247" t="s">
        <v>142</v>
      </c>
      <c r="O80" s="67"/>
      <c r="Q80" s="805"/>
      <c r="R80" s="806"/>
      <c r="S80" s="806"/>
      <c r="T80" s="806"/>
      <c r="U80" s="806"/>
      <c r="V80" s="806"/>
      <c r="W80" s="806"/>
      <c r="X80" s="806"/>
      <c r="Y80" s="806"/>
      <c r="Z80" s="806"/>
      <c r="AA80" s="806"/>
      <c r="AB80" s="807"/>
      <c r="AC80" s="437"/>
      <c r="AD80" s="1" t="s">
        <v>251</v>
      </c>
      <c r="AE80" s="1" t="s">
        <v>250</v>
      </c>
      <c r="AF80" s="6"/>
      <c r="AK80" s="319"/>
      <c r="AL80" s="99"/>
      <c r="AM80" s="136"/>
      <c r="AO80" s="88"/>
      <c r="AP80" s="661"/>
      <c r="AQ80" s="661"/>
      <c r="AR80" s="6"/>
      <c r="AS80" s="4"/>
      <c r="AT80" s="4"/>
      <c r="AU80" s="4"/>
      <c r="AV80" s="4"/>
      <c r="AX80" s="11" t="s">
        <v>4</v>
      </c>
      <c r="AY80" s="57">
        <f>IF(ISBLANK(G4),"",AVERAGE(F4:G34))</f>
        <v>13.995161290322581</v>
      </c>
      <c r="AZ80" s="362"/>
      <c r="BB80" s="7">
        <f>IF(ISBLANK(H4),"",AVERAGE(BB49:BB79))</f>
        <v>-0.24354838709677426</v>
      </c>
      <c r="BC80" s="114">
        <f>IF(ISBLANK(G4),"",(AVERAGE($AY$49:AY79)))</f>
        <v>13.995161290322583</v>
      </c>
      <c r="BD80" s="585">
        <f>IF(ISBLANK(H4),"",BC80-D120)</f>
        <v>1.4951612903225833</v>
      </c>
      <c r="BE80" s="6"/>
      <c r="BF80" s="341">
        <f>IF(ISBLANK(BF50),"",AVERAGE(BF49:BF79))</f>
        <v>0.23073476702508958</v>
      </c>
      <c r="BG80" s="340">
        <f>IF(ISBLANK(BG49),"",AVERAGE(BG49:BG79))</f>
        <v>0.64639336917562717</v>
      </c>
      <c r="BH80" s="339">
        <f>IF(ISBLANK(BH49),"",AVERAGE(BH49:BH79))</f>
        <v>0.69379629629629624</v>
      </c>
      <c r="BI80" s="338">
        <f>IF(ISBLANK(BI49),"",AVERAGE(BI49:BI79))</f>
        <v>0.30220306513409956</v>
      </c>
      <c r="BJ80" s="337">
        <f>IF(ISBLANK(BJ54),"",AVERAGE(BJ49:BJ79))</f>
        <v>0.61733870967741944</v>
      </c>
      <c r="BK80" s="19"/>
      <c r="BL80" s="78"/>
    </row>
    <row r="81" spans="1:64" ht="12.75" customHeight="1" thickBot="1" x14ac:dyDescent="0.25">
      <c r="A81" s="67"/>
      <c r="B81" s="740"/>
      <c r="C81" s="741"/>
      <c r="D81" s="741"/>
      <c r="E81" s="159"/>
      <c r="F81" s="25"/>
      <c r="G81" s="236"/>
      <c r="H81" s="752"/>
      <c r="I81" s="281" t="s">
        <v>149</v>
      </c>
      <c r="J81" s="191"/>
      <c r="K81" s="252">
        <f>K77-K75</f>
        <v>8.3999999999999986</v>
      </c>
      <c r="L81" s="167">
        <f>IF(ISBLANK(F4),"",(M54*K81+M53*I38)/E34)</f>
        <v>9.0225806451612875</v>
      </c>
      <c r="M81" s="235">
        <f>IF(ISBLANK(F4),"",L81-I39)</f>
        <v>0.62258064516128897</v>
      </c>
      <c r="N81" s="279" t="s">
        <v>148</v>
      </c>
      <c r="O81" s="67"/>
      <c r="P81" s="454"/>
      <c r="Q81" s="808"/>
      <c r="R81" s="809"/>
      <c r="S81" s="809"/>
      <c r="T81" s="809"/>
      <c r="U81" s="809"/>
      <c r="V81" s="809"/>
      <c r="W81" s="809"/>
      <c r="X81" s="809"/>
      <c r="Y81" s="809"/>
      <c r="Z81" s="809"/>
      <c r="AA81" s="809"/>
      <c r="AB81" s="810"/>
      <c r="AC81" s="437"/>
      <c r="AD81" s="1" t="s">
        <v>258</v>
      </c>
      <c r="AE81" s="1" t="s">
        <v>265</v>
      </c>
      <c r="AF81" s="6"/>
      <c r="AG81" s="779" t="s">
        <v>275</v>
      </c>
      <c r="AH81" s="779"/>
      <c r="AI81" s="779"/>
      <c r="AJ81" s="779"/>
      <c r="AK81" s="222"/>
      <c r="AM81" s="136"/>
      <c r="AN81" s="183" t="s">
        <v>176</v>
      </c>
      <c r="AO81" s="411"/>
      <c r="AP81" s="661"/>
      <c r="AQ81" s="661"/>
      <c r="AR81" s="6"/>
      <c r="AT81" s="588" t="s">
        <v>194</v>
      </c>
      <c r="AU81" s="588"/>
      <c r="AX81" s="4" t="s">
        <v>9</v>
      </c>
      <c r="AY81" s="379">
        <f>AVERAGE(F39:G39)</f>
        <v>12.5</v>
      </c>
      <c r="AZ81" s="363"/>
      <c r="BB81" s="713" t="s">
        <v>173</v>
      </c>
      <c r="BC81" s="713"/>
      <c r="BE81" s="6"/>
      <c r="BK81" s="67"/>
      <c r="BL81" s="78"/>
    </row>
    <row r="82" spans="1:64" ht="12.75" customHeight="1" x14ac:dyDescent="0.2">
      <c r="A82" s="67"/>
      <c r="B82" s="764" t="s">
        <v>4</v>
      </c>
      <c r="C82" s="765"/>
      <c r="D82" s="765"/>
      <c r="E82" s="218">
        <f>IF(Z38=0,"",AVERAGE(F72:F80))</f>
        <v>0.24902305193572438</v>
      </c>
      <c r="F82" s="25"/>
      <c r="G82" s="236"/>
      <c r="H82" s="766" t="s">
        <v>13</v>
      </c>
      <c r="I82" s="237" t="s">
        <v>203</v>
      </c>
      <c r="J82" s="191"/>
      <c r="K82" s="164">
        <f>R39</f>
        <v>1013.25</v>
      </c>
      <c r="L82" s="168" t="str">
        <f>IF(ISBLANK(P4),"",IF(M54&gt;0,(E34*K82-R38*M53)/M54,"n/a"))</f>
        <v>n/a</v>
      </c>
      <c r="M82" s="164" t="str">
        <f>IF(ISBLANK(P4),"",IF(M54&gt;0,L82-R39,"n/a"))</f>
        <v>n/a</v>
      </c>
      <c r="N82" s="247" t="s">
        <v>142</v>
      </c>
      <c r="O82" s="67"/>
      <c r="Q82" s="761"/>
      <c r="R82" s="762"/>
      <c r="S82" s="762"/>
      <c r="T82" s="762"/>
      <c r="U82" s="762"/>
      <c r="V82" s="762"/>
      <c r="W82" s="762"/>
      <c r="X82" s="762"/>
      <c r="Y82" s="762"/>
      <c r="Z82" s="762"/>
      <c r="AA82" s="762"/>
      <c r="AB82" s="763"/>
      <c r="AC82" s="436"/>
      <c r="AD82" s="1" t="s">
        <v>8</v>
      </c>
      <c r="AE82" s="1" t="s">
        <v>260</v>
      </c>
      <c r="AF82" s="6"/>
      <c r="AH82" s="636" t="s">
        <v>205</v>
      </c>
      <c r="AI82" s="636"/>
      <c r="AJ82" s="52"/>
      <c r="AK82" s="320"/>
      <c r="AL82" s="307"/>
      <c r="AM82" s="136"/>
      <c r="AN82" s="332">
        <f t="array" ref="AN82">MAX(FREQUENCY(IF(AV91:AV121=0,ROW(91:121)),IF(AV91:AV121&lt;&gt;0,ROW(91:121))))</f>
        <v>3</v>
      </c>
      <c r="AO82" s="412"/>
      <c r="AP82" s="822" t="s">
        <v>526</v>
      </c>
      <c r="AQ82" s="823"/>
      <c r="AR82" s="6"/>
      <c r="AT82" s="138">
        <f>IF(AN48=0,"n/a",AN48/AT67)</f>
        <v>1</v>
      </c>
      <c r="AU82" s="138"/>
      <c r="AX82" s="4" t="s">
        <v>10</v>
      </c>
      <c r="AY82" s="57">
        <f>IF(ISBLANK(F4),"",AY80-AY81)</f>
        <v>1.4951612903225815</v>
      </c>
      <c r="AZ82" s="311"/>
      <c r="BA82" s="148" t="s">
        <v>158</v>
      </c>
      <c r="BB82" s="275" t="s">
        <v>145</v>
      </c>
      <c r="BC82" s="276" t="s">
        <v>146</v>
      </c>
      <c r="BE82" s="6"/>
      <c r="BF82" s="431">
        <f>MAX(BF49:BF79)-MIN(BF49:BF79)</f>
        <v>0.2361111111111111</v>
      </c>
      <c r="BG82" s="431">
        <f>MAX(BG49:BG79)-MIN(BG49:BG79)</f>
        <v>0.30902777777777779</v>
      </c>
      <c r="BH82" s="431">
        <f>MAX(BH49:BH79)-MIN(BH49:BH79)</f>
        <v>0.31944444444444442</v>
      </c>
      <c r="BI82" s="431">
        <f>MAX(BI49:BI79)-MIN(BI49:BI79)</f>
        <v>0.80208333333333337</v>
      </c>
      <c r="BJ82" s="431">
        <f>MAX(BJ49:BJ79)-MIN(BJ49:BJ79)</f>
        <v>0.37986111111111109</v>
      </c>
      <c r="BK82" s="67"/>
      <c r="BL82" s="78"/>
    </row>
    <row r="83" spans="1:64" ht="12.75" customHeight="1" thickBot="1" x14ac:dyDescent="0.25">
      <c r="A83" s="67"/>
      <c r="B83" s="756" t="s">
        <v>34</v>
      </c>
      <c r="C83" s="757"/>
      <c r="D83" s="757"/>
      <c r="E83" s="219">
        <f>AN93+AN98</f>
        <v>0</v>
      </c>
      <c r="F83" s="85" t="s">
        <v>91</v>
      </c>
      <c r="G83" s="236"/>
      <c r="H83" s="746"/>
      <c r="I83" s="238" t="s">
        <v>149</v>
      </c>
      <c r="J83" s="242"/>
      <c r="K83" s="251">
        <f>K82</f>
        <v>1013.25</v>
      </c>
      <c r="L83" s="119">
        <f>IF(ISBLANK(P4),"",SUM(M54*K83+M53*R38)/E34)</f>
        <v>1017.6129032258065</v>
      </c>
      <c r="M83" s="169">
        <f>IF(ISBLANK(P4),"",L83-R39)</f>
        <v>4.3629032258064626</v>
      </c>
      <c r="N83" s="248" t="s">
        <v>148</v>
      </c>
      <c r="O83" s="67"/>
      <c r="Q83" s="758"/>
      <c r="R83" s="759"/>
      <c r="S83" s="759"/>
      <c r="T83" s="759"/>
      <c r="U83" s="759"/>
      <c r="V83" s="759"/>
      <c r="W83" s="759"/>
      <c r="X83" s="759"/>
      <c r="Y83" s="759"/>
      <c r="Z83" s="759"/>
      <c r="AA83" s="759"/>
      <c r="AB83" s="760"/>
      <c r="AC83" s="436"/>
      <c r="AD83" s="1" t="s">
        <v>264</v>
      </c>
      <c r="AE83" s="1" t="s">
        <v>259</v>
      </c>
      <c r="AF83" s="6"/>
      <c r="AK83" s="312"/>
      <c r="AM83" s="136"/>
      <c r="AO83" s="88"/>
      <c r="AP83" s="823"/>
      <c r="AQ83" s="823"/>
      <c r="AR83" s="67"/>
      <c r="AZ83" s="6"/>
      <c r="BA83" s="25">
        <f>E91/3</f>
        <v>2.7999999999999994</v>
      </c>
      <c r="BB83" s="274">
        <f>AY81-BA83</f>
        <v>9.7000000000000011</v>
      </c>
      <c r="BC83" s="273">
        <f>AY81+BA83</f>
        <v>15.299999999999999</v>
      </c>
      <c r="BE83" s="6"/>
      <c r="BF83" s="334">
        <f>IF(ISBLANK(BF50),"",STDEV(BF49:BF79))</f>
        <v>4.5332904885587638E-2</v>
      </c>
      <c r="BG83" s="334">
        <f>IF(ISBLANK(BG50),"",STDEV(BG49:BG79))</f>
        <v>6.7734128361526938E-2</v>
      </c>
      <c r="BH83" s="334">
        <f>IF(ISBLANK(BH51),"",STDEV(BH49:BH79))</f>
        <v>8.407910494481606E-2</v>
      </c>
      <c r="BI83" s="334">
        <f>IF(ISBLANK(BI51),"",STDEV(BI49:BI79))</f>
        <v>0.13640348984809222</v>
      </c>
      <c r="BJ83" s="334">
        <f>IF(ISBLANK(BJ54),"",STDEV(BJ49:BJ79))</f>
        <v>0.10322763222361364</v>
      </c>
      <c r="BK83" s="67"/>
      <c r="BL83" s="78"/>
    </row>
    <row r="84" spans="1:64" s="107" customFormat="1" ht="12.75" x14ac:dyDescent="0.2">
      <c r="A84" s="240"/>
      <c r="C84" s="239"/>
      <c r="F84" s="117"/>
      <c r="H84" s="241"/>
      <c r="J84" s="242"/>
      <c r="O84" s="242"/>
      <c r="T84" s="243"/>
      <c r="Y84" s="243"/>
      <c r="AF84" s="243"/>
      <c r="AI84" s="117"/>
      <c r="AJ84" s="117"/>
      <c r="AK84" s="240"/>
      <c r="AL84" s="117"/>
      <c r="AM84" s="240"/>
      <c r="AO84" s="413"/>
      <c r="AP84" s="799"/>
      <c r="AQ84" s="799"/>
      <c r="AR84" s="240"/>
      <c r="AV84" s="117"/>
      <c r="AY84" s="117"/>
      <c r="AZ84" s="240"/>
      <c r="BA84" s="330">
        <f>MIN(AY49:AY79)</f>
        <v>9.6</v>
      </c>
      <c r="BB84" s="330">
        <f>MAX(AY49:AY79)</f>
        <v>18.8</v>
      </c>
      <c r="BE84" s="243"/>
      <c r="BF84" s="771" t="s">
        <v>191</v>
      </c>
      <c r="BG84" s="771"/>
      <c r="BH84" s="771"/>
      <c r="BI84" s="771"/>
      <c r="BJ84" s="771"/>
      <c r="BK84" s="240"/>
      <c r="BL84" s="244"/>
    </row>
    <row r="85" spans="1:64" s="172" customFormat="1" ht="12" x14ac:dyDescent="0.2">
      <c r="A85" s="171"/>
      <c r="C85" s="173">
        <f>MIN(C4:C34)</f>
        <v>14.1</v>
      </c>
      <c r="E85" s="174" t="s">
        <v>70</v>
      </c>
      <c r="F85" s="173">
        <f>MIN(F4:F34)</f>
        <v>3.2</v>
      </c>
      <c r="G85" s="173">
        <f>MIN(G4:G34)</f>
        <v>14.1</v>
      </c>
      <c r="H85" s="173">
        <f>MIN(H4:H34)</f>
        <v>9.6999999999999993</v>
      </c>
      <c r="I85" s="173">
        <f>MIN(I4:I34)</f>
        <v>4.1999999999999993</v>
      </c>
      <c r="J85" s="175"/>
      <c r="K85" s="176">
        <f>MIN(K4:K34)</f>
        <v>27</v>
      </c>
      <c r="L85" s="176">
        <f>MIN(L4:L34)</f>
        <v>66</v>
      </c>
      <c r="M85" s="176">
        <f>MIN(M4:M34)</f>
        <v>46</v>
      </c>
      <c r="N85" s="176">
        <f>MIN(N4:N34)</f>
        <v>20</v>
      </c>
      <c r="O85" s="177"/>
      <c r="P85" s="176">
        <f>MIN(P4:P34)</f>
        <v>1005</v>
      </c>
      <c r="Q85" s="176">
        <f>MIN(Q4:Q34)</f>
        <v>1012</v>
      </c>
      <c r="R85" s="173">
        <f>MIN(R4:R34)</f>
        <v>1009</v>
      </c>
      <c r="S85" s="176">
        <f>MIN(S4:S34)</f>
        <v>1</v>
      </c>
      <c r="T85" s="171"/>
      <c r="U85" s="173">
        <f t="shared" ref="U85:AC85" si="30">MIN(U4:U34)</f>
        <v>2.4</v>
      </c>
      <c r="V85" s="173">
        <f t="shared" si="30"/>
        <v>8.1</v>
      </c>
      <c r="W85" s="173">
        <f t="shared" si="30"/>
        <v>10.9</v>
      </c>
      <c r="X85" s="173">
        <f t="shared" si="30"/>
        <v>0</v>
      </c>
      <c r="Y85" s="175">
        <f t="shared" si="30"/>
        <v>0</v>
      </c>
      <c r="Z85" s="173">
        <f t="shared" si="30"/>
        <v>0</v>
      </c>
      <c r="AA85" s="173">
        <f t="shared" si="30"/>
        <v>0.5</v>
      </c>
      <c r="AB85" s="173">
        <f t="shared" si="30"/>
        <v>0.3</v>
      </c>
      <c r="AC85" s="422">
        <f t="shared" si="30"/>
        <v>4.1493775933609959E-3</v>
      </c>
      <c r="AD85" s="173">
        <f>MIN(AE4:AE34)</f>
        <v>1.5</v>
      </c>
      <c r="AE85" s="173">
        <f>MIN(AD4:AD34)</f>
        <v>0.3666666666666667</v>
      </c>
      <c r="AF85" s="175">
        <f>MIN(AF4:AF4)</f>
        <v>0</v>
      </c>
      <c r="AG85" s="173">
        <f>MIN(AG4:AG34)</f>
        <v>-4.2</v>
      </c>
      <c r="AH85" s="173">
        <f>MIN(AH4:AH34)</f>
        <v>4.5</v>
      </c>
      <c r="AI85" s="173">
        <f>MIN(AI4:AI34)</f>
        <v>-0.2</v>
      </c>
      <c r="AJ85" s="173">
        <f>MIN(AJ4:AJ34)</f>
        <v>2.5999999999999996</v>
      </c>
      <c r="AK85" s="175"/>
      <c r="AL85" s="173"/>
      <c r="AM85" s="175"/>
      <c r="AO85" s="414"/>
      <c r="AP85" s="173">
        <f>MIN(AP4:AP34)</f>
        <v>0.2</v>
      </c>
      <c r="AQ85" s="173">
        <f>MIN(AQ4:AQ34)</f>
        <v>0</v>
      </c>
      <c r="AR85" s="175"/>
      <c r="AS85" s="173">
        <f t="shared" ref="AS85:AZ85" si="31">MIN(AS8:AS34)</f>
        <v>6.8599999999999994</v>
      </c>
      <c r="AT85" s="173">
        <f t="shared" si="31"/>
        <v>16.600000000000001</v>
      </c>
      <c r="AU85" s="173">
        <f t="shared" si="31"/>
        <v>11.76</v>
      </c>
      <c r="AV85" s="173">
        <f t="shared" si="31"/>
        <v>8.982758620689653</v>
      </c>
      <c r="AW85" s="173">
        <f t="shared" si="31"/>
        <v>53.166666666666664</v>
      </c>
      <c r="AX85" s="176">
        <f t="shared" si="31"/>
        <v>1015.25</v>
      </c>
      <c r="AY85" s="173">
        <f t="shared" si="31"/>
        <v>5.6857142857142859</v>
      </c>
      <c r="AZ85" s="175">
        <f t="shared" si="31"/>
        <v>0</v>
      </c>
      <c r="BA85" s="173">
        <f>MIN(BA4:BA34)</f>
        <v>-3.4386666666666681</v>
      </c>
      <c r="BB85" s="173">
        <f>MIN(BB4:BB34)</f>
        <v>-2.806666666666688</v>
      </c>
      <c r="BC85" s="173">
        <f>MIN(BC4:BC34)</f>
        <v>-1.6120000000000108</v>
      </c>
      <c r="BD85" s="173">
        <f>MIN(BD4:BD34)</f>
        <v>-4.1053333333333573</v>
      </c>
      <c r="BE85" s="175">
        <f t="shared" ref="BE85:BJ85" si="32">MIN(BE8:BE34)</f>
        <v>0</v>
      </c>
      <c r="BF85" s="173">
        <f t="shared" si="32"/>
        <v>0.35599999999999721</v>
      </c>
      <c r="BG85" s="173">
        <f t="shared" si="32"/>
        <v>1.5300000000000029</v>
      </c>
      <c r="BH85" s="173">
        <f t="shared" si="32"/>
        <v>0.55275862068965331</v>
      </c>
      <c r="BI85" s="422">
        <f t="shared" si="32"/>
        <v>0</v>
      </c>
      <c r="BJ85" s="422">
        <f t="shared" si="32"/>
        <v>1.1366692263110703</v>
      </c>
      <c r="BK85" s="177"/>
      <c r="BL85" s="178"/>
    </row>
    <row r="86" spans="1:64" s="172" customFormat="1" ht="12" x14ac:dyDescent="0.2">
      <c r="A86" s="171"/>
      <c r="B86" s="173">
        <f>MAX(B4:B34)</f>
        <v>15</v>
      </c>
      <c r="E86" s="174" t="s">
        <v>71</v>
      </c>
      <c r="F86" s="173">
        <f>MAX(F4:F34)</f>
        <v>14.6</v>
      </c>
      <c r="G86" s="173">
        <f>MAX(G4:G34)</f>
        <v>24.5</v>
      </c>
      <c r="H86" s="173">
        <f>MAX(H4:H34)</f>
        <v>18.399999999999999</v>
      </c>
      <c r="I86" s="173">
        <f>MAX(I4:I34)</f>
        <v>15.4</v>
      </c>
      <c r="J86" s="175"/>
      <c r="K86" s="176">
        <f>MAX(K4:K34)</f>
        <v>65</v>
      </c>
      <c r="L86" s="176">
        <f>MAX(L4:L34)</f>
        <v>91</v>
      </c>
      <c r="M86" s="176">
        <f>MAX(M4:M34)</f>
        <v>81</v>
      </c>
      <c r="N86" s="176">
        <f>MAX(N4:N34)</f>
        <v>53</v>
      </c>
      <c r="O86" s="177"/>
      <c r="P86" s="176">
        <f t="shared" ref="P86:AC86" si="33">MAX(P4:P34)</f>
        <v>1023</v>
      </c>
      <c r="Q86" s="176">
        <f t="shared" si="33"/>
        <v>1029</v>
      </c>
      <c r="R86" s="173">
        <f t="shared" si="33"/>
        <v>1024.5</v>
      </c>
      <c r="S86" s="176">
        <f t="shared" si="33"/>
        <v>16</v>
      </c>
      <c r="T86" s="177">
        <f t="shared" si="33"/>
        <v>0</v>
      </c>
      <c r="U86" s="173">
        <f t="shared" si="33"/>
        <v>10.4</v>
      </c>
      <c r="V86" s="173">
        <f t="shared" si="33"/>
        <v>22.5</v>
      </c>
      <c r="W86" s="173">
        <f t="shared" si="33"/>
        <v>33.799999999999997</v>
      </c>
      <c r="X86" s="173">
        <f t="shared" si="33"/>
        <v>0</v>
      </c>
      <c r="Y86" s="175">
        <f t="shared" si="33"/>
        <v>2</v>
      </c>
      <c r="Z86" s="173">
        <f t="shared" si="33"/>
        <v>14.5</v>
      </c>
      <c r="AA86" s="173">
        <f t="shared" si="33"/>
        <v>5.2</v>
      </c>
      <c r="AB86" s="173">
        <f t="shared" si="33"/>
        <v>3.8</v>
      </c>
      <c r="AC86" s="422">
        <f t="shared" si="33"/>
        <v>0.60165975103734437</v>
      </c>
      <c r="AD86" s="173">
        <f>MAX(AE4:AE34)</f>
        <v>80</v>
      </c>
      <c r="AE86" s="173">
        <f>MAX(AD4:AD34)</f>
        <v>4.833333333333333</v>
      </c>
      <c r="AF86" s="175">
        <f>MAX(AF4:AF4)</f>
        <v>0</v>
      </c>
      <c r="AG86" s="173">
        <f>MAX(AG4:AG34)</f>
        <v>9.6</v>
      </c>
      <c r="AH86" s="173">
        <f>MAX(AH4:AH34)</f>
        <v>15.1</v>
      </c>
      <c r="AI86" s="173">
        <f>MAX(AI4:AI34)</f>
        <v>11.4</v>
      </c>
      <c r="AJ86" s="173">
        <f>MAX(AJ4:AJ34)</f>
        <v>9.8000000000000007</v>
      </c>
      <c r="AK86" s="175"/>
      <c r="AL86" s="173"/>
      <c r="AM86" s="175"/>
      <c r="AO86" s="415"/>
      <c r="AP86" s="176">
        <f>MAX(AP4:AP34)</f>
        <v>13.5</v>
      </c>
      <c r="AQ86" s="173">
        <f>MAX(AQ4:AQ34)</f>
        <v>3</v>
      </c>
      <c r="AR86" s="177"/>
      <c r="AS86" s="173">
        <f t="shared" ref="AS86:AZ86" si="34">MAX(AS8:AS34)</f>
        <v>9.5399999999999991</v>
      </c>
      <c r="AT86" s="173">
        <f t="shared" si="34"/>
        <v>19.189999999999998</v>
      </c>
      <c r="AU86" s="173">
        <f t="shared" si="34"/>
        <v>14.41</v>
      </c>
      <c r="AV86" s="173">
        <f t="shared" si="34"/>
        <v>10.683333333333335</v>
      </c>
      <c r="AW86" s="173">
        <f t="shared" si="34"/>
        <v>60.064516129032256</v>
      </c>
      <c r="AX86" s="176">
        <f t="shared" si="34"/>
        <v>1018.56</v>
      </c>
      <c r="AY86" s="173">
        <f t="shared" si="34"/>
        <v>7.0600000000000005</v>
      </c>
      <c r="AZ86" s="175">
        <f t="shared" si="34"/>
        <v>0</v>
      </c>
      <c r="BA86" s="173">
        <f>MAX(BA4:BA34)</f>
        <v>7.4226666666666636</v>
      </c>
      <c r="BB86" s="173">
        <f>MAX(BB4:BB34)</f>
        <v>9.06</v>
      </c>
      <c r="BC86" s="173">
        <f>MAX(BC4:BC34)</f>
        <v>7.4969999999999999</v>
      </c>
      <c r="BD86" s="173">
        <f>MAX(BD4:BD34)</f>
        <v>6.868000000000003</v>
      </c>
      <c r="BE86" s="175">
        <f t="shared" ref="BE86:BJ86" si="35">MAX(BE8:BE34)</f>
        <v>0</v>
      </c>
      <c r="BF86" s="173">
        <f t="shared" si="35"/>
        <v>2.5599999999999961</v>
      </c>
      <c r="BG86" s="173">
        <f t="shared" si="35"/>
        <v>3.8116666666666639</v>
      </c>
      <c r="BH86" s="173">
        <f t="shared" si="35"/>
        <v>2.1230000000000038</v>
      </c>
      <c r="BI86" s="422">
        <f t="shared" si="35"/>
        <v>0.46075619295958276</v>
      </c>
      <c r="BJ86" s="422">
        <f t="shared" si="35"/>
        <v>1.8598234758633632</v>
      </c>
      <c r="BK86" s="177"/>
      <c r="BL86" s="178"/>
    </row>
    <row r="87" spans="1:64" ht="10.5" customHeight="1" x14ac:dyDescent="0.2">
      <c r="A87" s="67"/>
      <c r="B87" s="21"/>
      <c r="C87" s="140"/>
      <c r="D87" s="146"/>
      <c r="E87" s="4"/>
      <c r="F87" s="21"/>
      <c r="H87" s="13"/>
      <c r="J87" s="20"/>
      <c r="K87" s="21"/>
      <c r="L87" s="21"/>
      <c r="M87" s="21"/>
      <c r="N87" s="22"/>
      <c r="O87" s="20"/>
      <c r="P87" s="21"/>
      <c r="Q87" s="21"/>
      <c r="R87" s="21"/>
      <c r="S87" s="21"/>
      <c r="T87" s="67"/>
      <c r="U87" s="21"/>
      <c r="V87" s="21"/>
      <c r="W87" s="21"/>
      <c r="X87" s="21"/>
      <c r="Y87" s="67"/>
      <c r="Z87" s="21"/>
      <c r="AA87" s="21"/>
      <c r="AB87" s="21"/>
      <c r="AC87" s="21"/>
      <c r="AD87" s="21"/>
      <c r="AE87" s="21"/>
      <c r="AF87" s="67"/>
      <c r="AG87" s="21"/>
      <c r="AH87" s="21"/>
      <c r="AI87" s="21"/>
      <c r="AJ87" s="21"/>
      <c r="AK87" s="67"/>
      <c r="AL87" s="21"/>
      <c r="AM87" s="67"/>
      <c r="AO87" s="88"/>
      <c r="AR87" s="6"/>
      <c r="AS87" s="21"/>
      <c r="AT87" s="22"/>
      <c r="AU87" s="21"/>
      <c r="AV87" s="21"/>
      <c r="AW87" s="21"/>
      <c r="AX87" s="21"/>
      <c r="AZ87" s="6"/>
      <c r="BA87" s="25"/>
      <c r="BB87" s="21"/>
      <c r="BC87" s="21"/>
      <c r="BD87" s="21"/>
      <c r="BE87" s="67"/>
      <c r="BF87" s="21"/>
      <c r="BG87" s="21"/>
      <c r="BH87" s="21"/>
      <c r="BI87" s="21"/>
      <c r="BJ87" s="21"/>
      <c r="BK87" s="67"/>
      <c r="BL87" s="95"/>
    </row>
    <row r="88" spans="1:64" s="327" customFormat="1" ht="10.5" customHeight="1" x14ac:dyDescent="0.2">
      <c r="C88" s="328"/>
    </row>
    <row r="89" spans="1:64" s="327" customFormat="1" ht="1.5" customHeight="1" x14ac:dyDescent="0.2">
      <c r="C89" s="328"/>
    </row>
    <row r="90" spans="1:64" s="331" customFormat="1" ht="11.25" x14ac:dyDescent="0.2">
      <c r="A90" s="331" t="s">
        <v>167</v>
      </c>
      <c r="B90" s="148" t="s">
        <v>2</v>
      </c>
      <c r="C90" s="148" t="s">
        <v>3</v>
      </c>
      <c r="D90" s="148" t="s">
        <v>4</v>
      </c>
      <c r="E90" s="147" t="s">
        <v>5</v>
      </c>
      <c r="F90" s="331" t="s">
        <v>332</v>
      </c>
      <c r="G90" s="331" t="s">
        <v>333</v>
      </c>
      <c r="H90" s="331" t="s">
        <v>348</v>
      </c>
      <c r="I90" s="331" t="s">
        <v>347</v>
      </c>
      <c r="K90" s="331" t="s">
        <v>167</v>
      </c>
      <c r="L90" s="331" t="s">
        <v>167</v>
      </c>
      <c r="M90" s="147" t="s">
        <v>184</v>
      </c>
      <c r="N90" s="331" t="s">
        <v>167</v>
      </c>
      <c r="O90" s="331" t="s">
        <v>167</v>
      </c>
      <c r="P90" s="331" t="s">
        <v>167</v>
      </c>
      <c r="Q90" s="331" t="s">
        <v>167</v>
      </c>
      <c r="S90" s="331" t="s">
        <v>167</v>
      </c>
      <c r="U90" s="331" t="s">
        <v>204</v>
      </c>
      <c r="V90" s="331" t="s">
        <v>346</v>
      </c>
      <c r="W90" s="786" t="s">
        <v>229</v>
      </c>
      <c r="X90" s="786"/>
      <c r="Y90" s="331" t="s">
        <v>167</v>
      </c>
      <c r="Z90" s="147" t="s">
        <v>144</v>
      </c>
      <c r="AA90" s="147" t="s">
        <v>185</v>
      </c>
      <c r="AB90" s="147" t="s">
        <v>236</v>
      </c>
      <c r="AC90" s="147" t="s">
        <v>237</v>
      </c>
      <c r="AD90" s="331" t="s">
        <v>167</v>
      </c>
      <c r="AE90" s="278" t="s">
        <v>345</v>
      </c>
      <c r="AF90" s="331" t="s">
        <v>344</v>
      </c>
      <c r="AG90" s="147" t="s">
        <v>155</v>
      </c>
      <c r="AH90" s="147" t="s">
        <v>183</v>
      </c>
      <c r="AI90" s="331" t="s">
        <v>328</v>
      </c>
      <c r="AJ90" s="147" t="s">
        <v>117</v>
      </c>
      <c r="AK90" s="331" t="s">
        <v>167</v>
      </c>
      <c r="AL90" s="147" t="s">
        <v>118</v>
      </c>
      <c r="AM90" s="331" t="s">
        <v>329</v>
      </c>
      <c r="AN90" s="331" t="s">
        <v>168</v>
      </c>
      <c r="AO90" s="331" t="s">
        <v>329</v>
      </c>
      <c r="AQ90" s="147"/>
      <c r="AR90" s="331" t="s">
        <v>329</v>
      </c>
      <c r="AS90" s="331" t="s">
        <v>256</v>
      </c>
      <c r="AT90" s="331" t="s">
        <v>253</v>
      </c>
      <c r="AU90" s="331" t="s">
        <v>346</v>
      </c>
      <c r="AV90" s="147" t="s">
        <v>196</v>
      </c>
      <c r="AW90" s="147" t="s">
        <v>145</v>
      </c>
      <c r="AX90" s="147" t="s">
        <v>146</v>
      </c>
      <c r="AY90" s="147" t="s">
        <v>400</v>
      </c>
      <c r="AZ90" s="147" t="s">
        <v>124</v>
      </c>
      <c r="BA90" s="147" t="s">
        <v>145</v>
      </c>
      <c r="BB90" s="147" t="s">
        <v>146</v>
      </c>
      <c r="BC90" s="331" t="s">
        <v>330</v>
      </c>
      <c r="BD90" s="331" t="s">
        <v>331</v>
      </c>
      <c r="BE90" s="147" t="s">
        <v>327</v>
      </c>
      <c r="BF90" s="331" t="s">
        <v>167</v>
      </c>
      <c r="BG90" s="147" t="s">
        <v>163</v>
      </c>
      <c r="BH90" s="147" t="s">
        <v>399</v>
      </c>
      <c r="BI90" s="147" t="s">
        <v>401</v>
      </c>
      <c r="BJ90" s="147" t="s">
        <v>119</v>
      </c>
      <c r="BK90" s="331" t="s">
        <v>327</v>
      </c>
    </row>
    <row r="91" spans="1:64" ht="12.75" x14ac:dyDescent="0.2">
      <c r="A91" s="8">
        <f t="shared" ref="A91:A121" si="36">IF(ISBLANK(K4),NA(),N4)</f>
        <v>28</v>
      </c>
      <c r="B91" s="125">
        <f t="shared" ref="B91:B121" si="37">$F$39</f>
        <v>8.3000000000000007</v>
      </c>
      <c r="C91" s="125">
        <f t="shared" ref="C91:C121" si="38">$G$39</f>
        <v>16.7</v>
      </c>
      <c r="D91" s="125">
        <f>AVERAGE(B91:C91)</f>
        <v>12.5</v>
      </c>
      <c r="E91" s="125">
        <f t="shared" ref="E91:E121" si="39">C91-B91</f>
        <v>8.3999999999999986</v>
      </c>
      <c r="F91" s="7">
        <v>6.2346666666666675</v>
      </c>
      <c r="G91" s="7">
        <v>14.823333333333332</v>
      </c>
      <c r="H91" s="7">
        <f>AVERAGE(F91:G91)</f>
        <v>10.529</v>
      </c>
      <c r="I91" s="7">
        <f>G91-F91</f>
        <v>8.5886666666666649</v>
      </c>
      <c r="K91" s="7">
        <f t="shared" ref="K91:K121" si="40">IF(ISBLANK(G4),NA(),I4)</f>
        <v>7.1999999999999993</v>
      </c>
      <c r="L91" s="7">
        <f t="shared" ref="L91:L121" si="41">IF(ISBLANK(G4),NA(),AY49)</f>
        <v>14.1</v>
      </c>
      <c r="M91" s="370">
        <f t="shared" ref="M91:M121" si="42">IF(ISBLANK(U4),NA(),AY4)</f>
        <v>9.1999999999999993</v>
      </c>
      <c r="N91" s="1">
        <f t="shared" ref="N91:N121" si="43">IF(ISBLANK(F4),NA(),BJ91)</f>
        <v>0</v>
      </c>
      <c r="O91" s="7">
        <f t="shared" ref="O91:O121" si="44">IF(ISBLANK(M4),NA(),AW4)</f>
        <v>52</v>
      </c>
      <c r="P91" s="7">
        <f t="shared" ref="P91:P121" si="45">IF(ISBLANK(F4),NA(),AS4)</f>
        <v>10.5</v>
      </c>
      <c r="Q91" s="7">
        <f t="shared" ref="Q91:Q121" si="46">IF(ISBLANK(G4),NA(),AT4)</f>
        <v>17.7</v>
      </c>
      <c r="R91" s="7">
        <f t="shared" ref="R91:R121" si="47">IF(ISBLANK(H4),NA(),AU4)</f>
        <v>13.9</v>
      </c>
      <c r="S91" s="7">
        <f t="shared" ref="S91:S121" si="48">IF(ISBLANK(G4),NA(),AV4)</f>
        <v>7.1999999999999993</v>
      </c>
      <c r="T91" s="1">
        <v>32</v>
      </c>
      <c r="U91" s="333">
        <f t="shared" ref="U91:U121" si="49">$Z$39/$E$34</f>
        <v>1.903225806451613</v>
      </c>
      <c r="V91" s="4">
        <v>1</v>
      </c>
      <c r="W91" s="7">
        <f t="shared" ref="W91:W121" si="50">0.273*V91</f>
        <v>0.27300000000000002</v>
      </c>
      <c r="X91" s="7">
        <f t="shared" ref="X91:X121" si="51">0.273*T91</f>
        <v>8.7360000000000007</v>
      </c>
      <c r="Y91" s="8">
        <f t="shared" ref="Y91:Y121" si="52">IF(ISBLANK(Q4),NA(),S4)</f>
        <v>3</v>
      </c>
      <c r="Z91" s="7">
        <f>IF(ISBLANK(Z4),NA(),SUM($Z$4:Z4))</f>
        <v>0</v>
      </c>
      <c r="AA91" s="7">
        <f>$AB$48*E4</f>
        <v>1.903225806451613</v>
      </c>
      <c r="AB91" s="26">
        <f>IF(ISBLANK(Z4),"",SUM($Z$4:Z4))</f>
        <v>0</v>
      </c>
      <c r="AC91" s="115">
        <f>IF(ISBLANK(Z4),NA(),AB91/AA91)</f>
        <v>0</v>
      </c>
      <c r="AD91" s="8">
        <f t="shared" ref="AD91:AD121" si="53">IF(ISBLANK(P4),NA(),AX4)</f>
        <v>1010.5</v>
      </c>
      <c r="AE91" s="610">
        <f t="shared" ref="AE91:AE121" si="54">IF(ISNA(AG91),"",AG91/AH91)</f>
        <v>1.8920377475292336</v>
      </c>
      <c r="AF91" s="524">
        <f t="shared" ref="AF91:AF121" si="55">IF(ISTEXT(BI49),NA(),IF(ISBLANK(BI49),NA(),BI49))</f>
        <v>0.28125</v>
      </c>
      <c r="AG91" s="22">
        <f>IF(ISBLANK(AP4),NA(),SUM($AP$4:AP4))</f>
        <v>11</v>
      </c>
      <c r="AH91" s="7">
        <f>SUM($AS$91:AS91)</f>
        <v>5.8138374957712307</v>
      </c>
      <c r="AI91" s="115">
        <f t="shared" ref="AI91:AI121" si="56">IF(ISBLANK(AP4),NA(),AG91/AH91)</f>
        <v>1.8920377475292336</v>
      </c>
      <c r="AJ91" s="124">
        <f t="shared" ref="AJ91:AJ121" si="57">IF(ISBLANK(F4),"",IF(Z4&gt;0.1,1,0))</f>
        <v>0</v>
      </c>
      <c r="AK91" s="8">
        <f t="shared" ref="AK91:AK121" si="58">IF(ISBLANK(P4),NA(),R4)</f>
        <v>1010.5</v>
      </c>
      <c r="AL91" s="124">
        <f t="shared" ref="AL91:AL121" si="59">IF(ISBLANK(Z4),"",IF(Z4&gt;0.9,1,0))</f>
        <v>0</v>
      </c>
      <c r="AM91" s="524">
        <f t="shared" ref="AM91:AM121" si="60">IF(ISTEXT(BH49),NA(),IF(ISBLANK(BH49),NA(),BH49))</f>
        <v>0.80555555555555547</v>
      </c>
      <c r="AN91" s="109">
        <f xml:space="preserve"> SUM(COUNTIF(AN4:AN34,"-"),COUNTIF(AN4:AN34,"*yy*"))</f>
        <v>22</v>
      </c>
      <c r="AO91" s="524">
        <f t="shared" ref="AO91:AO121" si="61">IF(ISTEXT(BG49),NA(),IF(ISBLANK(BG49),NA(),BG49))</f>
        <v>0.61458333333333337</v>
      </c>
      <c r="AR91" s="524">
        <f t="shared" ref="AR91:AR121" si="62">IF(ISTEXT(BF49),NA(),IF(ISBLANK(BF49),NA(),BF49))</f>
        <v>0.25347222222222221</v>
      </c>
      <c r="AS91" s="7">
        <f t="shared" ref="AS91:AS121" si="63">AT91/($AT$123/$AP$39)</f>
        <v>5.8138374957712307</v>
      </c>
      <c r="AT91" s="7">
        <v>13.450145101247719</v>
      </c>
      <c r="AU91" s="4">
        <v>1</v>
      </c>
      <c r="AV91" s="127">
        <f t="shared" ref="AV91:AV121" si="64">IF(ISBLANK(AP4),"",IF(AP4&gt;0.25*AT91,1,0))</f>
        <v>1</v>
      </c>
      <c r="AW91" s="124">
        <f>IF(ISBLANK(F4),"",IF(AY49&lt;BC91,1,0))</f>
        <v>0</v>
      </c>
      <c r="AX91" s="124">
        <f>IF(ISBLANK(G4),"",IF(AY49&gt;BD91,1,0))</f>
        <v>1</v>
      </c>
      <c r="AY91" s="124">
        <f t="shared" ref="AY91:AY121" si="65">IF(ISBLANK(F4),"",IF(P4&gt;1013,1,0))</f>
        <v>0</v>
      </c>
      <c r="AZ91" s="125">
        <f t="shared" ref="AZ91:AZ121" si="66">$U$39</f>
        <v>4.7</v>
      </c>
      <c r="BA91" s="125">
        <f t="shared" ref="BA91:BA121" si="67">$BB$83</f>
        <v>9.7000000000000011</v>
      </c>
      <c r="BB91" s="125">
        <f t="shared" ref="BB91:BB121" si="68">$BC$83</f>
        <v>15.299999999999999</v>
      </c>
      <c r="BC91" s="7">
        <v>7.6661111111111122</v>
      </c>
      <c r="BD91" s="7">
        <v>13.391888888888888</v>
      </c>
      <c r="BE91" s="124"/>
      <c r="BF91" s="8">
        <f t="shared" ref="BF91:BF121" si="69">IF(ISBLANK(M4),NA(),M4)</f>
        <v>52</v>
      </c>
      <c r="BG91" s="21">
        <f t="shared" ref="BG91:BG121" si="70">IF(ISBLANK(H4),NA(),H4)</f>
        <v>13.9</v>
      </c>
      <c r="BH91" s="124">
        <f t="shared" ref="BH91:BH121" si="71">IF(ISBLANK(F4),"",IF(Q4&lt;1013,1,0))</f>
        <v>1</v>
      </c>
      <c r="BI91" s="124">
        <f>IF(ISBLANK(L4),"",IF(AQ4&gt;0.4,1,0))</f>
        <v>0</v>
      </c>
      <c r="BJ91" s="144">
        <f t="shared" ref="BJ91:BJ121" si="72">IF(ISBLANK(Z4),"",Z4/3)</f>
        <v>0</v>
      </c>
      <c r="BL91" s="99">
        <v>1</v>
      </c>
    </row>
    <row r="92" spans="1:64" ht="12.75" x14ac:dyDescent="0.2">
      <c r="A92" s="8">
        <f t="shared" si="36"/>
        <v>34</v>
      </c>
      <c r="B92" s="125">
        <f t="shared" si="37"/>
        <v>8.3000000000000007</v>
      </c>
      <c r="C92" s="125">
        <f t="shared" si="38"/>
        <v>16.7</v>
      </c>
      <c r="D92" s="125">
        <f t="shared" ref="D92:D121" si="73">AVERAGE(B92:C92)</f>
        <v>12.5</v>
      </c>
      <c r="E92" s="125">
        <f t="shared" si="39"/>
        <v>8.3999999999999986</v>
      </c>
      <c r="F92" s="7">
        <v>6.3693333333333344</v>
      </c>
      <c r="G92" s="7">
        <v>14.946666666666665</v>
      </c>
      <c r="H92" s="7">
        <f t="shared" ref="H92:H121" si="74">AVERAGE(F92:G92)</f>
        <v>10.657999999999999</v>
      </c>
      <c r="I92" s="7">
        <f t="shared" ref="I92:I121" si="75">G92-F92</f>
        <v>8.5773333333333319</v>
      </c>
      <c r="K92" s="7">
        <f t="shared" si="40"/>
        <v>8.8000000000000007</v>
      </c>
      <c r="L92" s="7">
        <f t="shared" si="41"/>
        <v>11.2</v>
      </c>
      <c r="M92" s="370">
        <f t="shared" si="42"/>
        <v>9.8000000000000007</v>
      </c>
      <c r="N92" s="1">
        <f t="shared" si="43"/>
        <v>0</v>
      </c>
      <c r="O92" s="7">
        <f t="shared" si="44"/>
        <v>52</v>
      </c>
      <c r="P92" s="7">
        <f t="shared" si="45"/>
        <v>8.65</v>
      </c>
      <c r="Q92" s="7">
        <f t="shared" si="46"/>
        <v>16.649999999999999</v>
      </c>
      <c r="R92" s="7">
        <f t="shared" si="47"/>
        <v>12.75</v>
      </c>
      <c r="S92" s="7">
        <f t="shared" si="48"/>
        <v>8</v>
      </c>
      <c r="T92" s="1">
        <v>33</v>
      </c>
      <c r="U92" s="333">
        <f t="shared" si="49"/>
        <v>1.903225806451613</v>
      </c>
      <c r="V92" s="4">
        <v>2</v>
      </c>
      <c r="W92" s="7">
        <f t="shared" si="50"/>
        <v>0.54600000000000004</v>
      </c>
      <c r="X92" s="7">
        <f t="shared" si="51"/>
        <v>9.0090000000000003</v>
      </c>
      <c r="Y92" s="8">
        <f t="shared" si="52"/>
        <v>3</v>
      </c>
      <c r="Z92" s="7">
        <f>IF(ISBLANK(Z5),NA(),SUM($Z$4:Z5))</f>
        <v>0</v>
      </c>
      <c r="AA92" s="7">
        <f t="shared" ref="AA92:AA121" si="76">$AB$48*E5</f>
        <v>3.806451612903226</v>
      </c>
      <c r="AB92" s="26">
        <f>IF(ISBLANK(Z5),"",SUM($Z$4:Z5))</f>
        <v>0</v>
      </c>
      <c r="AC92" s="115">
        <f t="shared" ref="AC92:AC121" si="77">IF(ISBLANK(Z5),NA(),AB92/AA92)</f>
        <v>0</v>
      </c>
      <c r="AD92" s="8">
        <f t="shared" si="53"/>
        <v>1011.5</v>
      </c>
      <c r="AE92" s="610">
        <f t="shared" si="54"/>
        <v>2.0598465656358074</v>
      </c>
      <c r="AF92" s="524">
        <f t="shared" si="55"/>
        <v>0.28472222222222221</v>
      </c>
      <c r="AG92" s="22">
        <f>IF(ISBLANK(AP5),NA(),SUM($AP$4:AP5))</f>
        <v>24</v>
      </c>
      <c r="AH92" s="7">
        <f>SUM($AS$91:AS92)</f>
        <v>11.651353261155151</v>
      </c>
      <c r="AI92" s="115">
        <f t="shared" si="56"/>
        <v>2.0598465656358074</v>
      </c>
      <c r="AJ92" s="124">
        <f t="shared" si="57"/>
        <v>0</v>
      </c>
      <c r="AK92" s="8">
        <f t="shared" si="58"/>
        <v>1012.5</v>
      </c>
      <c r="AL92" s="124">
        <f t="shared" si="59"/>
        <v>0</v>
      </c>
      <c r="AM92" s="524">
        <f t="shared" si="60"/>
        <v>0.64583333333333337</v>
      </c>
      <c r="AN92" s="45">
        <f t="array" ref="AN92">MAX(FREQUENCY(IF(AJ91:AJ121=0,ROW(91:121)),IF(AJ91:AJ121&lt;&gt;0,ROW(91:121))))</f>
        <v>9</v>
      </c>
      <c r="AO92" s="524">
        <f t="shared" si="61"/>
        <v>0.55555555555555558</v>
      </c>
      <c r="AP92" s="59" t="s">
        <v>113</v>
      </c>
      <c r="AQ92" s="447">
        <v>8.9999999999999993E-3</v>
      </c>
      <c r="AR92" s="524">
        <f t="shared" si="62"/>
        <v>0.2638888888888889</v>
      </c>
      <c r="AS92" s="7">
        <f t="shared" si="63"/>
        <v>5.8375157653839196</v>
      </c>
      <c r="AT92" s="7">
        <v>13.504924093998854</v>
      </c>
      <c r="AU92" s="4">
        <v>2</v>
      </c>
      <c r="AV92" s="127">
        <f t="shared" si="64"/>
        <v>1</v>
      </c>
      <c r="AW92" s="124">
        <f t="shared" ref="AW92:AW121" si="78">IF(ISBLANK(F5),"",IF(AY50&lt;BC92,1,0))</f>
        <v>0</v>
      </c>
      <c r="AX92" s="124">
        <f t="shared" ref="AX92:AX121" si="79">IF(ISBLANK(G5),"",IF(AY50&gt;BD92,1,0))</f>
        <v>0</v>
      </c>
      <c r="AY92" s="124">
        <f t="shared" si="65"/>
        <v>0</v>
      </c>
      <c r="AZ92" s="125">
        <f t="shared" si="66"/>
        <v>4.7</v>
      </c>
      <c r="BA92" s="125">
        <f t="shared" si="67"/>
        <v>9.7000000000000011</v>
      </c>
      <c r="BB92" s="125">
        <f t="shared" si="68"/>
        <v>15.299999999999999</v>
      </c>
      <c r="BC92" s="7">
        <v>7.7988888888888894</v>
      </c>
      <c r="BD92" s="7">
        <v>13.51711111111111</v>
      </c>
      <c r="BE92" s="124"/>
      <c r="BF92" s="8">
        <f t="shared" si="69"/>
        <v>52</v>
      </c>
      <c r="BG92" s="21">
        <f t="shared" si="70"/>
        <v>11.6</v>
      </c>
      <c r="BH92" s="124">
        <f t="shared" si="71"/>
        <v>0</v>
      </c>
      <c r="BI92" s="124">
        <f t="shared" ref="BI92:BI121" si="80">IF(ISBLANK(L5),"",IF(AQ5&gt;0.4,1,0))</f>
        <v>0</v>
      </c>
      <c r="BJ92" s="144">
        <f t="shared" si="72"/>
        <v>0</v>
      </c>
      <c r="BL92" s="99">
        <v>2</v>
      </c>
    </row>
    <row r="93" spans="1:64" ht="12.75" x14ac:dyDescent="0.2">
      <c r="A93" s="8">
        <f t="shared" si="36"/>
        <v>49</v>
      </c>
      <c r="B93" s="125">
        <f t="shared" si="37"/>
        <v>8.3000000000000007</v>
      </c>
      <c r="C93" s="125">
        <f t="shared" si="38"/>
        <v>16.7</v>
      </c>
      <c r="D93" s="125">
        <f t="shared" si="73"/>
        <v>12.5</v>
      </c>
      <c r="E93" s="125">
        <f t="shared" si="39"/>
        <v>8.3999999999999986</v>
      </c>
      <c r="F93" s="7">
        <v>6.5040000000000013</v>
      </c>
      <c r="G93" s="7">
        <v>15.07</v>
      </c>
      <c r="H93" s="7">
        <f t="shared" si="74"/>
        <v>10.787000000000001</v>
      </c>
      <c r="I93" s="7">
        <f t="shared" si="75"/>
        <v>8.5659999999999989</v>
      </c>
      <c r="K93" s="7">
        <f t="shared" si="40"/>
        <v>8.8999999999999986</v>
      </c>
      <c r="L93" s="7">
        <f t="shared" si="41"/>
        <v>9.65</v>
      </c>
      <c r="M93" s="370">
        <f t="shared" si="42"/>
        <v>8.7000000000000011</v>
      </c>
      <c r="N93" s="1">
        <f t="shared" si="43"/>
        <v>0</v>
      </c>
      <c r="O93" s="7">
        <f t="shared" si="44"/>
        <v>52.333333333333336</v>
      </c>
      <c r="P93" s="7">
        <f t="shared" si="45"/>
        <v>7.5</v>
      </c>
      <c r="Q93" s="7">
        <f t="shared" si="46"/>
        <v>15.799999999999999</v>
      </c>
      <c r="R93" s="7">
        <f t="shared" si="47"/>
        <v>11.733333333333334</v>
      </c>
      <c r="S93" s="7">
        <f t="shared" si="48"/>
        <v>8.2999999999999989</v>
      </c>
      <c r="T93" s="1">
        <v>34</v>
      </c>
      <c r="U93" s="333">
        <f t="shared" si="49"/>
        <v>1.903225806451613</v>
      </c>
      <c r="V93" s="4">
        <v>3</v>
      </c>
      <c r="W93" s="7">
        <f t="shared" si="50"/>
        <v>0.81900000000000006</v>
      </c>
      <c r="X93" s="7">
        <f t="shared" si="51"/>
        <v>9.282</v>
      </c>
      <c r="Y93" s="8">
        <f t="shared" si="52"/>
        <v>7</v>
      </c>
      <c r="Z93" s="7">
        <f>IF(ISBLANK(Z6),NA(),SUM($Z$4:Z6))</f>
        <v>0</v>
      </c>
      <c r="AA93" s="7">
        <f t="shared" si="76"/>
        <v>5.709677419354839</v>
      </c>
      <c r="AB93" s="26">
        <f>IF(ISBLANK(Z6),"",SUM($Z$4:Z6))</f>
        <v>0</v>
      </c>
      <c r="AC93" s="115">
        <f t="shared" si="77"/>
        <v>0</v>
      </c>
      <c r="AD93" s="8">
        <f t="shared" si="53"/>
        <v>1013.5</v>
      </c>
      <c r="AE93" s="610">
        <f t="shared" si="54"/>
        <v>2.1127958551085886</v>
      </c>
      <c r="AF93" s="524">
        <f t="shared" si="55"/>
        <v>0.27430555555555552</v>
      </c>
      <c r="AG93" s="22">
        <f>IF(ISBLANK(AP6),NA(),SUM($AP$4:AP6))</f>
        <v>37</v>
      </c>
      <c r="AH93" s="7">
        <f>SUM($AS$91:AS93)</f>
        <v>17.512340300430189</v>
      </c>
      <c r="AI93" s="115">
        <f t="shared" si="56"/>
        <v>2.1127958551085886</v>
      </c>
      <c r="AJ93" s="124">
        <f t="shared" si="57"/>
        <v>0</v>
      </c>
      <c r="AK93" s="8">
        <f t="shared" si="58"/>
        <v>1017.5</v>
      </c>
      <c r="AL93" s="124">
        <f t="shared" si="59"/>
        <v>0</v>
      </c>
      <c r="AM93" s="524">
        <f t="shared" si="60"/>
        <v>0.69791666666666663</v>
      </c>
      <c r="AN93" s="150">
        <f>COUNTIF(E72:E80, "&lt;-0.5")</f>
        <v>0</v>
      </c>
      <c r="AO93" s="524">
        <f t="shared" si="61"/>
        <v>0.625</v>
      </c>
      <c r="AP93" s="59" t="s">
        <v>206</v>
      </c>
      <c r="AQ93" s="447">
        <v>1.2999999999999999E-2</v>
      </c>
      <c r="AR93" s="524">
        <f t="shared" si="62"/>
        <v>0.24305555555555555</v>
      </c>
      <c r="AS93" s="7">
        <f t="shared" si="63"/>
        <v>5.8609870392750363</v>
      </c>
      <c r="AT93" s="7">
        <v>13.559224208127651</v>
      </c>
      <c r="AU93" s="4">
        <v>3</v>
      </c>
      <c r="AV93" s="127">
        <f t="shared" si="64"/>
        <v>1</v>
      </c>
      <c r="AW93" s="124">
        <f t="shared" si="78"/>
        <v>0</v>
      </c>
      <c r="AX93" s="124">
        <f t="shared" si="79"/>
        <v>0</v>
      </c>
      <c r="AY93" s="124">
        <f t="shared" si="65"/>
        <v>1</v>
      </c>
      <c r="AZ93" s="125">
        <f t="shared" si="66"/>
        <v>4.7</v>
      </c>
      <c r="BA93" s="125">
        <f t="shared" si="67"/>
        <v>9.7000000000000011</v>
      </c>
      <c r="BB93" s="125">
        <f t="shared" si="68"/>
        <v>15.299999999999999</v>
      </c>
      <c r="BC93" s="7">
        <v>7.9316666666666666</v>
      </c>
      <c r="BD93" s="7">
        <v>13.642333333333331</v>
      </c>
      <c r="BE93" s="124"/>
      <c r="BF93" s="8">
        <f t="shared" si="69"/>
        <v>53</v>
      </c>
      <c r="BG93" s="21">
        <f t="shared" si="70"/>
        <v>9.6999999999999993</v>
      </c>
      <c r="BH93" s="124">
        <f t="shared" si="71"/>
        <v>0</v>
      </c>
      <c r="BI93" s="124">
        <f t="shared" si="80"/>
        <v>0</v>
      </c>
      <c r="BJ93" s="144">
        <f t="shared" si="72"/>
        <v>0</v>
      </c>
      <c r="BL93" s="99">
        <v>3</v>
      </c>
    </row>
    <row r="94" spans="1:64" ht="12.75" x14ac:dyDescent="0.2">
      <c r="A94" s="8">
        <f t="shared" si="36"/>
        <v>37</v>
      </c>
      <c r="B94" s="125">
        <f t="shared" si="37"/>
        <v>8.3000000000000007</v>
      </c>
      <c r="C94" s="125">
        <f t="shared" si="38"/>
        <v>16.7</v>
      </c>
      <c r="D94" s="125">
        <f t="shared" si="73"/>
        <v>12.5</v>
      </c>
      <c r="E94" s="125">
        <f t="shared" si="39"/>
        <v>8.3999999999999986</v>
      </c>
      <c r="F94" s="7">
        <v>6.6386666666666683</v>
      </c>
      <c r="G94" s="7">
        <v>15.193333333333332</v>
      </c>
      <c r="H94" s="7">
        <f t="shared" si="74"/>
        <v>10.916</v>
      </c>
      <c r="I94" s="7">
        <f t="shared" si="75"/>
        <v>8.5546666666666624</v>
      </c>
      <c r="K94" s="7">
        <f t="shared" si="40"/>
        <v>12.8</v>
      </c>
      <c r="L94" s="7">
        <f t="shared" si="41"/>
        <v>9.6</v>
      </c>
      <c r="M94" s="370">
        <f t="shared" si="42"/>
        <v>7.8000000000000007</v>
      </c>
      <c r="N94" s="1">
        <f t="shared" si="43"/>
        <v>0</v>
      </c>
      <c r="O94" s="7">
        <f t="shared" si="44"/>
        <v>53</v>
      </c>
      <c r="P94" s="7">
        <f t="shared" si="45"/>
        <v>6.4249999999999998</v>
      </c>
      <c r="Q94" s="7">
        <f t="shared" si="46"/>
        <v>15.85</v>
      </c>
      <c r="R94" s="7">
        <f t="shared" si="47"/>
        <v>11.4</v>
      </c>
      <c r="S94" s="7">
        <f t="shared" si="48"/>
        <v>9.4250000000000007</v>
      </c>
      <c r="T94" s="1">
        <v>35</v>
      </c>
      <c r="U94" s="333">
        <f t="shared" si="49"/>
        <v>1.903225806451613</v>
      </c>
      <c r="V94" s="4">
        <v>4</v>
      </c>
      <c r="W94" s="7">
        <f t="shared" si="50"/>
        <v>1.0920000000000001</v>
      </c>
      <c r="X94" s="7">
        <f t="shared" si="51"/>
        <v>9.5550000000000015</v>
      </c>
      <c r="Y94" s="8">
        <f t="shared" si="52"/>
        <v>1</v>
      </c>
      <c r="Z94" s="7">
        <f>IF(ISBLANK(Z7),NA(),SUM($Z$4:Z7))</f>
        <v>0</v>
      </c>
      <c r="AA94" s="7">
        <f t="shared" si="76"/>
        <v>7.612903225806452</v>
      </c>
      <c r="AB94" s="26">
        <f>IF(ISBLANK(Z7),"",SUM($Z$4:Z7))</f>
        <v>0</v>
      </c>
      <c r="AC94" s="115">
        <f t="shared" si="77"/>
        <v>0</v>
      </c>
      <c r="AD94" s="8">
        <f t="shared" si="53"/>
        <v>1015.5</v>
      </c>
      <c r="AE94" s="610">
        <f t="shared" si="54"/>
        <v>2.1584348549346544</v>
      </c>
      <c r="AF94" s="524">
        <f t="shared" si="55"/>
        <v>0.2951388888888889</v>
      </c>
      <c r="AG94" s="22">
        <f>IF(ISBLANK(AP7),NA(),SUM($AP$4:AP7))</f>
        <v>50.5</v>
      </c>
      <c r="AH94" s="7">
        <f>SUM($AS$91:AS94)</f>
        <v>23.396582891786586</v>
      </c>
      <c r="AI94" s="115">
        <f t="shared" si="56"/>
        <v>2.1584348549346544</v>
      </c>
      <c r="AJ94" s="124">
        <f t="shared" si="57"/>
        <v>0</v>
      </c>
      <c r="AK94" s="8">
        <f t="shared" si="58"/>
        <v>1021.5</v>
      </c>
      <c r="AL94" s="124">
        <f t="shared" si="59"/>
        <v>0</v>
      </c>
      <c r="AM94" s="524">
        <f t="shared" si="60"/>
        <v>0.72222222222222221</v>
      </c>
      <c r="AN94" s="141">
        <f t="array" ref="AN94">MAX(FREQUENCY(IF(BI91:BI121=1,ROW(91:121)),IF(BI91:BI121&lt;&gt;1,ROW(91:121))))</f>
        <v>2</v>
      </c>
      <c r="AO94" s="524">
        <f t="shared" si="61"/>
        <v>0.66319444444444442</v>
      </c>
      <c r="AP94" s="449" t="s">
        <v>105</v>
      </c>
      <c r="AQ94" s="448">
        <v>0.04</v>
      </c>
      <c r="AR94" s="524">
        <f t="shared" si="62"/>
        <v>0.25</v>
      </c>
      <c r="AS94" s="7">
        <f t="shared" si="63"/>
        <v>5.8842425913563989</v>
      </c>
      <c r="AT94" s="7">
        <v>13.613025256081169</v>
      </c>
      <c r="AU94" s="4">
        <v>4</v>
      </c>
      <c r="AV94" s="127">
        <f t="shared" si="64"/>
        <v>1</v>
      </c>
      <c r="AW94" s="124">
        <f t="shared" si="78"/>
        <v>0</v>
      </c>
      <c r="AX94" s="124">
        <f t="shared" si="79"/>
        <v>0</v>
      </c>
      <c r="AY94" s="124">
        <f t="shared" si="65"/>
        <v>1</v>
      </c>
      <c r="AZ94" s="125">
        <f t="shared" si="66"/>
        <v>4.7</v>
      </c>
      <c r="BA94" s="125">
        <f t="shared" si="67"/>
        <v>9.7000000000000011</v>
      </c>
      <c r="BB94" s="125">
        <f t="shared" si="68"/>
        <v>15.299999999999999</v>
      </c>
      <c r="BC94" s="7">
        <v>8.0644444444444456</v>
      </c>
      <c r="BD94" s="7">
        <v>13.767555555555555</v>
      </c>
      <c r="BE94" s="124"/>
      <c r="BF94" s="8">
        <f t="shared" si="69"/>
        <v>55</v>
      </c>
      <c r="BG94" s="21">
        <f t="shared" si="70"/>
        <v>10.4</v>
      </c>
      <c r="BH94" s="124">
        <f t="shared" si="71"/>
        <v>0</v>
      </c>
      <c r="BI94" s="124">
        <f t="shared" si="80"/>
        <v>0</v>
      </c>
      <c r="BJ94" s="144">
        <f t="shared" si="72"/>
        <v>0</v>
      </c>
      <c r="BL94" s="99">
        <v>4</v>
      </c>
    </row>
    <row r="95" spans="1:64" ht="12.75" x14ac:dyDescent="0.2">
      <c r="A95" s="8">
        <f t="shared" si="36"/>
        <v>35</v>
      </c>
      <c r="B95" s="125">
        <f t="shared" si="37"/>
        <v>8.3000000000000007</v>
      </c>
      <c r="C95" s="125">
        <f t="shared" si="38"/>
        <v>16.7</v>
      </c>
      <c r="D95" s="125">
        <f t="shared" si="73"/>
        <v>12.5</v>
      </c>
      <c r="E95" s="125">
        <f t="shared" si="39"/>
        <v>8.3999999999999986</v>
      </c>
      <c r="F95" s="7">
        <v>6.7733333333333352</v>
      </c>
      <c r="G95" s="7">
        <v>15.316666666666665</v>
      </c>
      <c r="H95" s="7">
        <f t="shared" si="74"/>
        <v>11.045</v>
      </c>
      <c r="I95" s="7">
        <f t="shared" si="75"/>
        <v>8.5433333333333294</v>
      </c>
      <c r="K95" s="7">
        <f t="shared" si="40"/>
        <v>11.000000000000002</v>
      </c>
      <c r="L95" s="7">
        <f t="shared" si="41"/>
        <v>14.100000000000001</v>
      </c>
      <c r="M95" s="370">
        <f t="shared" si="42"/>
        <v>7.0600000000000005</v>
      </c>
      <c r="N95" s="1">
        <f t="shared" si="43"/>
        <v>0</v>
      </c>
      <c r="O95" s="7">
        <f t="shared" si="44"/>
        <v>54.2</v>
      </c>
      <c r="P95" s="7">
        <f t="shared" si="45"/>
        <v>6.8599999999999994</v>
      </c>
      <c r="Q95" s="7">
        <f t="shared" si="46"/>
        <v>16.600000000000001</v>
      </c>
      <c r="R95" s="7">
        <f t="shared" si="47"/>
        <v>11.76</v>
      </c>
      <c r="S95" s="7">
        <f t="shared" si="48"/>
        <v>9.74</v>
      </c>
      <c r="T95" s="1">
        <v>36</v>
      </c>
      <c r="U95" s="333">
        <f t="shared" si="49"/>
        <v>1.903225806451613</v>
      </c>
      <c r="V95" s="4">
        <v>5</v>
      </c>
      <c r="W95" s="7">
        <f t="shared" si="50"/>
        <v>1.3650000000000002</v>
      </c>
      <c r="X95" s="7">
        <f t="shared" si="51"/>
        <v>9.8280000000000012</v>
      </c>
      <c r="Y95" s="8">
        <f t="shared" si="52"/>
        <v>4</v>
      </c>
      <c r="Z95" s="7">
        <f>IF(ISBLANK(Z8),NA(),SUM($Z$4:Z8))</f>
        <v>0</v>
      </c>
      <c r="AA95" s="7">
        <f t="shared" si="76"/>
        <v>9.5161290322580641</v>
      </c>
      <c r="AB95" s="26">
        <f>IF(ISBLANK(Z8),"",SUM($Z$4:Z8))</f>
        <v>0</v>
      </c>
      <c r="AC95" s="115">
        <f t="shared" si="77"/>
        <v>0</v>
      </c>
      <c r="AD95" s="8">
        <f t="shared" si="53"/>
        <v>1016.4</v>
      </c>
      <c r="AE95" s="610">
        <f t="shared" si="54"/>
        <v>1.8598234758633632</v>
      </c>
      <c r="AF95" s="524">
        <f t="shared" si="55"/>
        <v>0.12847222222222224</v>
      </c>
      <c r="AG95" s="22">
        <f>IF(ISBLANK(AP8),NA(),SUM($AP$4:AP8))</f>
        <v>54.5</v>
      </c>
      <c r="AH95" s="7">
        <f>SUM($AS$91:AS95)</f>
        <v>29.303856364486489</v>
      </c>
      <c r="AI95" s="115">
        <f t="shared" si="56"/>
        <v>1.8598234758633632</v>
      </c>
      <c r="AJ95" s="124">
        <f t="shared" si="57"/>
        <v>0</v>
      </c>
      <c r="AK95" s="8">
        <f t="shared" si="58"/>
        <v>1020</v>
      </c>
      <c r="AL95" s="124">
        <f t="shared" si="59"/>
        <v>0</v>
      </c>
      <c r="AM95" s="524">
        <f t="shared" si="60"/>
        <v>0.75694444444444453</v>
      </c>
      <c r="AN95" s="141">
        <f t="array" ref="AN95">MAX(FREQUENCY(IF(BI91:BI121=0,ROW(91:121)),IF(BI91:BI121&lt;&gt;0,ROW(91:121))))</f>
        <v>9</v>
      </c>
      <c r="AO95" s="524">
        <f t="shared" si="61"/>
        <v>0.72222222222222221</v>
      </c>
      <c r="AP95" s="449" t="s">
        <v>207</v>
      </c>
      <c r="AQ95" s="448">
        <v>6.3E-2</v>
      </c>
      <c r="AR95" s="524">
        <f t="shared" si="62"/>
        <v>9.7222222222222224E-2</v>
      </c>
      <c r="AS95" s="7">
        <f t="shared" si="63"/>
        <v>5.9072734726999014</v>
      </c>
      <c r="AT95" s="7">
        <v>13.666306534772746</v>
      </c>
      <c r="AU95" s="4">
        <v>5</v>
      </c>
      <c r="AV95" s="127">
        <f t="shared" si="64"/>
        <v>1</v>
      </c>
      <c r="AW95" s="124">
        <f t="shared" si="78"/>
        <v>0</v>
      </c>
      <c r="AX95" s="124">
        <f t="shared" si="79"/>
        <v>1</v>
      </c>
      <c r="AY95" s="124">
        <f t="shared" si="65"/>
        <v>1</v>
      </c>
      <c r="AZ95" s="125">
        <f t="shared" si="66"/>
        <v>4.7</v>
      </c>
      <c r="BA95" s="125">
        <f t="shared" si="67"/>
        <v>9.7000000000000011</v>
      </c>
      <c r="BB95" s="125">
        <f t="shared" si="68"/>
        <v>15.299999999999999</v>
      </c>
      <c r="BC95" s="7">
        <v>8.1972222222222229</v>
      </c>
      <c r="BD95" s="7">
        <v>13.892777777777777</v>
      </c>
      <c r="BE95" s="124"/>
      <c r="BF95" s="8">
        <f t="shared" si="69"/>
        <v>59</v>
      </c>
      <c r="BG95" s="21">
        <f t="shared" si="70"/>
        <v>13.2</v>
      </c>
      <c r="BH95" s="124">
        <f t="shared" si="71"/>
        <v>0</v>
      </c>
      <c r="BI95" s="124">
        <f t="shared" si="80"/>
        <v>0</v>
      </c>
      <c r="BJ95" s="144">
        <f t="shared" si="72"/>
        <v>0</v>
      </c>
      <c r="BL95" s="99">
        <v>5</v>
      </c>
    </row>
    <row r="96" spans="1:64" ht="12.75" x14ac:dyDescent="0.2">
      <c r="A96" s="8">
        <f t="shared" si="36"/>
        <v>38</v>
      </c>
      <c r="B96" s="125">
        <f t="shared" si="37"/>
        <v>8.3000000000000007</v>
      </c>
      <c r="C96" s="125">
        <f t="shared" si="38"/>
        <v>16.7</v>
      </c>
      <c r="D96" s="125">
        <f t="shared" si="73"/>
        <v>12.5</v>
      </c>
      <c r="E96" s="125">
        <f t="shared" si="39"/>
        <v>8.3999999999999986</v>
      </c>
      <c r="F96" s="7">
        <v>6.9080000000000021</v>
      </c>
      <c r="G96" s="7">
        <v>15.44</v>
      </c>
      <c r="H96" s="7">
        <f t="shared" si="74"/>
        <v>11.174000000000001</v>
      </c>
      <c r="I96" s="7">
        <f t="shared" si="75"/>
        <v>8.5319999999999965</v>
      </c>
      <c r="K96" s="7">
        <f t="shared" si="40"/>
        <v>15.4</v>
      </c>
      <c r="L96" s="7">
        <f t="shared" si="41"/>
        <v>16.8</v>
      </c>
      <c r="M96" s="370">
        <f t="shared" si="42"/>
        <v>6.5500000000000007</v>
      </c>
      <c r="N96" s="1">
        <f t="shared" si="43"/>
        <v>0</v>
      </c>
      <c r="O96" s="7">
        <f t="shared" si="44"/>
        <v>53.166666666666664</v>
      </c>
      <c r="P96" s="7">
        <f t="shared" si="45"/>
        <v>7.2333333333333334</v>
      </c>
      <c r="Q96" s="7">
        <f t="shared" si="46"/>
        <v>17.916666666666668</v>
      </c>
      <c r="R96" s="7">
        <f t="shared" si="47"/>
        <v>12.683333333333332</v>
      </c>
      <c r="S96" s="7">
        <f t="shared" si="48"/>
        <v>10.683333333333335</v>
      </c>
      <c r="T96" s="1">
        <v>37</v>
      </c>
      <c r="U96" s="333">
        <f t="shared" si="49"/>
        <v>1.903225806451613</v>
      </c>
      <c r="V96" s="4">
        <v>6</v>
      </c>
      <c r="W96" s="7">
        <f t="shared" si="50"/>
        <v>1.6380000000000001</v>
      </c>
      <c r="X96" s="7">
        <f t="shared" si="51"/>
        <v>10.101000000000001</v>
      </c>
      <c r="Y96" s="8">
        <f t="shared" si="52"/>
        <v>4</v>
      </c>
      <c r="Z96" s="7">
        <f>IF(ISBLANK(Z9),NA(),SUM($Z$4:Z9))</f>
        <v>0</v>
      </c>
      <c r="AA96" s="7">
        <f t="shared" si="76"/>
        <v>11.419354838709678</v>
      </c>
      <c r="AB96" s="26">
        <f>IF(ISBLANK(Z9),"",SUM($Z$4:Z9))</f>
        <v>0</v>
      </c>
      <c r="AC96" s="115">
        <f t="shared" si="77"/>
        <v>0</v>
      </c>
      <c r="AD96" s="8">
        <f t="shared" si="53"/>
        <v>1016.1666666666666</v>
      </c>
      <c r="AE96" s="610">
        <f t="shared" si="54"/>
        <v>1.830621952078797</v>
      </c>
      <c r="AF96" s="524">
        <f t="shared" si="55"/>
        <v>0.29166666666666669</v>
      </c>
      <c r="AG96" s="22">
        <f>IF(ISBLANK(AP9),NA(),SUM($AP$4:AP9))</f>
        <v>64.5</v>
      </c>
      <c r="AH96" s="7">
        <f>SUM($AS$91:AS96)</f>
        <v>35.233926877559739</v>
      </c>
      <c r="AI96" s="115">
        <f t="shared" si="56"/>
        <v>1.830621952078797</v>
      </c>
      <c r="AJ96" s="124">
        <f t="shared" si="57"/>
        <v>0</v>
      </c>
      <c r="AK96" s="8">
        <f t="shared" si="58"/>
        <v>1015</v>
      </c>
      <c r="AL96" s="124">
        <f t="shared" si="59"/>
        <v>0</v>
      </c>
      <c r="AM96" s="524">
        <f t="shared" si="60"/>
        <v>0.77777777777777779</v>
      </c>
      <c r="AN96" s="124">
        <f>COUNTIF(AU50:AU60, "&lt;-0.5")</f>
        <v>2</v>
      </c>
      <c r="AO96" s="524">
        <f t="shared" si="61"/>
        <v>0.69444444444444453</v>
      </c>
      <c r="AP96" s="449" t="s">
        <v>106</v>
      </c>
      <c r="AQ96" s="448">
        <v>4.2000000000000003E-2</v>
      </c>
      <c r="AR96" s="524">
        <f t="shared" si="62"/>
        <v>0.25347222222222221</v>
      </c>
      <c r="AS96" s="7">
        <f t="shared" si="63"/>
        <v>5.9300705130732476</v>
      </c>
      <c r="AT96" s="7">
        <v>13.719046829134866</v>
      </c>
      <c r="AU96" s="4">
        <v>6</v>
      </c>
      <c r="AV96" s="127">
        <f t="shared" si="64"/>
        <v>1</v>
      </c>
      <c r="AW96" s="124">
        <f t="shared" si="78"/>
        <v>0</v>
      </c>
      <c r="AX96" s="124">
        <f t="shared" si="79"/>
        <v>1</v>
      </c>
      <c r="AY96" s="124">
        <f t="shared" si="65"/>
        <v>0</v>
      </c>
      <c r="AZ96" s="125">
        <f t="shared" si="66"/>
        <v>4.7</v>
      </c>
      <c r="BA96" s="125">
        <f t="shared" si="67"/>
        <v>9.7000000000000011</v>
      </c>
      <c r="BB96" s="125">
        <f t="shared" si="68"/>
        <v>15.299999999999999</v>
      </c>
      <c r="BC96" s="7">
        <v>8.33</v>
      </c>
      <c r="BD96" s="7">
        <v>14.017999999999999</v>
      </c>
      <c r="BE96" s="124"/>
      <c r="BF96" s="8">
        <f t="shared" si="69"/>
        <v>48</v>
      </c>
      <c r="BG96" s="21">
        <f t="shared" si="70"/>
        <v>17.3</v>
      </c>
      <c r="BH96" s="124">
        <f t="shared" si="71"/>
        <v>0</v>
      </c>
      <c r="BI96" s="124">
        <f t="shared" si="80"/>
        <v>0</v>
      </c>
      <c r="BJ96" s="144">
        <f t="shared" si="72"/>
        <v>0</v>
      </c>
      <c r="BL96" s="99">
        <v>6</v>
      </c>
    </row>
    <row r="97" spans="1:64" ht="12.75" x14ac:dyDescent="0.2">
      <c r="A97" s="8">
        <f t="shared" si="36"/>
        <v>38</v>
      </c>
      <c r="B97" s="125">
        <f t="shared" si="37"/>
        <v>8.3000000000000007</v>
      </c>
      <c r="C97" s="125">
        <f t="shared" si="38"/>
        <v>16.7</v>
      </c>
      <c r="D97" s="125">
        <f t="shared" si="73"/>
        <v>12.5</v>
      </c>
      <c r="E97" s="125">
        <f t="shared" si="39"/>
        <v>8.3999999999999986</v>
      </c>
      <c r="F97" s="7">
        <v>7.0426666666666691</v>
      </c>
      <c r="G97" s="7">
        <v>15.563333333333331</v>
      </c>
      <c r="H97" s="7">
        <f t="shared" si="74"/>
        <v>11.303000000000001</v>
      </c>
      <c r="I97" s="7">
        <f t="shared" si="75"/>
        <v>8.5206666666666617</v>
      </c>
      <c r="K97" s="7">
        <f t="shared" si="40"/>
        <v>8.7999999999999989</v>
      </c>
      <c r="L97" s="7">
        <f t="shared" si="41"/>
        <v>18.8</v>
      </c>
      <c r="M97" s="370">
        <f t="shared" si="42"/>
        <v>6.1571428571428575</v>
      </c>
      <c r="N97" s="1">
        <f t="shared" si="43"/>
        <v>0.3666666666666667</v>
      </c>
      <c r="O97" s="7">
        <f t="shared" si="44"/>
        <v>54.571428571428569</v>
      </c>
      <c r="P97" s="7">
        <f t="shared" si="45"/>
        <v>8.2571428571428562</v>
      </c>
      <c r="Q97" s="7">
        <f t="shared" si="46"/>
        <v>18.671428571428571</v>
      </c>
      <c r="R97" s="7">
        <f t="shared" si="47"/>
        <v>13.5</v>
      </c>
      <c r="S97" s="7">
        <f t="shared" si="48"/>
        <v>10.414285714285715</v>
      </c>
      <c r="T97" s="1">
        <v>38</v>
      </c>
      <c r="U97" s="333">
        <f t="shared" si="49"/>
        <v>1.903225806451613</v>
      </c>
      <c r="V97" s="4">
        <v>7</v>
      </c>
      <c r="W97" s="7">
        <f t="shared" si="50"/>
        <v>1.911</v>
      </c>
      <c r="X97" s="7">
        <f t="shared" si="51"/>
        <v>10.374000000000001</v>
      </c>
      <c r="Y97" s="8">
        <f t="shared" si="52"/>
        <v>4</v>
      </c>
      <c r="Z97" s="7">
        <f>IF(ISBLANK(Z10),NA(),SUM($Z$4:Z10))</f>
        <v>1.1000000000000001</v>
      </c>
      <c r="AA97" s="7">
        <f t="shared" si="76"/>
        <v>13.322580645161292</v>
      </c>
      <c r="AB97" s="26">
        <f>IF(ISBLANK(Z10),"",SUM($Z$4:Z10))</f>
        <v>1.1000000000000001</v>
      </c>
      <c r="AC97" s="115">
        <f t="shared" si="77"/>
        <v>8.2566585956416458E-2</v>
      </c>
      <c r="AD97" s="8">
        <f t="shared" si="53"/>
        <v>1015.4285714285714</v>
      </c>
      <c r="AE97" s="610">
        <f t="shared" si="54"/>
        <v>1.6024648356257585</v>
      </c>
      <c r="AF97" s="524">
        <f t="shared" si="55"/>
        <v>0.4513888888888889</v>
      </c>
      <c r="AG97" s="22">
        <f>IF(ISBLANK(AP10),NA(),SUM($AP$4:AP10))</f>
        <v>66</v>
      </c>
      <c r="AH97" s="7">
        <f>SUM($AS$91:AS97)</f>
        <v>41.186551200811323</v>
      </c>
      <c r="AI97" s="115">
        <f t="shared" si="56"/>
        <v>1.6024648356257585</v>
      </c>
      <c r="AJ97" s="124">
        <f t="shared" si="57"/>
        <v>1</v>
      </c>
      <c r="AK97" s="8">
        <f t="shared" si="58"/>
        <v>1011</v>
      </c>
      <c r="AL97" s="124">
        <f t="shared" si="59"/>
        <v>1</v>
      </c>
      <c r="AM97" s="524">
        <f t="shared" si="60"/>
        <v>0.64027777777777783</v>
      </c>
      <c r="AN97" s="150">
        <f>COUNTIF(E48:E66,"&gt;0.5")</f>
        <v>2</v>
      </c>
      <c r="AO97" s="524">
        <f t="shared" si="61"/>
        <v>0.61805555555555558</v>
      </c>
      <c r="AP97" s="449" t="s">
        <v>208</v>
      </c>
      <c r="AQ97" s="448">
        <v>2.4E-2</v>
      </c>
      <c r="AR97" s="524">
        <f t="shared" si="62"/>
        <v>0.26041666666666669</v>
      </c>
      <c r="AS97" s="7">
        <f t="shared" si="63"/>
        <v>5.9526243232515847</v>
      </c>
      <c r="AT97" s="7">
        <v>13.771224417467062</v>
      </c>
      <c r="AU97" s="4">
        <v>7</v>
      </c>
      <c r="AV97" s="127">
        <f t="shared" si="64"/>
        <v>0</v>
      </c>
      <c r="AW97" s="124">
        <f t="shared" si="78"/>
        <v>0</v>
      </c>
      <c r="AX97" s="124">
        <f t="shared" si="79"/>
        <v>1</v>
      </c>
      <c r="AY97" s="124">
        <f t="shared" si="65"/>
        <v>0</v>
      </c>
      <c r="AZ97" s="125">
        <f t="shared" si="66"/>
        <v>4.7</v>
      </c>
      <c r="BA97" s="125">
        <f t="shared" si="67"/>
        <v>9.7000000000000011</v>
      </c>
      <c r="BB97" s="125">
        <f t="shared" si="68"/>
        <v>15.299999999999999</v>
      </c>
      <c r="BC97" s="7">
        <v>8.4627777777777808</v>
      </c>
      <c r="BD97" s="7">
        <v>14.143222222222221</v>
      </c>
      <c r="BE97" s="124"/>
      <c r="BF97" s="8">
        <f t="shared" si="69"/>
        <v>63</v>
      </c>
      <c r="BG97" s="21">
        <f t="shared" si="70"/>
        <v>18.399999999999999</v>
      </c>
      <c r="BH97" s="124">
        <f t="shared" si="71"/>
        <v>0</v>
      </c>
      <c r="BI97" s="124">
        <f t="shared" si="80"/>
        <v>1</v>
      </c>
      <c r="BJ97" s="144">
        <f t="shared" si="72"/>
        <v>0.3666666666666667</v>
      </c>
      <c r="BL97" s="99">
        <v>7</v>
      </c>
    </row>
    <row r="98" spans="1:64" ht="12.75" x14ac:dyDescent="0.2">
      <c r="A98" s="8">
        <f t="shared" si="36"/>
        <v>46</v>
      </c>
      <c r="B98" s="125">
        <f t="shared" si="37"/>
        <v>8.3000000000000007</v>
      </c>
      <c r="C98" s="125">
        <f t="shared" si="38"/>
        <v>16.7</v>
      </c>
      <c r="D98" s="125">
        <f t="shared" si="73"/>
        <v>12.5</v>
      </c>
      <c r="E98" s="125">
        <f t="shared" si="39"/>
        <v>8.3999999999999986</v>
      </c>
      <c r="F98" s="7">
        <v>7.177333333333336</v>
      </c>
      <c r="G98" s="7">
        <v>15.686666666666664</v>
      </c>
      <c r="H98" s="7">
        <f t="shared" si="74"/>
        <v>11.432</v>
      </c>
      <c r="I98" s="7">
        <f t="shared" si="75"/>
        <v>8.509333333333327</v>
      </c>
      <c r="K98" s="7">
        <f t="shared" si="40"/>
        <v>5.0000000000000018</v>
      </c>
      <c r="L98" s="7">
        <f t="shared" si="41"/>
        <v>17.100000000000001</v>
      </c>
      <c r="M98" s="370">
        <f t="shared" si="42"/>
        <v>6.2125000000000004</v>
      </c>
      <c r="N98" s="1">
        <f t="shared" si="43"/>
        <v>1</v>
      </c>
      <c r="O98" s="7">
        <f t="shared" si="44"/>
        <v>55.875</v>
      </c>
      <c r="P98" s="7">
        <f t="shared" si="45"/>
        <v>9.0499999999999989</v>
      </c>
      <c r="Q98" s="7">
        <f t="shared" si="46"/>
        <v>18.787499999999998</v>
      </c>
      <c r="R98" s="7">
        <f t="shared" si="47"/>
        <v>13.95</v>
      </c>
      <c r="S98" s="7">
        <f t="shared" si="48"/>
        <v>9.7375000000000007</v>
      </c>
      <c r="T98" s="1">
        <v>39</v>
      </c>
      <c r="U98" s="333">
        <f t="shared" si="49"/>
        <v>1.903225806451613</v>
      </c>
      <c r="V98" s="4">
        <v>8</v>
      </c>
      <c r="W98" s="7">
        <f t="shared" si="50"/>
        <v>2.1840000000000002</v>
      </c>
      <c r="X98" s="7">
        <f t="shared" si="51"/>
        <v>10.647</v>
      </c>
      <c r="Y98" s="8">
        <f t="shared" si="52"/>
        <v>10</v>
      </c>
      <c r="Z98" s="7">
        <f>IF(ISBLANK(Z11),NA(),SUM($Z$4:Z11))</f>
        <v>4.0999999999999996</v>
      </c>
      <c r="AA98" s="7">
        <f t="shared" si="76"/>
        <v>15.225806451612904</v>
      </c>
      <c r="AB98" s="26">
        <f>IF(ISBLANK(Z11),"",SUM($Z$4:Z11))</f>
        <v>4.0999999999999996</v>
      </c>
      <c r="AC98" s="115">
        <f t="shared" si="77"/>
        <v>0.26927966101694911</v>
      </c>
      <c r="AD98" s="8">
        <f t="shared" si="53"/>
        <v>1015.25</v>
      </c>
      <c r="AE98" s="610">
        <f t="shared" si="54"/>
        <v>1.4842622665034777</v>
      </c>
      <c r="AF98" s="524">
        <f t="shared" si="55"/>
        <v>0.36805555555555558</v>
      </c>
      <c r="AG98" s="22">
        <f>IF(ISBLANK(AP11),NA(),SUM($AP$4:AP11))</f>
        <v>70</v>
      </c>
      <c r="AH98" s="7">
        <f>SUM($AS$91:AS98)</f>
        <v>47.161476498962109</v>
      </c>
      <c r="AI98" s="115">
        <f t="shared" si="56"/>
        <v>1.4842622665034777</v>
      </c>
      <c r="AJ98" s="124">
        <f t="shared" si="57"/>
        <v>1</v>
      </c>
      <c r="AK98" s="8">
        <f t="shared" si="58"/>
        <v>1014</v>
      </c>
      <c r="AL98" s="124">
        <f t="shared" si="59"/>
        <v>1</v>
      </c>
      <c r="AM98" s="524">
        <f t="shared" si="60"/>
        <v>0.77777777777777779</v>
      </c>
      <c r="AN98" s="150">
        <f>COUNTIF(E72:E80, "&gt;0.5")</f>
        <v>0</v>
      </c>
      <c r="AO98" s="524">
        <f t="shared" si="61"/>
        <v>0.71527777777777779</v>
      </c>
      <c r="AP98" s="449" t="s">
        <v>112</v>
      </c>
      <c r="AQ98" s="448">
        <v>1.6E-2</v>
      </c>
      <c r="AR98" s="524">
        <f t="shared" si="62"/>
        <v>0.33333333333333331</v>
      </c>
      <c r="AS98" s="7">
        <f t="shared" si="63"/>
        <v>5.9749252981507874</v>
      </c>
      <c r="AT98" s="7">
        <v>13.82281707868467</v>
      </c>
      <c r="AU98" s="4">
        <v>8</v>
      </c>
      <c r="AV98" s="127">
        <f t="shared" si="64"/>
        <v>1</v>
      </c>
      <c r="AW98" s="124">
        <f t="shared" si="78"/>
        <v>0</v>
      </c>
      <c r="AX98" s="124">
        <f t="shared" si="79"/>
        <v>1</v>
      </c>
      <c r="AY98" s="124">
        <f t="shared" si="65"/>
        <v>0</v>
      </c>
      <c r="AZ98" s="125">
        <f t="shared" si="66"/>
        <v>4.7</v>
      </c>
      <c r="BA98" s="125">
        <f t="shared" si="67"/>
        <v>9.7000000000000011</v>
      </c>
      <c r="BB98" s="125">
        <f t="shared" si="68"/>
        <v>15.299999999999999</v>
      </c>
      <c r="BC98" s="7">
        <v>8.5955555555555581</v>
      </c>
      <c r="BD98" s="7">
        <v>14.268444444444443</v>
      </c>
      <c r="BE98" s="124"/>
      <c r="BF98" s="8">
        <f t="shared" si="69"/>
        <v>65</v>
      </c>
      <c r="BG98" s="21">
        <f t="shared" si="70"/>
        <v>17.100000000000001</v>
      </c>
      <c r="BH98" s="124">
        <f t="shared" si="71"/>
        <v>0</v>
      </c>
      <c r="BI98" s="124">
        <f t="shared" si="80"/>
        <v>1</v>
      </c>
      <c r="BJ98" s="144">
        <f t="shared" si="72"/>
        <v>1</v>
      </c>
      <c r="BL98" s="99">
        <v>8</v>
      </c>
    </row>
    <row r="99" spans="1:64" ht="12.75" x14ac:dyDescent="0.2">
      <c r="A99" s="8">
        <f t="shared" si="36"/>
        <v>39</v>
      </c>
      <c r="B99" s="125">
        <f t="shared" si="37"/>
        <v>8.3000000000000007</v>
      </c>
      <c r="C99" s="125">
        <f t="shared" si="38"/>
        <v>16.7</v>
      </c>
      <c r="D99" s="125">
        <f t="shared" si="73"/>
        <v>12.5</v>
      </c>
      <c r="E99" s="125">
        <f t="shared" si="39"/>
        <v>8.3999999999999986</v>
      </c>
      <c r="F99" s="7">
        <v>7.3120000000000029</v>
      </c>
      <c r="G99" s="7">
        <v>15.81</v>
      </c>
      <c r="H99" s="7">
        <f t="shared" si="74"/>
        <v>11.561000000000002</v>
      </c>
      <c r="I99" s="7">
        <f t="shared" si="75"/>
        <v>8.4979999999999976</v>
      </c>
      <c r="K99" s="7">
        <f t="shared" si="40"/>
        <v>8.6</v>
      </c>
      <c r="L99" s="7">
        <f t="shared" si="41"/>
        <v>15.899999999999999</v>
      </c>
      <c r="M99" s="370">
        <f t="shared" si="42"/>
        <v>6.166666666666667</v>
      </c>
      <c r="N99" s="1">
        <f t="shared" si="43"/>
        <v>0</v>
      </c>
      <c r="O99" s="7">
        <f t="shared" si="44"/>
        <v>55.888888888888886</v>
      </c>
      <c r="P99" s="7">
        <f t="shared" si="45"/>
        <v>9.3333333333333321</v>
      </c>
      <c r="Q99" s="7">
        <f t="shared" si="46"/>
        <v>18.944444444444443</v>
      </c>
      <c r="R99" s="7">
        <f t="shared" si="47"/>
        <v>14.21111111111111</v>
      </c>
      <c r="S99" s="7">
        <f t="shared" si="48"/>
        <v>9.6111111111111107</v>
      </c>
      <c r="T99" s="1">
        <v>40</v>
      </c>
      <c r="U99" s="333">
        <f t="shared" si="49"/>
        <v>1.903225806451613</v>
      </c>
      <c r="V99" s="4">
        <v>9</v>
      </c>
      <c r="W99" s="7">
        <f t="shared" si="50"/>
        <v>2.4570000000000003</v>
      </c>
      <c r="X99" s="7">
        <f t="shared" si="51"/>
        <v>10.920000000000002</v>
      </c>
      <c r="Y99" s="8">
        <f t="shared" si="52"/>
        <v>4</v>
      </c>
      <c r="Z99" s="7">
        <f>IF(ISBLANK(Z12),NA(),SUM($Z$4:Z12))</f>
        <v>4.0999999999999996</v>
      </c>
      <c r="AA99" s="7">
        <f t="shared" si="76"/>
        <v>17.129032258064516</v>
      </c>
      <c r="AB99" s="26">
        <f>IF(ISBLANK(Z12),"",SUM($Z$4:Z12))</f>
        <v>4.0999999999999996</v>
      </c>
      <c r="AC99" s="115">
        <f t="shared" si="77"/>
        <v>0.23935969868173257</v>
      </c>
      <c r="AD99" s="8">
        <f t="shared" si="53"/>
        <v>1015.8888888888889</v>
      </c>
      <c r="AE99" s="610">
        <f t="shared" si="54"/>
        <v>1.5519642753641667</v>
      </c>
      <c r="AF99" s="524">
        <f t="shared" si="55"/>
        <v>0.27083333333333331</v>
      </c>
      <c r="AG99" s="22">
        <f>IF(ISBLANK(AP12),NA(),SUM($AP$4:AP12))</f>
        <v>82.5</v>
      </c>
      <c r="AH99" s="7">
        <f>SUM($AS$91:AS99)</f>
        <v>53.158440119790427</v>
      </c>
      <c r="AI99" s="115">
        <f t="shared" si="56"/>
        <v>1.5519642753641667</v>
      </c>
      <c r="AJ99" s="124">
        <f t="shared" si="57"/>
        <v>0</v>
      </c>
      <c r="AK99" s="8">
        <f t="shared" si="58"/>
        <v>1021</v>
      </c>
      <c r="AL99" s="124">
        <f t="shared" si="59"/>
        <v>0</v>
      </c>
      <c r="AM99" s="524">
        <f t="shared" si="60"/>
        <v>0.6875</v>
      </c>
      <c r="AN99" s="7">
        <f>I39/3</f>
        <v>2.7999999999999994</v>
      </c>
      <c r="AO99" s="524">
        <f t="shared" si="61"/>
        <v>0.61458333333333337</v>
      </c>
      <c r="AP99" s="449" t="s">
        <v>209</v>
      </c>
      <c r="AQ99" s="448">
        <v>1.9E-2</v>
      </c>
      <c r="AR99" s="524">
        <f t="shared" si="62"/>
        <v>0.23263888888888887</v>
      </c>
      <c r="AS99" s="7">
        <f t="shared" si="63"/>
        <v>5.9969636208283212</v>
      </c>
      <c r="AT99" s="7">
        <v>13.873802101574723</v>
      </c>
      <c r="AU99" s="4">
        <v>9</v>
      </c>
      <c r="AV99" s="127">
        <f t="shared" si="64"/>
        <v>1</v>
      </c>
      <c r="AW99" s="124">
        <f t="shared" si="78"/>
        <v>0</v>
      </c>
      <c r="AX99" s="124">
        <f t="shared" si="79"/>
        <v>1</v>
      </c>
      <c r="AY99" s="124">
        <f t="shared" si="65"/>
        <v>1</v>
      </c>
      <c r="AZ99" s="125">
        <f t="shared" si="66"/>
        <v>4.7</v>
      </c>
      <c r="BA99" s="125">
        <f t="shared" si="67"/>
        <v>9.7000000000000011</v>
      </c>
      <c r="BB99" s="125">
        <f t="shared" si="68"/>
        <v>15.299999999999999</v>
      </c>
      <c r="BC99" s="7">
        <v>8.7283333333333353</v>
      </c>
      <c r="BD99" s="7">
        <v>14.393666666666665</v>
      </c>
      <c r="BE99" s="124"/>
      <c r="BF99" s="8">
        <f t="shared" si="69"/>
        <v>56</v>
      </c>
      <c r="BG99" s="21">
        <f t="shared" si="70"/>
        <v>16.3</v>
      </c>
      <c r="BH99" s="124">
        <f t="shared" si="71"/>
        <v>0</v>
      </c>
      <c r="BI99" s="124">
        <f t="shared" si="80"/>
        <v>0</v>
      </c>
      <c r="BJ99" s="144">
        <f t="shared" si="72"/>
        <v>0</v>
      </c>
      <c r="BL99" s="99">
        <v>9</v>
      </c>
    </row>
    <row r="100" spans="1:64" ht="12.75" x14ac:dyDescent="0.2">
      <c r="A100" s="8">
        <f t="shared" si="36"/>
        <v>52</v>
      </c>
      <c r="B100" s="125">
        <f t="shared" si="37"/>
        <v>8.3000000000000007</v>
      </c>
      <c r="C100" s="125">
        <f t="shared" si="38"/>
        <v>16.7</v>
      </c>
      <c r="D100" s="125">
        <f t="shared" si="73"/>
        <v>12.5</v>
      </c>
      <c r="E100" s="125">
        <f t="shared" si="39"/>
        <v>8.3999999999999986</v>
      </c>
      <c r="F100" s="7">
        <v>7.4466666666666699</v>
      </c>
      <c r="G100" s="7">
        <v>15.93333333333333</v>
      </c>
      <c r="H100" s="7">
        <f t="shared" si="74"/>
        <v>11.69</v>
      </c>
      <c r="I100" s="7">
        <f t="shared" si="75"/>
        <v>8.486666666666661</v>
      </c>
      <c r="K100" s="7">
        <f t="shared" si="40"/>
        <v>12.7</v>
      </c>
      <c r="L100" s="7">
        <f t="shared" si="41"/>
        <v>15.049999999999999</v>
      </c>
      <c r="M100" s="370">
        <f t="shared" si="42"/>
        <v>6.05</v>
      </c>
      <c r="N100" s="1">
        <f t="shared" si="43"/>
        <v>0</v>
      </c>
      <c r="O100" s="7">
        <f t="shared" si="44"/>
        <v>55.8</v>
      </c>
      <c r="P100" s="7">
        <f t="shared" si="45"/>
        <v>9.27</v>
      </c>
      <c r="Q100" s="7">
        <f t="shared" si="46"/>
        <v>19.189999999999998</v>
      </c>
      <c r="R100" s="7">
        <f t="shared" si="47"/>
        <v>14.41</v>
      </c>
      <c r="S100" s="7">
        <f t="shared" si="48"/>
        <v>9.92</v>
      </c>
      <c r="T100" s="1">
        <v>41</v>
      </c>
      <c r="U100" s="333">
        <f t="shared" si="49"/>
        <v>1.903225806451613</v>
      </c>
      <c r="V100" s="4">
        <v>10</v>
      </c>
      <c r="W100" s="7">
        <f t="shared" si="50"/>
        <v>2.7300000000000004</v>
      </c>
      <c r="X100" s="7">
        <f t="shared" si="51"/>
        <v>11.193000000000001</v>
      </c>
      <c r="Y100" s="8">
        <f t="shared" si="52"/>
        <v>2</v>
      </c>
      <c r="Z100" s="7">
        <f>IF(ISBLANK(Z13),NA(),SUM($Z$4:Z13))</f>
        <v>4.0999999999999996</v>
      </c>
      <c r="AA100" s="7">
        <f t="shared" si="76"/>
        <v>19.032258064516128</v>
      </c>
      <c r="AB100" s="26">
        <f>IF(ISBLANK(Z13),"",SUM($Z$4:Z13))</f>
        <v>4.0999999999999996</v>
      </c>
      <c r="AC100" s="115">
        <f t="shared" si="77"/>
        <v>0.21542372881355931</v>
      </c>
      <c r="AD100" s="8">
        <f t="shared" si="53"/>
        <v>1016.7</v>
      </c>
      <c r="AE100" s="610">
        <f t="shared" si="54"/>
        <v>1.6053488361098891</v>
      </c>
      <c r="AF100" s="524">
        <f t="shared" si="55"/>
        <v>0.28472222222222221</v>
      </c>
      <c r="AG100" s="22">
        <f>IF(ISBLANK(AP13),NA(),SUM($AP$4:AP13))</f>
        <v>95</v>
      </c>
      <c r="AH100" s="7">
        <f>SUM($AS$91:AS100)</f>
        <v>59.177169387187995</v>
      </c>
      <c r="AI100" s="115">
        <f t="shared" si="56"/>
        <v>1.6053488361098891</v>
      </c>
      <c r="AJ100" s="124">
        <f t="shared" si="57"/>
        <v>0</v>
      </c>
      <c r="AK100" s="8">
        <f t="shared" si="58"/>
        <v>1024</v>
      </c>
      <c r="AL100" s="124">
        <f t="shared" si="59"/>
        <v>0</v>
      </c>
      <c r="AM100" s="524">
        <f t="shared" si="60"/>
        <v>0.71527777777777779</v>
      </c>
      <c r="AN100" s="150">
        <f>COUNTIF(E48:E66,"&lt;-0.5")</f>
        <v>3</v>
      </c>
      <c r="AO100" s="524">
        <f t="shared" si="61"/>
        <v>0.70138888888888884</v>
      </c>
      <c r="AP100" s="449" t="s">
        <v>111</v>
      </c>
      <c r="AQ100" s="448">
        <v>5.8999999999999997E-2</v>
      </c>
      <c r="AR100" s="524">
        <f t="shared" si="62"/>
        <v>0.24652777777777779</v>
      </c>
      <c r="AS100" s="7">
        <f t="shared" si="63"/>
        <v>6.0187292673975659</v>
      </c>
      <c r="AT100" s="7">
        <v>13.924156296165087</v>
      </c>
      <c r="AU100" s="4">
        <v>10</v>
      </c>
      <c r="AV100" s="127">
        <f t="shared" si="64"/>
        <v>1</v>
      </c>
      <c r="AW100" s="124">
        <f t="shared" si="78"/>
        <v>0</v>
      </c>
      <c r="AX100" s="124">
        <f t="shared" si="79"/>
        <v>1</v>
      </c>
      <c r="AY100" s="124">
        <f t="shared" si="65"/>
        <v>1</v>
      </c>
      <c r="AZ100" s="125">
        <f t="shared" si="66"/>
        <v>4.7</v>
      </c>
      <c r="BA100" s="125">
        <f t="shared" si="67"/>
        <v>9.7000000000000011</v>
      </c>
      <c r="BB100" s="125">
        <f t="shared" si="68"/>
        <v>15.299999999999999</v>
      </c>
      <c r="BC100" s="7">
        <v>8.8611111111111125</v>
      </c>
      <c r="BD100" s="7">
        <v>14.518888888888887</v>
      </c>
      <c r="BE100" s="124"/>
      <c r="BF100" s="8">
        <f t="shared" si="69"/>
        <v>55</v>
      </c>
      <c r="BG100" s="21">
        <f t="shared" si="70"/>
        <v>16.2</v>
      </c>
      <c r="BH100" s="124">
        <f t="shared" si="71"/>
        <v>0</v>
      </c>
      <c r="BI100" s="124">
        <f t="shared" si="80"/>
        <v>0</v>
      </c>
      <c r="BJ100" s="144">
        <f t="shared" si="72"/>
        <v>0</v>
      </c>
      <c r="BL100" s="99">
        <v>10</v>
      </c>
    </row>
    <row r="101" spans="1:64" ht="12.75" x14ac:dyDescent="0.2">
      <c r="A101" s="8">
        <f t="shared" si="36"/>
        <v>39</v>
      </c>
      <c r="B101" s="125">
        <f t="shared" si="37"/>
        <v>8.3000000000000007</v>
      </c>
      <c r="C101" s="125">
        <f t="shared" si="38"/>
        <v>16.7</v>
      </c>
      <c r="D101" s="125">
        <f t="shared" si="73"/>
        <v>12.5</v>
      </c>
      <c r="E101" s="125">
        <f t="shared" si="39"/>
        <v>8.3999999999999986</v>
      </c>
      <c r="F101" s="7">
        <v>7.5813333333333368</v>
      </c>
      <c r="G101" s="7">
        <v>16.056666666666665</v>
      </c>
      <c r="H101" s="7">
        <f t="shared" si="74"/>
        <v>11.819000000000001</v>
      </c>
      <c r="I101" s="7">
        <f t="shared" si="75"/>
        <v>8.4753333333333281</v>
      </c>
      <c r="K101" s="7">
        <f t="shared" si="40"/>
        <v>7</v>
      </c>
      <c r="L101" s="7">
        <f t="shared" si="41"/>
        <v>13.7</v>
      </c>
      <c r="M101" s="370">
        <f t="shared" si="42"/>
        <v>5.9272727272727277</v>
      </c>
      <c r="N101" s="1">
        <f t="shared" si="43"/>
        <v>0</v>
      </c>
      <c r="O101" s="7">
        <f t="shared" si="44"/>
        <v>56.545454545454547</v>
      </c>
      <c r="P101" s="7">
        <f t="shared" si="45"/>
        <v>9.3545454545454536</v>
      </c>
      <c r="Q101" s="7">
        <f t="shared" si="46"/>
        <v>19.009090909090904</v>
      </c>
      <c r="R101" s="7">
        <f t="shared" si="47"/>
        <v>14.4</v>
      </c>
      <c r="S101" s="7">
        <f t="shared" si="48"/>
        <v>9.6545454545454543</v>
      </c>
      <c r="T101" s="1">
        <v>42</v>
      </c>
      <c r="U101" s="333">
        <f t="shared" si="49"/>
        <v>1.903225806451613</v>
      </c>
      <c r="V101" s="4">
        <v>11</v>
      </c>
      <c r="W101" s="7">
        <f t="shared" si="50"/>
        <v>3.0030000000000001</v>
      </c>
      <c r="X101" s="7">
        <f t="shared" si="51"/>
        <v>11.466000000000001</v>
      </c>
      <c r="Y101" s="8">
        <f t="shared" si="52"/>
        <v>3</v>
      </c>
      <c r="Z101" s="7">
        <f>IF(ISBLANK(Z14),NA(),SUM($Z$4:Z14))</f>
        <v>4.0999999999999996</v>
      </c>
      <c r="AA101" s="7">
        <f t="shared" si="76"/>
        <v>20.935483870967744</v>
      </c>
      <c r="AB101" s="26">
        <f>IF(ISBLANK(Z14),"",SUM($Z$4:Z14))</f>
        <v>4.0999999999999996</v>
      </c>
      <c r="AC101" s="115">
        <f t="shared" si="77"/>
        <v>0.19583975346687207</v>
      </c>
      <c r="AD101" s="8">
        <f t="shared" si="53"/>
        <v>1017.2272727272727</v>
      </c>
      <c r="AE101" s="610">
        <f t="shared" si="54"/>
        <v>1.4873335592076962</v>
      </c>
      <c r="AF101" s="524">
        <f t="shared" si="55"/>
        <v>0.32291666666666669</v>
      </c>
      <c r="AG101" s="22">
        <f>IF(ISBLANK(AP14),NA(),SUM($AP$4:AP14))</f>
        <v>97</v>
      </c>
      <c r="AH101" s="7">
        <f>SUM($AS$91:AS101)</f>
        <v>65.217381400088883</v>
      </c>
      <c r="AI101" s="115">
        <f t="shared" si="56"/>
        <v>1.4873335592076962</v>
      </c>
      <c r="AJ101" s="124">
        <f t="shared" si="57"/>
        <v>0</v>
      </c>
      <c r="AK101" s="8">
        <f t="shared" si="58"/>
        <v>1022.5</v>
      </c>
      <c r="AL101" s="124">
        <f t="shared" si="59"/>
        <v>0</v>
      </c>
      <c r="AM101" s="524">
        <f t="shared" si="60"/>
        <v>0.77083333333333337</v>
      </c>
      <c r="AN101" s="124">
        <f>COUNTIF(AU50:AU60, "&gt;0.5")</f>
        <v>3</v>
      </c>
      <c r="AO101" s="524">
        <f t="shared" si="61"/>
        <v>0.72916666666666663</v>
      </c>
      <c r="AP101" s="449" t="s">
        <v>210</v>
      </c>
      <c r="AQ101" s="450">
        <v>0.13900000000000001</v>
      </c>
      <c r="AR101" s="524">
        <f t="shared" si="62"/>
        <v>0.28125</v>
      </c>
      <c r="AS101" s="7">
        <f t="shared" si="63"/>
        <v>6.0402120129008816</v>
      </c>
      <c r="AT101" s="7">
        <v>13.973856007311632</v>
      </c>
      <c r="AU101" s="4">
        <v>11</v>
      </c>
      <c r="AV101" s="127">
        <f t="shared" si="64"/>
        <v>0</v>
      </c>
      <c r="AW101" s="124">
        <f t="shared" si="78"/>
        <v>0</v>
      </c>
      <c r="AX101" s="124">
        <f t="shared" si="79"/>
        <v>0</v>
      </c>
      <c r="AY101" s="124">
        <f t="shared" si="65"/>
        <v>1</v>
      </c>
      <c r="AZ101" s="125">
        <f t="shared" si="66"/>
        <v>4.7</v>
      </c>
      <c r="BA101" s="125">
        <f t="shared" si="67"/>
        <v>9.7000000000000011</v>
      </c>
      <c r="BB101" s="125">
        <f t="shared" si="68"/>
        <v>15.299999999999999</v>
      </c>
      <c r="BC101" s="7">
        <v>8.9938888888888915</v>
      </c>
      <c r="BD101" s="7">
        <v>14.64411111111111</v>
      </c>
      <c r="BE101" s="124"/>
      <c r="BF101" s="8">
        <f t="shared" si="69"/>
        <v>64</v>
      </c>
      <c r="BG101" s="21">
        <f t="shared" si="70"/>
        <v>14.3</v>
      </c>
      <c r="BH101" s="124">
        <f t="shared" si="71"/>
        <v>0</v>
      </c>
      <c r="BI101" s="124">
        <f t="shared" si="80"/>
        <v>0</v>
      </c>
      <c r="BJ101" s="144">
        <f t="shared" si="72"/>
        <v>0</v>
      </c>
      <c r="BL101" s="99">
        <v>11</v>
      </c>
    </row>
    <row r="102" spans="1:64" ht="12.75" x14ac:dyDescent="0.2">
      <c r="A102" s="8">
        <f t="shared" si="36"/>
        <v>40</v>
      </c>
      <c r="B102" s="125">
        <f t="shared" si="37"/>
        <v>8.3000000000000007</v>
      </c>
      <c r="C102" s="125">
        <f t="shared" si="38"/>
        <v>16.7</v>
      </c>
      <c r="D102" s="125">
        <f t="shared" si="73"/>
        <v>12.5</v>
      </c>
      <c r="E102" s="125">
        <f t="shared" si="39"/>
        <v>8.3999999999999986</v>
      </c>
      <c r="F102" s="7">
        <v>7.7160000000000037</v>
      </c>
      <c r="G102" s="7">
        <v>16.18</v>
      </c>
      <c r="H102" s="7">
        <f t="shared" si="74"/>
        <v>11.948000000000002</v>
      </c>
      <c r="I102" s="7">
        <f t="shared" si="75"/>
        <v>8.4639999999999951</v>
      </c>
      <c r="K102" s="7">
        <f t="shared" si="40"/>
        <v>9</v>
      </c>
      <c r="L102" s="7">
        <f t="shared" si="41"/>
        <v>13.3</v>
      </c>
      <c r="M102" s="370">
        <f t="shared" si="42"/>
        <v>5.9333333333333336</v>
      </c>
      <c r="N102" s="1">
        <f t="shared" si="43"/>
        <v>0</v>
      </c>
      <c r="O102" s="7">
        <f t="shared" si="44"/>
        <v>56.583333333333336</v>
      </c>
      <c r="P102" s="7">
        <f t="shared" si="45"/>
        <v>9.3083333333333318</v>
      </c>
      <c r="Q102" s="7">
        <f t="shared" si="46"/>
        <v>18.908333333333331</v>
      </c>
      <c r="R102" s="7">
        <f t="shared" si="47"/>
        <v>14.350000000000001</v>
      </c>
      <c r="S102" s="7">
        <f t="shared" si="48"/>
        <v>9.6</v>
      </c>
      <c r="T102" s="1">
        <v>43</v>
      </c>
      <c r="U102" s="333">
        <f t="shared" si="49"/>
        <v>1.903225806451613</v>
      </c>
      <c r="V102" s="4">
        <v>12</v>
      </c>
      <c r="W102" s="7">
        <f t="shared" si="50"/>
        <v>3.2760000000000002</v>
      </c>
      <c r="X102" s="7">
        <f t="shared" si="51"/>
        <v>11.739000000000001</v>
      </c>
      <c r="Y102" s="8">
        <f t="shared" si="52"/>
        <v>3</v>
      </c>
      <c r="Z102" s="7">
        <f>IF(ISBLANK(Z15),NA(),SUM($Z$4:Z15))</f>
        <v>4.0999999999999996</v>
      </c>
      <c r="AA102" s="7">
        <f t="shared" si="76"/>
        <v>22.838709677419356</v>
      </c>
      <c r="AB102" s="26">
        <f>IF(ISBLANK(Z15),"",SUM($Z$4:Z15))</f>
        <v>4.0999999999999996</v>
      </c>
      <c r="AC102" s="115">
        <f t="shared" si="77"/>
        <v>0.1795197740112994</v>
      </c>
      <c r="AD102" s="8">
        <f t="shared" si="53"/>
        <v>1017.5</v>
      </c>
      <c r="AE102" s="610">
        <f t="shared" si="54"/>
        <v>1.4590597069532854</v>
      </c>
      <c r="AF102" s="524">
        <f t="shared" si="55"/>
        <v>0.28125</v>
      </c>
      <c r="AG102" s="22">
        <f>IF(ISBLANK(AP15),NA(),SUM($AP$4:AP15))</f>
        <v>104</v>
      </c>
      <c r="AH102" s="7">
        <f>SUM($AS$91:AS102)</f>
        <v>71.278782838274736</v>
      </c>
      <c r="AI102" s="115">
        <f t="shared" si="56"/>
        <v>1.4590597069532854</v>
      </c>
      <c r="AJ102" s="124">
        <f t="shared" si="57"/>
        <v>0</v>
      </c>
      <c r="AK102" s="8">
        <f t="shared" si="58"/>
        <v>1020.5</v>
      </c>
      <c r="AL102" s="124">
        <f t="shared" si="59"/>
        <v>0</v>
      </c>
      <c r="AM102" s="524">
        <f t="shared" si="60"/>
        <v>0.63888888888888895</v>
      </c>
      <c r="AN102" s="141">
        <f t="array" ref="AN102">MAX(FREQUENCY(IF(AJ91:AJ121=1,ROW(91:121)),IF(AJ91:AJ121&lt;&gt;1,ROW(91:121))))</f>
        <v>2</v>
      </c>
      <c r="AO102" s="524">
        <f t="shared" si="61"/>
        <v>0.65277777777777779</v>
      </c>
      <c r="AP102" s="451" t="s">
        <v>110</v>
      </c>
      <c r="AQ102" s="450">
        <v>0.13900000000000001</v>
      </c>
      <c r="AR102" s="524">
        <f t="shared" si="62"/>
        <v>0.23958333333333334</v>
      </c>
      <c r="AS102" s="7">
        <f t="shared" si="63"/>
        <v>6.0614014381858521</v>
      </c>
      <c r="AT102" s="7">
        <v>14.022877130606219</v>
      </c>
      <c r="AU102" s="4">
        <v>12</v>
      </c>
      <c r="AV102" s="127">
        <f t="shared" si="64"/>
        <v>1</v>
      </c>
      <c r="AW102" s="124">
        <f t="shared" si="78"/>
        <v>0</v>
      </c>
      <c r="AX102" s="124">
        <f t="shared" si="79"/>
        <v>0</v>
      </c>
      <c r="AY102" s="124">
        <f t="shared" si="65"/>
        <v>1</v>
      </c>
      <c r="AZ102" s="125">
        <f t="shared" si="66"/>
        <v>4.7</v>
      </c>
      <c r="BA102" s="125">
        <f t="shared" si="67"/>
        <v>9.7000000000000011</v>
      </c>
      <c r="BB102" s="125">
        <f t="shared" si="68"/>
        <v>15.299999999999999</v>
      </c>
      <c r="BC102" s="7">
        <v>9.1266666666666705</v>
      </c>
      <c r="BD102" s="7">
        <v>14.769333333333334</v>
      </c>
      <c r="BE102" s="124"/>
      <c r="BF102" s="8">
        <f t="shared" si="69"/>
        <v>57</v>
      </c>
      <c r="BG102" s="21">
        <f t="shared" si="70"/>
        <v>13.8</v>
      </c>
      <c r="BH102" s="124">
        <f t="shared" si="71"/>
        <v>0</v>
      </c>
      <c r="BI102" s="124">
        <f t="shared" si="80"/>
        <v>0</v>
      </c>
      <c r="BJ102" s="144">
        <f t="shared" si="72"/>
        <v>0</v>
      </c>
      <c r="BL102" s="99">
        <v>12</v>
      </c>
    </row>
    <row r="103" spans="1:64" ht="12.75" x14ac:dyDescent="0.2">
      <c r="A103" s="8">
        <f t="shared" si="36"/>
        <v>37</v>
      </c>
      <c r="B103" s="125">
        <f t="shared" si="37"/>
        <v>8.3000000000000007</v>
      </c>
      <c r="C103" s="125">
        <f t="shared" si="38"/>
        <v>16.7</v>
      </c>
      <c r="D103" s="125">
        <f t="shared" si="73"/>
        <v>12.5</v>
      </c>
      <c r="E103" s="125">
        <f t="shared" si="39"/>
        <v>8.3999999999999986</v>
      </c>
      <c r="F103" s="7">
        <v>7.8506666666666707</v>
      </c>
      <c r="G103" s="7">
        <v>16.303333333333335</v>
      </c>
      <c r="H103" s="7">
        <f t="shared" si="74"/>
        <v>12.077000000000002</v>
      </c>
      <c r="I103" s="7">
        <f t="shared" si="75"/>
        <v>8.4526666666666639</v>
      </c>
      <c r="K103" s="7">
        <f t="shared" si="40"/>
        <v>10.399999999999999</v>
      </c>
      <c r="L103" s="7">
        <f t="shared" si="41"/>
        <v>13.5</v>
      </c>
      <c r="M103" s="370">
        <f t="shared" si="42"/>
        <v>5.8692307692307688</v>
      </c>
      <c r="N103" s="1">
        <f t="shared" si="43"/>
        <v>0</v>
      </c>
      <c r="O103" s="7">
        <f t="shared" si="44"/>
        <v>56.46153846153846</v>
      </c>
      <c r="P103" s="7">
        <f t="shared" si="45"/>
        <v>9.2307692307692299</v>
      </c>
      <c r="Q103" s="7">
        <f t="shared" si="46"/>
        <v>18.892307692307689</v>
      </c>
      <c r="R103" s="7">
        <f t="shared" si="47"/>
        <v>14.346153846153848</v>
      </c>
      <c r="S103" s="7">
        <f t="shared" si="48"/>
        <v>9.661538461538461</v>
      </c>
      <c r="T103" s="1">
        <v>44</v>
      </c>
      <c r="U103" s="333">
        <f t="shared" si="49"/>
        <v>1.903225806451613</v>
      </c>
      <c r="V103" s="4">
        <v>13</v>
      </c>
      <c r="W103" s="7">
        <f t="shared" si="50"/>
        <v>3.5490000000000004</v>
      </c>
      <c r="X103" s="7">
        <f t="shared" si="51"/>
        <v>12.012</v>
      </c>
      <c r="Y103" s="8">
        <f t="shared" si="52"/>
        <v>5</v>
      </c>
      <c r="Z103" s="7">
        <f>IF(ISBLANK(Z16),NA(),SUM($Z$4:Z16))</f>
        <v>4.0999999999999996</v>
      </c>
      <c r="AA103" s="7">
        <f t="shared" si="76"/>
        <v>24.741935483870968</v>
      </c>
      <c r="AB103" s="26">
        <f>IF(ISBLANK(Z16),"",SUM($Z$4:Z16))</f>
        <v>4.0999999999999996</v>
      </c>
      <c r="AC103" s="115">
        <f t="shared" si="77"/>
        <v>0.16571056062581485</v>
      </c>
      <c r="AD103" s="8">
        <f t="shared" si="53"/>
        <v>1017.6538461538462</v>
      </c>
      <c r="AE103" s="610">
        <f t="shared" si="54"/>
        <v>1.4477566083838971</v>
      </c>
      <c r="AF103" s="524">
        <f t="shared" si="55"/>
        <v>0.27430555555555552</v>
      </c>
      <c r="AG103" s="22">
        <f>IF(ISBLANK(AP16),NA(),SUM($AP$4:AP16))</f>
        <v>112</v>
      </c>
      <c r="AH103" s="7">
        <f>SUM($AS$91:AS103)</f>
        <v>77.361069776102383</v>
      </c>
      <c r="AI103" s="115">
        <f t="shared" si="56"/>
        <v>1.4477566083838971</v>
      </c>
      <c r="AJ103" s="124">
        <f t="shared" si="57"/>
        <v>0</v>
      </c>
      <c r="AK103" s="8">
        <f t="shared" si="58"/>
        <v>1019.5</v>
      </c>
      <c r="AL103" s="124">
        <f t="shared" si="59"/>
        <v>0</v>
      </c>
      <c r="AM103" s="524">
        <f t="shared" si="60"/>
        <v>0.59375</v>
      </c>
      <c r="AN103" s="7">
        <f>I39/-3</f>
        <v>-2.7999999999999994</v>
      </c>
      <c r="AO103" s="524">
        <f t="shared" si="61"/>
        <v>0.58680555555555558</v>
      </c>
      <c r="AP103" s="451" t="s">
        <v>211</v>
      </c>
      <c r="AQ103" s="450">
        <v>0.152</v>
      </c>
      <c r="AR103" s="524">
        <f t="shared" si="62"/>
        <v>0.24305555555555555</v>
      </c>
      <c r="AS103" s="7">
        <f t="shared" si="63"/>
        <v>6.0822869378276527</v>
      </c>
      <c r="AT103" s="7">
        <v>14.071195130704881</v>
      </c>
      <c r="AU103" s="4">
        <v>13</v>
      </c>
      <c r="AV103" s="127">
        <f t="shared" si="64"/>
        <v>1</v>
      </c>
      <c r="AW103" s="124">
        <f t="shared" si="78"/>
        <v>0</v>
      </c>
      <c r="AX103" s="124">
        <f t="shared" si="79"/>
        <v>0</v>
      </c>
      <c r="AY103" s="124">
        <f t="shared" si="65"/>
        <v>1</v>
      </c>
      <c r="AZ103" s="125">
        <f t="shared" si="66"/>
        <v>4.7</v>
      </c>
      <c r="BA103" s="125">
        <f t="shared" si="67"/>
        <v>9.7000000000000011</v>
      </c>
      <c r="BB103" s="125">
        <f t="shared" si="68"/>
        <v>15.299999999999999</v>
      </c>
      <c r="BC103" s="7">
        <v>9.2594444444444477</v>
      </c>
      <c r="BD103" s="7">
        <v>14.894555555555556</v>
      </c>
      <c r="BE103" s="124"/>
      <c r="BF103" s="8">
        <f t="shared" si="69"/>
        <v>55</v>
      </c>
      <c r="BG103" s="21">
        <f t="shared" si="70"/>
        <v>14.3</v>
      </c>
      <c r="BH103" s="124">
        <f t="shared" si="71"/>
        <v>0</v>
      </c>
      <c r="BI103" s="124">
        <f t="shared" si="80"/>
        <v>0</v>
      </c>
      <c r="BJ103" s="144">
        <f t="shared" si="72"/>
        <v>0</v>
      </c>
      <c r="BL103" s="99">
        <v>13</v>
      </c>
    </row>
    <row r="104" spans="1:64" ht="12.75" x14ac:dyDescent="0.2">
      <c r="A104" s="8">
        <f t="shared" si="36"/>
        <v>38</v>
      </c>
      <c r="B104" s="125">
        <f t="shared" si="37"/>
        <v>8.3000000000000007</v>
      </c>
      <c r="C104" s="125">
        <f t="shared" si="38"/>
        <v>16.7</v>
      </c>
      <c r="D104" s="125">
        <f t="shared" si="73"/>
        <v>12.5</v>
      </c>
      <c r="E104" s="125">
        <f t="shared" si="39"/>
        <v>8.3999999999999986</v>
      </c>
      <c r="F104" s="7">
        <v>7.9853333333333376</v>
      </c>
      <c r="G104" s="7">
        <v>16.426666666666669</v>
      </c>
      <c r="H104" s="7">
        <f t="shared" si="74"/>
        <v>12.206000000000003</v>
      </c>
      <c r="I104" s="7">
        <f t="shared" si="75"/>
        <v>8.4413333333333327</v>
      </c>
      <c r="K104" s="7">
        <f t="shared" si="40"/>
        <v>9.1000000000000014</v>
      </c>
      <c r="L104" s="7">
        <f t="shared" si="41"/>
        <v>12.05</v>
      </c>
      <c r="M104" s="370">
        <f t="shared" si="42"/>
        <v>5.8571428571428568</v>
      </c>
      <c r="N104" s="1">
        <f t="shared" si="43"/>
        <v>0</v>
      </c>
      <c r="O104" s="7">
        <f t="shared" si="44"/>
        <v>56.357142857142854</v>
      </c>
      <c r="P104" s="7">
        <f t="shared" si="45"/>
        <v>9.1071428571428559</v>
      </c>
      <c r="Q104" s="7">
        <f t="shared" si="46"/>
        <v>18.728571428571428</v>
      </c>
      <c r="R104" s="7">
        <f t="shared" si="47"/>
        <v>14.214285714285717</v>
      </c>
      <c r="S104" s="7">
        <f t="shared" si="48"/>
        <v>9.6214285714285701</v>
      </c>
      <c r="T104" s="1">
        <v>45</v>
      </c>
      <c r="U104" s="333">
        <f t="shared" si="49"/>
        <v>1.903225806451613</v>
      </c>
      <c r="V104" s="4">
        <v>14</v>
      </c>
      <c r="W104" s="7">
        <f t="shared" si="50"/>
        <v>3.8220000000000001</v>
      </c>
      <c r="X104" s="7">
        <f t="shared" si="51"/>
        <v>12.285</v>
      </c>
      <c r="Y104" s="8">
        <f t="shared" si="52"/>
        <v>4</v>
      </c>
      <c r="Z104" s="7">
        <f>IF(ISBLANK(Z17),NA(),SUM($Z$4:Z17))</f>
        <v>4.0999999999999996</v>
      </c>
      <c r="AA104" s="7">
        <f t="shared" si="76"/>
        <v>26.645161290322584</v>
      </c>
      <c r="AB104" s="26">
        <f>IF(ISBLANK(Z17),"",SUM($Z$4:Z17))</f>
        <v>4.0999999999999996</v>
      </c>
      <c r="AC104" s="115">
        <f t="shared" si="77"/>
        <v>0.15387409200968519</v>
      </c>
      <c r="AD104" s="8">
        <f t="shared" si="53"/>
        <v>1017.8214285714286</v>
      </c>
      <c r="AE104" s="610">
        <f t="shared" si="54"/>
        <v>1.4197750278712797</v>
      </c>
      <c r="AF104" s="524">
        <f t="shared" si="55"/>
        <v>0.26041666666666669</v>
      </c>
      <c r="AG104" s="22">
        <f>IF(ISBLANK(AP17),NA(),SUM($AP$4:AP17))</f>
        <v>118.5</v>
      </c>
      <c r="AH104" s="7">
        <f>SUM($AS$91:AS104)</f>
        <v>83.463927505240989</v>
      </c>
      <c r="AI104" s="115">
        <f t="shared" si="56"/>
        <v>1.4197750278712797</v>
      </c>
      <c r="AJ104" s="124">
        <f t="shared" si="57"/>
        <v>0</v>
      </c>
      <c r="AK104" s="8">
        <f t="shared" si="58"/>
        <v>1020</v>
      </c>
      <c r="AL104" s="124">
        <f t="shared" si="59"/>
        <v>0</v>
      </c>
      <c r="AM104" s="524">
        <f t="shared" si="60"/>
        <v>0.69791666666666663</v>
      </c>
      <c r="AN104" s="25">
        <f>AP39/E34</f>
        <v>6.129032258064516</v>
      </c>
      <c r="AO104" s="524">
        <f t="shared" si="61"/>
        <v>0.6875</v>
      </c>
      <c r="AP104" s="451" t="s">
        <v>114</v>
      </c>
      <c r="AQ104" s="450">
        <v>0.13300000000000001</v>
      </c>
      <c r="AR104" s="524">
        <f t="shared" si="62"/>
        <v>0.23611111111111113</v>
      </c>
      <c r="AS104" s="7">
        <f t="shared" si="63"/>
        <v>6.1028577291386057</v>
      </c>
      <c r="AT104" s="7">
        <v>14.118785062171154</v>
      </c>
      <c r="AU104" s="4">
        <v>14</v>
      </c>
      <c r="AV104" s="127">
        <f t="shared" si="64"/>
        <v>1</v>
      </c>
      <c r="AW104" s="124">
        <f t="shared" si="78"/>
        <v>0</v>
      </c>
      <c r="AX104" s="124">
        <f t="shared" si="79"/>
        <v>0</v>
      </c>
      <c r="AY104" s="124">
        <f t="shared" si="65"/>
        <v>1</v>
      </c>
      <c r="AZ104" s="125">
        <f t="shared" si="66"/>
        <v>4.7</v>
      </c>
      <c r="BA104" s="125">
        <f t="shared" si="67"/>
        <v>9.7000000000000011</v>
      </c>
      <c r="BB104" s="125">
        <f t="shared" si="68"/>
        <v>15.299999999999999</v>
      </c>
      <c r="BC104" s="7">
        <v>9.3922222222222249</v>
      </c>
      <c r="BD104" s="7">
        <v>15.019777777777781</v>
      </c>
      <c r="BE104" s="124"/>
      <c r="BF104" s="8">
        <f t="shared" si="69"/>
        <v>55</v>
      </c>
      <c r="BG104" s="21">
        <f t="shared" si="70"/>
        <v>12.5</v>
      </c>
      <c r="BH104" s="124">
        <f t="shared" si="71"/>
        <v>0</v>
      </c>
      <c r="BI104" s="124">
        <f t="shared" si="80"/>
        <v>0</v>
      </c>
      <c r="BJ104" s="144">
        <f t="shared" si="72"/>
        <v>0</v>
      </c>
      <c r="BL104" s="99">
        <v>14</v>
      </c>
    </row>
    <row r="105" spans="1:64" ht="12.75" x14ac:dyDescent="0.2">
      <c r="A105" s="8">
        <f t="shared" si="36"/>
        <v>33</v>
      </c>
      <c r="B105" s="125">
        <f t="shared" si="37"/>
        <v>8.3000000000000007</v>
      </c>
      <c r="C105" s="125">
        <f t="shared" si="38"/>
        <v>16.7</v>
      </c>
      <c r="D105" s="125">
        <f t="shared" si="73"/>
        <v>12.5</v>
      </c>
      <c r="E105" s="125">
        <f t="shared" si="39"/>
        <v>8.3999999999999986</v>
      </c>
      <c r="F105" s="7">
        <v>8.1199999999999992</v>
      </c>
      <c r="G105" s="7">
        <v>16.55</v>
      </c>
      <c r="H105" s="7">
        <f t="shared" si="74"/>
        <v>12.335000000000001</v>
      </c>
      <c r="I105" s="7">
        <f t="shared" si="75"/>
        <v>8.4300000000000015</v>
      </c>
      <c r="K105" s="7">
        <f t="shared" si="40"/>
        <v>6.8999999999999986</v>
      </c>
      <c r="L105" s="7">
        <f t="shared" si="41"/>
        <v>11.75</v>
      </c>
      <c r="M105" s="370">
        <f t="shared" si="42"/>
        <v>5.8733333333333331</v>
      </c>
      <c r="N105" s="1">
        <f t="shared" si="43"/>
        <v>0</v>
      </c>
      <c r="O105" s="7">
        <f t="shared" si="44"/>
        <v>56.6</v>
      </c>
      <c r="P105" s="7">
        <f t="shared" si="45"/>
        <v>9.0533333333333328</v>
      </c>
      <c r="Q105" s="7">
        <f t="shared" si="46"/>
        <v>18.493333333333332</v>
      </c>
      <c r="R105" s="7">
        <f t="shared" si="47"/>
        <v>14.093333333333335</v>
      </c>
      <c r="S105" s="7">
        <f t="shared" si="48"/>
        <v>9.44</v>
      </c>
      <c r="T105" s="1">
        <v>46</v>
      </c>
      <c r="U105" s="333">
        <f t="shared" si="49"/>
        <v>1.903225806451613</v>
      </c>
      <c r="V105" s="4">
        <v>15</v>
      </c>
      <c r="W105" s="7">
        <f t="shared" si="50"/>
        <v>4.0950000000000006</v>
      </c>
      <c r="X105" s="7">
        <f t="shared" si="51"/>
        <v>12.558000000000002</v>
      </c>
      <c r="Y105" s="8">
        <f t="shared" si="52"/>
        <v>4</v>
      </c>
      <c r="Z105" s="7">
        <f>IF(ISBLANK(Z18),NA(),SUM($Z$4:Z18))</f>
        <v>4.0999999999999996</v>
      </c>
      <c r="AA105" s="7">
        <f t="shared" si="76"/>
        <v>28.548387096774196</v>
      </c>
      <c r="AB105" s="26">
        <f>IF(ISBLANK(Z18),"",SUM($Z$4:Z18))</f>
        <v>4.0999999999999996</v>
      </c>
      <c r="AC105" s="115">
        <f t="shared" si="77"/>
        <v>0.14361581920903951</v>
      </c>
      <c r="AD105" s="8">
        <f t="shared" si="53"/>
        <v>1018.2333333333333</v>
      </c>
      <c r="AE105" s="610">
        <f t="shared" si="54"/>
        <v>1.3673854295362293</v>
      </c>
      <c r="AF105" s="524">
        <f t="shared" si="55"/>
        <v>0.19444444444444445</v>
      </c>
      <c r="AG105" s="22">
        <f>IF(ISBLANK(AP18),NA(),SUM($AP$4:AP18))</f>
        <v>122.5</v>
      </c>
      <c r="AH105" s="7">
        <f>SUM($AS$91:AS105)</f>
        <v>89.587030367544457</v>
      </c>
      <c r="AI105" s="115">
        <f t="shared" si="56"/>
        <v>1.3673854295362293</v>
      </c>
      <c r="AJ105" s="124">
        <f t="shared" si="57"/>
        <v>0</v>
      </c>
      <c r="AK105" s="8">
        <f t="shared" si="58"/>
        <v>1024</v>
      </c>
      <c r="AL105" s="124">
        <f t="shared" si="59"/>
        <v>0</v>
      </c>
      <c r="AM105" s="524">
        <f t="shared" si="60"/>
        <v>0.56944444444444442</v>
      </c>
      <c r="AN105" s="1">
        <f t="array" ref="AN105">MAX(IF(F4:F34=$F$85,E4:E34,0))</f>
        <v>4</v>
      </c>
      <c r="AO105" s="524">
        <f t="shared" si="61"/>
        <v>0.68402777777777779</v>
      </c>
      <c r="AP105" s="451" t="s">
        <v>212</v>
      </c>
      <c r="AQ105" s="452">
        <v>9.6000000000000002E-2</v>
      </c>
      <c r="AR105" s="524">
        <f t="shared" si="62"/>
        <v>0.23611111111111113</v>
      </c>
      <c r="AS105" s="7">
        <f t="shared" si="63"/>
        <v>6.1231028623034618</v>
      </c>
      <c r="AT105" s="7">
        <v>14.165621592923769</v>
      </c>
      <c r="AU105" s="4">
        <v>15</v>
      </c>
      <c r="AV105" s="127">
        <f t="shared" si="64"/>
        <v>1</v>
      </c>
      <c r="AW105" s="124">
        <f t="shared" si="78"/>
        <v>0</v>
      </c>
      <c r="AX105" s="124">
        <f t="shared" si="79"/>
        <v>0</v>
      </c>
      <c r="AY105" s="124">
        <f t="shared" si="65"/>
        <v>1</v>
      </c>
      <c r="AZ105" s="125">
        <f t="shared" si="66"/>
        <v>4.7</v>
      </c>
      <c r="BA105" s="125">
        <f t="shared" si="67"/>
        <v>9.7000000000000011</v>
      </c>
      <c r="BB105" s="125">
        <f t="shared" si="68"/>
        <v>15.299999999999999</v>
      </c>
      <c r="BC105" s="7">
        <v>9.5250000000000004</v>
      </c>
      <c r="BD105" s="7">
        <v>15.145</v>
      </c>
      <c r="BE105" s="124"/>
      <c r="BF105" s="8">
        <f t="shared" si="69"/>
        <v>60</v>
      </c>
      <c r="BG105" s="21">
        <f t="shared" si="70"/>
        <v>12.4</v>
      </c>
      <c r="BH105" s="124">
        <f t="shared" si="71"/>
        <v>0</v>
      </c>
      <c r="BI105" s="124">
        <f t="shared" si="80"/>
        <v>0</v>
      </c>
      <c r="BJ105" s="144">
        <f t="shared" si="72"/>
        <v>0</v>
      </c>
      <c r="BL105" s="99">
        <v>15</v>
      </c>
    </row>
    <row r="106" spans="1:64" ht="12.75" x14ac:dyDescent="0.2">
      <c r="A106" s="8">
        <f t="shared" si="36"/>
        <v>36</v>
      </c>
      <c r="B106" s="125">
        <f t="shared" si="37"/>
        <v>8.3000000000000007</v>
      </c>
      <c r="C106" s="125">
        <f t="shared" si="38"/>
        <v>16.7</v>
      </c>
      <c r="D106" s="125">
        <f t="shared" si="73"/>
        <v>12.5</v>
      </c>
      <c r="E106" s="125">
        <f t="shared" si="39"/>
        <v>8.3999999999999986</v>
      </c>
      <c r="F106" s="7">
        <v>8.2546666666666706</v>
      </c>
      <c r="G106" s="7">
        <v>16.673333333333339</v>
      </c>
      <c r="H106" s="7">
        <f t="shared" si="74"/>
        <v>12.464000000000006</v>
      </c>
      <c r="I106" s="7">
        <f t="shared" si="75"/>
        <v>8.4186666666666685</v>
      </c>
      <c r="K106" s="7">
        <f t="shared" si="40"/>
        <v>8.2000000000000011</v>
      </c>
      <c r="L106" s="7">
        <f t="shared" si="41"/>
        <v>15.7</v>
      </c>
      <c r="M106" s="370">
        <f t="shared" si="42"/>
        <v>5.9499999999999993</v>
      </c>
      <c r="N106" s="1">
        <f t="shared" si="43"/>
        <v>0</v>
      </c>
      <c r="O106" s="7">
        <f t="shared" si="44"/>
        <v>57.0625</v>
      </c>
      <c r="P106" s="7">
        <f t="shared" si="45"/>
        <v>9.2124999999999986</v>
      </c>
      <c r="Q106" s="7">
        <f t="shared" si="46"/>
        <v>18.574999999999999</v>
      </c>
      <c r="R106" s="7">
        <f t="shared" si="47"/>
        <v>14.150000000000002</v>
      </c>
      <c r="S106" s="7">
        <f t="shared" si="48"/>
        <v>9.3624999999999989</v>
      </c>
      <c r="T106" s="1">
        <v>47</v>
      </c>
      <c r="U106" s="333">
        <f t="shared" si="49"/>
        <v>1.903225806451613</v>
      </c>
      <c r="V106" s="4">
        <v>16</v>
      </c>
      <c r="W106" s="7">
        <f t="shared" si="50"/>
        <v>4.3680000000000003</v>
      </c>
      <c r="X106" s="7">
        <f t="shared" si="51"/>
        <v>12.831000000000001</v>
      </c>
      <c r="Y106" s="8">
        <f t="shared" si="52"/>
        <v>3</v>
      </c>
      <c r="Z106" s="7">
        <f>IF(ISBLANK(Z19),NA(),SUM($Z$4:Z19))</f>
        <v>4.0999999999999996</v>
      </c>
      <c r="AA106" s="7">
        <f t="shared" si="76"/>
        <v>30.451612903225808</v>
      </c>
      <c r="AB106" s="26">
        <f>IF(ISBLANK(Z19),"",SUM($Z$4:Z19))</f>
        <v>4.0999999999999996</v>
      </c>
      <c r="AC106" s="115">
        <f t="shared" si="77"/>
        <v>0.13463983050847456</v>
      </c>
      <c r="AD106" s="8">
        <f t="shared" si="53"/>
        <v>1018.5</v>
      </c>
      <c r="AE106" s="610">
        <f t="shared" si="54"/>
        <v>1.2953091623957884</v>
      </c>
      <c r="AF106" s="524">
        <f t="shared" si="55"/>
        <v>0.27083333333333331</v>
      </c>
      <c r="AG106" s="22">
        <f>IF(ISBLANK(AP19),NA(),SUM($AP$4:AP19))</f>
        <v>124</v>
      </c>
      <c r="AH106" s="7">
        <f>SUM($AS$91:AS106)</f>
        <v>95.730041599220272</v>
      </c>
      <c r="AI106" s="115">
        <f t="shared" si="56"/>
        <v>1.2953091623957884</v>
      </c>
      <c r="AJ106" s="124">
        <f t="shared" si="57"/>
        <v>0</v>
      </c>
      <c r="AK106" s="8">
        <f t="shared" si="58"/>
        <v>1022.5</v>
      </c>
      <c r="AL106" s="124">
        <f t="shared" si="59"/>
        <v>0</v>
      </c>
      <c r="AM106" s="524">
        <f t="shared" si="60"/>
        <v>0.67708333333333337</v>
      </c>
      <c r="AN106" s="1">
        <f t="array" ref="AN106">MAX(IF(G4:G34=$G$86,E4:E34,0))</f>
        <v>6</v>
      </c>
      <c r="AO106" s="524">
        <f t="shared" si="61"/>
        <v>0.65972222222222221</v>
      </c>
      <c r="AP106" s="451" t="s">
        <v>128</v>
      </c>
      <c r="AQ106" s="450">
        <v>3.7999999999999999E-2</v>
      </c>
      <c r="AR106" s="524">
        <f t="shared" si="62"/>
        <v>0.14930555555555555</v>
      </c>
      <c r="AS106" s="7">
        <f t="shared" si="63"/>
        <v>6.143011231675815</v>
      </c>
      <c r="AT106" s="7">
        <v>14.211679030370576</v>
      </c>
      <c r="AU106" s="4">
        <v>16</v>
      </c>
      <c r="AV106" s="127">
        <f t="shared" si="64"/>
        <v>0</v>
      </c>
      <c r="AW106" s="124">
        <f t="shared" si="78"/>
        <v>0</v>
      </c>
      <c r="AX106" s="124">
        <f t="shared" si="79"/>
        <v>1</v>
      </c>
      <c r="AY106" s="124">
        <f t="shared" si="65"/>
        <v>1</v>
      </c>
      <c r="AZ106" s="125">
        <f t="shared" si="66"/>
        <v>4.7</v>
      </c>
      <c r="BA106" s="125">
        <f t="shared" si="67"/>
        <v>9.7000000000000011</v>
      </c>
      <c r="BB106" s="125">
        <f t="shared" si="68"/>
        <v>15.299999999999999</v>
      </c>
      <c r="BC106" s="7">
        <v>9.6577777777777829</v>
      </c>
      <c r="BD106" s="7">
        <v>15.270222222222229</v>
      </c>
      <c r="BE106" s="124"/>
      <c r="BF106" s="8">
        <f t="shared" si="69"/>
        <v>64</v>
      </c>
      <c r="BG106" s="21">
        <f t="shared" si="70"/>
        <v>15</v>
      </c>
      <c r="BH106" s="124">
        <f t="shared" si="71"/>
        <v>0</v>
      </c>
      <c r="BI106" s="124">
        <f t="shared" si="80"/>
        <v>0</v>
      </c>
      <c r="BJ106" s="144">
        <f t="shared" si="72"/>
        <v>0</v>
      </c>
      <c r="BL106" s="99">
        <v>16</v>
      </c>
    </row>
    <row r="107" spans="1:64" ht="12.75" x14ac:dyDescent="0.2">
      <c r="A107" s="8">
        <f t="shared" si="36"/>
        <v>33</v>
      </c>
      <c r="B107" s="125">
        <f t="shared" si="37"/>
        <v>8.3000000000000007</v>
      </c>
      <c r="C107" s="125">
        <f t="shared" si="38"/>
        <v>16.7</v>
      </c>
      <c r="D107" s="125">
        <f t="shared" si="73"/>
        <v>12.5</v>
      </c>
      <c r="E107" s="125">
        <f t="shared" si="39"/>
        <v>8.3999999999999986</v>
      </c>
      <c r="F107" s="7">
        <v>8.3893333333333366</v>
      </c>
      <c r="G107" s="7">
        <v>16.796666666666674</v>
      </c>
      <c r="H107" s="7">
        <f t="shared" si="74"/>
        <v>12.593000000000005</v>
      </c>
      <c r="I107" s="7">
        <f t="shared" si="75"/>
        <v>8.4073333333333373</v>
      </c>
      <c r="K107" s="7">
        <f t="shared" si="40"/>
        <v>6.6000000000000014</v>
      </c>
      <c r="L107" s="7">
        <f t="shared" si="41"/>
        <v>14.8</v>
      </c>
      <c r="M107" s="370">
        <f t="shared" si="42"/>
        <v>5.9529411764705875</v>
      </c>
      <c r="N107" s="1">
        <f t="shared" si="43"/>
        <v>0</v>
      </c>
      <c r="O107" s="7">
        <f t="shared" si="44"/>
        <v>57.764705882352942</v>
      </c>
      <c r="P107" s="7">
        <f t="shared" si="45"/>
        <v>9.3470588235294105</v>
      </c>
      <c r="Q107" s="7">
        <f t="shared" si="46"/>
        <v>18.547058823529412</v>
      </c>
      <c r="R107" s="7">
        <f t="shared" si="47"/>
        <v>14.176470588235295</v>
      </c>
      <c r="S107" s="7">
        <f t="shared" si="48"/>
        <v>9.1999999999999993</v>
      </c>
      <c r="T107" s="1">
        <v>48</v>
      </c>
      <c r="U107" s="333">
        <f t="shared" si="49"/>
        <v>1.903225806451613</v>
      </c>
      <c r="V107" s="4">
        <v>17</v>
      </c>
      <c r="W107" s="7">
        <f t="shared" si="50"/>
        <v>4.641</v>
      </c>
      <c r="X107" s="7">
        <f t="shared" si="51"/>
        <v>13.104000000000001</v>
      </c>
      <c r="Y107" s="8">
        <f t="shared" si="52"/>
        <v>4</v>
      </c>
      <c r="Z107" s="7">
        <f>IF(ISBLANK(Z20),NA(),SUM($Z$4:Z20))</f>
        <v>4.0999999999999996</v>
      </c>
      <c r="AA107" s="7">
        <f t="shared" si="76"/>
        <v>32.354838709677423</v>
      </c>
      <c r="AB107" s="26">
        <f>IF(ISBLANK(Z20),"",SUM($Z$4:Z20))</f>
        <v>4.0999999999999996</v>
      </c>
      <c r="AC107" s="115">
        <f t="shared" si="77"/>
        <v>0.12671984047856427</v>
      </c>
      <c r="AD107" s="8">
        <f t="shared" si="53"/>
        <v>1018.5294117647059</v>
      </c>
      <c r="AE107" s="610">
        <f t="shared" si="54"/>
        <v>1.2365960206374689</v>
      </c>
      <c r="AF107" s="524" t="e">
        <f t="shared" si="55"/>
        <v>#N/A</v>
      </c>
      <c r="AG107" s="22">
        <f>IF(ISBLANK(AP20),NA(),SUM($AP$4:AP20))</f>
        <v>126</v>
      </c>
      <c r="AH107" s="7">
        <f>SUM($AS$91:AS107)</f>
        <v>101.89261318748756</v>
      </c>
      <c r="AI107" s="115">
        <f t="shared" si="56"/>
        <v>1.2365960206374689</v>
      </c>
      <c r="AJ107" s="124">
        <f t="shared" si="57"/>
        <v>0</v>
      </c>
      <c r="AK107" s="8">
        <f t="shared" si="58"/>
        <v>1019</v>
      </c>
      <c r="AL107" s="124">
        <f t="shared" si="59"/>
        <v>0</v>
      </c>
      <c r="AM107" s="524">
        <f t="shared" si="60"/>
        <v>0.60069444444444442</v>
      </c>
      <c r="AN107" s="7">
        <f>C85-G39</f>
        <v>-2.5999999999999996</v>
      </c>
      <c r="AO107" s="524">
        <f t="shared" si="61"/>
        <v>0.60416666666666663</v>
      </c>
      <c r="AP107" s="449" t="s">
        <v>213</v>
      </c>
      <c r="AQ107" s="450">
        <v>1.7999999999999999E-2</v>
      </c>
      <c r="AR107" s="524">
        <f t="shared" si="62"/>
        <v>0.23611111111111113</v>
      </c>
      <c r="AS107" s="7">
        <f t="shared" si="63"/>
        <v>6.1625715882672818</v>
      </c>
      <c r="AT107" s="7">
        <v>14.256931350301901</v>
      </c>
      <c r="AU107" s="4">
        <v>17</v>
      </c>
      <c r="AV107" s="127">
        <f t="shared" si="64"/>
        <v>0</v>
      </c>
      <c r="AW107" s="124">
        <f t="shared" si="78"/>
        <v>0</v>
      </c>
      <c r="AX107" s="124">
        <f t="shared" si="79"/>
        <v>0</v>
      </c>
      <c r="AY107" s="124">
        <f t="shared" si="65"/>
        <v>1</v>
      </c>
      <c r="AZ107" s="125">
        <f t="shared" si="66"/>
        <v>4.7</v>
      </c>
      <c r="BA107" s="125">
        <f t="shared" si="67"/>
        <v>9.7000000000000011</v>
      </c>
      <c r="BB107" s="125">
        <f t="shared" si="68"/>
        <v>15.299999999999999</v>
      </c>
      <c r="BC107" s="7">
        <v>9.7905555555555601</v>
      </c>
      <c r="BD107" s="7">
        <v>15.39544444444445</v>
      </c>
      <c r="BE107" s="124"/>
      <c r="BF107" s="8">
        <f t="shared" si="69"/>
        <v>69</v>
      </c>
      <c r="BG107" s="21">
        <f t="shared" si="70"/>
        <v>14.6</v>
      </c>
      <c r="BH107" s="124">
        <f t="shared" si="71"/>
        <v>0</v>
      </c>
      <c r="BI107" s="124">
        <f t="shared" si="80"/>
        <v>0</v>
      </c>
      <c r="BJ107" s="144">
        <f t="shared" si="72"/>
        <v>0</v>
      </c>
      <c r="BL107" s="99">
        <v>17</v>
      </c>
    </row>
    <row r="108" spans="1:64" ht="12.75" x14ac:dyDescent="0.2">
      <c r="A108" s="8">
        <f t="shared" si="36"/>
        <v>26</v>
      </c>
      <c r="B108" s="125">
        <f t="shared" si="37"/>
        <v>8.3000000000000007</v>
      </c>
      <c r="C108" s="125">
        <f t="shared" si="38"/>
        <v>16.7</v>
      </c>
      <c r="D108" s="125">
        <f t="shared" si="73"/>
        <v>12.5</v>
      </c>
      <c r="E108" s="125">
        <f t="shared" si="39"/>
        <v>8.3999999999999986</v>
      </c>
      <c r="F108" s="7">
        <v>8.5240000000000027</v>
      </c>
      <c r="G108" s="7">
        <v>16.920000000000002</v>
      </c>
      <c r="H108" s="7">
        <f t="shared" si="74"/>
        <v>12.722000000000001</v>
      </c>
      <c r="I108" s="7">
        <f t="shared" si="75"/>
        <v>8.395999999999999</v>
      </c>
      <c r="K108" s="7">
        <f t="shared" si="40"/>
        <v>7.6</v>
      </c>
      <c r="L108" s="7">
        <f t="shared" si="41"/>
        <v>15.2</v>
      </c>
      <c r="M108" s="370">
        <f t="shared" si="42"/>
        <v>5.9388888888888882</v>
      </c>
      <c r="N108" s="1">
        <f t="shared" si="43"/>
        <v>1</v>
      </c>
      <c r="O108" s="7">
        <f t="shared" si="44"/>
        <v>59.055555555555557</v>
      </c>
      <c r="P108" s="7">
        <f t="shared" si="45"/>
        <v>9.4611111111111104</v>
      </c>
      <c r="Q108" s="7">
        <f t="shared" si="46"/>
        <v>18.572222222222223</v>
      </c>
      <c r="R108" s="7">
        <f t="shared" si="47"/>
        <v>14.211111111111114</v>
      </c>
      <c r="S108" s="7">
        <f t="shared" si="48"/>
        <v>9.1111111111111089</v>
      </c>
      <c r="T108" s="1">
        <v>49</v>
      </c>
      <c r="U108" s="333">
        <f t="shared" si="49"/>
        <v>1.903225806451613</v>
      </c>
      <c r="V108" s="4">
        <v>18</v>
      </c>
      <c r="W108" s="7">
        <f t="shared" si="50"/>
        <v>4.9140000000000006</v>
      </c>
      <c r="X108" s="7">
        <f t="shared" si="51"/>
        <v>13.377000000000001</v>
      </c>
      <c r="Y108" s="8">
        <f t="shared" si="52"/>
        <v>5</v>
      </c>
      <c r="Z108" s="7">
        <f>IF(ISBLANK(Z21),NA(),SUM($Z$4:Z21))</f>
        <v>7.1</v>
      </c>
      <c r="AA108" s="7">
        <f t="shared" si="76"/>
        <v>34.258064516129032</v>
      </c>
      <c r="AB108" s="26">
        <f>IF(ISBLANK(Z21),"",SUM($Z$4:Z21))</f>
        <v>7.1</v>
      </c>
      <c r="AC108" s="115">
        <f t="shared" si="77"/>
        <v>0.20725047080979284</v>
      </c>
      <c r="AD108" s="8">
        <f t="shared" si="53"/>
        <v>1018.3055555555555</v>
      </c>
      <c r="AE108" s="610">
        <f t="shared" si="54"/>
        <v>1.1677142473194637</v>
      </c>
      <c r="AF108" s="524">
        <f t="shared" si="55"/>
        <v>0.31597222222222221</v>
      </c>
      <c r="AG108" s="22">
        <f>IF(ISBLANK(AP21),NA(),SUM($AP$4:AP21))</f>
        <v>126.2</v>
      </c>
      <c r="AH108" s="7">
        <f>SUM($AS$91:AS108)</f>
        <v>108.07438574094417</v>
      </c>
      <c r="AI108" s="115">
        <f t="shared" si="56"/>
        <v>1.1677142473194637</v>
      </c>
      <c r="AJ108" s="124">
        <f t="shared" si="57"/>
        <v>1</v>
      </c>
      <c r="AK108" s="8">
        <f t="shared" si="58"/>
        <v>1014.5</v>
      </c>
      <c r="AL108" s="124">
        <f t="shared" si="59"/>
        <v>1</v>
      </c>
      <c r="AM108" s="524">
        <f t="shared" si="60"/>
        <v>0.70138888888888884</v>
      </c>
      <c r="AN108" s="124">
        <f t="array" ref="AN108">SUM(IF(Z4:Z34&gt;10,1,0))</f>
        <v>1</v>
      </c>
      <c r="AO108" s="524">
        <f t="shared" si="61"/>
        <v>0.67361111111111116</v>
      </c>
      <c r="AP108" s="303"/>
      <c r="AQ108" s="303"/>
      <c r="AR108" s="524">
        <f t="shared" si="62"/>
        <v>0.21875</v>
      </c>
      <c r="AS108" s="7">
        <f t="shared" si="63"/>
        <v>6.181772553456609</v>
      </c>
      <c r="AT108" s="7">
        <v>14.301352228606172</v>
      </c>
      <c r="AU108" s="4">
        <v>18</v>
      </c>
      <c r="AV108" s="127">
        <f t="shared" si="64"/>
        <v>0</v>
      </c>
      <c r="AW108" s="124">
        <f t="shared" si="78"/>
        <v>0</v>
      </c>
      <c r="AX108" s="124">
        <f t="shared" si="79"/>
        <v>0</v>
      </c>
      <c r="AY108" s="124">
        <f t="shared" si="65"/>
        <v>0</v>
      </c>
      <c r="AZ108" s="125">
        <f t="shared" si="66"/>
        <v>4.7</v>
      </c>
      <c r="BA108" s="125">
        <f t="shared" si="67"/>
        <v>9.7000000000000011</v>
      </c>
      <c r="BB108" s="125">
        <f t="shared" si="68"/>
        <v>15.299999999999999</v>
      </c>
      <c r="BC108" s="7">
        <v>9.9233333333333356</v>
      </c>
      <c r="BD108" s="7">
        <v>15.520666666666674</v>
      </c>
      <c r="BE108" s="124"/>
      <c r="BF108" s="8">
        <f t="shared" si="69"/>
        <v>81</v>
      </c>
      <c r="BG108" s="21">
        <f t="shared" si="70"/>
        <v>14.8</v>
      </c>
      <c r="BH108" s="124">
        <f t="shared" si="71"/>
        <v>0</v>
      </c>
      <c r="BI108" s="124">
        <f t="shared" si="80"/>
        <v>1</v>
      </c>
      <c r="BJ108" s="144">
        <f t="shared" si="72"/>
        <v>1</v>
      </c>
      <c r="BL108" s="99">
        <v>18</v>
      </c>
    </row>
    <row r="109" spans="1:64" ht="12.75" x14ac:dyDescent="0.2">
      <c r="A109" s="8">
        <f t="shared" si="36"/>
        <v>53</v>
      </c>
      <c r="B109" s="125">
        <f t="shared" si="37"/>
        <v>8.3000000000000007</v>
      </c>
      <c r="C109" s="125">
        <f t="shared" si="38"/>
        <v>16.7</v>
      </c>
      <c r="D109" s="125">
        <f t="shared" si="73"/>
        <v>12.5</v>
      </c>
      <c r="E109" s="125">
        <f t="shared" si="39"/>
        <v>8.3999999999999986</v>
      </c>
      <c r="F109" s="7">
        <v>8.6586666666666687</v>
      </c>
      <c r="G109" s="7">
        <v>17.043333333333344</v>
      </c>
      <c r="H109" s="7">
        <f t="shared" si="74"/>
        <v>12.851000000000006</v>
      </c>
      <c r="I109" s="7">
        <f t="shared" si="75"/>
        <v>8.3846666666666749</v>
      </c>
      <c r="K109" s="7">
        <f t="shared" si="40"/>
        <v>13.100000000000001</v>
      </c>
      <c r="L109" s="7">
        <f t="shared" si="41"/>
        <v>13.05</v>
      </c>
      <c r="M109" s="370">
        <f t="shared" si="42"/>
        <v>5.7526315789473683</v>
      </c>
      <c r="N109" s="1">
        <f t="shared" si="43"/>
        <v>0</v>
      </c>
      <c r="O109" s="7">
        <f t="shared" si="44"/>
        <v>59.263157894736842</v>
      </c>
      <c r="P109" s="7">
        <f t="shared" si="45"/>
        <v>9.3052631578947356</v>
      </c>
      <c r="Q109" s="7">
        <f t="shared" si="46"/>
        <v>18.626315789473686</v>
      </c>
      <c r="R109" s="7">
        <f t="shared" si="47"/>
        <v>14.200000000000003</v>
      </c>
      <c r="S109" s="7">
        <f t="shared" si="48"/>
        <v>9.3210526315789455</v>
      </c>
      <c r="T109" s="1">
        <v>50</v>
      </c>
      <c r="U109" s="333">
        <f t="shared" si="49"/>
        <v>1.903225806451613</v>
      </c>
      <c r="V109" s="4">
        <v>19</v>
      </c>
      <c r="W109" s="7">
        <f t="shared" si="50"/>
        <v>5.1870000000000003</v>
      </c>
      <c r="X109" s="7">
        <f t="shared" si="51"/>
        <v>13.65</v>
      </c>
      <c r="Y109" s="8">
        <f t="shared" si="52"/>
        <v>4</v>
      </c>
      <c r="Z109" s="7">
        <f>IF(ISBLANK(Z22),NA(),SUM($Z$4:Z22))</f>
        <v>7.1</v>
      </c>
      <c r="AA109" s="7">
        <f t="shared" si="76"/>
        <v>36.161290322580648</v>
      </c>
      <c r="AB109" s="26">
        <f>IF(ISBLANK(Z22),"",SUM($Z$4:Z22))</f>
        <v>7.1</v>
      </c>
      <c r="AC109" s="115">
        <f t="shared" si="77"/>
        <v>0.19634255129348793</v>
      </c>
      <c r="AD109" s="8">
        <f t="shared" si="53"/>
        <v>1018.2368421052631</v>
      </c>
      <c r="AE109" s="610">
        <f t="shared" si="54"/>
        <v>1.1831110370054876</v>
      </c>
      <c r="AF109" s="524">
        <f t="shared" si="55"/>
        <v>0.28472222222222221</v>
      </c>
      <c r="AG109" s="22">
        <f>IF(ISBLANK(AP22),NA(),SUM($AP$4:AP22))</f>
        <v>135.19999999999999</v>
      </c>
      <c r="AH109" s="7">
        <f>SUM($AS$91:AS109)</f>
        <v>114.2749883748848</v>
      </c>
      <c r="AI109" s="115">
        <f t="shared" si="56"/>
        <v>1.1831110370054876</v>
      </c>
      <c r="AJ109" s="124">
        <f t="shared" si="57"/>
        <v>0</v>
      </c>
      <c r="AK109" s="8">
        <f t="shared" si="58"/>
        <v>1017</v>
      </c>
      <c r="AL109" s="124">
        <f t="shared" si="59"/>
        <v>0</v>
      </c>
      <c r="AM109" s="524">
        <f t="shared" si="60"/>
        <v>0.69791666666666663</v>
      </c>
      <c r="AO109" s="524">
        <f t="shared" si="61"/>
        <v>0.6875</v>
      </c>
      <c r="AP109" s="423" t="s">
        <v>129</v>
      </c>
      <c r="AQ109" s="453">
        <f>MAX(AQ92:AQ107)</f>
        <v>0.152</v>
      </c>
      <c r="AR109" s="524">
        <f t="shared" si="62"/>
        <v>0.23611111111111113</v>
      </c>
      <c r="AS109" s="7">
        <f t="shared" si="63"/>
        <v>6.2006026339406297</v>
      </c>
      <c r="AT109" s="7">
        <v>14.34491507585852</v>
      </c>
      <c r="AU109" s="4">
        <v>19</v>
      </c>
      <c r="AV109" s="127">
        <f t="shared" si="64"/>
        <v>1</v>
      </c>
      <c r="AW109" s="124">
        <f t="shared" si="78"/>
        <v>0</v>
      </c>
      <c r="AX109" s="124">
        <f t="shared" si="79"/>
        <v>0</v>
      </c>
      <c r="AY109" s="124">
        <f t="shared" si="65"/>
        <v>1</v>
      </c>
      <c r="AZ109" s="125">
        <f t="shared" si="66"/>
        <v>4.7</v>
      </c>
      <c r="BA109" s="125">
        <f t="shared" si="67"/>
        <v>9.7000000000000011</v>
      </c>
      <c r="BB109" s="125">
        <f t="shared" si="68"/>
        <v>15.299999999999999</v>
      </c>
      <c r="BC109" s="7">
        <v>10.056111111111115</v>
      </c>
      <c r="BD109" s="7">
        <v>15.645888888888898</v>
      </c>
      <c r="BE109" s="124"/>
      <c r="BF109" s="8">
        <f t="shared" si="69"/>
        <v>63</v>
      </c>
      <c r="BG109" s="21">
        <f t="shared" si="70"/>
        <v>14</v>
      </c>
      <c r="BH109" s="124">
        <f t="shared" si="71"/>
        <v>0</v>
      </c>
      <c r="BI109" s="124">
        <f t="shared" si="80"/>
        <v>0</v>
      </c>
      <c r="BJ109" s="144">
        <f t="shared" si="72"/>
        <v>0</v>
      </c>
      <c r="BL109" s="99">
        <v>19</v>
      </c>
    </row>
    <row r="110" spans="1:64" ht="12.75" x14ac:dyDescent="0.2">
      <c r="A110" s="8">
        <f t="shared" si="36"/>
        <v>26</v>
      </c>
      <c r="B110" s="125">
        <f t="shared" si="37"/>
        <v>8.3000000000000007</v>
      </c>
      <c r="C110" s="125">
        <f t="shared" si="38"/>
        <v>16.7</v>
      </c>
      <c r="D110" s="125">
        <f t="shared" si="73"/>
        <v>12.5</v>
      </c>
      <c r="E110" s="125">
        <f t="shared" si="39"/>
        <v>8.3999999999999986</v>
      </c>
      <c r="F110" s="7">
        <v>8.7933333333333348</v>
      </c>
      <c r="G110" s="7">
        <v>17.166666666666679</v>
      </c>
      <c r="H110" s="7">
        <f t="shared" si="74"/>
        <v>12.980000000000008</v>
      </c>
      <c r="I110" s="7">
        <f t="shared" si="75"/>
        <v>8.3733333333333437</v>
      </c>
      <c r="K110" s="7">
        <f t="shared" si="40"/>
        <v>7.4</v>
      </c>
      <c r="L110" s="7">
        <f t="shared" si="41"/>
        <v>14.600000000000001</v>
      </c>
      <c r="M110" s="370">
        <f t="shared" si="42"/>
        <v>5.7</v>
      </c>
      <c r="N110" s="1">
        <f t="shared" si="43"/>
        <v>0</v>
      </c>
      <c r="O110" s="7">
        <f t="shared" si="44"/>
        <v>58.95</v>
      </c>
      <c r="P110" s="7">
        <f t="shared" si="45"/>
        <v>9.3849999999999998</v>
      </c>
      <c r="Q110" s="7">
        <f t="shared" si="46"/>
        <v>18.610000000000003</v>
      </c>
      <c r="R110" s="7">
        <f t="shared" si="47"/>
        <v>14.245000000000005</v>
      </c>
      <c r="S110" s="7">
        <f t="shared" si="48"/>
        <v>9.2249999999999979</v>
      </c>
      <c r="T110" s="1">
        <v>51</v>
      </c>
      <c r="U110" s="333">
        <f t="shared" si="49"/>
        <v>1.903225806451613</v>
      </c>
      <c r="V110" s="4">
        <v>20</v>
      </c>
      <c r="W110" s="7">
        <f t="shared" si="50"/>
        <v>5.4600000000000009</v>
      </c>
      <c r="X110" s="7">
        <f t="shared" si="51"/>
        <v>13.923000000000002</v>
      </c>
      <c r="Y110" s="8">
        <f t="shared" si="52"/>
        <v>5</v>
      </c>
      <c r="Z110" s="7">
        <f>IF(ISBLANK(Z23),NA(),SUM($Z$4:Z23))</f>
        <v>7.1</v>
      </c>
      <c r="AA110" s="7">
        <f t="shared" si="76"/>
        <v>38.064516129032256</v>
      </c>
      <c r="AB110" s="26">
        <f>IF(ISBLANK(Z23),"",SUM($Z$4:Z23))</f>
        <v>7.1</v>
      </c>
      <c r="AC110" s="115">
        <f t="shared" si="77"/>
        <v>0.18652542372881356</v>
      </c>
      <c r="AD110" s="8">
        <f t="shared" si="53"/>
        <v>1018.25</v>
      </c>
      <c r="AE110" s="610">
        <f t="shared" si="54"/>
        <v>1.1801413716152205</v>
      </c>
      <c r="AF110" s="524">
        <f t="shared" si="55"/>
        <v>0.28125</v>
      </c>
      <c r="AG110" s="22">
        <f>IF(ISBLANK(AP23),NA(),SUM($AP$4:AP23))</f>
        <v>142.19999999999999</v>
      </c>
      <c r="AH110" s="7">
        <f>SUM($AS$91:AS110)</f>
        <v>120.49403861282784</v>
      </c>
      <c r="AI110" s="115">
        <f t="shared" si="56"/>
        <v>1.1801413716152205</v>
      </c>
      <c r="AJ110" s="124">
        <f t="shared" si="57"/>
        <v>0</v>
      </c>
      <c r="AK110" s="8">
        <f t="shared" si="58"/>
        <v>1018.5</v>
      </c>
      <c r="AL110" s="124">
        <f t="shared" si="59"/>
        <v>0</v>
      </c>
      <c r="AM110" s="524">
        <f t="shared" si="60"/>
        <v>0.58333333333333337</v>
      </c>
      <c r="AO110" s="524">
        <f t="shared" si="61"/>
        <v>0.54513888888888895</v>
      </c>
      <c r="AR110" s="524">
        <f t="shared" si="62"/>
        <v>0.24305555555555555</v>
      </c>
      <c r="AS110" s="7">
        <f t="shared" si="63"/>
        <v>6.2190502379430352</v>
      </c>
      <c r="AT110" s="7">
        <v>14.387593074819307</v>
      </c>
      <c r="AU110" s="4">
        <v>20</v>
      </c>
      <c r="AV110" s="127">
        <f t="shared" si="64"/>
        <v>1</v>
      </c>
      <c r="AW110" s="124">
        <f t="shared" si="78"/>
        <v>0</v>
      </c>
      <c r="AX110" s="124">
        <f t="shared" si="79"/>
        <v>0</v>
      </c>
      <c r="AY110" s="124">
        <f t="shared" si="65"/>
        <v>1</v>
      </c>
      <c r="AZ110" s="125">
        <f t="shared" si="66"/>
        <v>4.7</v>
      </c>
      <c r="BA110" s="125">
        <f t="shared" si="67"/>
        <v>9.7000000000000011</v>
      </c>
      <c r="BB110" s="125">
        <f t="shared" si="68"/>
        <v>15.299999999999999</v>
      </c>
      <c r="BC110" s="7">
        <v>10.188888888888894</v>
      </c>
      <c r="BD110" s="7">
        <v>15.771111111111122</v>
      </c>
      <c r="BE110" s="124"/>
      <c r="BF110" s="8">
        <f t="shared" si="69"/>
        <v>53</v>
      </c>
      <c r="BG110" s="21">
        <f t="shared" si="70"/>
        <v>15.1</v>
      </c>
      <c r="BH110" s="124">
        <f t="shared" si="71"/>
        <v>0</v>
      </c>
      <c r="BI110" s="124">
        <f t="shared" si="80"/>
        <v>0</v>
      </c>
      <c r="BJ110" s="144">
        <f t="shared" si="72"/>
        <v>0</v>
      </c>
      <c r="BL110" s="99">
        <v>20</v>
      </c>
    </row>
    <row r="111" spans="1:64" ht="12.75" x14ac:dyDescent="0.2">
      <c r="A111" s="8">
        <f t="shared" si="36"/>
        <v>44</v>
      </c>
      <c r="B111" s="125">
        <f t="shared" si="37"/>
        <v>8.3000000000000007</v>
      </c>
      <c r="C111" s="125">
        <f t="shared" si="38"/>
        <v>16.7</v>
      </c>
      <c r="D111" s="125">
        <f t="shared" si="73"/>
        <v>12.5</v>
      </c>
      <c r="E111" s="125">
        <f t="shared" si="39"/>
        <v>8.3999999999999986</v>
      </c>
      <c r="F111" s="7">
        <v>8.9280000000000008</v>
      </c>
      <c r="G111" s="7">
        <v>17.29</v>
      </c>
      <c r="H111" s="7">
        <f t="shared" si="74"/>
        <v>13.109</v>
      </c>
      <c r="I111" s="7">
        <f t="shared" si="75"/>
        <v>8.3619999999999983</v>
      </c>
      <c r="K111" s="7">
        <f t="shared" si="40"/>
        <v>13.2</v>
      </c>
      <c r="L111" s="7">
        <f t="shared" si="41"/>
        <v>14.4</v>
      </c>
      <c r="M111" s="370">
        <f t="shared" si="42"/>
        <v>5.6857142857142859</v>
      </c>
      <c r="N111" s="1">
        <f t="shared" si="43"/>
        <v>0</v>
      </c>
      <c r="O111" s="7">
        <f t="shared" si="44"/>
        <v>58.761904761904759</v>
      </c>
      <c r="P111" s="7">
        <f t="shared" si="45"/>
        <v>9.3095238095238102</v>
      </c>
      <c r="Q111" s="7">
        <f t="shared" si="46"/>
        <v>18.723809523809525</v>
      </c>
      <c r="R111" s="7">
        <f t="shared" si="47"/>
        <v>14.333333333333339</v>
      </c>
      <c r="S111" s="7">
        <f t="shared" si="48"/>
        <v>9.4142857142857128</v>
      </c>
      <c r="T111" s="1">
        <v>52</v>
      </c>
      <c r="U111" s="333">
        <f t="shared" si="49"/>
        <v>1.903225806451613</v>
      </c>
      <c r="V111" s="4">
        <v>21</v>
      </c>
      <c r="W111" s="7">
        <f t="shared" si="50"/>
        <v>5.7330000000000005</v>
      </c>
      <c r="X111" s="7">
        <f t="shared" si="51"/>
        <v>14.196000000000002</v>
      </c>
      <c r="Y111" s="8">
        <f t="shared" si="52"/>
        <v>8</v>
      </c>
      <c r="Z111" s="7">
        <f>IF(ISBLANK(Z24),NA(),SUM($Z$4:Z24))</f>
        <v>7.1</v>
      </c>
      <c r="AA111" s="7">
        <f t="shared" si="76"/>
        <v>39.967741935483872</v>
      </c>
      <c r="AB111" s="26">
        <f>IF(ISBLANK(Z24),"",SUM($Z$4:Z24))</f>
        <v>7.1</v>
      </c>
      <c r="AC111" s="115">
        <f t="shared" si="77"/>
        <v>0.17764326069410813</v>
      </c>
      <c r="AD111" s="8">
        <f t="shared" si="53"/>
        <v>1018.2380952380952</v>
      </c>
      <c r="AE111" s="610">
        <f t="shared" si="54"/>
        <v>1.2285851541103063</v>
      </c>
      <c r="AF111" s="524">
        <f t="shared" si="55"/>
        <v>0.27777777777777779</v>
      </c>
      <c r="AG111" s="22">
        <f>IF(ISBLANK(AP24),NA(),SUM($AP$4:AP24))</f>
        <v>155.69999999999999</v>
      </c>
      <c r="AH111" s="7">
        <f>SUM($AS$91:AS111)</f>
        <v>126.73114230551799</v>
      </c>
      <c r="AI111" s="115">
        <f t="shared" si="56"/>
        <v>1.2285851541103063</v>
      </c>
      <c r="AJ111" s="124">
        <f t="shared" si="57"/>
        <v>0</v>
      </c>
      <c r="AK111" s="8">
        <f t="shared" si="58"/>
        <v>1018</v>
      </c>
      <c r="AL111" s="124">
        <f t="shared" si="59"/>
        <v>0</v>
      </c>
      <c r="AM111" s="524">
        <f t="shared" si="60"/>
        <v>0.79166666666666663</v>
      </c>
      <c r="AO111" s="524">
        <f t="shared" si="61"/>
        <v>0.63194444444444442</v>
      </c>
      <c r="AQ111" s="377"/>
      <c r="AR111" s="524">
        <f t="shared" si="62"/>
        <v>0.23611111111111113</v>
      </c>
      <c r="AS111" s="7">
        <f t="shared" si="63"/>
        <v>6.2371036926901491</v>
      </c>
      <c r="AT111" s="7">
        <v>14.429359220863827</v>
      </c>
      <c r="AU111" s="4">
        <v>21</v>
      </c>
      <c r="AV111" s="127">
        <f t="shared" si="64"/>
        <v>1</v>
      </c>
      <c r="AW111" s="124">
        <f t="shared" si="78"/>
        <v>0</v>
      </c>
      <c r="AX111" s="124">
        <f t="shared" si="79"/>
        <v>0</v>
      </c>
      <c r="AY111" s="124">
        <f t="shared" si="65"/>
        <v>1</v>
      </c>
      <c r="AZ111" s="125">
        <f t="shared" si="66"/>
        <v>4.7</v>
      </c>
      <c r="BA111" s="125">
        <f t="shared" si="67"/>
        <v>9.7000000000000011</v>
      </c>
      <c r="BB111" s="125">
        <f t="shared" si="68"/>
        <v>15.299999999999999</v>
      </c>
      <c r="BC111" s="7">
        <v>10.321666666666669</v>
      </c>
      <c r="BD111" s="7">
        <v>15.896333333333345</v>
      </c>
      <c r="BE111" s="124"/>
      <c r="BF111" s="8">
        <f t="shared" si="69"/>
        <v>55</v>
      </c>
      <c r="BG111" s="21">
        <f t="shared" si="70"/>
        <v>16.100000000000001</v>
      </c>
      <c r="BH111" s="124">
        <f t="shared" si="71"/>
        <v>0</v>
      </c>
      <c r="BI111" s="124">
        <f t="shared" si="80"/>
        <v>0</v>
      </c>
      <c r="BJ111" s="144">
        <f t="shared" si="72"/>
        <v>0</v>
      </c>
      <c r="BL111" s="99">
        <v>21</v>
      </c>
    </row>
    <row r="112" spans="1:64" ht="12.75" x14ac:dyDescent="0.2">
      <c r="A112" s="8">
        <f t="shared" si="36"/>
        <v>49</v>
      </c>
      <c r="B112" s="125">
        <f t="shared" si="37"/>
        <v>8.3000000000000007</v>
      </c>
      <c r="C112" s="125">
        <f t="shared" si="38"/>
        <v>16.7</v>
      </c>
      <c r="D112" s="125">
        <f t="shared" si="73"/>
        <v>12.5</v>
      </c>
      <c r="E112" s="125">
        <f t="shared" si="39"/>
        <v>8.3999999999999986</v>
      </c>
      <c r="F112" s="7">
        <v>9.0626666666666669</v>
      </c>
      <c r="G112" s="7">
        <v>17.413333333333348</v>
      </c>
      <c r="H112" s="7">
        <f t="shared" si="74"/>
        <v>13.238000000000007</v>
      </c>
      <c r="I112" s="7">
        <f t="shared" si="75"/>
        <v>8.3506666666666813</v>
      </c>
      <c r="K112" s="7">
        <f t="shared" si="40"/>
        <v>6.9</v>
      </c>
      <c r="L112" s="7">
        <f t="shared" si="41"/>
        <v>14.850000000000001</v>
      </c>
      <c r="M112" s="370">
        <f t="shared" si="42"/>
        <v>5.8409090909090908</v>
      </c>
      <c r="N112" s="1">
        <f t="shared" si="43"/>
        <v>0.3666666666666667</v>
      </c>
      <c r="O112" s="7">
        <f t="shared" si="44"/>
        <v>58.590909090909093</v>
      </c>
      <c r="P112" s="7">
        <f t="shared" si="45"/>
        <v>9.4045454545454543</v>
      </c>
      <c r="Q112" s="7">
        <f t="shared" si="46"/>
        <v>18.704545454545457</v>
      </c>
      <c r="R112" s="7">
        <f t="shared" si="47"/>
        <v>14.359090909090913</v>
      </c>
      <c r="S112" s="7">
        <f t="shared" si="48"/>
        <v>9.2999999999999989</v>
      </c>
      <c r="T112" s="1">
        <v>53</v>
      </c>
      <c r="U112" s="333">
        <f t="shared" si="49"/>
        <v>1.903225806451613</v>
      </c>
      <c r="V112" s="4">
        <v>22</v>
      </c>
      <c r="W112" s="7">
        <f t="shared" si="50"/>
        <v>6.0060000000000002</v>
      </c>
      <c r="X112" s="7">
        <f t="shared" si="51"/>
        <v>14.469000000000001</v>
      </c>
      <c r="Y112" s="8">
        <f t="shared" si="52"/>
        <v>12</v>
      </c>
      <c r="Z112" s="7">
        <f>IF(ISBLANK(Z25),NA(),SUM($Z$4:Z25))</f>
        <v>8.1999999999999993</v>
      </c>
      <c r="AA112" s="7">
        <f t="shared" si="76"/>
        <v>41.870967741935488</v>
      </c>
      <c r="AB112" s="26">
        <f>IF(ISBLANK(Z25),"",SUM($Z$4:Z25))</f>
        <v>8.1999999999999993</v>
      </c>
      <c r="AC112" s="115">
        <f t="shared" si="77"/>
        <v>0.19583975346687207</v>
      </c>
      <c r="AD112" s="8">
        <f t="shared" si="53"/>
        <v>1018.1818181818181</v>
      </c>
      <c r="AE112" s="610">
        <f t="shared" si="54"/>
        <v>1.230957627212288</v>
      </c>
      <c r="AF112" s="524">
        <f t="shared" si="55"/>
        <v>0.24305555555555555</v>
      </c>
      <c r="AG112" s="22">
        <f>IF(ISBLANK(AP25),NA(),SUM($AP$4:AP25))</f>
        <v>163.69999999999999</v>
      </c>
      <c r="AH112" s="7">
        <f>SUM($AS$91:AS112)</f>
        <v>132.98589356867333</v>
      </c>
      <c r="AI112" s="115">
        <f t="shared" si="56"/>
        <v>1.230957627212288</v>
      </c>
      <c r="AJ112" s="124">
        <f t="shared" si="57"/>
        <v>1</v>
      </c>
      <c r="AK112" s="8">
        <f t="shared" si="58"/>
        <v>1017</v>
      </c>
      <c r="AL112" s="124">
        <f t="shared" si="59"/>
        <v>1</v>
      </c>
      <c r="AM112" s="524">
        <f t="shared" si="60"/>
        <v>0.66666666666666663</v>
      </c>
      <c r="AO112" s="524">
        <f t="shared" si="61"/>
        <v>0.63194444444444442</v>
      </c>
      <c r="AR112" s="524">
        <f t="shared" si="62"/>
        <v>0.28472222222222221</v>
      </c>
      <c r="AS112" s="7">
        <f t="shared" si="63"/>
        <v>6.2547512631553372</v>
      </c>
      <c r="AT112" s="7">
        <v>14.470186365346954</v>
      </c>
      <c r="AU112" s="4">
        <v>22</v>
      </c>
      <c r="AV112" s="127">
        <f t="shared" si="64"/>
        <v>1</v>
      </c>
      <c r="AW112" s="124">
        <f t="shared" si="78"/>
        <v>0</v>
      </c>
      <c r="AX112" s="124">
        <f t="shared" si="79"/>
        <v>0</v>
      </c>
      <c r="AY112" s="124">
        <f t="shared" si="65"/>
        <v>0</v>
      </c>
      <c r="AZ112" s="125">
        <f t="shared" si="66"/>
        <v>4.7</v>
      </c>
      <c r="BA112" s="125">
        <f t="shared" si="67"/>
        <v>9.7000000000000011</v>
      </c>
      <c r="BB112" s="125">
        <f t="shared" si="68"/>
        <v>15.299999999999999</v>
      </c>
      <c r="BC112" s="7">
        <v>10.454444444444446</v>
      </c>
      <c r="BD112" s="7">
        <v>16.021555555555565</v>
      </c>
      <c r="BE112" s="124"/>
      <c r="BF112" s="8">
        <f t="shared" si="69"/>
        <v>55</v>
      </c>
      <c r="BG112" s="21">
        <f t="shared" si="70"/>
        <v>14.9</v>
      </c>
      <c r="BH112" s="124">
        <f t="shared" si="71"/>
        <v>0</v>
      </c>
      <c r="BI112" s="124">
        <f t="shared" si="80"/>
        <v>1</v>
      </c>
      <c r="BJ112" s="144">
        <f t="shared" si="72"/>
        <v>0.3666666666666667</v>
      </c>
      <c r="BL112" s="99">
        <v>22</v>
      </c>
    </row>
    <row r="113" spans="1:64" ht="12.75" x14ac:dyDescent="0.2">
      <c r="A113" s="8">
        <f t="shared" si="36"/>
        <v>30</v>
      </c>
      <c r="B113" s="125">
        <f t="shared" si="37"/>
        <v>8.3000000000000007</v>
      </c>
      <c r="C113" s="125">
        <f t="shared" si="38"/>
        <v>16.7</v>
      </c>
      <c r="D113" s="125">
        <f t="shared" si="73"/>
        <v>12.5</v>
      </c>
      <c r="E113" s="125">
        <f t="shared" si="39"/>
        <v>8.3999999999999986</v>
      </c>
      <c r="F113" s="7">
        <v>9.1973333333333329</v>
      </c>
      <c r="G113" s="7">
        <v>17.536666666666683</v>
      </c>
      <c r="H113" s="7">
        <f t="shared" si="74"/>
        <v>13.367000000000008</v>
      </c>
      <c r="I113" s="7">
        <f t="shared" si="75"/>
        <v>8.3393333333333501</v>
      </c>
      <c r="K113" s="7">
        <f t="shared" si="40"/>
        <v>8.5999999999999979</v>
      </c>
      <c r="L113" s="7">
        <f t="shared" si="41"/>
        <v>14.6</v>
      </c>
      <c r="M113" s="370">
        <f t="shared" si="42"/>
        <v>5.9913043478260875</v>
      </c>
      <c r="N113" s="1">
        <f t="shared" si="43"/>
        <v>3.3333333333333333E-2</v>
      </c>
      <c r="O113" s="7">
        <f t="shared" si="44"/>
        <v>58.739130434782609</v>
      </c>
      <c r="P113" s="7">
        <f t="shared" si="45"/>
        <v>9.4434782608695667</v>
      </c>
      <c r="Q113" s="7">
        <f t="shared" si="46"/>
        <v>18.713043478260872</v>
      </c>
      <c r="R113" s="7">
        <f t="shared" si="47"/>
        <v>14.339130434782613</v>
      </c>
      <c r="S113" s="7">
        <f t="shared" si="48"/>
        <v>9.2695652173913032</v>
      </c>
      <c r="T113" s="1">
        <v>54</v>
      </c>
      <c r="U113" s="333">
        <f t="shared" si="49"/>
        <v>1.903225806451613</v>
      </c>
      <c r="V113" s="4">
        <v>23</v>
      </c>
      <c r="W113" s="7">
        <f t="shared" si="50"/>
        <v>6.2790000000000008</v>
      </c>
      <c r="X113" s="7">
        <f t="shared" si="51"/>
        <v>14.742000000000001</v>
      </c>
      <c r="Y113" s="8">
        <f t="shared" si="52"/>
        <v>5</v>
      </c>
      <c r="Z113" s="7">
        <f>IF(ISBLANK(Z26),NA(),SUM($Z$4:Z26))</f>
        <v>8.2999999999999989</v>
      </c>
      <c r="AA113" s="7">
        <f t="shared" si="76"/>
        <v>43.774193548387096</v>
      </c>
      <c r="AB113" s="26">
        <f>IF(ISBLANK(Z26),"",SUM($Z$4:Z26))</f>
        <v>8.2999999999999989</v>
      </c>
      <c r="AC113" s="115">
        <f t="shared" si="77"/>
        <v>0.18960943257184965</v>
      </c>
      <c r="AD113" s="8">
        <f t="shared" si="53"/>
        <v>1018.2391304347826</v>
      </c>
      <c r="AE113" s="610">
        <f t="shared" si="54"/>
        <v>1.2078311572192517</v>
      </c>
      <c r="AF113" s="524">
        <f t="shared" si="55"/>
        <v>0.29166666666666669</v>
      </c>
      <c r="AG113" s="22">
        <f>IF(ISBLANK(AP26),NA(),SUM($AP$4:AP26))</f>
        <v>168.2</v>
      </c>
      <c r="AH113" s="7">
        <f>SUM($AS$91:AS113)</f>
        <v>139.25787474073866</v>
      </c>
      <c r="AI113" s="115">
        <f t="shared" si="56"/>
        <v>1.2078311572192517</v>
      </c>
      <c r="AJ113" s="124">
        <f t="shared" si="57"/>
        <v>0</v>
      </c>
      <c r="AK113" s="8">
        <f t="shared" si="58"/>
        <v>1019.5</v>
      </c>
      <c r="AL113" s="124">
        <f t="shared" si="59"/>
        <v>0</v>
      </c>
      <c r="AM113" s="524">
        <f t="shared" si="60"/>
        <v>0.57638888888888895</v>
      </c>
      <c r="AO113" s="524">
        <f t="shared" si="61"/>
        <v>0.57638888888888895</v>
      </c>
      <c r="AR113" s="524">
        <f t="shared" si="62"/>
        <v>0.18055555555555555</v>
      </c>
      <c r="AS113" s="7">
        <f t="shared" si="63"/>
        <v>6.2719811720653347</v>
      </c>
      <c r="AT113" s="7">
        <v>14.510047261887202</v>
      </c>
      <c r="AU113" s="4">
        <v>23</v>
      </c>
      <c r="AV113" s="127">
        <f t="shared" si="64"/>
        <v>1</v>
      </c>
      <c r="AW113" s="124">
        <f t="shared" si="78"/>
        <v>0</v>
      </c>
      <c r="AX113" s="124">
        <f t="shared" si="79"/>
        <v>0</v>
      </c>
      <c r="AY113" s="124">
        <f t="shared" si="65"/>
        <v>1</v>
      </c>
      <c r="AZ113" s="125">
        <f t="shared" si="66"/>
        <v>4.7</v>
      </c>
      <c r="BA113" s="125">
        <f t="shared" si="67"/>
        <v>9.7000000000000011</v>
      </c>
      <c r="BB113" s="125">
        <f t="shared" si="68"/>
        <v>15.299999999999999</v>
      </c>
      <c r="BC113" s="7">
        <v>10.587222222222225</v>
      </c>
      <c r="BD113" s="7">
        <v>16.146777777777793</v>
      </c>
      <c r="BE113" s="124"/>
      <c r="BF113" s="8">
        <f t="shared" si="69"/>
        <v>62</v>
      </c>
      <c r="BG113" s="21">
        <f t="shared" si="70"/>
        <v>13.9</v>
      </c>
      <c r="BH113" s="124">
        <f t="shared" si="71"/>
        <v>0</v>
      </c>
      <c r="BI113" s="124">
        <f t="shared" si="80"/>
        <v>0</v>
      </c>
      <c r="BJ113" s="144">
        <f t="shared" si="72"/>
        <v>3.3333333333333333E-2</v>
      </c>
      <c r="BL113" s="99">
        <v>23</v>
      </c>
    </row>
    <row r="114" spans="1:64" ht="12.75" x14ac:dyDescent="0.2">
      <c r="A114" s="8">
        <f t="shared" si="36"/>
        <v>42</v>
      </c>
      <c r="B114" s="125">
        <f t="shared" si="37"/>
        <v>8.3000000000000007</v>
      </c>
      <c r="C114" s="125">
        <f t="shared" si="38"/>
        <v>16.7</v>
      </c>
      <c r="D114" s="125">
        <f t="shared" si="73"/>
        <v>12.5</v>
      </c>
      <c r="E114" s="125">
        <f t="shared" si="39"/>
        <v>8.3999999999999986</v>
      </c>
      <c r="F114" s="7">
        <v>9.331999999999999</v>
      </c>
      <c r="G114" s="7">
        <v>17.66</v>
      </c>
      <c r="H114" s="7">
        <f t="shared" si="74"/>
        <v>13.495999999999999</v>
      </c>
      <c r="I114" s="7">
        <f t="shared" si="75"/>
        <v>8.3280000000000012</v>
      </c>
      <c r="K114" s="7">
        <f t="shared" si="40"/>
        <v>10.8</v>
      </c>
      <c r="L114" s="7">
        <f t="shared" si="41"/>
        <v>13.6</v>
      </c>
      <c r="M114" s="370">
        <f t="shared" si="42"/>
        <v>6.0166666666666666</v>
      </c>
      <c r="N114" s="1">
        <f t="shared" si="43"/>
        <v>0</v>
      </c>
      <c r="O114" s="7">
        <f t="shared" si="44"/>
        <v>58.416666666666664</v>
      </c>
      <c r="P114" s="7">
        <f t="shared" si="45"/>
        <v>9.3916666666666675</v>
      </c>
      <c r="Q114" s="7">
        <f t="shared" si="46"/>
        <v>18.725000000000001</v>
      </c>
      <c r="R114" s="7">
        <f t="shared" si="47"/>
        <v>14.31666666666667</v>
      </c>
      <c r="S114" s="7">
        <f t="shared" si="48"/>
        <v>9.3333333333333321</v>
      </c>
      <c r="T114" s="1">
        <v>55</v>
      </c>
      <c r="U114" s="333">
        <f t="shared" si="49"/>
        <v>1.903225806451613</v>
      </c>
      <c r="V114" s="4">
        <v>24</v>
      </c>
      <c r="W114" s="7">
        <f t="shared" si="50"/>
        <v>6.5520000000000005</v>
      </c>
      <c r="X114" s="7">
        <f t="shared" si="51"/>
        <v>15.015000000000001</v>
      </c>
      <c r="Y114" s="8">
        <f t="shared" si="52"/>
        <v>9</v>
      </c>
      <c r="Z114" s="7">
        <f>IF(ISBLANK(Z27),NA(),SUM($Z$4:Z27))</f>
        <v>8.2999999999999989</v>
      </c>
      <c r="AA114" s="7">
        <f t="shared" si="76"/>
        <v>45.677419354838712</v>
      </c>
      <c r="AB114" s="26">
        <f>IF(ISBLANK(Z27),"",SUM($Z$4:Z27))</f>
        <v>8.2999999999999989</v>
      </c>
      <c r="AC114" s="115">
        <f t="shared" si="77"/>
        <v>0.18170903954802256</v>
      </c>
      <c r="AD114" s="8">
        <f t="shared" si="53"/>
        <v>1018.5</v>
      </c>
      <c r="AE114" s="610">
        <f t="shared" si="54"/>
        <v>1.244961612511793</v>
      </c>
      <c r="AF114" s="524">
        <f t="shared" si="55"/>
        <v>0.23958333333333334</v>
      </c>
      <c r="AG114" s="22">
        <f>IF(ISBLANK(AP27),NA(),SUM($AP$4:AP27))</f>
        <v>181.2</v>
      </c>
      <c r="AH114" s="7">
        <f>SUM($AS$91:AS114)</f>
        <v>145.54665636189128</v>
      </c>
      <c r="AI114" s="115">
        <f t="shared" si="56"/>
        <v>1.244961612511793</v>
      </c>
      <c r="AJ114" s="124">
        <f t="shared" si="57"/>
        <v>0</v>
      </c>
      <c r="AK114" s="8">
        <f t="shared" si="58"/>
        <v>1024.5</v>
      </c>
      <c r="AL114" s="124">
        <f t="shared" si="59"/>
        <v>0</v>
      </c>
      <c r="AM114" s="524">
        <f t="shared" si="60"/>
        <v>0.77083333333333337</v>
      </c>
      <c r="AO114" s="524">
        <f t="shared" si="61"/>
        <v>0.6875</v>
      </c>
      <c r="AR114" s="524">
        <f t="shared" si="62"/>
        <v>0.22569444444444445</v>
      </c>
      <c r="AS114" s="7">
        <f t="shared" si="63"/>
        <v>6.2887816211526335</v>
      </c>
      <c r="AT114" s="7">
        <v>14.548914615533507</v>
      </c>
      <c r="AU114" s="4">
        <v>24</v>
      </c>
      <c r="AV114" s="127">
        <f t="shared" si="64"/>
        <v>1</v>
      </c>
      <c r="AW114" s="124">
        <f t="shared" si="78"/>
        <v>0</v>
      </c>
      <c r="AX114" s="124">
        <f t="shared" si="79"/>
        <v>0</v>
      </c>
      <c r="AY114" s="124">
        <f t="shared" si="65"/>
        <v>1</v>
      </c>
      <c r="AZ114" s="125">
        <f t="shared" si="66"/>
        <v>4.7</v>
      </c>
      <c r="BA114" s="125">
        <f t="shared" si="67"/>
        <v>9.7000000000000011</v>
      </c>
      <c r="BB114" s="125">
        <f t="shared" si="68"/>
        <v>15.299999999999999</v>
      </c>
      <c r="BC114" s="7">
        <v>10.72</v>
      </c>
      <c r="BD114" s="7">
        <v>16.272000000000016</v>
      </c>
      <c r="BE114" s="124"/>
      <c r="BF114" s="8">
        <f t="shared" si="69"/>
        <v>51</v>
      </c>
      <c r="BG114" s="21">
        <f t="shared" si="70"/>
        <v>13.8</v>
      </c>
      <c r="BH114" s="124">
        <f t="shared" si="71"/>
        <v>0</v>
      </c>
      <c r="BI114" s="124">
        <f t="shared" si="80"/>
        <v>0</v>
      </c>
      <c r="BJ114" s="144">
        <f t="shared" si="72"/>
        <v>0</v>
      </c>
      <c r="BL114" s="99">
        <v>24</v>
      </c>
    </row>
    <row r="115" spans="1:64" ht="12.75" x14ac:dyDescent="0.2">
      <c r="A115" s="8">
        <f t="shared" si="36"/>
        <v>45</v>
      </c>
      <c r="B115" s="125">
        <f t="shared" si="37"/>
        <v>8.3000000000000007</v>
      </c>
      <c r="C115" s="125">
        <f t="shared" si="38"/>
        <v>16.7</v>
      </c>
      <c r="D115" s="125">
        <f t="shared" si="73"/>
        <v>12.5</v>
      </c>
      <c r="E115" s="125">
        <f t="shared" si="39"/>
        <v>8.3999999999999986</v>
      </c>
      <c r="F115" s="7">
        <v>9.466666666666665</v>
      </c>
      <c r="G115" s="7">
        <v>17.783333333333353</v>
      </c>
      <c r="H115" s="7">
        <f t="shared" si="74"/>
        <v>13.625000000000009</v>
      </c>
      <c r="I115" s="7">
        <f t="shared" si="75"/>
        <v>8.3166666666666877</v>
      </c>
      <c r="K115" s="7">
        <f t="shared" si="40"/>
        <v>14.500000000000002</v>
      </c>
      <c r="L115" s="7">
        <f t="shared" si="41"/>
        <v>13.350000000000001</v>
      </c>
      <c r="M115" s="370">
        <f t="shared" si="42"/>
        <v>5.9680000000000009</v>
      </c>
      <c r="N115" s="1">
        <f t="shared" si="43"/>
        <v>0</v>
      </c>
      <c r="O115" s="7">
        <f t="shared" si="44"/>
        <v>57.92</v>
      </c>
      <c r="P115" s="7">
        <f t="shared" si="45"/>
        <v>9.26</v>
      </c>
      <c r="Q115" s="7">
        <f t="shared" si="46"/>
        <v>18.8</v>
      </c>
      <c r="R115" s="7">
        <f t="shared" si="47"/>
        <v>14.356000000000003</v>
      </c>
      <c r="S115" s="7">
        <f t="shared" si="48"/>
        <v>9.5399999999999991</v>
      </c>
      <c r="T115" s="1">
        <v>56</v>
      </c>
      <c r="U115" s="333">
        <f t="shared" si="49"/>
        <v>1.903225806451613</v>
      </c>
      <c r="V115" s="4">
        <v>25</v>
      </c>
      <c r="W115" s="7">
        <f t="shared" si="50"/>
        <v>6.8250000000000002</v>
      </c>
      <c r="X115" s="7">
        <f t="shared" si="51"/>
        <v>15.288</v>
      </c>
      <c r="Y115" s="8">
        <f t="shared" si="52"/>
        <v>16</v>
      </c>
      <c r="Z115" s="7">
        <f>IF(ISBLANK(Z28),NA(),SUM($Z$4:Z28))</f>
        <v>8.2999999999999989</v>
      </c>
      <c r="AA115" s="7">
        <f t="shared" si="76"/>
        <v>47.580645161290327</v>
      </c>
      <c r="AB115" s="26">
        <f>IF(ISBLANK(Z28),"",SUM($Z$4:Z28))</f>
        <v>8.2999999999999989</v>
      </c>
      <c r="AC115" s="115">
        <f t="shared" si="77"/>
        <v>0.17444067796610166</v>
      </c>
      <c r="AD115" s="8">
        <f t="shared" si="53"/>
        <v>1018.56</v>
      </c>
      <c r="AE115" s="610">
        <f t="shared" si="54"/>
        <v>1.2788785092581549</v>
      </c>
      <c r="AF115" s="524">
        <f t="shared" si="55"/>
        <v>0.27777777777777779</v>
      </c>
      <c r="AG115" s="22">
        <f>IF(ISBLANK(AP28),NA(),SUM($AP$4:AP28))</f>
        <v>194.2</v>
      </c>
      <c r="AH115" s="7">
        <f>SUM($AS$91:AS115)</f>
        <v>151.85179717551944</v>
      </c>
      <c r="AI115" s="115">
        <f t="shared" si="56"/>
        <v>1.2788785092581549</v>
      </c>
      <c r="AJ115" s="124">
        <f t="shared" si="57"/>
        <v>0</v>
      </c>
      <c r="AK115" s="8">
        <f t="shared" si="58"/>
        <v>1020</v>
      </c>
      <c r="AL115" s="124">
        <f t="shared" si="59"/>
        <v>0</v>
      </c>
      <c r="AM115" s="524">
        <f t="shared" si="60"/>
        <v>0.71180555555555547</v>
      </c>
      <c r="AO115" s="524">
        <f t="shared" si="61"/>
        <v>0.57638888888888895</v>
      </c>
      <c r="AR115" s="524">
        <f t="shared" si="62"/>
        <v>0.23263888888888887</v>
      </c>
      <c r="AS115" s="7">
        <f t="shared" si="63"/>
        <v>6.3051408136281575</v>
      </c>
      <c r="AT115" s="7">
        <v>14.58676113475512</v>
      </c>
      <c r="AU115" s="4">
        <v>25</v>
      </c>
      <c r="AV115" s="127">
        <f t="shared" si="64"/>
        <v>1</v>
      </c>
      <c r="AW115" s="124">
        <f t="shared" si="78"/>
        <v>0</v>
      </c>
      <c r="AX115" s="124">
        <f t="shared" si="79"/>
        <v>0</v>
      </c>
      <c r="AY115" s="124">
        <f t="shared" si="65"/>
        <v>0</v>
      </c>
      <c r="AZ115" s="125">
        <f t="shared" si="66"/>
        <v>4.7</v>
      </c>
      <c r="BA115" s="125">
        <f t="shared" si="67"/>
        <v>9.7000000000000011</v>
      </c>
      <c r="BB115" s="125">
        <f t="shared" si="68"/>
        <v>15.299999999999999</v>
      </c>
      <c r="BC115" s="7">
        <v>10.85277777777778</v>
      </c>
      <c r="BD115" s="7">
        <v>16.39722222222224</v>
      </c>
      <c r="BF115" s="8">
        <f t="shared" si="69"/>
        <v>46</v>
      </c>
      <c r="BG115" s="21">
        <f t="shared" si="70"/>
        <v>15.3</v>
      </c>
      <c r="BH115" s="124">
        <f t="shared" si="71"/>
        <v>0</v>
      </c>
      <c r="BI115" s="124">
        <f t="shared" si="80"/>
        <v>0</v>
      </c>
      <c r="BJ115" s="144">
        <f t="shared" si="72"/>
        <v>0</v>
      </c>
      <c r="BL115" s="99">
        <v>25</v>
      </c>
    </row>
    <row r="116" spans="1:64" ht="12.75" x14ac:dyDescent="0.2">
      <c r="A116" s="8">
        <f t="shared" si="36"/>
        <v>41</v>
      </c>
      <c r="B116" s="125">
        <f t="shared" si="37"/>
        <v>8.3000000000000007</v>
      </c>
      <c r="C116" s="125">
        <f t="shared" si="38"/>
        <v>16.7</v>
      </c>
      <c r="D116" s="125">
        <f t="shared" si="73"/>
        <v>12.5</v>
      </c>
      <c r="E116" s="125">
        <f t="shared" si="39"/>
        <v>8.3999999999999986</v>
      </c>
      <c r="F116" s="7">
        <v>9.6013333333333311</v>
      </c>
      <c r="G116" s="7">
        <v>17.906666666666688</v>
      </c>
      <c r="H116" s="7">
        <f t="shared" si="74"/>
        <v>13.754000000000008</v>
      </c>
      <c r="I116" s="7">
        <f t="shared" si="75"/>
        <v>8.3053333333333565</v>
      </c>
      <c r="K116" s="7">
        <f t="shared" si="40"/>
        <v>4.1999999999999993</v>
      </c>
      <c r="L116" s="7">
        <f t="shared" si="41"/>
        <v>13</v>
      </c>
      <c r="M116" s="370">
        <f t="shared" si="42"/>
        <v>6.0346153846153845</v>
      </c>
      <c r="N116" s="1">
        <f t="shared" si="43"/>
        <v>4.833333333333333</v>
      </c>
      <c r="O116" s="7">
        <f t="shared" si="44"/>
        <v>58.307692307692307</v>
      </c>
      <c r="P116" s="7">
        <f t="shared" si="45"/>
        <v>9.3230769230769237</v>
      </c>
      <c r="Q116" s="7">
        <f t="shared" si="46"/>
        <v>18.657692307692312</v>
      </c>
      <c r="R116" s="7">
        <f t="shared" si="47"/>
        <v>14.311538461538465</v>
      </c>
      <c r="S116" s="7">
        <f t="shared" si="48"/>
        <v>9.3346153846153825</v>
      </c>
      <c r="T116" s="1">
        <v>57</v>
      </c>
      <c r="U116" s="333">
        <f t="shared" si="49"/>
        <v>1.903225806451613</v>
      </c>
      <c r="V116" s="4">
        <v>26</v>
      </c>
      <c r="W116" s="7">
        <f t="shared" si="50"/>
        <v>7.0980000000000008</v>
      </c>
      <c r="X116" s="7">
        <f t="shared" si="51"/>
        <v>15.561000000000002</v>
      </c>
      <c r="Y116" s="8">
        <f t="shared" si="52"/>
        <v>8</v>
      </c>
      <c r="Z116" s="7">
        <f>IF(ISBLANK(Z29),NA(),SUM($Z$4:Z29))</f>
        <v>22.799999999999997</v>
      </c>
      <c r="AA116" s="7">
        <f t="shared" si="76"/>
        <v>49.483870967741936</v>
      </c>
      <c r="AB116" s="26">
        <f>IF(ISBLANK(Z29),"",SUM($Z$4:Z29))</f>
        <v>22.799999999999997</v>
      </c>
      <c r="AC116" s="115">
        <f t="shared" si="77"/>
        <v>0.46075619295958276</v>
      </c>
      <c r="AD116" s="8">
        <f t="shared" si="53"/>
        <v>1018.1923076923077</v>
      </c>
      <c r="AE116" s="610">
        <f t="shared" si="54"/>
        <v>1.240415199272596</v>
      </c>
      <c r="AF116" s="524" t="e">
        <f t="shared" si="55"/>
        <v>#N/A</v>
      </c>
      <c r="AG116" s="22">
        <f>IF(ISBLANK(AP29),NA(),SUM($AP$4:AP29))</f>
        <v>196.2</v>
      </c>
      <c r="AH116" s="7">
        <f>SUM($AS$91:AS116)</f>
        <v>158.17284415335732</v>
      </c>
      <c r="AI116" s="115">
        <f t="shared" si="56"/>
        <v>1.240415199272596</v>
      </c>
      <c r="AJ116" s="124">
        <f t="shared" si="57"/>
        <v>1</v>
      </c>
      <c r="AK116" s="8">
        <f t="shared" si="58"/>
        <v>1009</v>
      </c>
      <c r="AL116" s="124">
        <f t="shared" si="59"/>
        <v>1</v>
      </c>
      <c r="AM116" s="524" t="e">
        <f t="shared" si="60"/>
        <v>#N/A</v>
      </c>
      <c r="AO116" s="524">
        <f t="shared" si="61"/>
        <v>0.58333333333333337</v>
      </c>
      <c r="AR116" s="524">
        <f t="shared" si="62"/>
        <v>0.26041666666666669</v>
      </c>
      <c r="AS116" s="7">
        <f t="shared" si="63"/>
        <v>6.3210469778378844</v>
      </c>
      <c r="AT116" s="7">
        <v>14.623559586170508</v>
      </c>
      <c r="AU116" s="4">
        <v>26</v>
      </c>
      <c r="AV116" s="127">
        <f t="shared" si="64"/>
        <v>0</v>
      </c>
      <c r="AW116" s="124">
        <f t="shared" si="78"/>
        <v>0</v>
      </c>
      <c r="AX116" s="124">
        <f t="shared" si="79"/>
        <v>0</v>
      </c>
      <c r="AY116" s="124">
        <f t="shared" si="65"/>
        <v>0</v>
      </c>
      <c r="AZ116" s="125">
        <f t="shared" si="66"/>
        <v>4.7</v>
      </c>
      <c r="BA116" s="125">
        <f t="shared" si="67"/>
        <v>9.7000000000000011</v>
      </c>
      <c r="BB116" s="125">
        <f t="shared" si="68"/>
        <v>15.299999999999999</v>
      </c>
      <c r="BC116" s="7">
        <v>10.985555555555557</v>
      </c>
      <c r="BD116" s="7">
        <v>16.52244444444446</v>
      </c>
      <c r="BF116" s="8">
        <f t="shared" si="69"/>
        <v>68</v>
      </c>
      <c r="BG116" s="21">
        <f t="shared" si="70"/>
        <v>13.2</v>
      </c>
      <c r="BH116" s="124">
        <f t="shared" si="71"/>
        <v>0</v>
      </c>
      <c r="BI116" s="124">
        <f t="shared" si="80"/>
        <v>1</v>
      </c>
      <c r="BJ116" s="144">
        <f t="shared" si="72"/>
        <v>4.833333333333333</v>
      </c>
      <c r="BL116" s="99">
        <v>26</v>
      </c>
    </row>
    <row r="117" spans="1:64" ht="12.75" x14ac:dyDescent="0.2">
      <c r="A117" s="8">
        <f t="shared" si="36"/>
        <v>34</v>
      </c>
      <c r="B117" s="125">
        <f t="shared" si="37"/>
        <v>8.3000000000000007</v>
      </c>
      <c r="C117" s="125">
        <f t="shared" si="38"/>
        <v>16.7</v>
      </c>
      <c r="D117" s="125">
        <f t="shared" si="73"/>
        <v>12.5</v>
      </c>
      <c r="E117" s="125">
        <f t="shared" si="39"/>
        <v>8.3999999999999986</v>
      </c>
      <c r="F117" s="7">
        <v>9.7359999999999971</v>
      </c>
      <c r="G117" s="7">
        <v>18.03</v>
      </c>
      <c r="H117" s="7">
        <f t="shared" si="74"/>
        <v>13.882999999999999</v>
      </c>
      <c r="I117" s="7">
        <f t="shared" si="75"/>
        <v>8.294000000000004</v>
      </c>
      <c r="K117" s="7">
        <f t="shared" si="40"/>
        <v>5.6</v>
      </c>
      <c r="L117" s="7">
        <f t="shared" si="41"/>
        <v>12.899999999999999</v>
      </c>
      <c r="M117" s="370">
        <f t="shared" si="42"/>
        <v>6.011111111111112</v>
      </c>
      <c r="N117" s="1">
        <f t="shared" si="43"/>
        <v>0</v>
      </c>
      <c r="O117" s="7">
        <f t="shared" si="44"/>
        <v>58.481481481481481</v>
      </c>
      <c r="P117" s="7">
        <f t="shared" si="45"/>
        <v>9.3518518518518512</v>
      </c>
      <c r="Q117" s="7">
        <f t="shared" si="46"/>
        <v>18.548148148148151</v>
      </c>
      <c r="R117" s="7">
        <f t="shared" si="47"/>
        <v>14.255555555555558</v>
      </c>
      <c r="S117" s="7">
        <f t="shared" si="48"/>
        <v>9.1962962962962944</v>
      </c>
      <c r="T117" s="1">
        <v>58</v>
      </c>
      <c r="U117" s="333">
        <f t="shared" si="49"/>
        <v>1.903225806451613</v>
      </c>
      <c r="V117" s="4">
        <v>27</v>
      </c>
      <c r="W117" s="7">
        <f t="shared" si="50"/>
        <v>7.3710000000000004</v>
      </c>
      <c r="X117" s="7">
        <f t="shared" si="51"/>
        <v>15.834000000000001</v>
      </c>
      <c r="Y117" s="8">
        <f t="shared" si="52"/>
        <v>5</v>
      </c>
      <c r="Z117" s="7">
        <f>IF(ISBLANK(Z30),NA(),SUM($Z$4:Z30))</f>
        <v>22.799999999999997</v>
      </c>
      <c r="AA117" s="7">
        <f t="shared" si="76"/>
        <v>51.387096774193552</v>
      </c>
      <c r="AB117" s="26">
        <f>IF(ISBLANK(Z30),"",SUM($Z$4:Z30))</f>
        <v>22.799999999999997</v>
      </c>
      <c r="AC117" s="115">
        <f t="shared" si="77"/>
        <v>0.44369114877589444</v>
      </c>
      <c r="AD117" s="8">
        <f t="shared" si="53"/>
        <v>1018.0925925925926</v>
      </c>
      <c r="AE117" s="610">
        <f t="shared" si="54"/>
        <v>1.2108735529943901</v>
      </c>
      <c r="AF117" s="524">
        <f t="shared" si="55"/>
        <v>0.33680555555555558</v>
      </c>
      <c r="AG117" s="22">
        <f>IF(ISBLANK(AP30),NA(),SUM($AP$4:AP30))</f>
        <v>199.2</v>
      </c>
      <c r="AH117" s="7">
        <f>SUM($AS$91:AS117)</f>
        <v>164.50933254541309</v>
      </c>
      <c r="AI117" s="115">
        <f t="shared" si="56"/>
        <v>1.2108735529943901</v>
      </c>
      <c r="AJ117" s="124">
        <f t="shared" si="57"/>
        <v>0</v>
      </c>
      <c r="AK117" s="8">
        <f t="shared" si="58"/>
        <v>1015.5</v>
      </c>
      <c r="AL117" s="124">
        <f t="shared" si="59"/>
        <v>0</v>
      </c>
      <c r="AM117" s="524">
        <f t="shared" si="60"/>
        <v>0.83333333333333337</v>
      </c>
      <c r="AO117" s="524">
        <f t="shared" si="61"/>
        <v>0.8125</v>
      </c>
      <c r="AR117" s="524">
        <f t="shared" si="62"/>
        <v>0.23958333333333334</v>
      </c>
      <c r="AS117" s="7">
        <f t="shared" si="63"/>
        <v>6.3364883920557586</v>
      </c>
      <c r="AT117" s="7">
        <v>14.659282851905051</v>
      </c>
      <c r="AU117" s="4">
        <v>27</v>
      </c>
      <c r="AV117" s="127">
        <f t="shared" si="64"/>
        <v>0</v>
      </c>
      <c r="AW117" s="124">
        <f t="shared" si="78"/>
        <v>0</v>
      </c>
      <c r="AX117" s="124">
        <f t="shared" si="79"/>
        <v>0</v>
      </c>
      <c r="AY117" s="124">
        <f t="shared" si="65"/>
        <v>0</v>
      </c>
      <c r="AZ117" s="125">
        <f t="shared" si="66"/>
        <v>4.7</v>
      </c>
      <c r="BA117" s="125">
        <f t="shared" si="67"/>
        <v>9.7000000000000011</v>
      </c>
      <c r="BB117" s="125">
        <f t="shared" si="68"/>
        <v>15.299999999999999</v>
      </c>
      <c r="BC117" s="7">
        <v>11.118333333333334</v>
      </c>
      <c r="BD117" s="7">
        <v>16.647666666666684</v>
      </c>
      <c r="BF117" s="8">
        <f t="shared" si="69"/>
        <v>63</v>
      </c>
      <c r="BG117" s="21">
        <f t="shared" si="70"/>
        <v>12.8</v>
      </c>
      <c r="BH117" s="124">
        <f t="shared" si="71"/>
        <v>0</v>
      </c>
      <c r="BI117" s="124">
        <f t="shared" si="80"/>
        <v>0</v>
      </c>
      <c r="BJ117" s="144">
        <f t="shared" si="72"/>
        <v>0</v>
      </c>
      <c r="BL117" s="99">
        <v>27</v>
      </c>
    </row>
    <row r="118" spans="1:64" ht="12.75" x14ac:dyDescent="0.2">
      <c r="A118" s="8">
        <f t="shared" si="36"/>
        <v>20</v>
      </c>
      <c r="B118" s="125">
        <f t="shared" si="37"/>
        <v>8.3000000000000007</v>
      </c>
      <c r="C118" s="125">
        <f t="shared" si="38"/>
        <v>16.7</v>
      </c>
      <c r="D118" s="125">
        <f t="shared" si="73"/>
        <v>12.5</v>
      </c>
      <c r="E118" s="125">
        <f t="shared" si="39"/>
        <v>8.3999999999999986</v>
      </c>
      <c r="F118" s="7">
        <v>9.8706666666666631</v>
      </c>
      <c r="G118" s="7">
        <v>18.153333333333357</v>
      </c>
      <c r="H118" s="7">
        <f t="shared" si="74"/>
        <v>14.012000000000011</v>
      </c>
      <c r="I118" s="7">
        <f t="shared" si="75"/>
        <v>8.2826666666666942</v>
      </c>
      <c r="K118" s="7">
        <f t="shared" si="40"/>
        <v>6.4</v>
      </c>
      <c r="L118" s="7">
        <f t="shared" si="41"/>
        <v>12.399999999999999</v>
      </c>
      <c r="M118" s="370">
        <f t="shared" si="42"/>
        <v>6.0535714285714288</v>
      </c>
      <c r="N118" s="1">
        <f t="shared" si="43"/>
        <v>3.3333333333333333E-2</v>
      </c>
      <c r="O118" s="7">
        <f t="shared" si="44"/>
        <v>58.857142857142854</v>
      </c>
      <c r="P118" s="7">
        <f t="shared" si="45"/>
        <v>9.3464285714285715</v>
      </c>
      <c r="Q118" s="7">
        <f t="shared" si="46"/>
        <v>18.442857142857147</v>
      </c>
      <c r="R118" s="7">
        <f t="shared" si="47"/>
        <v>14.207142857142859</v>
      </c>
      <c r="S118" s="7">
        <f t="shared" si="48"/>
        <v>9.0964285714285698</v>
      </c>
      <c r="T118" s="1">
        <v>59</v>
      </c>
      <c r="U118" s="333">
        <f t="shared" si="49"/>
        <v>1.903225806451613</v>
      </c>
      <c r="V118" s="4">
        <v>28</v>
      </c>
      <c r="W118" s="7">
        <f t="shared" si="50"/>
        <v>7.6440000000000001</v>
      </c>
      <c r="X118" s="7">
        <f t="shared" si="51"/>
        <v>16.107000000000003</v>
      </c>
      <c r="Y118" s="8">
        <f t="shared" si="52"/>
        <v>6</v>
      </c>
      <c r="Z118" s="7">
        <f>IF(ISBLANK(Z31),NA(),SUM($Z$4:Z31))</f>
        <v>22.9</v>
      </c>
      <c r="AA118" s="7">
        <f t="shared" si="76"/>
        <v>53.290322580645167</v>
      </c>
      <c r="AB118" s="26">
        <f>IF(ISBLANK(Z31),"",SUM($Z$4:Z31))</f>
        <v>22.9</v>
      </c>
      <c r="AC118" s="115">
        <f t="shared" si="77"/>
        <v>0.42972154963680381</v>
      </c>
      <c r="AD118" s="8">
        <f t="shared" si="53"/>
        <v>1017.9821428571429</v>
      </c>
      <c r="AE118" s="610">
        <f t="shared" si="54"/>
        <v>1.1746405055865681</v>
      </c>
      <c r="AF118" s="524">
        <f t="shared" si="55"/>
        <v>0.3923611111111111</v>
      </c>
      <c r="AG118" s="22">
        <f>IF(ISBLANK(AP31),NA(),SUM($AP$4:AP31))</f>
        <v>200.7</v>
      </c>
      <c r="AH118" s="7">
        <f>SUM($AS$91:AS118)</f>
        <v>170.86078595576652</v>
      </c>
      <c r="AI118" s="115">
        <f t="shared" si="56"/>
        <v>1.1746405055865681</v>
      </c>
      <c r="AJ118" s="124">
        <f t="shared" si="57"/>
        <v>0</v>
      </c>
      <c r="AK118" s="8">
        <f t="shared" si="58"/>
        <v>1015</v>
      </c>
      <c r="AL118" s="124">
        <f t="shared" si="59"/>
        <v>0</v>
      </c>
      <c r="AM118" s="524">
        <f t="shared" si="60"/>
        <v>0.81597222222222221</v>
      </c>
      <c r="AO118" s="524">
        <f t="shared" si="61"/>
        <v>0.70486111111111116</v>
      </c>
      <c r="AR118" s="524">
        <f t="shared" si="62"/>
        <v>0.21180555555555555</v>
      </c>
      <c r="AS118" s="7">
        <f t="shared" si="63"/>
        <v>6.3514534103534421</v>
      </c>
      <c r="AT118" s="7">
        <v>14.693903989439953</v>
      </c>
      <c r="AU118" s="4">
        <v>28</v>
      </c>
      <c r="AV118" s="127">
        <f t="shared" si="64"/>
        <v>0</v>
      </c>
      <c r="AW118" s="124">
        <f t="shared" si="78"/>
        <v>0</v>
      </c>
      <c r="AX118" s="124">
        <f t="shared" si="79"/>
        <v>0</v>
      </c>
      <c r="AY118" s="124">
        <f t="shared" si="65"/>
        <v>0</v>
      </c>
      <c r="AZ118" s="125">
        <f t="shared" si="66"/>
        <v>4.7</v>
      </c>
      <c r="BA118" s="125">
        <f t="shared" si="67"/>
        <v>9.7000000000000011</v>
      </c>
      <c r="BB118" s="125">
        <f t="shared" si="68"/>
        <v>15.299999999999999</v>
      </c>
      <c r="BC118" s="7">
        <v>11.251111111111113</v>
      </c>
      <c r="BD118" s="7">
        <v>16.772888888888907</v>
      </c>
      <c r="BF118" s="8">
        <f t="shared" si="69"/>
        <v>69</v>
      </c>
      <c r="BG118" s="21">
        <f t="shared" si="70"/>
        <v>12.9</v>
      </c>
      <c r="BH118" s="124">
        <f t="shared" si="71"/>
        <v>0</v>
      </c>
      <c r="BI118" s="124">
        <f t="shared" si="80"/>
        <v>0</v>
      </c>
      <c r="BJ118" s="144">
        <f t="shared" si="72"/>
        <v>3.3333333333333333E-2</v>
      </c>
      <c r="BL118" s="99">
        <v>28</v>
      </c>
    </row>
    <row r="119" spans="1:64" ht="12.75" x14ac:dyDescent="0.2">
      <c r="A119" s="8">
        <f t="shared" si="36"/>
        <v>20</v>
      </c>
      <c r="B119" s="125">
        <f t="shared" si="37"/>
        <v>8.3000000000000007</v>
      </c>
      <c r="C119" s="125">
        <f t="shared" si="38"/>
        <v>16.7</v>
      </c>
      <c r="D119" s="125">
        <f t="shared" si="73"/>
        <v>12.5</v>
      </c>
      <c r="E119" s="125">
        <f t="shared" si="39"/>
        <v>8.3999999999999986</v>
      </c>
      <c r="F119" s="7">
        <v>10.005333333333329</v>
      </c>
      <c r="G119" s="7">
        <v>18.276666666666692</v>
      </c>
      <c r="H119" s="7">
        <f t="shared" si="74"/>
        <v>14.141000000000011</v>
      </c>
      <c r="I119" s="7">
        <f t="shared" si="75"/>
        <v>8.271333333333363</v>
      </c>
      <c r="K119" s="7">
        <f t="shared" si="40"/>
        <v>5.8000000000000007</v>
      </c>
      <c r="L119" s="7">
        <f t="shared" si="41"/>
        <v>16.200000000000003</v>
      </c>
      <c r="M119" s="370">
        <f t="shared" si="42"/>
        <v>6.1413793103448278</v>
      </c>
      <c r="N119" s="1">
        <f t="shared" si="43"/>
        <v>0</v>
      </c>
      <c r="O119" s="7">
        <f t="shared" si="44"/>
        <v>59.275862068965516</v>
      </c>
      <c r="P119" s="7">
        <f t="shared" si="45"/>
        <v>9.4827586206896548</v>
      </c>
      <c r="Q119" s="7">
        <f t="shared" si="46"/>
        <v>18.465517241379313</v>
      </c>
      <c r="R119" s="7">
        <f t="shared" si="47"/>
        <v>14.272413793103452</v>
      </c>
      <c r="S119" s="7">
        <f t="shared" si="48"/>
        <v>8.982758620689653</v>
      </c>
      <c r="T119" s="1">
        <v>60</v>
      </c>
      <c r="U119" s="333">
        <f t="shared" si="49"/>
        <v>1.903225806451613</v>
      </c>
      <c r="V119" s="4">
        <v>29</v>
      </c>
      <c r="W119" s="7">
        <f t="shared" si="50"/>
        <v>7.9170000000000007</v>
      </c>
      <c r="X119" s="7">
        <f t="shared" si="51"/>
        <v>16.380000000000003</v>
      </c>
      <c r="Y119" s="8">
        <f t="shared" si="52"/>
        <v>3</v>
      </c>
      <c r="Z119" s="7">
        <f>IF(ISBLANK(Z32),NA(),SUM($Z$4:Z32))</f>
        <v>22.9</v>
      </c>
      <c r="AA119" s="7">
        <f t="shared" si="76"/>
        <v>55.193548387096776</v>
      </c>
      <c r="AB119" s="26">
        <f>IF(ISBLANK(Z32),"",SUM($Z$4:Z32))</f>
        <v>22.9</v>
      </c>
      <c r="AC119" s="115">
        <f t="shared" si="77"/>
        <v>0.41490356516656923</v>
      </c>
      <c r="AD119" s="8">
        <f t="shared" si="53"/>
        <v>1017.7931034482758</v>
      </c>
      <c r="AE119" s="610">
        <f t="shared" si="54"/>
        <v>1.1606602216971946</v>
      </c>
      <c r="AF119" s="524">
        <f t="shared" si="55"/>
        <v>0.125</v>
      </c>
      <c r="AG119" s="22">
        <f>IF(ISBLANK(AP32),NA(),SUM($AP$4:AP32))</f>
        <v>205.7</v>
      </c>
      <c r="AH119" s="7">
        <f>SUM($AS$91:AS119)</f>
        <v>177.22671644524164</v>
      </c>
      <c r="AI119" s="115">
        <f t="shared" si="56"/>
        <v>1.1606602216971946</v>
      </c>
      <c r="AJ119" s="124">
        <f t="shared" si="57"/>
        <v>0</v>
      </c>
      <c r="AK119" s="8">
        <f t="shared" si="58"/>
        <v>1012.5</v>
      </c>
      <c r="AL119" s="124">
        <f t="shared" si="59"/>
        <v>0</v>
      </c>
      <c r="AM119" s="524">
        <f t="shared" si="60"/>
        <v>0.51388888888888895</v>
      </c>
      <c r="AO119" s="524">
        <f t="shared" si="61"/>
        <v>0.50347222222222221</v>
      </c>
      <c r="AR119" s="524">
        <f t="shared" si="62"/>
        <v>0.1423611111111111</v>
      </c>
      <c r="AS119" s="7">
        <f t="shared" si="63"/>
        <v>6.3659304894751196</v>
      </c>
      <c r="AT119" s="7">
        <v>14.72739629378634</v>
      </c>
      <c r="AU119" s="4">
        <v>29</v>
      </c>
      <c r="AV119" s="127">
        <f t="shared" si="64"/>
        <v>1</v>
      </c>
      <c r="AW119" s="124">
        <f t="shared" si="78"/>
        <v>0</v>
      </c>
      <c r="AX119" s="124">
        <f t="shared" si="79"/>
        <v>0</v>
      </c>
      <c r="AY119" s="124">
        <f t="shared" si="65"/>
        <v>0</v>
      </c>
      <c r="AZ119" s="125">
        <f t="shared" si="66"/>
        <v>4.7</v>
      </c>
      <c r="BA119" s="125">
        <f t="shared" si="67"/>
        <v>9.7000000000000011</v>
      </c>
      <c r="BB119" s="125">
        <f t="shared" si="68"/>
        <v>15.299999999999999</v>
      </c>
      <c r="BC119" s="7">
        <v>11.38388888888889</v>
      </c>
      <c r="BD119" s="7">
        <v>16.898111111111131</v>
      </c>
      <c r="BF119" s="8">
        <f t="shared" si="69"/>
        <v>71</v>
      </c>
      <c r="BG119" s="21">
        <f t="shared" si="70"/>
        <v>16.100000000000001</v>
      </c>
      <c r="BH119" s="124">
        <f t="shared" si="71"/>
        <v>0</v>
      </c>
      <c r="BI119" s="124">
        <f t="shared" si="80"/>
        <v>0</v>
      </c>
      <c r="BJ119" s="144">
        <f t="shared" si="72"/>
        <v>0</v>
      </c>
      <c r="BL119" s="99">
        <v>29</v>
      </c>
    </row>
    <row r="120" spans="1:64" ht="12.75" x14ac:dyDescent="0.2">
      <c r="A120" s="8">
        <f t="shared" si="36"/>
        <v>32</v>
      </c>
      <c r="B120" s="125">
        <f t="shared" si="37"/>
        <v>8.3000000000000007</v>
      </c>
      <c r="C120" s="125">
        <f t="shared" si="38"/>
        <v>16.7</v>
      </c>
      <c r="D120" s="125">
        <f t="shared" si="73"/>
        <v>12.5</v>
      </c>
      <c r="E120" s="125">
        <f t="shared" si="39"/>
        <v>8.3999999999999986</v>
      </c>
      <c r="F120" s="7">
        <v>10.14</v>
      </c>
      <c r="G120" s="7">
        <v>18.399999999999999</v>
      </c>
      <c r="H120" s="7">
        <f t="shared" si="74"/>
        <v>14.27</v>
      </c>
      <c r="I120" s="7">
        <f t="shared" si="75"/>
        <v>8.259999999999998</v>
      </c>
      <c r="K120" s="7">
        <f t="shared" si="40"/>
        <v>9.3000000000000007</v>
      </c>
      <c r="L120" s="7">
        <f t="shared" si="41"/>
        <v>15.85</v>
      </c>
      <c r="M120" s="370">
        <f t="shared" si="42"/>
        <v>6.1099999999999994</v>
      </c>
      <c r="N120" s="1">
        <f t="shared" si="43"/>
        <v>0.3666666666666667</v>
      </c>
      <c r="O120" s="7">
        <f t="shared" si="44"/>
        <v>59.966666666666669</v>
      </c>
      <c r="P120" s="7">
        <f t="shared" si="45"/>
        <v>9.5399999999999991</v>
      </c>
      <c r="Q120" s="7">
        <f t="shared" si="46"/>
        <v>18.533333333333339</v>
      </c>
      <c r="R120" s="7">
        <f t="shared" si="47"/>
        <v>14.290000000000003</v>
      </c>
      <c r="S120" s="7">
        <f t="shared" si="48"/>
        <v>8.9933333333333323</v>
      </c>
      <c r="T120" s="1">
        <v>61</v>
      </c>
      <c r="U120" s="333">
        <f t="shared" si="49"/>
        <v>1.903225806451613</v>
      </c>
      <c r="V120" s="4">
        <v>30</v>
      </c>
      <c r="W120" s="7">
        <f t="shared" si="50"/>
        <v>8.1900000000000013</v>
      </c>
      <c r="X120" s="7">
        <f t="shared" si="51"/>
        <v>16.653000000000002</v>
      </c>
      <c r="Y120" s="8">
        <f t="shared" si="52"/>
        <v>5</v>
      </c>
      <c r="Z120" s="7">
        <f>IF(ISBLANK(Z33),NA(),SUM($Z$4:Z33))</f>
        <v>24</v>
      </c>
      <c r="AA120" s="7">
        <f t="shared" si="76"/>
        <v>57.096774193548391</v>
      </c>
      <c r="AB120" s="26">
        <f>IF(ISBLANK(Z33),"",SUM($Z$4:Z33))</f>
        <v>24</v>
      </c>
      <c r="AC120" s="115">
        <f t="shared" si="77"/>
        <v>0.42033898305084744</v>
      </c>
      <c r="AD120" s="8">
        <f t="shared" si="53"/>
        <v>1017.55</v>
      </c>
      <c r="AE120" s="610">
        <f t="shared" si="54"/>
        <v>1.1366692263110703</v>
      </c>
      <c r="AF120" s="524">
        <f t="shared" si="55"/>
        <v>0.92708333333333337</v>
      </c>
      <c r="AG120" s="22">
        <f>IF(ISBLANK(AP33),NA(),SUM($AP$4:AP33))</f>
        <v>208.7</v>
      </c>
      <c r="AH120" s="7">
        <f>SUM($AS$91:AS120)</f>
        <v>183.60662466187452</v>
      </c>
      <c r="AI120" s="115">
        <f t="shared" si="56"/>
        <v>1.1366692263110703</v>
      </c>
      <c r="AJ120" s="124">
        <f t="shared" si="57"/>
        <v>1</v>
      </c>
      <c r="AK120" s="8">
        <f t="shared" si="58"/>
        <v>1010.5</v>
      </c>
      <c r="AL120" s="124">
        <f t="shared" si="59"/>
        <v>1</v>
      </c>
      <c r="AM120" s="524">
        <f t="shared" si="60"/>
        <v>0.60069444444444442</v>
      </c>
      <c r="AO120" s="524">
        <f t="shared" si="61"/>
        <v>0.5625</v>
      </c>
      <c r="AR120" s="524">
        <f t="shared" si="62"/>
        <v>0.15972222222222224</v>
      </c>
      <c r="AS120" s="7">
        <f t="shared" si="63"/>
        <v>6.3799082166328942</v>
      </c>
      <c r="AT120" s="7">
        <v>14.759733361789094</v>
      </c>
      <c r="AU120" s="4">
        <v>30</v>
      </c>
      <c r="AV120" s="127">
        <f t="shared" si="64"/>
        <v>0</v>
      </c>
      <c r="AW120" s="124">
        <f t="shared" si="78"/>
        <v>0</v>
      </c>
      <c r="AX120" s="124">
        <f t="shared" si="79"/>
        <v>0</v>
      </c>
      <c r="AY120" s="124">
        <f t="shared" si="65"/>
        <v>0</v>
      </c>
      <c r="AZ120" s="125">
        <f t="shared" si="66"/>
        <v>4.7</v>
      </c>
      <c r="BA120" s="125">
        <f t="shared" si="67"/>
        <v>9.7000000000000011</v>
      </c>
      <c r="BB120" s="125">
        <f t="shared" si="68"/>
        <v>15.299999999999999</v>
      </c>
      <c r="BC120" s="7">
        <v>11.516666666666666</v>
      </c>
      <c r="BD120" s="7">
        <v>17.023333333333355</v>
      </c>
      <c r="BF120" s="8">
        <f t="shared" si="69"/>
        <v>80</v>
      </c>
      <c r="BG120" s="21">
        <f t="shared" si="70"/>
        <v>14.8</v>
      </c>
      <c r="BH120" s="124">
        <f t="shared" si="71"/>
        <v>0</v>
      </c>
      <c r="BI120" s="124">
        <f t="shared" si="80"/>
        <v>1</v>
      </c>
      <c r="BJ120" s="144">
        <f t="shared" si="72"/>
        <v>0.3666666666666667</v>
      </c>
      <c r="BL120" s="99">
        <v>30</v>
      </c>
    </row>
    <row r="121" spans="1:64" ht="12.75" customHeight="1" x14ac:dyDescent="0.2">
      <c r="A121" s="8">
        <f t="shared" si="36"/>
        <v>52</v>
      </c>
      <c r="B121" s="125">
        <f t="shared" si="37"/>
        <v>8.3000000000000007</v>
      </c>
      <c r="C121" s="125">
        <f t="shared" si="38"/>
        <v>16.7</v>
      </c>
      <c r="D121" s="125">
        <f t="shared" si="73"/>
        <v>12.5</v>
      </c>
      <c r="E121" s="125">
        <f t="shared" si="39"/>
        <v>8.3999999999999986</v>
      </c>
      <c r="F121" s="7">
        <v>10.14</v>
      </c>
      <c r="G121" s="7">
        <v>18.399999999999999</v>
      </c>
      <c r="H121" s="7">
        <f t="shared" si="74"/>
        <v>14.27</v>
      </c>
      <c r="I121" s="7">
        <f t="shared" si="75"/>
        <v>8.259999999999998</v>
      </c>
      <c r="K121" s="7">
        <f t="shared" si="40"/>
        <v>9.8999999999999986</v>
      </c>
      <c r="L121" s="7">
        <f t="shared" si="41"/>
        <v>12.75</v>
      </c>
      <c r="M121" s="370">
        <f t="shared" si="42"/>
        <v>6.0451612903225795</v>
      </c>
      <c r="N121" s="1">
        <f t="shared" si="43"/>
        <v>3.3333333333333333E-2</v>
      </c>
      <c r="O121" s="7">
        <f t="shared" si="44"/>
        <v>60.064516129032256</v>
      </c>
      <c r="P121" s="7">
        <f t="shared" si="45"/>
        <v>9.4838709677419359</v>
      </c>
      <c r="Q121" s="7">
        <f t="shared" si="46"/>
        <v>18.506451612903231</v>
      </c>
      <c r="R121" s="7">
        <f t="shared" si="47"/>
        <v>14.238709677419358</v>
      </c>
      <c r="S121" s="7">
        <f t="shared" si="48"/>
        <v>9.0225806451612875</v>
      </c>
      <c r="T121" s="1">
        <v>62</v>
      </c>
      <c r="U121" s="333">
        <f t="shared" si="49"/>
        <v>1.903225806451613</v>
      </c>
      <c r="V121" s="4">
        <v>31</v>
      </c>
      <c r="W121" s="7">
        <f t="shared" si="50"/>
        <v>8.463000000000001</v>
      </c>
      <c r="X121" s="7">
        <f t="shared" si="51"/>
        <v>16.926000000000002</v>
      </c>
      <c r="Y121" s="8">
        <f t="shared" si="52"/>
        <v>15</v>
      </c>
      <c r="Z121" s="7">
        <f>IF(ISBLANK(Z34),NA(),SUM($Z$4:Z34))</f>
        <v>24.1</v>
      </c>
      <c r="AA121" s="7">
        <f t="shared" si="76"/>
        <v>59</v>
      </c>
      <c r="AB121" s="26">
        <f>IF(ISBLANK(Z6),"",SUM($Z$4:Z34))</f>
        <v>24.1</v>
      </c>
      <c r="AC121" s="115">
        <f t="shared" si="77"/>
        <v>0.40847457627118644</v>
      </c>
      <c r="AD121" s="8">
        <f t="shared" si="53"/>
        <v>1017.6129032258065</v>
      </c>
      <c r="AE121" s="610">
        <f t="shared" si="54"/>
        <v>1.1457894736842107</v>
      </c>
      <c r="AF121" s="524">
        <f t="shared" si="55"/>
        <v>0.23611111111111113</v>
      </c>
      <c r="AG121" s="22">
        <f>IF(ISBLANK(AP34),NA(),SUM($AP$4:AP34))</f>
        <v>217.7</v>
      </c>
      <c r="AH121" s="7">
        <f>SUM($AS$91:AS121)</f>
        <v>189.99999999999997</v>
      </c>
      <c r="AI121" s="115">
        <f t="shared" si="56"/>
        <v>1.1457894736842107</v>
      </c>
      <c r="AJ121" s="124">
        <f t="shared" si="57"/>
        <v>0</v>
      </c>
      <c r="AK121" s="8">
        <f t="shared" si="58"/>
        <v>1019.5</v>
      </c>
      <c r="AL121" s="124">
        <f t="shared" si="59"/>
        <v>0</v>
      </c>
      <c r="AM121" s="524">
        <f t="shared" si="60"/>
        <v>0.77430555555555547</v>
      </c>
      <c r="AO121" s="524">
        <f t="shared" si="61"/>
        <v>0.73263888888888884</v>
      </c>
      <c r="AR121" s="524">
        <f t="shared" si="62"/>
        <v>0.22569444444444445</v>
      </c>
      <c r="AS121" s="7">
        <f t="shared" si="63"/>
        <v>6.3933753381254448</v>
      </c>
      <c r="AT121" s="7">
        <v>14.790889158335299</v>
      </c>
      <c r="AU121" s="4">
        <v>31</v>
      </c>
      <c r="AV121" s="127">
        <f t="shared" si="64"/>
        <v>1</v>
      </c>
      <c r="AW121" s="124">
        <f t="shared" si="78"/>
        <v>0</v>
      </c>
      <c r="AX121" s="124">
        <f t="shared" si="79"/>
        <v>0</v>
      </c>
      <c r="AY121" s="124">
        <f t="shared" si="65"/>
        <v>0</v>
      </c>
      <c r="AZ121" s="125">
        <f t="shared" si="66"/>
        <v>4.7</v>
      </c>
      <c r="BA121" s="125">
        <f t="shared" si="67"/>
        <v>9.7000000000000011</v>
      </c>
      <c r="BB121" s="125">
        <f t="shared" si="68"/>
        <v>15.299999999999999</v>
      </c>
      <c r="BC121" s="7">
        <v>11.516666666666666</v>
      </c>
      <c r="BD121" s="7">
        <v>17.023333333333333</v>
      </c>
      <c r="BF121" s="8">
        <f t="shared" si="69"/>
        <v>63</v>
      </c>
      <c r="BG121" s="21">
        <f t="shared" si="70"/>
        <v>12.7</v>
      </c>
      <c r="BH121" s="124">
        <f t="shared" si="71"/>
        <v>0</v>
      </c>
      <c r="BI121" s="124">
        <f t="shared" si="80"/>
        <v>0</v>
      </c>
      <c r="BJ121" s="144">
        <f t="shared" si="72"/>
        <v>3.3333333333333333E-2</v>
      </c>
      <c r="BL121" s="99"/>
    </row>
    <row r="122" spans="1:64" ht="6" customHeight="1" x14ac:dyDescent="0.2">
      <c r="C122" s="1"/>
      <c r="D122" s="125"/>
      <c r="E122" s="125"/>
      <c r="F122" s="125"/>
      <c r="G122" s="125"/>
      <c r="H122" s="21"/>
      <c r="I122" s="7"/>
      <c r="K122" s="7"/>
      <c r="M122" s="8"/>
      <c r="N122" s="8"/>
      <c r="P122" s="125"/>
      <c r="R122" s="8"/>
      <c r="S122" s="8"/>
      <c r="U122" s="333"/>
      <c r="V122" s="4"/>
      <c r="W122" s="7"/>
      <c r="Z122" s="7"/>
      <c r="AA122" s="7"/>
      <c r="AB122" s="127"/>
      <c r="AC122" s="7"/>
      <c r="AD122" s="115"/>
      <c r="AE122" s="115"/>
      <c r="AG122" s="22"/>
      <c r="AH122" s="8"/>
      <c r="AI122" s="115"/>
      <c r="AJ122" s="124"/>
      <c r="AK122" s="67"/>
      <c r="AL122" s="124"/>
      <c r="AQ122" s="7"/>
      <c r="AS122" s="7"/>
      <c r="AT122" s="7"/>
      <c r="AU122" s="8"/>
      <c r="AV122" s="127"/>
      <c r="AW122" s="124"/>
      <c r="AX122" s="124"/>
      <c r="AY122" s="124"/>
      <c r="AZ122" s="127"/>
      <c r="BA122" s="125"/>
      <c r="BG122" s="127"/>
      <c r="BH122" s="124"/>
      <c r="BI122" s="124"/>
      <c r="BJ122" s="144"/>
      <c r="BL122" s="99"/>
    </row>
    <row r="123" spans="1:64" ht="12.75" x14ac:dyDescent="0.2">
      <c r="C123" s="1"/>
      <c r="R123" s="8"/>
      <c r="S123" s="8"/>
      <c r="V123" s="11" t="s">
        <v>4</v>
      </c>
      <c r="W123" s="7">
        <f>IF(Z38&lt;1,"",AVERAGE(AB4:AB33))</f>
        <v>1.2166666666666666</v>
      </c>
      <c r="X123" s="7">
        <f>MAX(AB4:AB34)</f>
        <v>3.8</v>
      </c>
      <c r="AH123" s="115">
        <f>MIN(AE95:AE121)</f>
        <v>1.1366692263110703</v>
      </c>
      <c r="AI123" s="115">
        <f>MAX(AE95:AE121)</f>
        <v>1.8598234758633632</v>
      </c>
      <c r="AJ123" s="117"/>
      <c r="AK123" s="240"/>
      <c r="AL123" s="117"/>
      <c r="AS123" s="7">
        <f>SUM(AS91:AS121)</f>
        <v>189.99999999999997</v>
      </c>
      <c r="AT123" s="7">
        <f>SUM(AT91:AT121)</f>
        <v>439.55951144074157</v>
      </c>
      <c r="AV123" s="124"/>
      <c r="AW123" s="124"/>
      <c r="AX123" s="124"/>
      <c r="AY123" s="124"/>
      <c r="AZ123" s="124"/>
      <c r="BA123" s="124"/>
      <c r="BE123" s="124"/>
      <c r="BG123" s="7"/>
      <c r="BH123" s="124"/>
      <c r="BL123" s="4"/>
    </row>
    <row r="124" spans="1:64" s="95" customFormat="1" ht="18.75" customHeight="1" x14ac:dyDescent="0.2">
      <c r="C124" s="116"/>
      <c r="R124" s="325"/>
      <c r="S124" s="325"/>
      <c r="AY124" s="326"/>
      <c r="AZ124" s="326"/>
      <c r="BA124" s="326"/>
      <c r="BB124" s="326"/>
      <c r="BC124" s="326"/>
      <c r="BD124" s="326"/>
      <c r="BE124" s="326"/>
      <c r="BF124" s="326"/>
      <c r="BH124" s="326"/>
      <c r="BL124" s="81"/>
    </row>
    <row r="125" spans="1:64" ht="12.75" hidden="1" x14ac:dyDescent="0.2">
      <c r="AY125" s="124"/>
      <c r="AZ125" s="124"/>
      <c r="BA125" s="124"/>
      <c r="BB125" s="124"/>
      <c r="BC125" s="124"/>
      <c r="BD125" s="124"/>
      <c r="BE125" s="124"/>
      <c r="BF125" s="124"/>
      <c r="BG125" s="124"/>
      <c r="BH125" s="124"/>
    </row>
    <row r="126" spans="1:64" ht="12.75" hidden="1" x14ac:dyDescent="0.2">
      <c r="AY126" s="124"/>
      <c r="AZ126" s="124"/>
      <c r="BA126" s="124"/>
      <c r="BB126" s="124"/>
      <c r="BC126" s="124"/>
      <c r="BD126" s="124"/>
      <c r="BE126" s="124"/>
      <c r="BF126" s="124"/>
      <c r="BG126" s="124"/>
      <c r="BH126" s="124"/>
    </row>
    <row r="127" spans="1:64" ht="12.75" hidden="1" x14ac:dyDescent="0.2">
      <c r="AY127" s="124"/>
      <c r="AZ127" s="124"/>
      <c r="BA127" s="124"/>
      <c r="BB127" s="124"/>
      <c r="BC127" s="124"/>
      <c r="BD127" s="124"/>
      <c r="BE127" s="124"/>
      <c r="BF127" s="124"/>
      <c r="BG127" s="124"/>
      <c r="BH127" s="124"/>
    </row>
    <row r="128" spans="1:64" ht="12.75" hidden="1" x14ac:dyDescent="0.2">
      <c r="AY128" s="124"/>
      <c r="AZ128" s="124"/>
      <c r="BA128" s="124"/>
      <c r="BB128" s="124"/>
      <c r="BC128" s="124"/>
      <c r="BD128" s="124"/>
      <c r="BE128" s="124"/>
      <c r="BF128" s="124"/>
      <c r="BG128" s="124"/>
      <c r="BH128" s="124"/>
    </row>
    <row r="129" spans="13:60" ht="12.75" hidden="1" x14ac:dyDescent="0.2">
      <c r="AY129" s="124"/>
      <c r="AZ129" s="124"/>
      <c r="BA129" s="124"/>
      <c r="BB129" s="124"/>
      <c r="BC129" s="124"/>
      <c r="BD129" s="124"/>
      <c r="BE129" s="124"/>
      <c r="BF129" s="124"/>
      <c r="BG129" s="124"/>
      <c r="BH129" s="124"/>
    </row>
    <row r="130" spans="13:60" ht="12.75" hidden="1" x14ac:dyDescent="0.2"/>
    <row r="131" spans="13:60" ht="12.75" hidden="1" x14ac:dyDescent="0.2"/>
    <row r="132" spans="13:60" ht="12.75" hidden="1" x14ac:dyDescent="0.2"/>
    <row r="133" spans="13:60" ht="12.75" hidden="1" x14ac:dyDescent="0.2"/>
    <row r="134" spans="13:60" ht="12.75" hidden="1" x14ac:dyDescent="0.2">
      <c r="M134" s="10"/>
    </row>
  </sheetData>
  <sheetCalcPr fullCalcOnLoad="1"/>
  <mergeCells count="174">
    <mergeCell ref="AP82:AQ84"/>
    <mergeCell ref="P1:S1"/>
    <mergeCell ref="U1:X1"/>
    <mergeCell ref="Z52:Z53"/>
    <mergeCell ref="AA52:AA53"/>
    <mergeCell ref="AH60:AI60"/>
    <mergeCell ref="Q53:R53"/>
    <mergeCell ref="AC51:AC52"/>
    <mergeCell ref="AD51:AD52"/>
    <mergeCell ref="Q52:R52"/>
    <mergeCell ref="AP53:AQ53"/>
    <mergeCell ref="AH50:AI50"/>
    <mergeCell ref="AH53:AI53"/>
    <mergeCell ref="AS52:AT52"/>
    <mergeCell ref="AS53:AT53"/>
    <mergeCell ref="AS51:AT51"/>
    <mergeCell ref="AS56:AT56"/>
    <mergeCell ref="AG1:AJ1"/>
    <mergeCell ref="AD1:AE1"/>
    <mergeCell ref="Z1:AC1"/>
    <mergeCell ref="W90:X90"/>
    <mergeCell ref="AG51:AJ51"/>
    <mergeCell ref="AG52:AJ52"/>
    <mergeCell ref="AC57:AE57"/>
    <mergeCell ref="AG56:AJ56"/>
    <mergeCell ref="AP52:AQ52"/>
    <mergeCell ref="Q73:AB73"/>
    <mergeCell ref="B1:B2"/>
    <mergeCell ref="C1:C2"/>
    <mergeCell ref="F1:I1"/>
    <mergeCell ref="K1:N1"/>
    <mergeCell ref="AA50:AA51"/>
    <mergeCell ref="Q50:R50"/>
    <mergeCell ref="Z50:Z51"/>
    <mergeCell ref="BF1:BJ1"/>
    <mergeCell ref="D4:D43"/>
    <mergeCell ref="BA37:BB37"/>
    <mergeCell ref="BA39:BB39"/>
    <mergeCell ref="BA40:BB40"/>
    <mergeCell ref="AL1:AL2"/>
    <mergeCell ref="AN1:AN2"/>
    <mergeCell ref="AP1:AP2"/>
    <mergeCell ref="AQ1:AQ2"/>
    <mergeCell ref="AS1:AY1"/>
    <mergeCell ref="BA38:BB38"/>
    <mergeCell ref="B36:C36"/>
    <mergeCell ref="BA36:BB36"/>
    <mergeCell ref="B38:C38"/>
    <mergeCell ref="AL38:AL43"/>
    <mergeCell ref="B42:C42"/>
    <mergeCell ref="BF46:BJ46"/>
    <mergeCell ref="BF47:BJ47"/>
    <mergeCell ref="AY47:BD47"/>
    <mergeCell ref="B50:D50"/>
    <mergeCell ref="AS49:AT49"/>
    <mergeCell ref="B49:D49"/>
    <mergeCell ref="AS50:AT50"/>
    <mergeCell ref="Z46:Z47"/>
    <mergeCell ref="Z49:AA49"/>
    <mergeCell ref="AC50:AD50"/>
    <mergeCell ref="AS48:AU48"/>
    <mergeCell ref="AS46:AX46"/>
    <mergeCell ref="K48:N48"/>
    <mergeCell ref="AG49:AJ49"/>
    <mergeCell ref="AA46:AA47"/>
    <mergeCell ref="Q51:R51"/>
    <mergeCell ref="B48:D48"/>
    <mergeCell ref="B46:E46"/>
    <mergeCell ref="B47:D47"/>
    <mergeCell ref="B51:D51"/>
    <mergeCell ref="H51:I51"/>
    <mergeCell ref="B54:D54"/>
    <mergeCell ref="H50:I50"/>
    <mergeCell ref="B56:D56"/>
    <mergeCell ref="B52:D52"/>
    <mergeCell ref="B53:D53"/>
    <mergeCell ref="B55:D55"/>
    <mergeCell ref="B58:D58"/>
    <mergeCell ref="U57:U58"/>
    <mergeCell ref="V57:V58"/>
    <mergeCell ref="W57:W58"/>
    <mergeCell ref="B57:D57"/>
    <mergeCell ref="H57:I58"/>
    <mergeCell ref="K57:N57"/>
    <mergeCell ref="P57:S57"/>
    <mergeCell ref="B59:D59"/>
    <mergeCell ref="H59:I59"/>
    <mergeCell ref="AG59:AJ59"/>
    <mergeCell ref="AS59:AT59"/>
    <mergeCell ref="AP59:AQ59"/>
    <mergeCell ref="B63:D63"/>
    <mergeCell ref="H63:I63"/>
    <mergeCell ref="AP63:AQ68"/>
    <mergeCell ref="AS63:AT63"/>
    <mergeCell ref="H70:I70"/>
    <mergeCell ref="B60:D60"/>
    <mergeCell ref="H60:I60"/>
    <mergeCell ref="B64:D64"/>
    <mergeCell ref="H64:I64"/>
    <mergeCell ref="B61:D61"/>
    <mergeCell ref="B62:D62"/>
    <mergeCell ref="H62:I62"/>
    <mergeCell ref="B65:D65"/>
    <mergeCell ref="B66:D66"/>
    <mergeCell ref="H66:I66"/>
    <mergeCell ref="B67:D67"/>
    <mergeCell ref="H67:I67"/>
    <mergeCell ref="B68:D68"/>
    <mergeCell ref="H68:I68"/>
    <mergeCell ref="AP69:AQ72"/>
    <mergeCell ref="B69:D69"/>
    <mergeCell ref="H69:I69"/>
    <mergeCell ref="B71:D71"/>
    <mergeCell ref="H71:I71"/>
    <mergeCell ref="B72:D72"/>
    <mergeCell ref="AG71:AJ71"/>
    <mergeCell ref="AH68:AI68"/>
    <mergeCell ref="AD73:AE73"/>
    <mergeCell ref="B77:D77"/>
    <mergeCell ref="AP76:AQ78"/>
    <mergeCell ref="B78:D78"/>
    <mergeCell ref="B73:D73"/>
    <mergeCell ref="AP73:AQ75"/>
    <mergeCell ref="H74:H75"/>
    <mergeCell ref="Q76:AB76"/>
    <mergeCell ref="AG73:AJ73"/>
    <mergeCell ref="AS62:AT62"/>
    <mergeCell ref="B80:D80"/>
    <mergeCell ref="H80:H81"/>
    <mergeCell ref="Q81:AB81"/>
    <mergeCell ref="Q77:AB77"/>
    <mergeCell ref="Q74:AB75"/>
    <mergeCell ref="B75:D75"/>
    <mergeCell ref="B74:D74"/>
    <mergeCell ref="B76:D76"/>
    <mergeCell ref="H76:H77"/>
    <mergeCell ref="AS60:AT60"/>
    <mergeCell ref="AG78:AJ78"/>
    <mergeCell ref="B83:D83"/>
    <mergeCell ref="Q83:AB83"/>
    <mergeCell ref="Q82:AB82"/>
    <mergeCell ref="B82:D82"/>
    <mergeCell ref="H82:H83"/>
    <mergeCell ref="H78:H79"/>
    <mergeCell ref="B79:D79"/>
    <mergeCell ref="B81:D81"/>
    <mergeCell ref="BF84:BJ84"/>
    <mergeCell ref="BB81:BC81"/>
    <mergeCell ref="AH82:AI82"/>
    <mergeCell ref="AG64:AJ64"/>
    <mergeCell ref="AG74:AJ74"/>
    <mergeCell ref="AG81:AJ81"/>
    <mergeCell ref="AH65:AI65"/>
    <mergeCell ref="AH72:AI72"/>
    <mergeCell ref="AG67:AJ67"/>
    <mergeCell ref="AG66:AJ66"/>
    <mergeCell ref="Q80:AB80"/>
    <mergeCell ref="Q78:AB78"/>
    <mergeCell ref="Q79:AB79"/>
    <mergeCell ref="BA1:BD1"/>
    <mergeCell ref="AP79:AQ81"/>
    <mergeCell ref="AH75:AI75"/>
    <mergeCell ref="AH79:AI79"/>
    <mergeCell ref="AP60:AQ62"/>
    <mergeCell ref="AS58:AT58"/>
    <mergeCell ref="AS55:AT55"/>
    <mergeCell ref="AS57:AT57"/>
    <mergeCell ref="X57:X58"/>
    <mergeCell ref="Z57:AB57"/>
    <mergeCell ref="AA54:AA55"/>
    <mergeCell ref="Z54:Z55"/>
    <mergeCell ref="AH57:AI57"/>
    <mergeCell ref="AG58:AJ58"/>
    <mergeCell ref="AS54:AT54"/>
  </mergeCells>
  <phoneticPr fontId="4" type="noConversion"/>
  <conditionalFormatting sqref="C4:C34">
    <cfRule type="cellIs" dxfId="1093" priority="1" stopIfTrue="1" operator="notEqual">
      <formula>G4</formula>
    </cfRule>
  </conditionalFormatting>
  <conditionalFormatting sqref="AC4:AC34">
    <cfRule type="cellIs" dxfId="1092" priority="2" stopIfTrue="1" operator="equal">
      <formula>$AC$86</formula>
    </cfRule>
    <cfRule type="cellIs" dxfId="1091" priority="3" stopIfTrue="1" operator="equal">
      <formula>0</formula>
    </cfRule>
    <cfRule type="expression" dxfId="1090" priority="4" stopIfTrue="1">
      <formula>Z4=0.1</formula>
    </cfRule>
  </conditionalFormatting>
  <conditionalFormatting sqref="W46:W53">
    <cfRule type="expression" dxfId="1089" priority="5" stopIfTrue="1">
      <formula>X46=$X$55</formula>
    </cfRule>
  </conditionalFormatting>
  <conditionalFormatting sqref="B4:B34">
    <cfRule type="cellIs" dxfId="1088" priority="6" stopIfTrue="1" operator="notEqual">
      <formula>F4</formula>
    </cfRule>
  </conditionalFormatting>
  <conditionalFormatting sqref="AP92:AP107">
    <cfRule type="expression" dxfId="1087" priority="7" stopIfTrue="1">
      <formula>AQ92=$AQ$109</formula>
    </cfRule>
  </conditionalFormatting>
  <conditionalFormatting sqref="BG49:BG79">
    <cfRule type="expression" dxfId="1086" priority="8" stopIfTrue="1">
      <formula>IF(J4=1,1,0)</formula>
    </cfRule>
  </conditionalFormatting>
  <conditionalFormatting sqref="B72:D80 B48:C66 D48 D51:D52 D54:D66">
    <cfRule type="expression" dxfId="1085" priority="9" stopIfTrue="1">
      <formula>IF(F48&gt;0.5,1,0)</formula>
    </cfRule>
    <cfRule type="expression" dxfId="1084" priority="10" stopIfTrue="1">
      <formula>IF(F48&lt;0.2,1,0)</formula>
    </cfRule>
  </conditionalFormatting>
  <conditionalFormatting sqref="AS50:AT60">
    <cfRule type="expression" dxfId="1083" priority="11" stopIfTrue="1">
      <formula>IF(AV50&gt;0.5,1,0)</formula>
    </cfRule>
    <cfRule type="expression" dxfId="1082" priority="12" stopIfTrue="1">
      <formula>IF(AV50&lt;0.2,1,0)</formula>
    </cfRule>
  </conditionalFormatting>
  <conditionalFormatting sqref="BD35">
    <cfRule type="cellIs" dxfId="1081" priority="13" stopIfTrue="1" operator="equal">
      <formula>#REF!</formula>
    </cfRule>
    <cfRule type="expression" dxfId="1080" priority="14" stopIfTrue="1">
      <formula>AY123=1</formula>
    </cfRule>
    <cfRule type="expression" dxfId="1079" priority="15" stopIfTrue="1">
      <formula>BH123=1</formula>
    </cfRule>
  </conditionalFormatting>
  <conditionalFormatting sqref="F4:F34">
    <cfRule type="cellIs" dxfId="1078" priority="16" stopIfTrue="1" operator="equal">
      <formula>$F$85</formula>
    </cfRule>
    <cfRule type="cellIs" dxfId="1077" priority="17" stopIfTrue="1" operator="equal">
      <formula>$F$86</formula>
    </cfRule>
    <cfRule type="expression" dxfId="1076" priority="18" stopIfTrue="1">
      <formula>IF(B4&lt;0,1,0)</formula>
    </cfRule>
  </conditionalFormatting>
  <conditionalFormatting sqref="BF49:BF79">
    <cfRule type="cellIs" dxfId="1075" priority="19" stopIfTrue="1" operator="greaterThan">
      <formula>0.9</formula>
    </cfRule>
    <cfRule type="expression" dxfId="1074" priority="20" stopIfTrue="1">
      <formula>IF(O4=1,1,0)</formula>
    </cfRule>
  </conditionalFormatting>
  <conditionalFormatting sqref="D53">
    <cfRule type="expression" dxfId="1073" priority="21" stopIfTrue="1">
      <formula>IF(H50&gt;0.5,1,0)</formula>
    </cfRule>
    <cfRule type="expression" dxfId="1072" priority="22" stopIfTrue="1">
      <formula>IF(H50&lt;0.2,1,0)</formula>
    </cfRule>
  </conditionalFormatting>
  <conditionalFormatting sqref="D49:D50">
    <cfRule type="expression" dxfId="1071" priority="23" stopIfTrue="1">
      <formula>IF(L53&gt;0.5,1,0)</formula>
    </cfRule>
    <cfRule type="expression" dxfId="1070" priority="24" stopIfTrue="1">
      <formula>IF(L53&lt;0.2,1,0)</formula>
    </cfRule>
  </conditionalFormatting>
  <conditionalFormatting sqref="BA49:BA79">
    <cfRule type="cellIs" dxfId="1069" priority="25" stopIfTrue="1" operator="equal">
      <formula>$BB$86</formula>
    </cfRule>
    <cfRule type="expression" dxfId="1068" priority="26" stopIfTrue="1">
      <formula>IF(AX91=1,1,0)</formula>
    </cfRule>
    <cfRule type="expression" dxfId="1067" priority="27" stopIfTrue="1">
      <formula>IF(AW91=1,1,0)</formula>
    </cfRule>
  </conditionalFormatting>
  <conditionalFormatting sqref="AQ92:AQ107">
    <cfRule type="cellIs" dxfId="1066" priority="28" stopIfTrue="1" operator="equal">
      <formula>$AQ$109</formula>
    </cfRule>
  </conditionalFormatting>
  <conditionalFormatting sqref="AB91:AB121">
    <cfRule type="cellIs" dxfId="1065" priority="29" stopIfTrue="1" operator="equal">
      <formula>0</formula>
    </cfRule>
  </conditionalFormatting>
  <conditionalFormatting sqref="AM4:AM34">
    <cfRule type="cellIs" dxfId="1064" priority="30" stopIfTrue="1" operator="equal">
      <formula>$AH$86</formula>
    </cfRule>
    <cfRule type="cellIs" dxfId="1063" priority="31" stopIfTrue="1" operator="equal">
      <formula>$AH$85</formula>
    </cfRule>
  </conditionalFormatting>
  <conditionalFormatting sqref="AE4:AE34">
    <cfRule type="cellIs" dxfId="1062" priority="32" stopIfTrue="1" operator="equal">
      <formula>$AD$86</formula>
    </cfRule>
    <cfRule type="cellIs" dxfId="1061" priority="33" stopIfTrue="1" operator="equal">
      <formula>0</formula>
    </cfRule>
  </conditionalFormatting>
  <conditionalFormatting sqref="AY49:AZ79">
    <cfRule type="cellIs" dxfId="1060" priority="34" stopIfTrue="1" operator="equal">
      <formula>$BA$84</formula>
    </cfRule>
    <cfRule type="cellIs" dxfId="1059" priority="35" stopIfTrue="1" operator="equal">
      <formula>$BB$84</formula>
    </cfRule>
  </conditionalFormatting>
  <conditionalFormatting sqref="AW4:AW34 BI35">
    <cfRule type="cellIs" dxfId="1058" priority="36" stopIfTrue="1" operator="equal">
      <formula>$AW$85</formula>
    </cfRule>
    <cfRule type="cellIs" dxfId="1057" priority="37" stopIfTrue="1" operator="equal">
      <formula>$AW$86</formula>
    </cfRule>
  </conditionalFormatting>
  <conditionalFormatting sqref="BC35 BD4:BD34">
    <cfRule type="cellIs" dxfId="1056" priority="38" stopIfTrue="1" operator="equal">
      <formula>$BD$85</formula>
    </cfRule>
    <cfRule type="cellIs" dxfId="1055" priority="39" stopIfTrue="1" operator="equal">
      <formula>$BD$86</formula>
    </cfRule>
  </conditionalFormatting>
  <conditionalFormatting sqref="BC49:BC80">
    <cfRule type="cellIs" dxfId="1054" priority="40" stopIfTrue="1" operator="equal">
      <formula>$AU$85</formula>
    </cfRule>
    <cfRule type="cellIs" dxfId="1053" priority="41" stopIfTrue="1" operator="equal">
      <formula>$AU$86</formula>
    </cfRule>
  </conditionalFormatting>
  <conditionalFormatting sqref="BD49:BD80">
    <cfRule type="cellIs" dxfId="1052" priority="42" stopIfTrue="1" operator="equal">
      <formula>#REF!</formula>
    </cfRule>
    <cfRule type="cellIs" dxfId="1051" priority="43" stopIfTrue="1" operator="equal">
      <formula>#REF!</formula>
    </cfRule>
  </conditionalFormatting>
  <conditionalFormatting sqref="BF35 BF4:BG34">
    <cfRule type="cellIs" dxfId="1050" priority="44" stopIfTrue="1" operator="equal">
      <formula>$BF$85</formula>
    </cfRule>
    <cfRule type="cellIs" dxfId="1049" priority="45" stopIfTrue="1" operator="equal">
      <formula>$BF$86</formula>
    </cfRule>
  </conditionalFormatting>
  <conditionalFormatting sqref="BG35">
    <cfRule type="cellIs" dxfId="1048" priority="46" stopIfTrue="1" operator="equal">
      <formula>$BG$85</formula>
    </cfRule>
    <cfRule type="cellIs" dxfId="1047" priority="47" stopIfTrue="1" operator="equal">
      <formula>$BG$86</formula>
    </cfRule>
  </conditionalFormatting>
  <conditionalFormatting sqref="BH4:BH35">
    <cfRule type="cellIs" dxfId="1046" priority="48" stopIfTrue="1" operator="equal">
      <formula>$BH$85</formula>
    </cfRule>
    <cfRule type="cellIs" dxfId="1045" priority="49" stopIfTrue="1" operator="equal">
      <formula>$BH$86</formula>
    </cfRule>
  </conditionalFormatting>
  <conditionalFormatting sqref="BA4:BA35 BB4:BB34">
    <cfRule type="cellIs" dxfId="1044" priority="50" stopIfTrue="1" operator="equal">
      <formula>$BA$85</formula>
    </cfRule>
    <cfRule type="cellIs" dxfId="1043" priority="51" stopIfTrue="1" operator="equal">
      <formula>$BA$86</formula>
    </cfRule>
  </conditionalFormatting>
  <conditionalFormatting sqref="BF80">
    <cfRule type="cellIs" dxfId="1042" priority="52" stopIfTrue="1" operator="greaterThan">
      <formula>0.9</formula>
    </cfRule>
  </conditionalFormatting>
  <conditionalFormatting sqref="BG80">
    <cfRule type="cellIs" dxfId="1041" priority="53" stopIfTrue="1" operator="lessThan">
      <formula>0.3</formula>
    </cfRule>
  </conditionalFormatting>
  <conditionalFormatting sqref="BJ8:BJ35">
    <cfRule type="cellIs" dxfId="1040" priority="54" stopIfTrue="1" operator="equal">
      <formula>$BJ$85</formula>
    </cfRule>
    <cfRule type="cellIs" dxfId="1039" priority="55" stopIfTrue="1" operator="equal">
      <formula>$BJ$86</formula>
    </cfRule>
  </conditionalFormatting>
  <conditionalFormatting sqref="BI4:BI34">
    <cfRule type="cellIs" dxfId="1038" priority="56" stopIfTrue="1" operator="equal">
      <formula>$BI$86</formula>
    </cfRule>
    <cfRule type="cellIs" dxfId="1037" priority="57" stopIfTrue="1" operator="equal">
      <formula>$BI$85</formula>
    </cfRule>
  </conditionalFormatting>
  <conditionalFormatting sqref="AY35:AZ35">
    <cfRule type="cellIs" dxfId="1036" priority="58" stopIfTrue="1" operator="equal">
      <formula>$AY$85</formula>
    </cfRule>
    <cfRule type="cellIs" dxfId="1035" priority="59" stopIfTrue="1" operator="equal">
      <formula>$AY$86</formula>
    </cfRule>
  </conditionalFormatting>
  <conditionalFormatting sqref="AY4:AY34">
    <cfRule type="cellIs" dxfId="1034" priority="60" stopIfTrue="1" operator="equal">
      <formula>$AY$85</formula>
    </cfRule>
    <cfRule type="cellIs" dxfId="1033" priority="61" stopIfTrue="1" operator="equal">
      <formula>$AY$86</formula>
    </cfRule>
  </conditionalFormatting>
  <conditionalFormatting sqref="AR4:AR34">
    <cfRule type="cellIs" dxfId="1032" priority="62" stopIfTrue="1" operator="equal">
      <formula>$M$92</formula>
    </cfRule>
  </conditionalFormatting>
  <conditionalFormatting sqref="AV50:AV60 F72:F80 F48:F66">
    <cfRule type="cellIs" dxfId="1031" priority="63" stopIfTrue="1" operator="between">
      <formula>0.45</formula>
      <formula>0.55</formula>
    </cfRule>
  </conditionalFormatting>
  <conditionalFormatting sqref="AS8:AS34">
    <cfRule type="cellIs" dxfId="1030" priority="64" stopIfTrue="1" operator="equal">
      <formula>$AS$85</formula>
    </cfRule>
    <cfRule type="cellIs" dxfId="1029" priority="65" stopIfTrue="1" operator="equal">
      <formula>$AS$86</formula>
    </cfRule>
  </conditionalFormatting>
  <conditionalFormatting sqref="AI4:AI35">
    <cfRule type="cellIs" dxfId="1028" priority="66" stopIfTrue="1" operator="equal">
      <formula>$AI$85</formula>
    </cfRule>
    <cfRule type="cellIs" dxfId="1027" priority="67" stopIfTrue="1" operator="equal">
      <formula>$AI$86</formula>
    </cfRule>
  </conditionalFormatting>
  <conditionalFormatting sqref="AJ4:AJ35">
    <cfRule type="cellIs" dxfId="1026" priority="68" stopIfTrue="1" operator="equal">
      <formula>$AJ$85</formula>
    </cfRule>
    <cfRule type="cellIs" dxfId="1025" priority="69" stopIfTrue="1" operator="equal">
      <formula>$AJ$86</formula>
    </cfRule>
  </conditionalFormatting>
  <conditionalFormatting sqref="AT4:AT35">
    <cfRule type="cellIs" dxfId="1024" priority="70" stopIfTrue="1" operator="equal">
      <formula>$AT$85</formula>
    </cfRule>
    <cfRule type="cellIs" dxfId="1023" priority="71" stopIfTrue="1" operator="equal">
      <formula>$AT$86</formula>
    </cfRule>
  </conditionalFormatting>
  <conditionalFormatting sqref="AU4:AU35">
    <cfRule type="cellIs" dxfId="1022" priority="72" stopIfTrue="1" operator="equal">
      <formula>$AU$85</formula>
    </cfRule>
    <cfRule type="cellIs" dxfId="1021" priority="73" stopIfTrue="1" operator="equal">
      <formula>$AU$86</formula>
    </cfRule>
  </conditionalFormatting>
  <conditionalFormatting sqref="AV35:AW35 AV4:AV34">
    <cfRule type="cellIs" dxfId="1020" priority="74" stopIfTrue="1" operator="equal">
      <formula>$AV$85</formula>
    </cfRule>
    <cfRule type="cellIs" dxfId="1019" priority="75" stopIfTrue="1" operator="equal">
      <formula>$AV$86</formula>
    </cfRule>
  </conditionalFormatting>
  <conditionalFormatting sqref="AX4:AX35">
    <cfRule type="cellIs" dxfId="1018" priority="76" stopIfTrue="1" operator="equal">
      <formula>$AX$85</formula>
    </cfRule>
    <cfRule type="cellIs" dxfId="1017" priority="77" stopIfTrue="1" operator="equal">
      <formula>$AX$86</formula>
    </cfRule>
  </conditionalFormatting>
  <conditionalFormatting sqref="AG4:AG34">
    <cfRule type="cellIs" dxfId="1016" priority="78" stopIfTrue="1" operator="equal">
      <formula>$AG$85</formula>
    </cfRule>
    <cfRule type="cellIs" dxfId="1015" priority="79" stopIfTrue="1" operator="equal">
      <formula>$AG$86</formula>
    </cfRule>
  </conditionalFormatting>
  <conditionalFormatting sqref="AH4:AH35">
    <cfRule type="cellIs" dxfId="1014" priority="80" stopIfTrue="1" operator="equal">
      <formula>$AH$85</formula>
    </cfRule>
    <cfRule type="cellIs" dxfId="1013" priority="81" stopIfTrue="1" operator="equal">
      <formula>$AH$86</formula>
    </cfRule>
  </conditionalFormatting>
  <conditionalFormatting sqref="AP4:AP34">
    <cfRule type="cellIs" dxfId="1012" priority="82" stopIfTrue="1" operator="equal">
      <formula>$AP$86</formula>
    </cfRule>
    <cfRule type="cellIs" dxfId="1011" priority="83" stopIfTrue="1" operator="equal">
      <formula>0.001</formula>
    </cfRule>
  </conditionalFormatting>
  <conditionalFormatting sqref="AN26:AN27">
    <cfRule type="expression" dxfId="1010" priority="84" stopIfTrue="1">
      <formula>$AS$36</formula>
    </cfRule>
  </conditionalFormatting>
  <conditionalFormatting sqref="BH49:BH79">
    <cfRule type="cellIs" dxfId="1009" priority="85" stopIfTrue="1" operator="greaterThan">
      <formula>0.9</formula>
    </cfRule>
  </conditionalFormatting>
  <conditionalFormatting sqref="BI49:BI79">
    <cfRule type="cellIs" dxfId="1008" priority="86" stopIfTrue="1" operator="greaterThan">
      <formula>0.5</formula>
    </cfRule>
  </conditionalFormatting>
  <conditionalFormatting sqref="X46:X53">
    <cfRule type="cellIs" dxfId="1007" priority="87" stopIfTrue="1" operator="equal">
      <formula>$X$55</formula>
    </cfRule>
  </conditionalFormatting>
  <conditionalFormatting sqref="L4:L34">
    <cfRule type="cellIs" dxfId="1006" priority="88" stopIfTrue="1" operator="equal">
      <formula>98</formula>
    </cfRule>
    <cfRule type="cellIs" dxfId="1005" priority="89" stopIfTrue="1" operator="equal">
      <formula>$L$85</formula>
    </cfRule>
    <cfRule type="cellIs" dxfId="1004" priority="90" stopIfTrue="1" operator="equal">
      <formula>$L$86</formula>
    </cfRule>
  </conditionalFormatting>
  <conditionalFormatting sqref="K4:K34">
    <cfRule type="cellIs" dxfId="1003" priority="91" stopIfTrue="1" operator="equal">
      <formula>$K$85</formula>
    </cfRule>
    <cfRule type="cellIs" dxfId="1002" priority="92" stopIfTrue="1" operator="equal">
      <formula>$K$86</formula>
    </cfRule>
  </conditionalFormatting>
  <conditionalFormatting sqref="X6:X22 X4 X31:X34">
    <cfRule type="cellIs" dxfId="1001" priority="93" stopIfTrue="1" operator="equal">
      <formula>10</formula>
    </cfRule>
    <cfRule type="cellIs" priority="94" stopIfTrue="1" operator="equal">
      <formula>0</formula>
    </cfRule>
  </conditionalFormatting>
  <conditionalFormatting sqref="X30">
    <cfRule type="cellIs" dxfId="1000" priority="95" stopIfTrue="1" operator="equal">
      <formula>$AW$85</formula>
    </cfRule>
    <cfRule type="cellIs" dxfId="999" priority="96" stopIfTrue="1" operator="equal">
      <formula>$AW$86</formula>
    </cfRule>
  </conditionalFormatting>
  <conditionalFormatting sqref="I4:I34">
    <cfRule type="cellIs" dxfId="998" priority="97" stopIfTrue="1" operator="equal">
      <formula>$I$85</formula>
    </cfRule>
    <cfRule type="cellIs" dxfId="997" priority="98" stopIfTrue="1" operator="equal">
      <formula>$I$86</formula>
    </cfRule>
  </conditionalFormatting>
  <conditionalFormatting sqref="N4:N34">
    <cfRule type="cellIs" dxfId="996" priority="99" stopIfTrue="1" operator="equal">
      <formula>$N$85</formula>
    </cfRule>
    <cfRule type="cellIs" dxfId="995" priority="100" stopIfTrue="1" operator="equal">
      <formula>$N$86</formula>
    </cfRule>
  </conditionalFormatting>
  <conditionalFormatting sqref="AA4:AA33 AA34:AB34">
    <cfRule type="cellIs" dxfId="994" priority="101" stopIfTrue="1" operator="equal">
      <formula>$AA$86</formula>
    </cfRule>
  </conditionalFormatting>
  <conditionalFormatting sqref="P4:P34">
    <cfRule type="cellIs" dxfId="993" priority="102" stopIfTrue="1" operator="equal">
      <formula>$P$85</formula>
    </cfRule>
    <cfRule type="cellIs" dxfId="992" priority="103" stopIfTrue="1" operator="equal">
      <formula>$P$86</formula>
    </cfRule>
  </conditionalFormatting>
  <conditionalFormatting sqref="S4:S34">
    <cfRule type="cellIs" dxfId="991" priority="104" stopIfTrue="1" operator="equal">
      <formula>$S$85</formula>
    </cfRule>
    <cfRule type="cellIs" dxfId="990" priority="105" stopIfTrue="1" operator="equal">
      <formula>$S$86</formula>
    </cfRule>
  </conditionalFormatting>
  <conditionalFormatting sqref="R4:R34">
    <cfRule type="cellIs" dxfId="989" priority="106" stopIfTrue="1" operator="equal">
      <formula>$R$85</formula>
    </cfRule>
    <cfRule type="cellIs" dxfId="988" priority="107" stopIfTrue="1" operator="equal">
      <formula>$R$86</formula>
    </cfRule>
  </conditionalFormatting>
  <conditionalFormatting sqref="Q4:Q34">
    <cfRule type="cellIs" dxfId="987" priority="108" stopIfTrue="1" operator="equal">
      <formula>$Q$85</formula>
    </cfRule>
    <cfRule type="cellIs" dxfId="986" priority="109" stopIfTrue="1" operator="equal">
      <formula>$Q$86</formula>
    </cfRule>
  </conditionalFormatting>
  <conditionalFormatting sqref="U47 U49:U50 U53:U56">
    <cfRule type="cellIs" dxfId="985" priority="110" stopIfTrue="1" operator="equal">
      <formula>$W$86</formula>
    </cfRule>
    <cfRule type="cellIs" dxfId="984" priority="111" stopIfTrue="1" operator="equal">
      <formula>$W$85</formula>
    </cfRule>
  </conditionalFormatting>
  <conditionalFormatting sqref="H4:H35">
    <cfRule type="cellIs" dxfId="983" priority="112" stopIfTrue="1" operator="equal">
      <formula>$H$85</formula>
    </cfRule>
    <cfRule type="cellIs" dxfId="982" priority="113" stopIfTrue="1" operator="equal">
      <formula>$H$86</formula>
    </cfRule>
  </conditionalFormatting>
  <conditionalFormatting sqref="M4:M34">
    <cfRule type="cellIs" dxfId="981" priority="114" stopIfTrue="1" operator="equal">
      <formula>$M$85</formula>
    </cfRule>
    <cfRule type="cellIs" dxfId="980" priority="115" stopIfTrue="1" operator="equal">
      <formula>$M$86</formula>
    </cfRule>
  </conditionalFormatting>
  <conditionalFormatting sqref="AB4:AB33">
    <cfRule type="cellIs" dxfId="979" priority="116" stopIfTrue="1" operator="equal">
      <formula>$X$123</formula>
    </cfRule>
  </conditionalFormatting>
  <conditionalFormatting sqref="G4:G34">
    <cfRule type="cellIs" dxfId="978" priority="117" stopIfTrue="1" operator="equal">
      <formula>$G$86</formula>
    </cfRule>
    <cfRule type="cellIs" dxfId="977" priority="118" stopIfTrue="1" operator="equal">
      <formula>$G$85</formula>
    </cfRule>
    <cfRule type="cellIs" dxfId="976" priority="119" stopIfTrue="1" operator="greaterThan">
      <formula>25</formula>
    </cfRule>
  </conditionalFormatting>
  <conditionalFormatting sqref="AD4:AD34">
    <cfRule type="cellIs" dxfId="975" priority="120" stopIfTrue="1" operator="equal">
      <formula>$AE$86</formula>
    </cfRule>
    <cfRule type="cellIs" dxfId="974" priority="121" stopIfTrue="1" operator="equal">
      <formula>$AE$85</formula>
    </cfRule>
  </conditionalFormatting>
  <conditionalFormatting sqref="AQ4:AQ34">
    <cfRule type="cellIs" dxfId="973" priority="122" stopIfTrue="1" operator="equal">
      <formula>0</formula>
    </cfRule>
    <cfRule type="cellIs" dxfId="972" priority="123" stopIfTrue="1" operator="equal">
      <formula>$AQ$86</formula>
    </cfRule>
    <cfRule type="cellIs" dxfId="971" priority="124" stopIfTrue="1" operator="between">
      <formula>0.1</formula>
      <formula>0.4</formula>
    </cfRule>
  </conditionalFormatting>
  <conditionalFormatting sqref="U4:U34">
    <cfRule type="cellIs" dxfId="970" priority="125" stopIfTrue="1" operator="equal">
      <formula>$U$86</formula>
    </cfRule>
    <cfRule type="cellIs" dxfId="969" priority="126" stopIfTrue="1" operator="equal">
      <formula>$U$85</formula>
    </cfRule>
  </conditionalFormatting>
  <conditionalFormatting sqref="V4:V34">
    <cfRule type="cellIs" dxfId="968" priority="127" stopIfTrue="1" operator="equal">
      <formula>$V$86</formula>
    </cfRule>
    <cfRule type="cellIs" dxfId="967" priority="128" stopIfTrue="1" operator="equal">
      <formula>$V$85</formula>
    </cfRule>
  </conditionalFormatting>
  <conditionalFormatting sqref="W4:W34">
    <cfRule type="cellIs" dxfId="966" priority="129" stopIfTrue="1" operator="equal">
      <formula>$W$86</formula>
    </cfRule>
    <cfRule type="cellIs" dxfId="965" priority="130" stopIfTrue="1" operator="equal">
      <formula>$W$85</formula>
    </cfRule>
  </conditionalFormatting>
  <conditionalFormatting sqref="Z4:Z34">
    <cfRule type="cellIs" dxfId="964" priority="131" stopIfTrue="1" operator="equal">
      <formula>0</formula>
    </cfRule>
    <cfRule type="cellIs" dxfId="963" priority="132" stopIfTrue="1" operator="equal">
      <formula>$Z$86</formula>
    </cfRule>
    <cfRule type="cellIs" dxfId="962" priority="133" stopIfTrue="1" operator="lessThan">
      <formula>0.2</formula>
    </cfRule>
  </conditionalFormatting>
  <conditionalFormatting sqref="E48:E66 AU50:AU60">
    <cfRule type="cellIs" dxfId="961" priority="134" stopIfTrue="1" operator="notBetween">
      <formula>-0.5</formula>
      <formula>0.5</formula>
    </cfRule>
    <cfRule type="cellIs" dxfId="960" priority="135" stopIfTrue="1" operator="between">
      <formula>-0.2</formula>
      <formula>0.2</formula>
    </cfRule>
  </conditionalFormatting>
  <conditionalFormatting sqref="E72:E80">
    <cfRule type="cellIs" dxfId="959" priority="136" stopIfTrue="1" operator="notBetween">
      <formula>-0.5</formula>
      <formula>0.5</formula>
    </cfRule>
    <cfRule type="cellIs" dxfId="958" priority="137" stopIfTrue="1" operator="between">
      <formula>-0.2</formula>
      <formula>0.2</formula>
    </cfRule>
  </conditionalFormatting>
  <conditionalFormatting sqref="BC4:BC34">
    <cfRule type="cellIs" dxfId="957" priority="138" stopIfTrue="1" operator="equal">
      <formula>$BC$85</formula>
    </cfRule>
    <cfRule type="cellIs" dxfId="956" priority="139" stopIfTrue="1" operator="equal">
      <formula>$BC$86</formula>
    </cfRule>
  </conditionalFormatting>
  <pageMargins left="0.75" right="0.75" top="1" bottom="1" header="0.5" footer="0.5"/>
  <pageSetup paperSize="9" orientation="portrait" horizontalDpi="4294967293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tabColor indexed="51"/>
  </sheetPr>
  <dimension ref="AA3"/>
  <sheetViews>
    <sheetView zoomScale="74" workbookViewId="0">
      <selection activeCell="AA3" sqref="AA3"/>
    </sheetView>
  </sheetViews>
  <sheetFormatPr defaultRowHeight="12.75" x14ac:dyDescent="0.2"/>
  <sheetData>
    <row r="3" spans="27:27" ht="15.75" x14ac:dyDescent="0.25">
      <c r="AA3" s="614" t="s">
        <v>504</v>
      </c>
    </row>
  </sheetData>
  <phoneticPr fontId="4" type="noConversion"/>
  <pageMargins left="0.75" right="0.75" top="1" bottom="1" header="0.5" footer="0.5"/>
  <headerFooter alignWithMargins="0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tabColor indexed="52"/>
  </sheetPr>
  <dimension ref="A1:CK134"/>
  <sheetViews>
    <sheetView zoomScale="90" workbookViewId="0">
      <pane xSplit="1" topLeftCell="B1" activePane="topRight" state="frozen"/>
      <selection activeCell="AN72" sqref="AN72"/>
      <selection pane="topRight"/>
    </sheetView>
  </sheetViews>
  <sheetFormatPr defaultRowHeight="0" customHeight="1" zeroHeight="1" x14ac:dyDescent="0.2"/>
  <cols>
    <col min="1" max="1" width="2.85546875" style="1" customWidth="1"/>
    <col min="2" max="2" width="5.140625" style="1" customWidth="1"/>
    <col min="3" max="3" width="5.140625" style="7" customWidth="1"/>
    <col min="4" max="4" width="12" style="1" customWidth="1"/>
    <col min="5" max="5" width="8.85546875" style="1" customWidth="1"/>
    <col min="6" max="9" width="9.28515625" style="1" customWidth="1"/>
    <col min="10" max="10" width="0.7109375" style="1" customWidth="1"/>
    <col min="11" max="13" width="8.5703125" style="1" customWidth="1"/>
    <col min="14" max="14" width="7.85546875" style="1" customWidth="1"/>
    <col min="15" max="15" width="1" style="1" customWidth="1"/>
    <col min="16" max="17" width="7.28515625" style="1" customWidth="1"/>
    <col min="18" max="18" width="8.5703125" style="1" customWidth="1"/>
    <col min="19" max="19" width="7.140625" style="1" customWidth="1"/>
    <col min="20" max="20" width="0.7109375" style="1" customWidth="1"/>
    <col min="21" max="22" width="9.28515625" style="1" customWidth="1"/>
    <col min="23" max="23" width="9.7109375" style="1" customWidth="1"/>
    <col min="24" max="24" width="9.28515625" style="1" customWidth="1"/>
    <col min="25" max="25" width="0.85546875" style="1" customWidth="1"/>
    <col min="26" max="26" width="10.42578125" style="1" customWidth="1"/>
    <col min="27" max="27" width="9.42578125" style="1" customWidth="1"/>
    <col min="28" max="28" width="10.5703125" style="1" customWidth="1"/>
    <col min="29" max="29" width="9.28515625" style="1" customWidth="1"/>
    <col min="30" max="30" width="9.85546875" style="1" customWidth="1"/>
    <col min="31" max="31" width="10.140625" style="1" customWidth="1"/>
    <col min="32" max="32" width="0.85546875" style="1" customWidth="1"/>
    <col min="33" max="34" width="8.42578125" style="1" customWidth="1"/>
    <col min="35" max="35" width="8.85546875" style="1" customWidth="1"/>
    <col min="36" max="36" width="8.42578125" style="1" customWidth="1"/>
    <col min="37" max="37" width="0.5703125" style="1" customWidth="1"/>
    <col min="38" max="38" width="8.140625" style="1" customWidth="1"/>
    <col min="39" max="39" width="0.42578125" style="1" customWidth="1"/>
    <col min="40" max="40" width="37.7109375" style="1" customWidth="1"/>
    <col min="41" max="41" width="0.7109375" style="1" customWidth="1"/>
    <col min="42" max="43" width="7.85546875" style="1" customWidth="1"/>
    <col min="44" max="44" width="0.7109375" style="1" customWidth="1"/>
    <col min="45" max="48" width="8.85546875" style="1" customWidth="1"/>
    <col min="49" max="49" width="8.5703125" style="1" customWidth="1"/>
    <col min="50" max="51" width="9.140625" style="1" customWidth="1"/>
    <col min="52" max="52" width="0.5703125" style="1" customWidth="1"/>
    <col min="53" max="53" width="8.28515625" style="1" customWidth="1"/>
    <col min="54" max="54" width="7.7109375" style="1" customWidth="1"/>
    <col min="55" max="55" width="8.5703125" style="1" customWidth="1"/>
    <col min="56" max="56" width="8.85546875" style="1" customWidth="1"/>
    <col min="57" max="57" width="0.5703125" style="1" customWidth="1"/>
    <col min="58" max="62" width="8.85546875" style="1" customWidth="1"/>
    <col min="63" max="63" width="1" style="1" customWidth="1"/>
    <col min="64" max="64" width="2.140625" style="1" customWidth="1"/>
    <col min="65" max="89" width="1.140625" style="1" hidden="1" customWidth="1"/>
    <col min="90" max="91" width="0" style="1" hidden="1" customWidth="1"/>
    <col min="92" max="16384" width="9.140625" style="1"/>
  </cols>
  <sheetData>
    <row r="1" spans="1:64" ht="13.5" customHeight="1" x14ac:dyDescent="0.2">
      <c r="A1" s="88">
        <v>1</v>
      </c>
      <c r="B1" s="676" t="s">
        <v>100</v>
      </c>
      <c r="C1" s="677" t="s">
        <v>99</v>
      </c>
      <c r="D1" s="109">
        <f ca="1">D2/E1</f>
        <v>71.614338874656639</v>
      </c>
      <c r="E1" s="98">
        <f ca="1">COUNT(A3:BL88)</f>
        <v>2453</v>
      </c>
      <c r="F1" s="678" t="s">
        <v>186</v>
      </c>
      <c r="G1" s="678"/>
      <c r="H1" s="678"/>
      <c r="I1" s="678"/>
      <c r="J1" s="6"/>
      <c r="K1" s="679" t="s">
        <v>147</v>
      </c>
      <c r="L1" s="679"/>
      <c r="M1" s="679"/>
      <c r="N1" s="680"/>
      <c r="O1" s="2"/>
      <c r="P1" s="664" t="s">
        <v>0</v>
      </c>
      <c r="Q1" s="664"/>
      <c r="R1" s="664"/>
      <c r="S1" s="665"/>
      <c r="T1" s="3"/>
      <c r="U1" s="666" t="s">
        <v>139</v>
      </c>
      <c r="V1" s="666"/>
      <c r="W1" s="666"/>
      <c r="X1" s="666"/>
      <c r="Y1" s="86"/>
      <c r="Z1" s="674" t="s">
        <v>107</v>
      </c>
      <c r="AA1" s="674"/>
      <c r="AB1" s="674"/>
      <c r="AC1" s="675"/>
      <c r="AD1" s="673" t="s">
        <v>198</v>
      </c>
      <c r="AE1" s="673"/>
      <c r="AF1" s="137"/>
      <c r="AG1" s="672" t="s">
        <v>157</v>
      </c>
      <c r="AH1" s="672"/>
      <c r="AI1" s="672"/>
      <c r="AJ1" s="672"/>
      <c r="AK1" s="6"/>
      <c r="AL1" s="690" t="s">
        <v>252</v>
      </c>
      <c r="AM1" s="86"/>
      <c r="AN1" s="667" t="s">
        <v>1</v>
      </c>
      <c r="AO1" s="399"/>
      <c r="AP1" s="691" t="s">
        <v>122</v>
      </c>
      <c r="AQ1" s="671" t="s">
        <v>192</v>
      </c>
      <c r="AR1" s="86"/>
      <c r="AS1" s="670" t="s">
        <v>12</v>
      </c>
      <c r="AT1" s="670"/>
      <c r="AU1" s="670"/>
      <c r="AV1" s="670"/>
      <c r="AW1" s="670"/>
      <c r="AX1" s="670"/>
      <c r="AY1" s="670"/>
      <c r="AZ1" s="6"/>
      <c r="BA1" s="667" t="s">
        <v>366</v>
      </c>
      <c r="BB1" s="667"/>
      <c r="BC1" s="667"/>
      <c r="BD1" s="667"/>
      <c r="BE1" s="67"/>
      <c r="BF1" s="667" t="s">
        <v>20</v>
      </c>
      <c r="BG1" s="667"/>
      <c r="BH1" s="667"/>
      <c r="BI1" s="667"/>
      <c r="BJ1" s="667"/>
      <c r="BK1" s="88"/>
      <c r="BL1" s="78"/>
    </row>
    <row r="2" spans="1:64" ht="12.75" customHeight="1" x14ac:dyDescent="0.2">
      <c r="A2" s="67"/>
      <c r="B2" s="676"/>
      <c r="C2" s="677"/>
      <c r="D2" s="104">
        <f ca="1">SUM(A3:BL88)</f>
        <v>175669.97325953274</v>
      </c>
      <c r="E2" s="292" t="s">
        <v>150</v>
      </c>
      <c r="F2" s="468" t="s">
        <v>101</v>
      </c>
      <c r="G2" s="469" t="s">
        <v>102</v>
      </c>
      <c r="H2" s="470" t="s">
        <v>156</v>
      </c>
      <c r="I2" s="471" t="s">
        <v>5</v>
      </c>
      <c r="J2" s="6"/>
      <c r="K2" s="212" t="s">
        <v>2</v>
      </c>
      <c r="L2" s="213" t="s">
        <v>3</v>
      </c>
      <c r="M2" s="395" t="s">
        <v>156</v>
      </c>
      <c r="N2" s="398" t="s">
        <v>5</v>
      </c>
      <c r="O2" s="20"/>
      <c r="P2" s="264" t="s">
        <v>2</v>
      </c>
      <c r="Q2" s="258" t="s">
        <v>3</v>
      </c>
      <c r="R2" s="265" t="s">
        <v>4</v>
      </c>
      <c r="S2" s="4" t="s">
        <v>5</v>
      </c>
      <c r="T2" s="67"/>
      <c r="U2" s="217" t="s">
        <v>156</v>
      </c>
      <c r="V2" s="97" t="s">
        <v>3</v>
      </c>
      <c r="W2" s="97" t="s">
        <v>154</v>
      </c>
      <c r="X2" s="217" t="s">
        <v>104</v>
      </c>
      <c r="Y2" s="133"/>
      <c r="Z2" s="424" t="s">
        <v>152</v>
      </c>
      <c r="AA2" s="458" t="s">
        <v>108</v>
      </c>
      <c r="AB2" s="458" t="s">
        <v>197</v>
      </c>
      <c r="AC2" s="508" t="s">
        <v>141</v>
      </c>
      <c r="AD2" s="179" t="s">
        <v>4</v>
      </c>
      <c r="AE2" s="179" t="s">
        <v>3</v>
      </c>
      <c r="AF2" s="68"/>
      <c r="AG2" s="299" t="s">
        <v>2</v>
      </c>
      <c r="AH2" s="309" t="s">
        <v>3</v>
      </c>
      <c r="AI2" s="308" t="s">
        <v>156</v>
      </c>
      <c r="AJ2" s="99" t="s">
        <v>5</v>
      </c>
      <c r="AK2" s="310"/>
      <c r="AL2" s="690"/>
      <c r="AM2" s="86"/>
      <c r="AN2" s="667"/>
      <c r="AO2" s="399"/>
      <c r="AP2" s="692"/>
      <c r="AQ2" s="671"/>
      <c r="AR2" s="86"/>
      <c r="AS2" s="181" t="s">
        <v>21</v>
      </c>
      <c r="AT2" s="294" t="s">
        <v>22</v>
      </c>
      <c r="AU2" s="295" t="s">
        <v>23</v>
      </c>
      <c r="AV2" s="365" t="s">
        <v>24</v>
      </c>
      <c r="AW2" s="263" t="s">
        <v>187</v>
      </c>
      <c r="AX2" s="374" t="s">
        <v>188</v>
      </c>
      <c r="AY2" s="371" t="s">
        <v>124</v>
      </c>
      <c r="AZ2" s="6"/>
      <c r="BA2" s="181" t="s">
        <v>21</v>
      </c>
      <c r="BB2" s="294" t="s">
        <v>22</v>
      </c>
      <c r="BC2" s="295" t="s">
        <v>23</v>
      </c>
      <c r="BD2" s="365" t="s">
        <v>24</v>
      </c>
      <c r="BE2" s="67"/>
      <c r="BF2" s="181" t="s">
        <v>21</v>
      </c>
      <c r="BG2" s="294" t="s">
        <v>25</v>
      </c>
      <c r="BH2" s="365" t="s">
        <v>24</v>
      </c>
      <c r="BI2" s="179" t="s">
        <v>7</v>
      </c>
      <c r="BJ2" s="419" t="s">
        <v>196</v>
      </c>
      <c r="BK2" s="88"/>
      <c r="BL2" s="78"/>
    </row>
    <row r="3" spans="1:64" ht="1.5" customHeight="1" x14ac:dyDescent="0.2">
      <c r="A3" s="67"/>
      <c r="B3" s="128"/>
      <c r="C3" s="283"/>
      <c r="D3" s="67"/>
      <c r="E3" s="68"/>
      <c r="F3" s="68"/>
      <c r="G3" s="68"/>
      <c r="H3" s="68"/>
      <c r="I3" s="68"/>
      <c r="J3" s="6"/>
      <c r="K3" s="68"/>
      <c r="L3" s="68"/>
      <c r="M3" s="68"/>
      <c r="N3" s="84"/>
      <c r="O3" s="20"/>
      <c r="P3" s="257"/>
      <c r="Q3" s="68"/>
      <c r="R3" s="68"/>
      <c r="S3" s="68"/>
      <c r="T3" s="67"/>
      <c r="U3" s="63"/>
      <c r="V3" s="63"/>
      <c r="W3" s="63"/>
      <c r="X3" s="63"/>
      <c r="Y3" s="67"/>
      <c r="Z3" s="425"/>
      <c r="AA3" s="500"/>
      <c r="AB3" s="500"/>
      <c r="AC3" s="509"/>
      <c r="AD3" s="63"/>
      <c r="AE3" s="63"/>
      <c r="AF3" s="67"/>
      <c r="AG3" s="63"/>
      <c r="AH3" s="63"/>
      <c r="AI3" s="63"/>
      <c r="AJ3" s="63"/>
      <c r="AK3" s="67"/>
      <c r="AL3" s="132"/>
      <c r="AM3" s="6"/>
      <c r="AN3" s="67"/>
      <c r="AO3" s="88"/>
      <c r="AP3" s="63"/>
      <c r="AQ3" s="63"/>
      <c r="AR3" s="67"/>
      <c r="AS3" s="67"/>
      <c r="AT3" s="67"/>
      <c r="AU3" s="67"/>
      <c r="AV3" s="366"/>
      <c r="AW3" s="67"/>
      <c r="AX3" s="375"/>
      <c r="AY3" s="372"/>
      <c r="AZ3" s="6"/>
      <c r="BA3" s="67"/>
      <c r="BB3" s="67"/>
      <c r="BC3" s="6"/>
      <c r="BD3" s="366"/>
      <c r="BE3" s="67"/>
      <c r="BF3" s="67"/>
      <c r="BG3" s="67"/>
      <c r="BH3" s="366"/>
      <c r="BI3" s="6"/>
      <c r="BJ3" s="87"/>
      <c r="BK3" s="88"/>
      <c r="BL3" s="78"/>
    </row>
    <row r="4" spans="1:64" ht="12.75" customHeight="1" x14ac:dyDescent="0.2">
      <c r="A4" s="433">
        <v>1</v>
      </c>
      <c r="B4" s="131">
        <f>IF(ISBLANK(F4),"",F4)</f>
        <v>8</v>
      </c>
      <c r="C4" s="282">
        <f>IF(ISBLANK(G4),"",G4)</f>
        <v>21</v>
      </c>
      <c r="D4" s="685" t="s">
        <v>223</v>
      </c>
      <c r="E4" s="121">
        <v>1</v>
      </c>
      <c r="F4" s="23">
        <v>8</v>
      </c>
      <c r="G4" s="23">
        <v>21</v>
      </c>
      <c r="H4" s="553">
        <v>14.8</v>
      </c>
      <c r="I4" s="23">
        <f t="shared" ref="I4:I33" si="0">IF(ISBLANK(G4),"",G4-F4)</f>
        <v>13</v>
      </c>
      <c r="J4" s="6">
        <f t="shared" ref="J4:J33" si="1">IF(C4=G4,0,1)</f>
        <v>0</v>
      </c>
      <c r="K4" s="24">
        <v>36</v>
      </c>
      <c r="L4" s="24">
        <v>75</v>
      </c>
      <c r="M4" s="554">
        <v>58</v>
      </c>
      <c r="N4" s="24">
        <f t="shared" ref="N4:N33" si="2">IF(ISBLANK(K4),"",L4-K4)</f>
        <v>39</v>
      </c>
      <c r="O4" s="50">
        <f t="shared" ref="O4:O33" si="3">IF(B4=F4,0,1)</f>
        <v>0</v>
      </c>
      <c r="P4" s="24">
        <v>1027</v>
      </c>
      <c r="Q4" s="24">
        <v>1032</v>
      </c>
      <c r="R4" s="24">
        <f>IF(ISBLANK(P4),"",AVERAGE(P4:Q4))</f>
        <v>1029.5</v>
      </c>
      <c r="S4" s="24">
        <f t="shared" ref="S4:S33" si="4">IF(ISBLANK(P4),"",Q4-P4)</f>
        <v>5</v>
      </c>
      <c r="T4" s="50"/>
      <c r="U4" s="553">
        <v>3.2</v>
      </c>
      <c r="V4" s="553">
        <v>11.4</v>
      </c>
      <c r="W4" s="553">
        <v>14.7</v>
      </c>
      <c r="X4" s="485" t="s">
        <v>114</v>
      </c>
      <c r="Y4" s="72">
        <f>IF(ISBLANK(Z4),"",IF(AQ4&lt;0.5,0,IF(Z4=0,0,IF(Z4&lt;1,1,2))))</f>
        <v>0</v>
      </c>
      <c r="Z4" s="539">
        <v>0</v>
      </c>
      <c r="AA4" s="23"/>
      <c r="AB4" s="23"/>
      <c r="AC4" s="510" t="str">
        <f t="shared" ref="AC4:AC33" si="5">IF(Z4=0,"",Z4/$Z$38)</f>
        <v/>
      </c>
      <c r="AD4" s="7" t="str">
        <f t="shared" ref="AD4:AD33" si="6">IF(Z4&lt;0.3,"",Z4/AQ4)</f>
        <v/>
      </c>
      <c r="AE4" s="485"/>
      <c r="AF4" s="54"/>
      <c r="AG4" s="553">
        <v>2.2999999999999998</v>
      </c>
      <c r="AH4" s="553">
        <v>8.5</v>
      </c>
      <c r="AI4" s="553">
        <v>6.1</v>
      </c>
      <c r="AJ4" s="7">
        <f t="shared" ref="AJ4:AJ22" si="7">IF(ISBLANK(AH4),"",AH4-AG4)</f>
        <v>6.2</v>
      </c>
      <c r="AK4" s="54"/>
      <c r="AL4" s="485" t="s">
        <v>533</v>
      </c>
      <c r="AM4" s="134"/>
      <c r="AN4" s="23" t="s">
        <v>8</v>
      </c>
      <c r="AO4" s="400"/>
      <c r="AP4" s="485">
        <v>11</v>
      </c>
      <c r="AQ4" s="485">
        <v>0</v>
      </c>
      <c r="AR4" s="134"/>
      <c r="AS4" s="26">
        <f>IF(ISBLANK(F4),"",(AVERAGE($F$4:F4)))</f>
        <v>8</v>
      </c>
      <c r="AT4" s="25">
        <f>IF(ISBLANK(G4),"",(AVERAGE($G$4:G4)))</f>
        <v>21</v>
      </c>
      <c r="AU4" s="25">
        <f>IF(ISBLANK(H4),"",(AVERAGE($H$4:H4)))</f>
        <v>14.8</v>
      </c>
      <c r="AV4" s="367">
        <f>IF(ISBLANK(G4),"",(AVERAGE($I$4:I4)))</f>
        <v>13</v>
      </c>
      <c r="AW4" s="22">
        <f>IF(ISBLANK(M4),"",AVERAGE($M$4:M4))</f>
        <v>58</v>
      </c>
      <c r="AX4" s="376">
        <f>IF(ISBLANK(P4),"",(AVERAGE($R$4:R4)))</f>
        <v>1029.5</v>
      </c>
      <c r="AY4" s="368">
        <f>IF(ISBLANK(U4),"",(AVERAGE($U$4:U4)))</f>
        <v>3.2</v>
      </c>
      <c r="AZ4" s="6"/>
      <c r="BA4" s="25">
        <f>IF(ISBLANK(F4),"",F4-F91)</f>
        <v>-2.2036666666666651</v>
      </c>
      <c r="BB4" s="25">
        <f>IF(ISBLANK(G4),"",G4-G91)</f>
        <v>2.4671428571428571</v>
      </c>
      <c r="BC4" s="25">
        <f>IF(ISBLANK(G4),"",AVERAGE(BA4:BB4))</f>
        <v>0.13173809523809599</v>
      </c>
      <c r="BD4" s="367">
        <f>IF(ISBLANK(G4),"",BB4-BA4)</f>
        <v>4.6708095238095222</v>
      </c>
      <c r="BE4" s="67"/>
      <c r="BF4" s="25">
        <f>IF(ISBLANK(F4),"",AS4-AVERAGE($F$91:F91))</f>
        <v>-2.2036666666666651</v>
      </c>
      <c r="BG4" s="25">
        <f>IF(ISBLANK(G4),"",AT4-AVERAGE($G$91:G91))</f>
        <v>2.4671428571428571</v>
      </c>
      <c r="BH4" s="367">
        <f>IF(ISBLANK(G4),"",BG4-BF4)</f>
        <v>4.6708095238095222</v>
      </c>
      <c r="BI4" s="115">
        <f t="shared" ref="BI4:BI33" si="8">IF(ISBLANK(Z4),"",AB91/AA91)</f>
        <v>0</v>
      </c>
      <c r="BJ4" s="115">
        <f t="shared" ref="BJ4:BJ34" si="9">IF(ISBLANK(AP4),"",AG91/AH91)</f>
        <v>1.7544733202491805</v>
      </c>
      <c r="BK4" s="402"/>
      <c r="BL4" s="572">
        <v>1</v>
      </c>
    </row>
    <row r="5" spans="1:64" ht="12.75" customHeight="1" x14ac:dyDescent="0.2">
      <c r="A5" s="394">
        <f t="shared" ref="A5:A33" si="10">SUM(A4+1)</f>
        <v>2</v>
      </c>
      <c r="B5" s="131">
        <f t="shared" ref="B5:C34" si="11">IF(ISBLANK(F5),"",F5)</f>
        <v>10.1</v>
      </c>
      <c r="C5" s="282">
        <f t="shared" si="11"/>
        <v>22.7</v>
      </c>
      <c r="D5" s="685"/>
      <c r="E5" s="97">
        <f t="shared" ref="E5:E33" si="12">SUM(E4+1)</f>
        <v>2</v>
      </c>
      <c r="F5" s="23">
        <v>10.1</v>
      </c>
      <c r="G5" s="23">
        <v>22.7</v>
      </c>
      <c r="H5" s="553">
        <v>17.5</v>
      </c>
      <c r="I5" s="23">
        <f t="shared" si="0"/>
        <v>12.6</v>
      </c>
      <c r="J5" s="6">
        <f t="shared" si="1"/>
        <v>0</v>
      </c>
      <c r="K5" s="24">
        <v>48</v>
      </c>
      <c r="L5" s="24">
        <v>89</v>
      </c>
      <c r="M5" s="554">
        <v>65</v>
      </c>
      <c r="N5" s="24">
        <f t="shared" si="2"/>
        <v>41</v>
      </c>
      <c r="O5" s="50">
        <f t="shared" si="3"/>
        <v>0</v>
      </c>
      <c r="P5" s="24">
        <v>1031</v>
      </c>
      <c r="Q5" s="24">
        <v>1034.0000010000001</v>
      </c>
      <c r="R5" s="24">
        <f t="shared" ref="R5:R33" si="13">IF(ISBLANK(P5),"",AVERAGE(P5:Q5))</f>
        <v>1032.5000005000002</v>
      </c>
      <c r="S5" s="24">
        <f t="shared" si="4"/>
        <v>3.0000010000001112</v>
      </c>
      <c r="T5" s="50"/>
      <c r="U5" s="553">
        <v>3.6</v>
      </c>
      <c r="V5" s="553">
        <v>10.7</v>
      </c>
      <c r="W5" s="553">
        <v>17.5</v>
      </c>
      <c r="X5" s="485" t="s">
        <v>105</v>
      </c>
      <c r="Y5" s="72">
        <f t="shared" ref="Y5:Y33" si="14">IF(ISBLANK(Z5),"",IF(AQ5&lt;0.5,0,IF(Z5=0,0,IF(Z5&lt;1,1,2))))</f>
        <v>0</v>
      </c>
      <c r="Z5" s="539">
        <v>0</v>
      </c>
      <c r="AA5" s="23"/>
      <c r="AB5" s="23"/>
      <c r="AC5" s="510" t="str">
        <f t="shared" si="5"/>
        <v/>
      </c>
      <c r="AD5" s="7" t="str">
        <f t="shared" si="6"/>
        <v/>
      </c>
      <c r="AE5" s="485"/>
      <c r="AF5" s="72"/>
      <c r="AG5" s="553">
        <v>7.4</v>
      </c>
      <c r="AH5" s="553">
        <v>12.8</v>
      </c>
      <c r="AI5" s="553">
        <v>10.4</v>
      </c>
      <c r="AJ5" s="7">
        <f t="shared" si="7"/>
        <v>5.4</v>
      </c>
      <c r="AK5" s="54"/>
      <c r="AL5" s="485" t="s">
        <v>534</v>
      </c>
      <c r="AM5" s="134"/>
      <c r="AN5" s="555" t="s">
        <v>8</v>
      </c>
      <c r="AO5" s="400"/>
      <c r="AP5" s="485">
        <v>9</v>
      </c>
      <c r="AQ5" s="485">
        <v>0</v>
      </c>
      <c r="AR5" s="134"/>
      <c r="AS5" s="26">
        <f>IF(ISBLANK(F5),"",(AVERAGE($F$4:F5)))</f>
        <v>9.0500000000000007</v>
      </c>
      <c r="AT5" s="26">
        <f>IF(ISBLANK(G5),"",(AVERAGE($G$4:G5)))</f>
        <v>21.85</v>
      </c>
      <c r="AU5" s="25">
        <f>IF(ISBLANK(H5),"",(AVERAGE($H$4:H5)))</f>
        <v>16.149999999999999</v>
      </c>
      <c r="AV5" s="368">
        <f>IF(ISBLANK(G5),"",(AVERAGE($I$4:I5)))</f>
        <v>12.8</v>
      </c>
      <c r="AW5" s="22">
        <f>IF(ISBLANK(M5),"",AVERAGE($M$4:M5))</f>
        <v>61.5</v>
      </c>
      <c r="AX5" s="376">
        <f>IF(ISBLANK(P5),"",(AVERAGE($R$4:R5)))</f>
        <v>1031.0000002500001</v>
      </c>
      <c r="AY5" s="368">
        <f>IF(ISBLANK(U5),"",(AVERAGE($U$4:U5)))</f>
        <v>3.4000000000000004</v>
      </c>
      <c r="AZ5" s="6"/>
      <c r="BA5" s="25">
        <f t="shared" ref="BA5:BA34" si="15">IF(ISBLANK(F5),"",F5-F92)</f>
        <v>-0.16733333333333178</v>
      </c>
      <c r="BB5" s="25">
        <f t="shared" ref="BB5:BB34" si="16">IF(ISBLANK(G5),"",G5-G92)</f>
        <v>4.034285714285712</v>
      </c>
      <c r="BC5" s="25">
        <f>IF(ISBLANK(G5),"",AVERAGE(BA5:BB5))</f>
        <v>1.9334761904761901</v>
      </c>
      <c r="BD5" s="367">
        <f>IF(ISBLANK(G5),"",BB5-BA5)</f>
        <v>4.2016190476190438</v>
      </c>
      <c r="BE5" s="72"/>
      <c r="BF5" s="25">
        <f>IF(ISBLANK(F5),"",AS5-AVERAGE($F$91:F92))</f>
        <v>-1.1854999999999976</v>
      </c>
      <c r="BG5" s="25">
        <f>IF(ISBLANK(G5),"",AT5-AVERAGE($G$91:G92))</f>
        <v>3.2507142857142881</v>
      </c>
      <c r="BH5" s="367">
        <f t="shared" ref="BH5:BH10" si="17">IF(ISBLANK(G5),"",BG5-BF5)</f>
        <v>4.4362142857142857</v>
      </c>
      <c r="BI5" s="115">
        <f t="shared" si="8"/>
        <v>0</v>
      </c>
      <c r="BJ5" s="115">
        <f t="shared" si="9"/>
        <v>1.5934320230795169</v>
      </c>
      <c r="BK5" s="420"/>
      <c r="BL5" s="572">
        <v>2</v>
      </c>
    </row>
    <row r="6" spans="1:64" ht="12.75" customHeight="1" x14ac:dyDescent="0.2">
      <c r="A6" s="394">
        <f t="shared" si="10"/>
        <v>3</v>
      </c>
      <c r="B6" s="131">
        <f t="shared" si="11"/>
        <v>12.5</v>
      </c>
      <c r="C6" s="282">
        <f t="shared" si="11"/>
        <v>24.1</v>
      </c>
      <c r="D6" s="685"/>
      <c r="E6" s="97">
        <f t="shared" si="12"/>
        <v>3</v>
      </c>
      <c r="F6" s="23">
        <v>12.5</v>
      </c>
      <c r="G6" s="23">
        <v>24.1</v>
      </c>
      <c r="H6" s="553">
        <v>18.7</v>
      </c>
      <c r="I6" s="23">
        <f t="shared" si="0"/>
        <v>11.600000000000001</v>
      </c>
      <c r="J6" s="6">
        <f t="shared" si="1"/>
        <v>0</v>
      </c>
      <c r="K6" s="24">
        <v>39</v>
      </c>
      <c r="L6" s="24">
        <v>84</v>
      </c>
      <c r="M6" s="554">
        <v>60</v>
      </c>
      <c r="N6" s="24">
        <f t="shared" si="2"/>
        <v>45</v>
      </c>
      <c r="O6" s="50">
        <f t="shared" si="3"/>
        <v>0</v>
      </c>
      <c r="P6" s="24">
        <v>1027</v>
      </c>
      <c r="Q6" s="24">
        <v>1034</v>
      </c>
      <c r="R6" s="24">
        <f t="shared" si="13"/>
        <v>1030.5</v>
      </c>
      <c r="S6" s="24">
        <f t="shared" si="4"/>
        <v>7</v>
      </c>
      <c r="T6" s="50"/>
      <c r="U6" s="553">
        <v>6.6</v>
      </c>
      <c r="V6" s="553">
        <v>16.100000000000001</v>
      </c>
      <c r="W6" s="553">
        <v>23.7</v>
      </c>
      <c r="X6" s="485" t="s">
        <v>105</v>
      </c>
      <c r="Y6" s="72">
        <f t="shared" si="14"/>
        <v>0</v>
      </c>
      <c r="Z6" s="539">
        <v>0</v>
      </c>
      <c r="AA6" s="23"/>
      <c r="AB6" s="23"/>
      <c r="AC6" s="510" t="str">
        <f t="shared" si="5"/>
        <v/>
      </c>
      <c r="AD6" s="7" t="str">
        <f t="shared" si="6"/>
        <v/>
      </c>
      <c r="AE6" s="485"/>
      <c r="AF6" s="72"/>
      <c r="AG6" s="553">
        <v>8.1999999999999993</v>
      </c>
      <c r="AH6" s="553">
        <v>13.3</v>
      </c>
      <c r="AI6" s="553">
        <v>10.4</v>
      </c>
      <c r="AJ6" s="7">
        <f t="shared" si="7"/>
        <v>5.1000000000000014</v>
      </c>
      <c r="AK6" s="54"/>
      <c r="AL6" s="485" t="s">
        <v>450</v>
      </c>
      <c r="AM6" s="134"/>
      <c r="AN6" s="47" t="s">
        <v>253</v>
      </c>
      <c r="AO6" s="400"/>
      <c r="AP6" s="485">
        <v>14.7</v>
      </c>
      <c r="AQ6" s="485">
        <v>0</v>
      </c>
      <c r="AR6" s="134"/>
      <c r="AS6" s="26">
        <f>IF(ISBLANK(F6),"",(AVERAGE($F$4:F6)))</f>
        <v>10.200000000000001</v>
      </c>
      <c r="AT6" s="26">
        <f>IF(ISBLANK(G6),"",(AVERAGE($G$4:G6)))</f>
        <v>22.600000000000005</v>
      </c>
      <c r="AU6" s="25">
        <f>IF(ISBLANK(H6),"",(AVERAGE($H$4:H6)))</f>
        <v>17</v>
      </c>
      <c r="AV6" s="368">
        <f>IF(ISBLANK(G6),"",(AVERAGE($I$4:I6)))</f>
        <v>12.4</v>
      </c>
      <c r="AW6" s="22">
        <f>IF(ISBLANK(M6),"",AVERAGE($M$4:M6))</f>
        <v>61</v>
      </c>
      <c r="AX6" s="376">
        <f>IF(ISBLANK(P6),"",(AVERAGE($R$4:R6)))</f>
        <v>1030.8333335</v>
      </c>
      <c r="AY6" s="368">
        <f>IF(ISBLANK(U6),"",(AVERAGE($U$4:U6)))</f>
        <v>4.4666666666666668</v>
      </c>
      <c r="AZ6" s="6"/>
      <c r="BA6" s="25">
        <f t="shared" si="15"/>
        <v>2.1690000000000023</v>
      </c>
      <c r="BB6" s="25">
        <f t="shared" si="16"/>
        <v>5.3014285714285698</v>
      </c>
      <c r="BC6" s="25">
        <f>IF(ISBLANK(G6),"",AVERAGE(BA6:BB6))</f>
        <v>3.735214285714286</v>
      </c>
      <c r="BD6" s="367">
        <f t="shared" ref="BD6:BD34" si="18">IF(ISBLANK(G6),"",BB6-BA6)</f>
        <v>3.1324285714285676</v>
      </c>
      <c r="BE6" s="72"/>
      <c r="BF6" s="25">
        <f>IF(ISBLANK(F6),"",AS6-AVERAGE($F$91:F93))</f>
        <v>-6.7333333333330359E-2</v>
      </c>
      <c r="BG6" s="25">
        <f>IF(ISBLANK(G6),"",AT6-AVERAGE($G$91:G93))</f>
        <v>3.9342857142857177</v>
      </c>
      <c r="BH6" s="367">
        <f t="shared" si="17"/>
        <v>4.0016190476190481</v>
      </c>
      <c r="BI6" s="115">
        <f t="shared" si="8"/>
        <v>0</v>
      </c>
      <c r="BJ6" s="115">
        <f t="shared" si="9"/>
        <v>1.8413395217666382</v>
      </c>
      <c r="BK6" s="402"/>
      <c r="BL6" s="572">
        <v>3</v>
      </c>
    </row>
    <row r="7" spans="1:64" ht="12.75" customHeight="1" x14ac:dyDescent="0.2">
      <c r="A7" s="394">
        <f t="shared" si="10"/>
        <v>4</v>
      </c>
      <c r="B7" s="131">
        <f t="shared" si="11"/>
        <v>12.3</v>
      </c>
      <c r="C7" s="282">
        <f t="shared" si="11"/>
        <v>25.4</v>
      </c>
      <c r="D7" s="685"/>
      <c r="E7" s="97">
        <f t="shared" si="12"/>
        <v>4</v>
      </c>
      <c r="F7" s="23">
        <v>12.3</v>
      </c>
      <c r="G7" s="23">
        <v>25.4</v>
      </c>
      <c r="H7" s="553">
        <v>18.3</v>
      </c>
      <c r="I7" s="23">
        <f t="shared" si="0"/>
        <v>13.099999999999998</v>
      </c>
      <c r="J7" s="6">
        <f t="shared" si="1"/>
        <v>0</v>
      </c>
      <c r="K7" s="24">
        <v>41</v>
      </c>
      <c r="L7" s="24">
        <v>85</v>
      </c>
      <c r="M7" s="554">
        <v>64</v>
      </c>
      <c r="N7" s="24">
        <f t="shared" si="2"/>
        <v>44</v>
      </c>
      <c r="O7" s="50">
        <f t="shared" si="3"/>
        <v>0</v>
      </c>
      <c r="P7" s="24">
        <v>1018</v>
      </c>
      <c r="Q7" s="24">
        <v>1027</v>
      </c>
      <c r="R7" s="24">
        <f t="shared" si="13"/>
        <v>1022.5</v>
      </c>
      <c r="S7" s="24">
        <f t="shared" si="4"/>
        <v>9</v>
      </c>
      <c r="T7" s="50"/>
      <c r="U7" s="553">
        <v>6.5</v>
      </c>
      <c r="V7" s="553">
        <v>16.8</v>
      </c>
      <c r="W7" s="553">
        <v>27.5</v>
      </c>
      <c r="X7" s="485" t="s">
        <v>105</v>
      </c>
      <c r="Y7" s="72">
        <f t="shared" si="14"/>
        <v>0</v>
      </c>
      <c r="Z7" s="539">
        <v>0</v>
      </c>
      <c r="AA7" s="23"/>
      <c r="AB7" s="23"/>
      <c r="AC7" s="510" t="str">
        <f t="shared" si="5"/>
        <v/>
      </c>
      <c r="AD7" s="7" t="str">
        <f t="shared" si="6"/>
        <v/>
      </c>
      <c r="AE7" s="485"/>
      <c r="AF7" s="72"/>
      <c r="AG7" s="553">
        <v>8.3000000000000007</v>
      </c>
      <c r="AH7" s="553">
        <v>15.2</v>
      </c>
      <c r="AI7" s="553">
        <v>10.8</v>
      </c>
      <c r="AJ7" s="7">
        <f t="shared" si="7"/>
        <v>6.8999999999999986</v>
      </c>
      <c r="AK7" s="54"/>
      <c r="AL7" s="485" t="s">
        <v>535</v>
      </c>
      <c r="AM7" s="134"/>
      <c r="AN7" s="47" t="s">
        <v>16</v>
      </c>
      <c r="AO7" s="400"/>
      <c r="AP7" s="485">
        <v>10</v>
      </c>
      <c r="AQ7" s="485">
        <v>0</v>
      </c>
      <c r="AR7" s="134"/>
      <c r="AS7" s="26">
        <f>IF(ISBLANK(F7),"",(AVERAGE($F$4:F7)))</f>
        <v>10.725000000000001</v>
      </c>
      <c r="AT7" s="26">
        <f>IF(ISBLANK(G7),"",(AVERAGE($G$4:G7)))</f>
        <v>23.300000000000004</v>
      </c>
      <c r="AU7" s="25">
        <f>IF(ISBLANK(H7),"",(AVERAGE($H$4:H7)))</f>
        <v>17.324999999999999</v>
      </c>
      <c r="AV7" s="368">
        <f>IF(ISBLANK(G7),"",(AVERAGE($I$4:I7)))</f>
        <v>12.574999999999999</v>
      </c>
      <c r="AW7" s="22">
        <f>IF(ISBLANK(M7),"",AVERAGE($M$4:M7))</f>
        <v>61.75</v>
      </c>
      <c r="AX7" s="376">
        <f>IF(ISBLANK(P7),"",(AVERAGE($R$4:R7)))</f>
        <v>1028.750000125</v>
      </c>
      <c r="AY7" s="368">
        <f>IF(ISBLANK(U7),"",(AVERAGE($U$4:U7)))</f>
        <v>4.9749999999999996</v>
      </c>
      <c r="AZ7" s="6"/>
      <c r="BA7" s="25">
        <f t="shared" si="15"/>
        <v>1.9053333333333367</v>
      </c>
      <c r="BB7" s="25">
        <f t="shared" si="16"/>
        <v>6.4685714285714226</v>
      </c>
      <c r="BC7" s="25">
        <f t="shared" ref="BC7:BC34" si="19">IF(ISBLANK(G7),"",AVERAGE(BA7:BB7))</f>
        <v>4.1869523809523796</v>
      </c>
      <c r="BD7" s="367">
        <f t="shared" si="18"/>
        <v>4.563238095238086</v>
      </c>
      <c r="BE7" s="72"/>
      <c r="BF7" s="25">
        <f>IF(ISBLANK(F7),"",AS7-AVERAGE($F$91:F94))</f>
        <v>0.42583333333333684</v>
      </c>
      <c r="BG7" s="25">
        <f>IF(ISBLANK(G7),"",AT7-AVERAGE($G$91:G94))</f>
        <v>4.5678571428571431</v>
      </c>
      <c r="BH7" s="367">
        <f t="shared" si="17"/>
        <v>4.1420238095238062</v>
      </c>
      <c r="BI7" s="115">
        <f t="shared" si="8"/>
        <v>0</v>
      </c>
      <c r="BJ7" s="115">
        <f t="shared" si="9"/>
        <v>1.7773710236916525</v>
      </c>
      <c r="BK7" s="402"/>
      <c r="BL7" s="572">
        <v>4</v>
      </c>
    </row>
    <row r="8" spans="1:64" ht="12.75" customHeight="1" x14ac:dyDescent="0.2">
      <c r="A8" s="394">
        <f t="shared" si="10"/>
        <v>5</v>
      </c>
      <c r="B8" s="131">
        <v>12.6</v>
      </c>
      <c r="C8" s="282">
        <f t="shared" si="11"/>
        <v>18.600000000000001</v>
      </c>
      <c r="D8" s="685"/>
      <c r="E8" s="97">
        <f t="shared" si="12"/>
        <v>5</v>
      </c>
      <c r="F8" s="23">
        <v>11</v>
      </c>
      <c r="G8" s="23">
        <v>18.600000000000001</v>
      </c>
      <c r="H8" s="553">
        <v>14.4</v>
      </c>
      <c r="I8" s="23">
        <f t="shared" si="0"/>
        <v>7.6000000000000014</v>
      </c>
      <c r="J8" s="6">
        <f t="shared" si="1"/>
        <v>0</v>
      </c>
      <c r="K8" s="24">
        <v>58</v>
      </c>
      <c r="L8" s="24">
        <v>91</v>
      </c>
      <c r="M8" s="554">
        <v>75</v>
      </c>
      <c r="N8" s="24">
        <f t="shared" si="2"/>
        <v>33</v>
      </c>
      <c r="O8" s="50">
        <f t="shared" si="3"/>
        <v>1</v>
      </c>
      <c r="P8" s="24">
        <v>1008</v>
      </c>
      <c r="Q8" s="24">
        <v>1017</v>
      </c>
      <c r="R8" s="24">
        <f t="shared" si="13"/>
        <v>1012.5</v>
      </c>
      <c r="S8" s="24">
        <f t="shared" si="4"/>
        <v>9</v>
      </c>
      <c r="T8" s="50"/>
      <c r="U8" s="553">
        <v>5.6</v>
      </c>
      <c r="V8" s="553">
        <v>13.5</v>
      </c>
      <c r="W8" s="553">
        <v>19.2</v>
      </c>
      <c r="X8" s="485" t="s">
        <v>105</v>
      </c>
      <c r="Y8" s="72">
        <f t="shared" si="14"/>
        <v>2</v>
      </c>
      <c r="Z8" s="539">
        <v>7.1</v>
      </c>
      <c r="AA8" s="23">
        <v>2.5</v>
      </c>
      <c r="AB8" s="23">
        <v>0.8</v>
      </c>
      <c r="AC8" s="510">
        <f t="shared" si="5"/>
        <v>8.1050228310502292E-2</v>
      </c>
      <c r="AD8" s="7">
        <f t="shared" si="6"/>
        <v>0.88749999999999996</v>
      </c>
      <c r="AE8" s="485">
        <v>6</v>
      </c>
      <c r="AF8" s="72"/>
      <c r="AG8" s="553">
        <v>8.6999999999999993</v>
      </c>
      <c r="AH8" s="553">
        <v>11.8</v>
      </c>
      <c r="AI8" s="553">
        <v>9.9</v>
      </c>
      <c r="AJ8" s="7">
        <f t="shared" si="7"/>
        <v>3.1000000000000014</v>
      </c>
      <c r="AK8" s="54"/>
      <c r="AL8" s="485" t="s">
        <v>536</v>
      </c>
      <c r="AM8" s="134"/>
      <c r="AN8" s="23" t="s">
        <v>537</v>
      </c>
      <c r="AO8" s="400"/>
      <c r="AP8" s="485">
        <v>0.5</v>
      </c>
      <c r="AQ8" s="485">
        <v>8</v>
      </c>
      <c r="AR8" s="134"/>
      <c r="AS8" s="26">
        <f>IF(ISBLANK(F8),"",(AVERAGE($F$4:F8)))</f>
        <v>10.780000000000001</v>
      </c>
      <c r="AT8" s="26">
        <f>IF(ISBLANK(G8),"",(AVERAGE($G$4:G8)))</f>
        <v>22.360000000000003</v>
      </c>
      <c r="AU8" s="25">
        <f>IF(ISBLANK(H8),"",(AVERAGE($H$4:H8)))</f>
        <v>16.740000000000002</v>
      </c>
      <c r="AV8" s="368">
        <f>IF(ISBLANK(G8),"",(AVERAGE($I$4:I8)))</f>
        <v>11.58</v>
      </c>
      <c r="AW8" s="22">
        <f>IF(ISBLANK(M8),"",AVERAGE($M$4:M8))</f>
        <v>64.400000000000006</v>
      </c>
      <c r="AX8" s="376">
        <f>IF(ISBLANK(P8),"",(AVERAGE($R$4:R8)))</f>
        <v>1025.5000001000001</v>
      </c>
      <c r="AY8" s="368">
        <f>IF(ISBLANK(U8),"",(AVERAGE($U$4:U8)))</f>
        <v>5.0999999999999996</v>
      </c>
      <c r="AZ8" s="6"/>
      <c r="BA8" s="25">
        <f t="shared" si="15"/>
        <v>0.54166666666666963</v>
      </c>
      <c r="BB8" s="25">
        <f t="shared" si="16"/>
        <v>-0.46428571428571885</v>
      </c>
      <c r="BC8" s="25">
        <f t="shared" si="19"/>
        <v>3.8690476190475387E-2</v>
      </c>
      <c r="BD8" s="367">
        <f t="shared" si="18"/>
        <v>-1.0059523809523885</v>
      </c>
      <c r="BE8" s="72"/>
      <c r="BF8" s="25">
        <f>IF(ISBLANK(F8),"",AS8-AVERAGE($F$91:F95))</f>
        <v>0.4490000000000034</v>
      </c>
      <c r="BG8" s="25">
        <f>IF(ISBLANK(G8),"",AT8-AVERAGE($G$91:G95))</f>
        <v>3.5614285714285714</v>
      </c>
      <c r="BH8" s="367">
        <f t="shared" si="17"/>
        <v>3.112428571428568</v>
      </c>
      <c r="BI8" s="115">
        <f t="shared" si="8"/>
        <v>0.7220338983050848</v>
      </c>
      <c r="BJ8" s="115">
        <f t="shared" si="9"/>
        <v>1.4365370591885747</v>
      </c>
      <c r="BK8" s="420"/>
      <c r="BL8" s="572">
        <v>5</v>
      </c>
    </row>
    <row r="9" spans="1:64" ht="12.75" customHeight="1" x14ac:dyDescent="0.2">
      <c r="A9" s="394">
        <f t="shared" si="10"/>
        <v>6</v>
      </c>
      <c r="B9" s="131">
        <v>9.8000000000000007</v>
      </c>
      <c r="C9" s="282">
        <f t="shared" si="11"/>
        <v>15.4</v>
      </c>
      <c r="D9" s="685"/>
      <c r="E9" s="97">
        <f t="shared" si="12"/>
        <v>6</v>
      </c>
      <c r="F9" s="23">
        <v>9.4</v>
      </c>
      <c r="G9" s="23">
        <v>15.4</v>
      </c>
      <c r="H9" s="553">
        <v>12</v>
      </c>
      <c r="I9" s="23">
        <f t="shared" si="0"/>
        <v>6</v>
      </c>
      <c r="J9" s="6">
        <f t="shared" si="1"/>
        <v>0</v>
      </c>
      <c r="K9" s="24">
        <v>66</v>
      </c>
      <c r="L9" s="24">
        <v>95</v>
      </c>
      <c r="M9" s="554">
        <v>83</v>
      </c>
      <c r="N9" s="24">
        <f t="shared" si="2"/>
        <v>29</v>
      </c>
      <c r="O9" s="50">
        <f t="shared" si="3"/>
        <v>1</v>
      </c>
      <c r="P9" s="24">
        <v>1005</v>
      </c>
      <c r="Q9" s="24">
        <v>1008</v>
      </c>
      <c r="R9" s="24">
        <f t="shared" si="13"/>
        <v>1006.5</v>
      </c>
      <c r="S9" s="24">
        <f t="shared" si="4"/>
        <v>3</v>
      </c>
      <c r="T9" s="50"/>
      <c r="U9" s="553">
        <v>2.4</v>
      </c>
      <c r="V9" s="553">
        <v>9</v>
      </c>
      <c r="W9" s="553">
        <v>13.2</v>
      </c>
      <c r="X9" s="485" t="s">
        <v>113</v>
      </c>
      <c r="Y9" s="72">
        <f t="shared" si="14"/>
        <v>2</v>
      </c>
      <c r="Z9" s="539">
        <v>6</v>
      </c>
      <c r="AA9" s="23">
        <v>2.2000000000000002</v>
      </c>
      <c r="AB9" s="23">
        <v>0.8</v>
      </c>
      <c r="AC9" s="510">
        <f t="shared" si="5"/>
        <v>6.8493150684931517E-2</v>
      </c>
      <c r="AD9" s="7">
        <f t="shared" si="6"/>
        <v>0.6</v>
      </c>
      <c r="AE9" s="485">
        <v>8</v>
      </c>
      <c r="AF9" s="72"/>
      <c r="AG9" s="553">
        <v>6.3</v>
      </c>
      <c r="AH9" s="553">
        <v>10.1</v>
      </c>
      <c r="AI9" s="553">
        <v>9</v>
      </c>
      <c r="AJ9" s="7">
        <f t="shared" si="7"/>
        <v>3.8</v>
      </c>
      <c r="AK9" s="54"/>
      <c r="AL9" s="485" t="s">
        <v>505</v>
      </c>
      <c r="AM9" s="134"/>
      <c r="AN9" s="23" t="s">
        <v>538</v>
      </c>
      <c r="AO9" s="400"/>
      <c r="AP9" s="485">
        <v>1.5</v>
      </c>
      <c r="AQ9" s="485">
        <v>10</v>
      </c>
      <c r="AR9" s="134"/>
      <c r="AS9" s="26">
        <f>IF(ISBLANK(F9),"",(AVERAGE($F$4:F9)))</f>
        <v>10.55</v>
      </c>
      <c r="AT9" s="26">
        <f>IF(ISBLANK(G9),"",(AVERAGE($G$4:G9)))</f>
        <v>21.200000000000003</v>
      </c>
      <c r="AU9" s="25">
        <f>IF(ISBLANK(H9),"",(AVERAGE($H$4:H9)))</f>
        <v>15.950000000000001</v>
      </c>
      <c r="AV9" s="368">
        <f>IF(ISBLANK(G9),"",(AVERAGE($I$4:I9)))</f>
        <v>10.65</v>
      </c>
      <c r="AW9" s="22">
        <f>IF(ISBLANK(M9),"",AVERAGE($M$4:M9))</f>
        <v>67.5</v>
      </c>
      <c r="AX9" s="376">
        <f>IF(ISBLANK(P9),"",(AVERAGE($R$4:R9)))</f>
        <v>1022.3333334166667</v>
      </c>
      <c r="AY9" s="368">
        <f>IF(ISBLANK(U9),"",(AVERAGE($U$4:U9)))</f>
        <v>4.6499999999999995</v>
      </c>
      <c r="AZ9" s="6"/>
      <c r="BA9" s="25">
        <f t="shared" si="15"/>
        <v>-1.1219999999999963</v>
      </c>
      <c r="BB9" s="25">
        <f t="shared" si="16"/>
        <v>-3.7971428571428643</v>
      </c>
      <c r="BC9" s="25">
        <f t="shared" si="19"/>
        <v>-2.4595714285714303</v>
      </c>
      <c r="BD9" s="367">
        <f t="shared" si="18"/>
        <v>-2.6751428571428679</v>
      </c>
      <c r="BE9" s="72"/>
      <c r="BF9" s="25">
        <f>IF(ISBLANK(F9),"",AS9-AVERAGE($F$91:F96))</f>
        <v>0.18716666666666981</v>
      </c>
      <c r="BG9" s="25">
        <f>IF(ISBLANK(G9),"",AT9-AVERAGE($G$91:G96))</f>
        <v>2.3349999999999973</v>
      </c>
      <c r="BH9" s="367">
        <f t="shared" si="17"/>
        <v>2.1478333333333275</v>
      </c>
      <c r="BI9" s="115">
        <f t="shared" si="8"/>
        <v>1.1101694915254239</v>
      </c>
      <c r="BJ9" s="115">
        <f t="shared" si="9"/>
        <v>1.2357907388159719</v>
      </c>
      <c r="BK9" s="402"/>
      <c r="BL9" s="572">
        <v>6</v>
      </c>
    </row>
    <row r="10" spans="1:64" ht="12.75" customHeight="1" x14ac:dyDescent="0.2">
      <c r="A10" s="394">
        <f t="shared" si="10"/>
        <v>7</v>
      </c>
      <c r="B10" s="131">
        <f t="shared" si="11"/>
        <v>10.7</v>
      </c>
      <c r="C10" s="282">
        <f t="shared" si="11"/>
        <v>19.100000000000001</v>
      </c>
      <c r="D10" s="685"/>
      <c r="E10" s="97">
        <f t="shared" si="12"/>
        <v>7</v>
      </c>
      <c r="F10" s="23">
        <v>10.7</v>
      </c>
      <c r="G10" s="23">
        <v>19.100000000000001</v>
      </c>
      <c r="H10" s="553">
        <v>15</v>
      </c>
      <c r="I10" s="23">
        <f t="shared" si="0"/>
        <v>8.4000000000000021</v>
      </c>
      <c r="J10" s="6">
        <f t="shared" si="1"/>
        <v>0</v>
      </c>
      <c r="K10" s="24">
        <v>42</v>
      </c>
      <c r="L10" s="24">
        <v>84</v>
      </c>
      <c r="M10" s="554">
        <v>61</v>
      </c>
      <c r="N10" s="24">
        <f t="shared" si="2"/>
        <v>42</v>
      </c>
      <c r="O10" s="50">
        <f t="shared" si="3"/>
        <v>0</v>
      </c>
      <c r="P10" s="24">
        <v>1002</v>
      </c>
      <c r="Q10" s="24">
        <v>1005</v>
      </c>
      <c r="R10" s="24">
        <f t="shared" si="13"/>
        <v>1003.5</v>
      </c>
      <c r="S10" s="24">
        <f t="shared" si="4"/>
        <v>3</v>
      </c>
      <c r="T10" s="50"/>
      <c r="U10" s="553">
        <v>5.9</v>
      </c>
      <c r="V10" s="553">
        <v>16.100000000000001</v>
      </c>
      <c r="W10" s="553">
        <v>23.5</v>
      </c>
      <c r="X10" s="485" t="s">
        <v>110</v>
      </c>
      <c r="Y10" s="72">
        <f t="shared" si="14"/>
        <v>0</v>
      </c>
      <c r="Z10" s="539">
        <v>0</v>
      </c>
      <c r="AA10" s="23"/>
      <c r="AB10" s="23"/>
      <c r="AC10" s="510" t="str">
        <f t="shared" si="5"/>
        <v/>
      </c>
      <c r="AD10" s="7" t="str">
        <f t="shared" si="6"/>
        <v/>
      </c>
      <c r="AE10" s="485"/>
      <c r="AF10" s="72"/>
      <c r="AG10" s="553">
        <v>3.8</v>
      </c>
      <c r="AH10" s="553">
        <v>10.3</v>
      </c>
      <c r="AI10" s="553">
        <v>7.1</v>
      </c>
      <c r="AJ10" s="7">
        <f t="shared" si="7"/>
        <v>6.5000000000000009</v>
      </c>
      <c r="AK10" s="54"/>
      <c r="AL10" s="485" t="s">
        <v>539</v>
      </c>
      <c r="AM10" s="134"/>
      <c r="AN10" s="23" t="s">
        <v>8</v>
      </c>
      <c r="AO10" s="400"/>
      <c r="AP10" s="485">
        <v>8</v>
      </c>
      <c r="AQ10" s="485">
        <v>0</v>
      </c>
      <c r="AR10" s="134"/>
      <c r="AS10" s="26">
        <f>IF(ISBLANK(F10),"",(AVERAGE($F$4:F10)))</f>
        <v>10.571428571428571</v>
      </c>
      <c r="AT10" s="26">
        <f>IF(ISBLANK(G10),"",(AVERAGE($G$4:G10)))</f>
        <v>20.900000000000002</v>
      </c>
      <c r="AU10" s="25">
        <f>IF(ISBLANK(H10),"",(AVERAGE($H$4:H10)))</f>
        <v>15.814285714285715</v>
      </c>
      <c r="AV10" s="368">
        <f>IF(ISBLANK(G10),"",(AVERAGE($I$4:I10)))</f>
        <v>10.328571428571427</v>
      </c>
      <c r="AW10" s="22">
        <f>IF(ISBLANK(M10),"",AVERAGE($M$4:M10))</f>
        <v>66.571428571428569</v>
      </c>
      <c r="AX10" s="376">
        <f>IF(ISBLANK(P10),"",(AVERAGE($R$4:R10)))</f>
        <v>1019.6428572142858</v>
      </c>
      <c r="AY10" s="368">
        <f>IF(ISBLANK(U10),"",(AVERAGE($U$4:U10)))</f>
        <v>4.8285714285714283</v>
      </c>
      <c r="AZ10" s="6"/>
      <c r="BA10" s="25">
        <f t="shared" si="15"/>
        <v>0.11433333333333628</v>
      </c>
      <c r="BB10" s="25">
        <f t="shared" si="16"/>
        <v>-0.22999999999999687</v>
      </c>
      <c r="BC10" s="25">
        <f t="shared" si="19"/>
        <v>-5.7833333333330295E-2</v>
      </c>
      <c r="BD10" s="367">
        <f t="shared" si="18"/>
        <v>-0.34433333333333316</v>
      </c>
      <c r="BE10" s="72"/>
      <c r="BF10" s="25">
        <f>IF(ISBLANK(F10),"",AS10-AVERAGE($F$91:F97))</f>
        <v>0.17676190476190712</v>
      </c>
      <c r="BG10" s="25">
        <f>IF(ISBLANK(G10),"",AT10-AVERAGE($G$91:G97))</f>
        <v>1.9685714285714262</v>
      </c>
      <c r="BH10" s="367">
        <f t="shared" si="17"/>
        <v>1.7918095238095191</v>
      </c>
      <c r="BI10" s="115">
        <f t="shared" si="8"/>
        <v>0.95157384987893467</v>
      </c>
      <c r="BJ10" s="115">
        <f t="shared" si="9"/>
        <v>1.2396888194927325</v>
      </c>
      <c r="BK10" s="402"/>
      <c r="BL10" s="572">
        <v>7</v>
      </c>
    </row>
    <row r="11" spans="1:64" ht="12.75" customHeight="1" x14ac:dyDescent="0.2">
      <c r="A11" s="394">
        <f t="shared" si="10"/>
        <v>8</v>
      </c>
      <c r="B11" s="131">
        <f t="shared" si="11"/>
        <v>9.6999999999999993</v>
      </c>
      <c r="C11" s="282">
        <f t="shared" si="11"/>
        <v>18.3</v>
      </c>
      <c r="D11" s="685"/>
      <c r="E11" s="97">
        <f t="shared" si="12"/>
        <v>8</v>
      </c>
      <c r="F11" s="23">
        <v>9.6999999999999993</v>
      </c>
      <c r="G11" s="23">
        <v>18.3</v>
      </c>
      <c r="H11" s="553">
        <v>13.8</v>
      </c>
      <c r="I11" s="23">
        <f t="shared" si="0"/>
        <v>8.6000000000000014</v>
      </c>
      <c r="J11" s="6">
        <f t="shared" si="1"/>
        <v>0</v>
      </c>
      <c r="K11" s="24">
        <v>46</v>
      </c>
      <c r="L11" s="24">
        <v>79</v>
      </c>
      <c r="M11" s="554">
        <v>66</v>
      </c>
      <c r="N11" s="24">
        <f t="shared" si="2"/>
        <v>33</v>
      </c>
      <c r="O11" s="50">
        <f t="shared" si="3"/>
        <v>0</v>
      </c>
      <c r="P11" s="24">
        <v>1004</v>
      </c>
      <c r="Q11" s="24">
        <v>1009</v>
      </c>
      <c r="R11" s="24">
        <f t="shared" si="13"/>
        <v>1006.5</v>
      </c>
      <c r="S11" s="24">
        <f t="shared" si="4"/>
        <v>5</v>
      </c>
      <c r="T11" s="50"/>
      <c r="U11" s="553">
        <v>6.2</v>
      </c>
      <c r="V11" s="553">
        <v>15</v>
      </c>
      <c r="W11" s="553">
        <v>23.5</v>
      </c>
      <c r="X11" s="485" t="s">
        <v>110</v>
      </c>
      <c r="Y11" s="72">
        <f t="shared" si="14"/>
        <v>2</v>
      </c>
      <c r="Z11" s="539">
        <v>1.4</v>
      </c>
      <c r="AA11" s="23">
        <v>0.8</v>
      </c>
      <c r="AB11" s="23">
        <v>0.5</v>
      </c>
      <c r="AC11" s="510">
        <f t="shared" si="5"/>
        <v>1.5981735159817354E-2</v>
      </c>
      <c r="AD11" s="7">
        <f t="shared" si="6"/>
        <v>1.4</v>
      </c>
      <c r="AE11" s="485">
        <v>20</v>
      </c>
      <c r="AF11" s="72"/>
      <c r="AG11" s="553">
        <v>5.4</v>
      </c>
      <c r="AH11" s="553">
        <v>10</v>
      </c>
      <c r="AI11" s="553">
        <v>7.4</v>
      </c>
      <c r="AJ11" s="7">
        <f t="shared" si="7"/>
        <v>4.5999999999999996</v>
      </c>
      <c r="AK11" s="54"/>
      <c r="AL11" s="485" t="s">
        <v>540</v>
      </c>
      <c r="AM11" s="134"/>
      <c r="AN11" s="23" t="s">
        <v>541</v>
      </c>
      <c r="AO11" s="400"/>
      <c r="AP11" s="485">
        <v>5</v>
      </c>
      <c r="AQ11" s="485">
        <v>1</v>
      </c>
      <c r="AR11" s="134"/>
      <c r="AS11" s="26">
        <f>IF(ISBLANK(F11),"",(AVERAGE($F$4:F11)))</f>
        <v>10.4625</v>
      </c>
      <c r="AT11" s="26">
        <f>IF(ISBLANK(G11),"",(AVERAGE($G$4:G11)))</f>
        <v>20.575000000000003</v>
      </c>
      <c r="AU11" s="25">
        <f>IF(ISBLANK(H11),"",(AVERAGE($H$4:H11)))</f>
        <v>15.5625</v>
      </c>
      <c r="AV11" s="368">
        <f>IF(ISBLANK(G11),"",(AVERAGE($I$4:I11)))</f>
        <v>10.112500000000001</v>
      </c>
      <c r="AW11" s="22">
        <f>IF(ISBLANK(M11),"",AVERAGE($M$4:M11))</f>
        <v>66.5</v>
      </c>
      <c r="AX11" s="376">
        <f>IF(ISBLANK(P11),"",(AVERAGE($R$4:R11)))</f>
        <v>1018.0000000625</v>
      </c>
      <c r="AY11" s="368">
        <f>IF(ISBLANK(U11),"",(AVERAGE($U$4:U11)))</f>
        <v>5</v>
      </c>
      <c r="AZ11" s="6"/>
      <c r="BA11" s="25">
        <f t="shared" si="15"/>
        <v>-0.94933333333333003</v>
      </c>
      <c r="BB11" s="25">
        <f t="shared" si="16"/>
        <v>-1.1628571428571526</v>
      </c>
      <c r="BC11" s="25">
        <f t="shared" si="19"/>
        <v>-1.0560952380952413</v>
      </c>
      <c r="BD11" s="367">
        <f t="shared" si="18"/>
        <v>-0.21352380952382255</v>
      </c>
      <c r="BE11" s="72"/>
      <c r="BF11" s="25">
        <f>IF(ISBLANK(F11),"",AS11-AVERAGE($F$91:F98))</f>
        <v>3.6000000000003141E-2</v>
      </c>
      <c r="BG11" s="25">
        <f>IF(ISBLANK(G11),"",AT11-AVERAGE($G$91:G98))</f>
        <v>1.577142857142853</v>
      </c>
      <c r="BH11" s="367">
        <f t="shared" ref="BH11:BH20" si="20">IF(ISBLANK(G11),"",BG11-BF11)</f>
        <v>1.5411428571428498</v>
      </c>
      <c r="BI11" s="115">
        <f t="shared" si="8"/>
        <v>0.92161016949152552</v>
      </c>
      <c r="BJ11" s="115">
        <f t="shared" si="9"/>
        <v>1.1829466177548309</v>
      </c>
      <c r="BK11" s="420"/>
      <c r="BL11" s="572">
        <v>8</v>
      </c>
    </row>
    <row r="12" spans="1:64" ht="12.75" customHeight="1" x14ac:dyDescent="0.2">
      <c r="A12" s="394">
        <f t="shared" si="10"/>
        <v>9</v>
      </c>
      <c r="B12" s="131">
        <f t="shared" si="11"/>
        <v>9.6999999999999993</v>
      </c>
      <c r="C12" s="282">
        <f t="shared" si="11"/>
        <v>17.100000000000001</v>
      </c>
      <c r="D12" s="685"/>
      <c r="E12" s="97">
        <f t="shared" si="12"/>
        <v>9</v>
      </c>
      <c r="F12" s="23">
        <v>9.6999999999999993</v>
      </c>
      <c r="G12" s="23">
        <v>17.100000000000001</v>
      </c>
      <c r="H12" s="553">
        <v>13.7</v>
      </c>
      <c r="I12" s="23">
        <f t="shared" si="0"/>
        <v>7.4000000000000021</v>
      </c>
      <c r="J12" s="6">
        <f t="shared" si="1"/>
        <v>0</v>
      </c>
      <c r="K12" s="24">
        <v>47</v>
      </c>
      <c r="L12" s="24">
        <v>77</v>
      </c>
      <c r="M12" s="554">
        <v>62</v>
      </c>
      <c r="N12" s="24">
        <f t="shared" si="2"/>
        <v>30</v>
      </c>
      <c r="O12" s="50">
        <f t="shared" si="3"/>
        <v>0</v>
      </c>
      <c r="P12" s="24">
        <v>1009</v>
      </c>
      <c r="Q12" s="24">
        <v>1015</v>
      </c>
      <c r="R12" s="24">
        <f t="shared" si="13"/>
        <v>1012</v>
      </c>
      <c r="S12" s="24">
        <f t="shared" si="4"/>
        <v>6</v>
      </c>
      <c r="T12" s="50"/>
      <c r="U12" s="553">
        <v>5.4</v>
      </c>
      <c r="V12" s="553">
        <v>13.8</v>
      </c>
      <c r="W12" s="553">
        <v>19</v>
      </c>
      <c r="X12" s="485" t="s">
        <v>110</v>
      </c>
      <c r="Y12" s="72">
        <f t="shared" si="14"/>
        <v>1</v>
      </c>
      <c r="Z12" s="539">
        <v>0.8</v>
      </c>
      <c r="AA12" s="23" t="s">
        <v>8</v>
      </c>
      <c r="AB12" s="23">
        <v>0.8</v>
      </c>
      <c r="AC12" s="510">
        <f t="shared" si="5"/>
        <v>9.1324200913242039E-3</v>
      </c>
      <c r="AD12" s="7">
        <f t="shared" si="6"/>
        <v>1.6</v>
      </c>
      <c r="AE12" s="485">
        <v>10</v>
      </c>
      <c r="AF12" s="72"/>
      <c r="AG12" s="553">
        <v>4.7</v>
      </c>
      <c r="AH12" s="553">
        <v>9.3000000000000007</v>
      </c>
      <c r="AI12" s="553">
        <v>6.4</v>
      </c>
      <c r="AJ12" s="7">
        <f t="shared" si="7"/>
        <v>4.6000000000000005</v>
      </c>
      <c r="AK12" s="54"/>
      <c r="AL12" s="485" t="s">
        <v>542</v>
      </c>
      <c r="AM12" s="134"/>
      <c r="AN12" s="609" t="s">
        <v>543</v>
      </c>
      <c r="AO12" s="400"/>
      <c r="AP12" s="485">
        <v>7</v>
      </c>
      <c r="AQ12" s="485">
        <v>0.5</v>
      </c>
      <c r="AR12" s="134"/>
      <c r="AS12" s="26">
        <f>IF(ISBLANK(F12),"",(AVERAGE($F$4:F12)))</f>
        <v>10.377777777777778</v>
      </c>
      <c r="AT12" s="26">
        <f>IF(ISBLANK(G12),"",(AVERAGE($G$4:G12)))</f>
        <v>20.18888888888889</v>
      </c>
      <c r="AU12" s="25">
        <f>IF(ISBLANK(H12),"",(AVERAGE($H$4:H12)))</f>
        <v>15.355555555555554</v>
      </c>
      <c r="AV12" s="368">
        <f>IF(ISBLANK(G12),"",(AVERAGE($I$4:I12)))</f>
        <v>9.8111111111111118</v>
      </c>
      <c r="AW12" s="22">
        <f>IF(ISBLANK(M12),"",AVERAGE($M$4:M12))</f>
        <v>66</v>
      </c>
      <c r="AX12" s="376">
        <f>IF(ISBLANK(P12),"",(AVERAGE($R$4:R12)))</f>
        <v>1017.3333333888889</v>
      </c>
      <c r="AY12" s="368">
        <f>IF(ISBLANK(U12),"",(AVERAGE($U$4:U12)))</f>
        <v>5.0444444444444443</v>
      </c>
      <c r="AZ12" s="6"/>
      <c r="BA12" s="25">
        <f t="shared" si="15"/>
        <v>-1.0129999999999963</v>
      </c>
      <c r="BB12" s="25">
        <f t="shared" si="16"/>
        <v>-2.4957142857142962</v>
      </c>
      <c r="BC12" s="25">
        <f t="shared" si="19"/>
        <v>-1.7543571428571463</v>
      </c>
      <c r="BD12" s="367">
        <f t="shared" si="18"/>
        <v>-1.4827142857142999</v>
      </c>
      <c r="BE12" s="72"/>
      <c r="BF12" s="25">
        <f>IF(ISBLANK(F12),"",AS12-AVERAGE($F$91:F99))</f>
        <v>-8.0555555555552161E-2</v>
      </c>
      <c r="BG12" s="25">
        <f>IF(ISBLANK(G12),"",AT12-AVERAGE($G$91:G99))</f>
        <v>1.1246031746031662</v>
      </c>
      <c r="BH12" s="367">
        <f t="shared" si="20"/>
        <v>1.2051587301587183</v>
      </c>
      <c r="BI12" s="115">
        <f t="shared" si="8"/>
        <v>0.86440677966101698</v>
      </c>
      <c r="BJ12" s="115">
        <f t="shared" si="9"/>
        <v>1.1739104335668904</v>
      </c>
      <c r="BK12" s="402"/>
      <c r="BL12" s="572">
        <v>9</v>
      </c>
    </row>
    <row r="13" spans="1:64" ht="12.75" customHeight="1" x14ac:dyDescent="0.2">
      <c r="A13" s="394">
        <f t="shared" si="10"/>
        <v>10</v>
      </c>
      <c r="B13" s="131">
        <f t="shared" si="11"/>
        <v>9.1</v>
      </c>
      <c r="C13" s="282">
        <f t="shared" si="11"/>
        <v>15.1</v>
      </c>
      <c r="D13" s="685"/>
      <c r="E13" s="97">
        <f t="shared" si="12"/>
        <v>10</v>
      </c>
      <c r="F13" s="23">
        <v>9.1</v>
      </c>
      <c r="G13" s="23">
        <v>15.1</v>
      </c>
      <c r="H13" s="553">
        <v>11.6</v>
      </c>
      <c r="I13" s="23">
        <f t="shared" si="0"/>
        <v>6</v>
      </c>
      <c r="J13" s="6">
        <f t="shared" si="1"/>
        <v>0</v>
      </c>
      <c r="K13" s="24">
        <v>52</v>
      </c>
      <c r="L13" s="24">
        <v>86</v>
      </c>
      <c r="M13" s="554">
        <v>71</v>
      </c>
      <c r="N13" s="24">
        <f t="shared" si="2"/>
        <v>34</v>
      </c>
      <c r="O13" s="50">
        <f t="shared" si="3"/>
        <v>0</v>
      </c>
      <c r="P13" s="24">
        <v>1013</v>
      </c>
      <c r="Q13" s="24">
        <v>1015</v>
      </c>
      <c r="R13" s="24">
        <f t="shared" si="13"/>
        <v>1014</v>
      </c>
      <c r="S13" s="24">
        <f t="shared" si="4"/>
        <v>2</v>
      </c>
      <c r="T13" s="50"/>
      <c r="U13" s="553">
        <v>2.9</v>
      </c>
      <c r="V13" s="553">
        <v>13.8</v>
      </c>
      <c r="W13" s="553">
        <v>17</v>
      </c>
      <c r="X13" s="485" t="s">
        <v>110</v>
      </c>
      <c r="Y13" s="72">
        <f t="shared" si="14"/>
        <v>2</v>
      </c>
      <c r="Z13" s="539">
        <v>14.2</v>
      </c>
      <c r="AA13" s="23">
        <v>6.1</v>
      </c>
      <c r="AB13" s="23">
        <v>3</v>
      </c>
      <c r="AC13" s="510">
        <f t="shared" si="5"/>
        <v>0.16210045662100458</v>
      </c>
      <c r="AD13" s="7">
        <f t="shared" si="6"/>
        <v>3.55</v>
      </c>
      <c r="AE13" s="485">
        <v>50</v>
      </c>
      <c r="AF13" s="72"/>
      <c r="AG13" s="553">
        <v>2.9</v>
      </c>
      <c r="AH13" s="553">
        <v>9.1999999999999993</v>
      </c>
      <c r="AI13" s="553">
        <v>6.5</v>
      </c>
      <c r="AJ13" s="7">
        <f t="shared" si="7"/>
        <v>6.2999999999999989</v>
      </c>
      <c r="AK13" s="54"/>
      <c r="AL13" s="485" t="s">
        <v>554</v>
      </c>
      <c r="AM13" s="134"/>
      <c r="AN13" s="555" t="s">
        <v>555</v>
      </c>
      <c r="AO13" s="400"/>
      <c r="AP13" s="485">
        <v>3</v>
      </c>
      <c r="AQ13" s="485">
        <v>4</v>
      </c>
      <c r="AR13" s="134"/>
      <c r="AS13" s="26">
        <f>IF(ISBLANK(F13),"",(AVERAGE($F$4:F13)))</f>
        <v>10.25</v>
      </c>
      <c r="AT13" s="26">
        <f>IF(ISBLANK(G13),"",(AVERAGE($G$4:G13)))</f>
        <v>19.68</v>
      </c>
      <c r="AU13" s="25">
        <f>IF(ISBLANK(H13),"",(AVERAGE($H$4:H13)))</f>
        <v>14.979999999999999</v>
      </c>
      <c r="AV13" s="368">
        <f>IF(ISBLANK(G13),"",(AVERAGE($I$4:I13)))</f>
        <v>9.4300000000000015</v>
      </c>
      <c r="AW13" s="22">
        <f>IF(ISBLANK(M13),"",AVERAGE($M$4:M13))</f>
        <v>66.5</v>
      </c>
      <c r="AX13" s="376">
        <f>IF(ISBLANK(P13),"",(AVERAGE($R$4:R13)))</f>
        <v>1017.00000005</v>
      </c>
      <c r="AY13" s="368">
        <f>IF(ISBLANK(U13),"",(AVERAGE($U$4:U13)))</f>
        <v>4.83</v>
      </c>
      <c r="AZ13" s="6"/>
      <c r="BA13" s="25">
        <f t="shared" si="15"/>
        <v>-1.6766666666666623</v>
      </c>
      <c r="BB13" s="25">
        <f t="shared" si="16"/>
        <v>-4.6285714285714423</v>
      </c>
      <c r="BC13" s="25">
        <f t="shared" si="19"/>
        <v>-3.1526190476190523</v>
      </c>
      <c r="BD13" s="367">
        <f t="shared" si="18"/>
        <v>-2.95190476190478</v>
      </c>
      <c r="BE13" s="72"/>
      <c r="BF13" s="25">
        <f>IF(ISBLANK(F13),"",AS13-AVERAGE($F$91:F100))</f>
        <v>-0.24016666666666353</v>
      </c>
      <c r="BG13" s="25">
        <f>IF(ISBLANK(G13),"",AT13-AVERAGE($G$91:G100))</f>
        <v>0.5492857142857055</v>
      </c>
      <c r="BH13" s="367">
        <f t="shared" si="20"/>
        <v>0.78945238095236903</v>
      </c>
      <c r="BI13" s="115">
        <f t="shared" si="8"/>
        <v>1.5000000000000002</v>
      </c>
      <c r="BJ13" s="115">
        <f t="shared" si="9"/>
        <v>1.1032369409110576</v>
      </c>
      <c r="BK13" s="402"/>
      <c r="BL13" s="572">
        <v>10</v>
      </c>
    </row>
    <row r="14" spans="1:64" ht="12.75" customHeight="1" x14ac:dyDescent="0.2">
      <c r="A14" s="278">
        <f t="shared" si="10"/>
        <v>11</v>
      </c>
      <c r="B14" s="131">
        <f t="shared" si="11"/>
        <v>8.3000000000000007</v>
      </c>
      <c r="C14" s="282">
        <f t="shared" si="11"/>
        <v>18.8</v>
      </c>
      <c r="D14" s="685"/>
      <c r="E14" s="99">
        <f t="shared" si="12"/>
        <v>11</v>
      </c>
      <c r="F14" s="23">
        <v>8.3000000000000007</v>
      </c>
      <c r="G14" s="23">
        <v>18.8</v>
      </c>
      <c r="H14" s="553">
        <v>12.9</v>
      </c>
      <c r="I14" s="23">
        <f t="shared" si="0"/>
        <v>10.5</v>
      </c>
      <c r="J14" s="6">
        <f t="shared" si="1"/>
        <v>0</v>
      </c>
      <c r="K14" s="24">
        <v>34</v>
      </c>
      <c r="L14" s="24">
        <v>93</v>
      </c>
      <c r="M14" s="554">
        <v>63</v>
      </c>
      <c r="N14" s="24">
        <f t="shared" si="2"/>
        <v>59</v>
      </c>
      <c r="O14" s="50">
        <f t="shared" si="3"/>
        <v>0</v>
      </c>
      <c r="P14" s="24">
        <v>1014</v>
      </c>
      <c r="Q14" s="24">
        <v>1018</v>
      </c>
      <c r="R14" s="24">
        <f t="shared" si="13"/>
        <v>1016</v>
      </c>
      <c r="S14" s="24">
        <f t="shared" si="4"/>
        <v>4</v>
      </c>
      <c r="T14" s="50"/>
      <c r="U14" s="553">
        <v>3.8</v>
      </c>
      <c r="V14" s="553">
        <v>13.5</v>
      </c>
      <c r="W14" s="553">
        <v>17</v>
      </c>
      <c r="X14" s="485" t="s">
        <v>114</v>
      </c>
      <c r="Y14" s="72">
        <f t="shared" si="14"/>
        <v>2</v>
      </c>
      <c r="Z14" s="539">
        <v>3.3</v>
      </c>
      <c r="AA14" s="23">
        <v>1.7</v>
      </c>
      <c r="AB14" s="23">
        <v>0.5</v>
      </c>
      <c r="AC14" s="510">
        <f t="shared" si="5"/>
        <v>3.7671232876712334E-2</v>
      </c>
      <c r="AD14" s="7">
        <f t="shared" si="6"/>
        <v>1.3199999999999998</v>
      </c>
      <c r="AE14" s="485">
        <v>4</v>
      </c>
      <c r="AF14" s="72"/>
      <c r="AG14" s="553">
        <v>1.9</v>
      </c>
      <c r="AH14" s="553">
        <v>9.6999999999999993</v>
      </c>
      <c r="AI14" s="553">
        <v>6.1</v>
      </c>
      <c r="AJ14" s="7">
        <f t="shared" si="7"/>
        <v>7.7999999999999989</v>
      </c>
      <c r="AK14" s="54"/>
      <c r="AL14" s="485" t="s">
        <v>361</v>
      </c>
      <c r="AM14" s="134"/>
      <c r="AN14" s="555" t="s">
        <v>556</v>
      </c>
      <c r="AO14" s="400"/>
      <c r="AP14" s="485">
        <v>6</v>
      </c>
      <c r="AQ14" s="485">
        <v>2.5</v>
      </c>
      <c r="AR14" s="134"/>
      <c r="AS14" s="26">
        <f>IF(ISBLANK(F14),"",(AVERAGE($F$4:F14)))</f>
        <v>10.072727272727272</v>
      </c>
      <c r="AT14" s="26">
        <f>IF(ISBLANK(G14),"",(AVERAGE($G$4:G14)))</f>
        <v>19.600000000000001</v>
      </c>
      <c r="AU14" s="25">
        <f>IF(ISBLANK(H14),"",(AVERAGE($H$4:H14)))</f>
        <v>14.790909090909089</v>
      </c>
      <c r="AV14" s="368">
        <f>IF(ISBLANK(G14),"",(AVERAGE($I$4:I14)))</f>
        <v>9.5272727272727291</v>
      </c>
      <c r="AW14" s="22">
        <f>IF(ISBLANK(M14),"",AVERAGE($M$4:M14))</f>
        <v>66.181818181818187</v>
      </c>
      <c r="AX14" s="376">
        <f>IF(ISBLANK(P14),"",(AVERAGE($R$4:R14)))</f>
        <v>1016.9090909545455</v>
      </c>
      <c r="AY14" s="368">
        <f>IF(ISBLANK(U14),"",(AVERAGE($U$4:U14)))</f>
        <v>4.7363636363636354</v>
      </c>
      <c r="AZ14" s="6"/>
      <c r="BA14" s="25">
        <f t="shared" si="15"/>
        <v>-2.5403333333333276</v>
      </c>
      <c r="BB14" s="25">
        <f t="shared" si="16"/>
        <v>-1.0614285714285856</v>
      </c>
      <c r="BC14" s="25">
        <f t="shared" si="19"/>
        <v>-1.8008809523809566</v>
      </c>
      <c r="BD14" s="367">
        <f t="shared" si="18"/>
        <v>1.478904761904742</v>
      </c>
      <c r="BE14" s="72"/>
      <c r="BF14" s="25">
        <f>IF(ISBLANK(F14),"",AS14-AVERAGE($F$91:F101))</f>
        <v>-0.44927272727272438</v>
      </c>
      <c r="BG14" s="25">
        <f>IF(ISBLANK(G14),"",AT14-AVERAGE($G$91:G101))</f>
        <v>0.40285714285713681</v>
      </c>
      <c r="BH14" s="367">
        <f t="shared" si="20"/>
        <v>0.85212987012986119</v>
      </c>
      <c r="BI14" s="115">
        <f t="shared" si="8"/>
        <v>1.5161787365177195</v>
      </c>
      <c r="BJ14" s="115">
        <f t="shared" si="9"/>
        <v>1.0885220787199086</v>
      </c>
      <c r="BK14" s="402"/>
      <c r="BL14" s="572">
        <v>11</v>
      </c>
    </row>
    <row r="15" spans="1:64" ht="12.75" customHeight="1" x14ac:dyDescent="0.2">
      <c r="A15" s="278">
        <f t="shared" si="10"/>
        <v>12</v>
      </c>
      <c r="B15" s="131">
        <f t="shared" si="11"/>
        <v>8.5</v>
      </c>
      <c r="C15" s="282">
        <v>13.4</v>
      </c>
      <c r="D15" s="685"/>
      <c r="E15" s="99">
        <f t="shared" si="12"/>
        <v>12</v>
      </c>
      <c r="F15" s="23">
        <v>8.5</v>
      </c>
      <c r="G15" s="23">
        <v>14.4</v>
      </c>
      <c r="H15" s="553">
        <v>11.9</v>
      </c>
      <c r="I15" s="23">
        <f t="shared" si="0"/>
        <v>5.9</v>
      </c>
      <c r="J15" s="6">
        <f t="shared" si="1"/>
        <v>1</v>
      </c>
      <c r="K15" s="24">
        <v>67</v>
      </c>
      <c r="L15" s="24">
        <v>94</v>
      </c>
      <c r="M15" s="554">
        <v>80</v>
      </c>
      <c r="N15" s="24">
        <f t="shared" si="2"/>
        <v>27</v>
      </c>
      <c r="O15" s="50">
        <f t="shared" si="3"/>
        <v>0</v>
      </c>
      <c r="P15" s="24">
        <v>1008</v>
      </c>
      <c r="Q15" s="24">
        <v>1018</v>
      </c>
      <c r="R15" s="24">
        <f t="shared" si="13"/>
        <v>1013</v>
      </c>
      <c r="S15" s="24">
        <f t="shared" si="4"/>
        <v>10</v>
      </c>
      <c r="T15" s="50"/>
      <c r="U15" s="553">
        <v>5.7</v>
      </c>
      <c r="V15" s="553">
        <v>15.6</v>
      </c>
      <c r="W15" s="553">
        <v>22.5</v>
      </c>
      <c r="X15" s="485" t="s">
        <v>111</v>
      </c>
      <c r="Y15" s="72">
        <f t="shared" si="14"/>
        <v>2</v>
      </c>
      <c r="Z15" s="539">
        <v>7.1</v>
      </c>
      <c r="AA15" s="23">
        <v>2.5</v>
      </c>
      <c r="AB15" s="23">
        <v>0.8</v>
      </c>
      <c r="AC15" s="510">
        <f t="shared" si="5"/>
        <v>8.1050228310502292E-2</v>
      </c>
      <c r="AD15" s="7">
        <f t="shared" si="6"/>
        <v>0.88749999999999996</v>
      </c>
      <c r="AE15" s="485">
        <v>8</v>
      </c>
      <c r="AF15" s="72"/>
      <c r="AG15" s="553">
        <v>3.9</v>
      </c>
      <c r="AH15" s="553">
        <v>13.4</v>
      </c>
      <c r="AI15" s="553">
        <v>8.6</v>
      </c>
      <c r="AJ15" s="7">
        <f t="shared" si="7"/>
        <v>9.5</v>
      </c>
      <c r="AK15" s="54"/>
      <c r="AL15" s="555" t="s">
        <v>557</v>
      </c>
      <c r="AM15" s="134"/>
      <c r="AN15" s="555" t="s">
        <v>558</v>
      </c>
      <c r="AO15" s="400"/>
      <c r="AP15" s="485">
        <v>1.5</v>
      </c>
      <c r="AQ15" s="485">
        <v>8</v>
      </c>
      <c r="AR15" s="134"/>
      <c r="AS15" s="26">
        <f>IF(ISBLANK(F15),"",(AVERAGE($F$4:F15)))</f>
        <v>9.9416666666666664</v>
      </c>
      <c r="AT15" s="26">
        <f>IF(ISBLANK(G15),"",(AVERAGE($G$4:G15)))</f>
        <v>19.166666666666668</v>
      </c>
      <c r="AU15" s="25">
        <f>IF(ISBLANK(H15),"",(AVERAGE($H$4:H15)))</f>
        <v>14.549999999999999</v>
      </c>
      <c r="AV15" s="368">
        <f>IF(ISBLANK(G15),"",(AVERAGE($I$4:I15)))</f>
        <v>9.2250000000000014</v>
      </c>
      <c r="AW15" s="22">
        <f>IF(ISBLANK(M15),"",AVERAGE($M$4:M15))</f>
        <v>67.333333333333329</v>
      </c>
      <c r="AX15" s="376">
        <f>IF(ISBLANK(P15),"",(AVERAGE($R$4:R15)))</f>
        <v>1016.5833333750001</v>
      </c>
      <c r="AY15" s="368">
        <f>IF(ISBLANK(U15),"",(AVERAGE($U$4:U15)))</f>
        <v>4.8166666666666664</v>
      </c>
      <c r="AZ15" s="6"/>
      <c r="BA15" s="25">
        <f t="shared" si="15"/>
        <v>-2.4039999999999946</v>
      </c>
      <c r="BB15" s="25">
        <f t="shared" si="16"/>
        <v>-5.5942857142857303</v>
      </c>
      <c r="BC15" s="25">
        <f t="shared" si="19"/>
        <v>-3.9991428571428624</v>
      </c>
      <c r="BD15" s="367">
        <f t="shared" si="18"/>
        <v>-3.1902857142857357</v>
      </c>
      <c r="BE15" s="72"/>
      <c r="BF15" s="25">
        <f>IF(ISBLANK(F15),"",AS15-AVERAGE($F$91:F102))</f>
        <v>-0.61216666666666342</v>
      </c>
      <c r="BG15" s="25">
        <f>IF(ISBLANK(G15),"",AT15-AVERAGE($G$91:G102))</f>
        <v>-9.6904761904767156E-2</v>
      </c>
      <c r="BH15" s="367">
        <f t="shared" si="20"/>
        <v>0.51526190476189626</v>
      </c>
      <c r="BI15" s="115">
        <f t="shared" si="8"/>
        <v>1.6906779661016951</v>
      </c>
      <c r="BJ15" s="115">
        <f t="shared" si="9"/>
        <v>1.0169085218922305</v>
      </c>
      <c r="BK15" s="402"/>
      <c r="BL15" s="572">
        <v>12</v>
      </c>
    </row>
    <row r="16" spans="1:64" ht="12.75" customHeight="1" x14ac:dyDescent="0.2">
      <c r="A16" s="394">
        <f t="shared" si="10"/>
        <v>13</v>
      </c>
      <c r="B16" s="131">
        <v>13.3</v>
      </c>
      <c r="C16" s="282">
        <f t="shared" si="11"/>
        <v>21.3</v>
      </c>
      <c r="D16" s="685"/>
      <c r="E16" s="97">
        <f t="shared" si="12"/>
        <v>13</v>
      </c>
      <c r="F16" s="23">
        <v>13.8</v>
      </c>
      <c r="G16" s="23">
        <v>21.3</v>
      </c>
      <c r="H16" s="553">
        <v>17.100000000000001</v>
      </c>
      <c r="I16" s="23">
        <f t="shared" si="0"/>
        <v>7.5</v>
      </c>
      <c r="J16" s="6">
        <f t="shared" si="1"/>
        <v>0</v>
      </c>
      <c r="K16" s="24">
        <v>49</v>
      </c>
      <c r="L16" s="24">
        <v>95</v>
      </c>
      <c r="M16" s="554">
        <v>75</v>
      </c>
      <c r="N16" s="24">
        <f t="shared" si="2"/>
        <v>46</v>
      </c>
      <c r="O16" s="50">
        <f t="shared" si="3"/>
        <v>1</v>
      </c>
      <c r="P16" s="24">
        <v>1008</v>
      </c>
      <c r="Q16" s="24">
        <v>1017</v>
      </c>
      <c r="R16" s="24">
        <f t="shared" si="13"/>
        <v>1012.5</v>
      </c>
      <c r="S16" s="24">
        <f t="shared" si="4"/>
        <v>9</v>
      </c>
      <c r="T16" s="50"/>
      <c r="U16" s="553">
        <v>6.5</v>
      </c>
      <c r="V16" s="553">
        <v>13.2</v>
      </c>
      <c r="W16" s="553">
        <v>17.600000000000001</v>
      </c>
      <c r="X16" s="485" t="s">
        <v>110</v>
      </c>
      <c r="Y16" s="72">
        <f t="shared" si="14"/>
        <v>1</v>
      </c>
      <c r="Z16" s="539">
        <v>0.8</v>
      </c>
      <c r="AA16" s="23">
        <v>0.8</v>
      </c>
      <c r="AB16" s="23">
        <v>0.3</v>
      </c>
      <c r="AC16" s="510">
        <f t="shared" si="5"/>
        <v>9.1324200913242039E-3</v>
      </c>
      <c r="AD16" s="7">
        <f t="shared" si="6"/>
        <v>1.142857142857143</v>
      </c>
      <c r="AE16" s="485">
        <v>1.3</v>
      </c>
      <c r="AF16" s="72"/>
      <c r="AG16" s="553">
        <v>7.7</v>
      </c>
      <c r="AH16" s="553">
        <v>15.1</v>
      </c>
      <c r="AI16" s="553">
        <v>12.3</v>
      </c>
      <c r="AJ16" s="7">
        <f t="shared" si="7"/>
        <v>7.3999999999999995</v>
      </c>
      <c r="AK16" s="54"/>
      <c r="AL16" s="485" t="s">
        <v>559</v>
      </c>
      <c r="AM16" s="134"/>
      <c r="AN16" s="609" t="s">
        <v>560</v>
      </c>
      <c r="AO16" s="400"/>
      <c r="AP16" s="485">
        <v>5</v>
      </c>
      <c r="AQ16" s="485">
        <v>0.7</v>
      </c>
      <c r="AR16" s="134"/>
      <c r="AS16" s="26">
        <f>IF(ISBLANK(F16),"",(AVERAGE($F$4:F16)))</f>
        <v>10.238461538461538</v>
      </c>
      <c r="AT16" s="26">
        <f>IF(ISBLANK(G16),"",(AVERAGE($G$4:G16)))</f>
        <v>19.330769230769235</v>
      </c>
      <c r="AU16" s="25">
        <f>IF(ISBLANK(H16),"",(AVERAGE($H$4:H16)))</f>
        <v>14.746153846153845</v>
      </c>
      <c r="AV16" s="368">
        <f>IF(ISBLANK(G16),"",(AVERAGE($I$4:I16)))</f>
        <v>9.0923076923076938</v>
      </c>
      <c r="AW16" s="22">
        <f>IF(ISBLANK(M16),"",AVERAGE($M$4:M16))</f>
        <v>67.92307692307692</v>
      </c>
      <c r="AX16" s="376">
        <f>IF(ISBLANK(P16),"",(AVERAGE($R$4:R16)))</f>
        <v>1016.2692308076923</v>
      </c>
      <c r="AY16" s="368">
        <f>IF(ISBLANK(U16),"",(AVERAGE($U$4:U16)))</f>
        <v>4.9461538461538463</v>
      </c>
      <c r="AZ16" s="6"/>
      <c r="BA16" s="25">
        <f t="shared" si="15"/>
        <v>2.8323333333333398</v>
      </c>
      <c r="BB16" s="25">
        <f t="shared" si="16"/>
        <v>1.1728571428571257</v>
      </c>
      <c r="BC16" s="25">
        <f t="shared" si="19"/>
        <v>2.0025952380952328</v>
      </c>
      <c r="BD16" s="367">
        <f t="shared" si="18"/>
        <v>-1.6594761904762141</v>
      </c>
      <c r="BE16" s="72"/>
      <c r="BF16" s="25">
        <f>IF(ISBLANK(F16),"",AS16-AVERAGE($F$91:F103))</f>
        <v>-0.34720512820512717</v>
      </c>
      <c r="BG16" s="25">
        <f>IF(ISBLANK(G16),"",AT16-AVERAGE($G$91:G103))</f>
        <v>7.6923076922597033E-4</v>
      </c>
      <c r="BH16" s="367">
        <f t="shared" si="20"/>
        <v>0.34797435897435314</v>
      </c>
      <c r="BI16" s="115">
        <f t="shared" si="8"/>
        <v>1.5919165580182528</v>
      </c>
      <c r="BJ16" s="115">
        <f t="shared" si="9"/>
        <v>0.99884921473796284</v>
      </c>
      <c r="BK16" s="402"/>
      <c r="BL16" s="572">
        <v>13</v>
      </c>
    </row>
    <row r="17" spans="1:64" ht="12.75" customHeight="1" x14ac:dyDescent="0.2">
      <c r="A17" s="394">
        <f t="shared" si="10"/>
        <v>14</v>
      </c>
      <c r="B17" s="131">
        <f t="shared" si="11"/>
        <v>10.6</v>
      </c>
      <c r="C17" s="282">
        <f t="shared" si="11"/>
        <v>23.4</v>
      </c>
      <c r="D17" s="685"/>
      <c r="E17" s="97">
        <f t="shared" si="12"/>
        <v>14</v>
      </c>
      <c r="F17" s="23">
        <v>10.6</v>
      </c>
      <c r="G17" s="23">
        <v>23.4</v>
      </c>
      <c r="H17" s="553">
        <v>17.5</v>
      </c>
      <c r="I17" s="23">
        <f t="shared" si="0"/>
        <v>12.799999999999999</v>
      </c>
      <c r="J17" s="6">
        <f t="shared" si="1"/>
        <v>0</v>
      </c>
      <c r="K17" s="24">
        <v>36</v>
      </c>
      <c r="L17" s="24">
        <v>80</v>
      </c>
      <c r="M17" s="554">
        <v>58</v>
      </c>
      <c r="N17" s="24">
        <f t="shared" si="2"/>
        <v>44</v>
      </c>
      <c r="O17" s="50">
        <f t="shared" si="3"/>
        <v>0</v>
      </c>
      <c r="P17" s="24">
        <v>1016</v>
      </c>
      <c r="Q17" s="24">
        <v>1019</v>
      </c>
      <c r="R17" s="24">
        <f t="shared" si="13"/>
        <v>1017.5</v>
      </c>
      <c r="S17" s="24">
        <f t="shared" si="4"/>
        <v>3</v>
      </c>
      <c r="T17" s="50"/>
      <c r="U17" s="553">
        <v>3.7</v>
      </c>
      <c r="V17" s="553">
        <v>10.199999999999999</v>
      </c>
      <c r="W17" s="553">
        <v>13</v>
      </c>
      <c r="X17" s="562" t="s">
        <v>110</v>
      </c>
      <c r="Y17" s="72">
        <f t="shared" si="14"/>
        <v>0</v>
      </c>
      <c r="Z17" s="539">
        <v>0</v>
      </c>
      <c r="AA17" s="23"/>
      <c r="AB17" s="23"/>
      <c r="AC17" s="510" t="str">
        <f t="shared" si="5"/>
        <v/>
      </c>
      <c r="AD17" s="7" t="str">
        <f t="shared" si="6"/>
        <v/>
      </c>
      <c r="AE17" s="485"/>
      <c r="AF17" s="72"/>
      <c r="AG17" s="553">
        <v>7</v>
      </c>
      <c r="AH17" s="553">
        <v>11.3</v>
      </c>
      <c r="AI17" s="553">
        <v>8.6</v>
      </c>
      <c r="AJ17" s="26">
        <f t="shared" si="7"/>
        <v>4.3000000000000007</v>
      </c>
      <c r="AK17" s="54"/>
      <c r="AL17" s="485" t="s">
        <v>561</v>
      </c>
      <c r="AM17" s="134"/>
      <c r="AN17" s="555" t="s">
        <v>8</v>
      </c>
      <c r="AO17" s="400"/>
      <c r="AP17" s="485">
        <v>13</v>
      </c>
      <c r="AQ17" s="485">
        <v>0</v>
      </c>
      <c r="AR17" s="134"/>
      <c r="AS17" s="26">
        <f>IF(ISBLANK(F17),"",(AVERAGE($F$4:F17)))</f>
        <v>10.264285714285714</v>
      </c>
      <c r="AT17" s="26">
        <f>IF(ISBLANK(G17),"",(AVERAGE($G$4:G17)))</f>
        <v>19.621428571428574</v>
      </c>
      <c r="AU17" s="25">
        <f>IF(ISBLANK(H17),"",(AVERAGE($H$4:H17)))</f>
        <v>14.942857142857141</v>
      </c>
      <c r="AV17" s="368">
        <f>IF(ISBLANK(G17),"",(AVERAGE($I$4:I17)))</f>
        <v>9.3571428571428594</v>
      </c>
      <c r="AW17" s="22">
        <f>IF(ISBLANK(M17),"",AVERAGE($M$4:M17))</f>
        <v>67.214285714285708</v>
      </c>
      <c r="AX17" s="376">
        <f>IF(ISBLANK(P17),"",(AVERAGE($R$4:R17)))</f>
        <v>1016.3571428928572</v>
      </c>
      <c r="AY17" s="368">
        <f>IF(ISBLANK(U17),"",(AVERAGE($U$4:U17)))</f>
        <v>4.8571428571428568</v>
      </c>
      <c r="AZ17" s="6"/>
      <c r="BA17" s="25">
        <f t="shared" si="15"/>
        <v>-0.43133333333332757</v>
      </c>
      <c r="BB17" s="25">
        <f t="shared" si="16"/>
        <v>3.139999999999997</v>
      </c>
      <c r="BC17" s="25">
        <f t="shared" si="19"/>
        <v>1.3543333333333347</v>
      </c>
      <c r="BD17" s="367">
        <f t="shared" si="18"/>
        <v>3.5713333333333246</v>
      </c>
      <c r="BE17" s="72"/>
      <c r="BF17" s="25">
        <f>IF(ISBLANK(F17),"",AS17-AVERAGE($F$91:F104))</f>
        <v>-0.35321428571428193</v>
      </c>
      <c r="BG17" s="25">
        <f>IF(ISBLANK(G17),"",AT17-AVERAGE($G$91:G104))</f>
        <v>0.22499999999999432</v>
      </c>
      <c r="BH17" s="367">
        <f t="shared" si="20"/>
        <v>0.57821428571427624</v>
      </c>
      <c r="BI17" s="115">
        <f t="shared" si="8"/>
        <v>1.4782082324455206</v>
      </c>
      <c r="BJ17" s="115">
        <f t="shared" si="9"/>
        <v>1.0735442629422112</v>
      </c>
      <c r="BK17" s="402"/>
      <c r="BL17" s="572">
        <v>14</v>
      </c>
    </row>
    <row r="18" spans="1:64" ht="12.75" customHeight="1" x14ac:dyDescent="0.2">
      <c r="A18" s="394">
        <f t="shared" si="10"/>
        <v>15</v>
      </c>
      <c r="B18" s="131">
        <f t="shared" si="11"/>
        <v>14.9</v>
      </c>
      <c r="C18" s="282">
        <f t="shared" si="11"/>
        <v>20</v>
      </c>
      <c r="D18" s="685"/>
      <c r="E18" s="97">
        <f t="shared" si="12"/>
        <v>15</v>
      </c>
      <c r="F18" s="23">
        <v>14.9</v>
      </c>
      <c r="G18" s="23">
        <v>20</v>
      </c>
      <c r="H18" s="553">
        <v>17.2</v>
      </c>
      <c r="I18" s="23">
        <f t="shared" si="0"/>
        <v>5.0999999999999996</v>
      </c>
      <c r="J18" s="6">
        <f t="shared" si="1"/>
        <v>0</v>
      </c>
      <c r="K18" s="24">
        <v>62</v>
      </c>
      <c r="L18" s="24">
        <v>83</v>
      </c>
      <c r="M18" s="554">
        <v>72</v>
      </c>
      <c r="N18" s="24">
        <f t="shared" si="2"/>
        <v>21</v>
      </c>
      <c r="O18" s="50">
        <f t="shared" si="3"/>
        <v>0</v>
      </c>
      <c r="P18" s="24">
        <v>1012</v>
      </c>
      <c r="Q18" s="24">
        <v>1016</v>
      </c>
      <c r="R18" s="24">
        <f t="shared" si="13"/>
        <v>1014</v>
      </c>
      <c r="S18" s="24">
        <f t="shared" si="4"/>
        <v>4</v>
      </c>
      <c r="T18" s="50"/>
      <c r="U18" s="553">
        <v>5.9</v>
      </c>
      <c r="V18" s="553">
        <v>14</v>
      </c>
      <c r="W18" s="553">
        <v>19</v>
      </c>
      <c r="X18" s="485" t="s">
        <v>110</v>
      </c>
      <c r="Y18" s="72">
        <f t="shared" si="14"/>
        <v>0</v>
      </c>
      <c r="Z18" s="539">
        <v>0</v>
      </c>
      <c r="AA18" s="23"/>
      <c r="AB18" s="23"/>
      <c r="AC18" s="510" t="str">
        <f t="shared" si="5"/>
        <v/>
      </c>
      <c r="AD18" s="7" t="str">
        <f t="shared" si="6"/>
        <v/>
      </c>
      <c r="AE18" s="485"/>
      <c r="AF18" s="72"/>
      <c r="AG18" s="553">
        <v>9.1</v>
      </c>
      <c r="AH18" s="553">
        <v>14.2</v>
      </c>
      <c r="AI18" s="553">
        <v>11.9</v>
      </c>
      <c r="AJ18" s="26">
        <f t="shared" si="7"/>
        <v>5.0999999999999996</v>
      </c>
      <c r="AK18" s="54"/>
      <c r="AL18" s="485" t="s">
        <v>562</v>
      </c>
      <c r="AM18" s="134"/>
      <c r="AN18" s="566" t="s">
        <v>563</v>
      </c>
      <c r="AO18" s="400"/>
      <c r="AP18" s="485">
        <v>1</v>
      </c>
      <c r="AQ18" s="485">
        <v>0</v>
      </c>
      <c r="AR18" s="134"/>
      <c r="AS18" s="26">
        <f>IF(ISBLANK(F18),"",(AVERAGE($F$4:F18)))</f>
        <v>10.573333333333332</v>
      </c>
      <c r="AT18" s="26">
        <f>IF(ISBLANK(G18),"",(AVERAGE($G$4:G18)))</f>
        <v>19.646666666666668</v>
      </c>
      <c r="AU18" s="25">
        <f>IF(ISBLANK(H18),"",(AVERAGE($H$4:H18)))</f>
        <v>15.093333333333332</v>
      </c>
      <c r="AV18" s="368">
        <f>IF(ISBLANK(G18),"",(AVERAGE($I$4:I18)))</f>
        <v>9.0733333333333341</v>
      </c>
      <c r="AW18" s="22">
        <f>IF(ISBLANK(M18),"",AVERAGE($M$4:M18))</f>
        <v>67.533333333333331</v>
      </c>
      <c r="AX18" s="376">
        <f>IF(ISBLANK(P18),"",(AVERAGE($R$4:R18)))</f>
        <v>1016.2000000333334</v>
      </c>
      <c r="AY18" s="368">
        <f>IF(ISBLANK(U18),"",(AVERAGE($U$4:U18)))</f>
        <v>4.9266666666666667</v>
      </c>
      <c r="AZ18" s="6"/>
      <c r="BA18" s="25">
        <f t="shared" si="15"/>
        <v>3.8049999999999997</v>
      </c>
      <c r="BB18" s="25">
        <f t="shared" si="16"/>
        <v>-0.34375</v>
      </c>
      <c r="BC18" s="25">
        <f t="shared" si="19"/>
        <v>1.7306249999999999</v>
      </c>
      <c r="BD18" s="367">
        <f t="shared" si="18"/>
        <v>-4.1487499999999997</v>
      </c>
      <c r="BE18" s="72"/>
      <c r="BF18" s="25">
        <f>IF(ISBLANK(F18),"",AS18-AVERAGE($F$91:F105))</f>
        <v>-7.5999999999996959E-2</v>
      </c>
      <c r="BG18" s="25">
        <f>IF(ISBLANK(G18),"",AT18-AVERAGE($G$91:G105))</f>
        <v>0.18708333333332661</v>
      </c>
      <c r="BH18" s="367">
        <f t="shared" si="20"/>
        <v>0.26308333333332357</v>
      </c>
      <c r="BI18" s="115">
        <f t="shared" si="8"/>
        <v>1.3796610169491523</v>
      </c>
      <c r="BJ18" s="115">
        <f t="shared" si="9"/>
        <v>1.0119253039094394</v>
      </c>
      <c r="BK18" s="402"/>
      <c r="BL18" s="572">
        <v>15</v>
      </c>
    </row>
    <row r="19" spans="1:64" ht="12.75" customHeight="1" x14ac:dyDescent="0.2">
      <c r="A19" s="394">
        <f t="shared" si="10"/>
        <v>16</v>
      </c>
      <c r="B19" s="131">
        <v>13.8</v>
      </c>
      <c r="C19" s="282">
        <f t="shared" si="11"/>
        <v>17.3</v>
      </c>
      <c r="D19" s="685"/>
      <c r="E19" s="97">
        <f t="shared" si="12"/>
        <v>16</v>
      </c>
      <c r="F19" s="23">
        <v>10.6</v>
      </c>
      <c r="G19" s="23">
        <v>17.3</v>
      </c>
      <c r="H19" s="553">
        <v>14.2</v>
      </c>
      <c r="I19" s="23">
        <f t="shared" si="0"/>
        <v>6.7000000000000011</v>
      </c>
      <c r="J19" s="6">
        <f t="shared" si="1"/>
        <v>0</v>
      </c>
      <c r="K19" s="24">
        <v>52</v>
      </c>
      <c r="L19" s="24">
        <v>90</v>
      </c>
      <c r="M19" s="554">
        <v>78</v>
      </c>
      <c r="N19" s="24">
        <f t="shared" si="2"/>
        <v>38</v>
      </c>
      <c r="O19" s="50">
        <f t="shared" si="3"/>
        <v>1</v>
      </c>
      <c r="P19" s="24">
        <v>1009</v>
      </c>
      <c r="Q19" s="24">
        <v>1013</v>
      </c>
      <c r="R19" s="24">
        <f t="shared" si="13"/>
        <v>1011</v>
      </c>
      <c r="S19" s="24">
        <f t="shared" si="4"/>
        <v>4</v>
      </c>
      <c r="T19" s="50"/>
      <c r="U19" s="553">
        <v>5.0999999999999996</v>
      </c>
      <c r="V19" s="553">
        <v>15.2</v>
      </c>
      <c r="W19" s="553">
        <v>23.2</v>
      </c>
      <c r="X19" s="485" t="s">
        <v>110</v>
      </c>
      <c r="Y19" s="72">
        <f t="shared" si="14"/>
        <v>2</v>
      </c>
      <c r="Z19" s="539">
        <v>14.7</v>
      </c>
      <c r="AA19" s="23">
        <v>8.5</v>
      </c>
      <c r="AB19" s="23"/>
      <c r="AC19" s="510">
        <f t="shared" si="5"/>
        <v>0.16780821917808222</v>
      </c>
      <c r="AD19" s="7">
        <f t="shared" si="6"/>
        <v>3.6749999999999998</v>
      </c>
      <c r="AE19" s="485"/>
      <c r="AF19" s="72"/>
      <c r="AG19" s="553">
        <v>6</v>
      </c>
      <c r="AH19" s="553">
        <v>12.2</v>
      </c>
      <c r="AI19" s="553">
        <v>10.199999999999999</v>
      </c>
      <c r="AJ19" s="26">
        <f t="shared" si="7"/>
        <v>6.1999999999999993</v>
      </c>
      <c r="AK19" s="54"/>
      <c r="AL19" s="485" t="s">
        <v>564</v>
      </c>
      <c r="AM19" s="134"/>
      <c r="AN19" s="555" t="s">
        <v>565</v>
      </c>
      <c r="AO19" s="400"/>
      <c r="AP19" s="485">
        <v>3</v>
      </c>
      <c r="AQ19" s="485">
        <v>4</v>
      </c>
      <c r="AR19" s="134"/>
      <c r="AS19" s="26">
        <f>IF(ISBLANK(F19),"",(AVERAGE($F$4:F19)))</f>
        <v>10.574999999999999</v>
      </c>
      <c r="AT19" s="26">
        <f>IF(ISBLANK(G19),"",(AVERAGE($G$4:G19)))</f>
        <v>19.500000000000004</v>
      </c>
      <c r="AU19" s="25">
        <f>IF(ISBLANK(H19),"",(AVERAGE($H$4:H19)))</f>
        <v>15.037499999999998</v>
      </c>
      <c r="AV19" s="368">
        <f>IF(ISBLANK(G19),"",(AVERAGE($I$4:I19)))</f>
        <v>8.9250000000000007</v>
      </c>
      <c r="AW19" s="22">
        <f>IF(ISBLANK(M19),"",AVERAGE($M$4:M19))</f>
        <v>68.1875</v>
      </c>
      <c r="AX19" s="376">
        <f>IF(ISBLANK(P19),"",(AVERAGE($R$4:R19)))</f>
        <v>1015.87500003125</v>
      </c>
      <c r="AY19" s="368">
        <f>IF(ISBLANK(U19),"",(AVERAGE($U$4:U19)))</f>
        <v>4.9375</v>
      </c>
      <c r="AZ19" s="6"/>
      <c r="BA19" s="25">
        <f t="shared" si="15"/>
        <v>-0.55866666666666021</v>
      </c>
      <c r="BB19" s="25">
        <f t="shared" si="16"/>
        <v>-3.1274999999999977</v>
      </c>
      <c r="BC19" s="25">
        <f t="shared" si="19"/>
        <v>-1.843083333333329</v>
      </c>
      <c r="BD19" s="367">
        <f t="shared" si="18"/>
        <v>-2.5688333333333375</v>
      </c>
      <c r="BE19" s="72"/>
      <c r="BF19" s="25">
        <f>IF(ISBLANK(F19),"",AS19-AVERAGE($F$91:F106))</f>
        <v>-0.10616666666666319</v>
      </c>
      <c r="BG19" s="25">
        <f>IF(ISBLANK(G19),"",AT19-AVERAGE($G$91:G106))</f>
        <v>-2.0078125000004832E-2</v>
      </c>
      <c r="BH19" s="367">
        <f t="shared" si="20"/>
        <v>8.6088541666658358E-2</v>
      </c>
      <c r="BI19" s="115">
        <f t="shared" si="8"/>
        <v>1.7605932203389829</v>
      </c>
      <c r="BJ19" s="115">
        <f t="shared" si="9"/>
        <v>0.97774146865999489</v>
      </c>
      <c r="BK19" s="402"/>
      <c r="BL19" s="572">
        <v>16</v>
      </c>
    </row>
    <row r="20" spans="1:64" ht="12.75" customHeight="1" x14ac:dyDescent="0.2">
      <c r="A20" s="394">
        <f t="shared" si="10"/>
        <v>17</v>
      </c>
      <c r="B20" s="131">
        <f t="shared" si="11"/>
        <v>9.9</v>
      </c>
      <c r="C20" s="282">
        <f t="shared" si="11"/>
        <v>14.8</v>
      </c>
      <c r="D20" s="685"/>
      <c r="E20" s="97">
        <f t="shared" si="12"/>
        <v>17</v>
      </c>
      <c r="F20" s="23">
        <v>9.9</v>
      </c>
      <c r="G20" s="23">
        <v>14.8</v>
      </c>
      <c r="H20" s="553">
        <v>12.5</v>
      </c>
      <c r="I20" s="23">
        <f t="shared" si="0"/>
        <v>4.9000000000000004</v>
      </c>
      <c r="J20" s="6">
        <f t="shared" si="1"/>
        <v>0</v>
      </c>
      <c r="K20" s="24">
        <v>72</v>
      </c>
      <c r="L20" s="24">
        <v>95</v>
      </c>
      <c r="M20" s="554">
        <v>86</v>
      </c>
      <c r="N20" s="24">
        <f t="shared" si="2"/>
        <v>23</v>
      </c>
      <c r="O20" s="50">
        <f t="shared" si="3"/>
        <v>0</v>
      </c>
      <c r="P20" s="24">
        <v>995</v>
      </c>
      <c r="Q20" s="24">
        <v>1011</v>
      </c>
      <c r="R20" s="24">
        <f t="shared" si="13"/>
        <v>1003</v>
      </c>
      <c r="S20" s="24">
        <f t="shared" si="4"/>
        <v>16</v>
      </c>
      <c r="T20" s="50"/>
      <c r="U20" s="553">
        <v>5</v>
      </c>
      <c r="V20" s="553">
        <v>15.6</v>
      </c>
      <c r="W20" s="553">
        <v>23.2</v>
      </c>
      <c r="X20" s="562" t="s">
        <v>111</v>
      </c>
      <c r="Y20" s="72">
        <f t="shared" si="14"/>
        <v>2</v>
      </c>
      <c r="Z20" s="539">
        <v>7.6</v>
      </c>
      <c r="AA20" s="23">
        <v>3.8</v>
      </c>
      <c r="AB20" s="23"/>
      <c r="AC20" s="510">
        <f t="shared" si="5"/>
        <v>8.6757990867579918E-2</v>
      </c>
      <c r="AD20" s="7">
        <f t="shared" si="6"/>
        <v>1.0857142857142856</v>
      </c>
      <c r="AE20" s="485"/>
      <c r="AF20" s="72"/>
      <c r="AG20" s="553">
        <v>7.9</v>
      </c>
      <c r="AH20" s="553">
        <v>11.8</v>
      </c>
      <c r="AI20" s="553">
        <v>10.199999999999999</v>
      </c>
      <c r="AJ20" s="26">
        <f t="shared" si="7"/>
        <v>3.9000000000000004</v>
      </c>
      <c r="AK20" s="54"/>
      <c r="AL20" s="485" t="s">
        <v>566</v>
      </c>
      <c r="AM20" s="134"/>
      <c r="AN20" s="555" t="s">
        <v>567</v>
      </c>
      <c r="AO20" s="400"/>
      <c r="AP20" s="485">
        <v>0.3</v>
      </c>
      <c r="AQ20" s="485">
        <v>7</v>
      </c>
      <c r="AR20" s="134"/>
      <c r="AS20" s="26">
        <f>IF(ISBLANK(F20),"",(AVERAGE($F$4:F20)))</f>
        <v>10.535294117647059</v>
      </c>
      <c r="AT20" s="26">
        <f>IF(ISBLANK(G20),"",(AVERAGE($G$4:G20)))</f>
        <v>19.223529411764709</v>
      </c>
      <c r="AU20" s="25">
        <f>IF(ISBLANK(H20),"",(AVERAGE($H$4:H20)))</f>
        <v>14.888235294117646</v>
      </c>
      <c r="AV20" s="368">
        <f>IF(ISBLANK(G20),"",(AVERAGE($I$4:I20)))</f>
        <v>8.6882352941176482</v>
      </c>
      <c r="AW20" s="22">
        <f>IF(ISBLANK(M20),"",AVERAGE($M$4:M20))</f>
        <v>69.235294117647058</v>
      </c>
      <c r="AX20" s="376">
        <f>IF(ISBLANK(P20),"",(AVERAGE($R$4:R20)))</f>
        <v>1015.1176470882353</v>
      </c>
      <c r="AY20" s="368">
        <f>IF(ISBLANK(U20),"",(AVERAGE($U$4:U20)))</f>
        <v>4.9411764705882355</v>
      </c>
      <c r="AZ20" s="6"/>
      <c r="BA20" s="25">
        <f t="shared" si="15"/>
        <v>-1.3223333333333258</v>
      </c>
      <c r="BB20" s="25">
        <f t="shared" si="16"/>
        <v>-5.7112499999999997</v>
      </c>
      <c r="BC20" s="25">
        <f t="shared" si="19"/>
        <v>-3.5167916666666628</v>
      </c>
      <c r="BD20" s="367">
        <f t="shared" si="18"/>
        <v>-4.3889166666666739</v>
      </c>
      <c r="BE20" s="72"/>
      <c r="BF20" s="25">
        <f>IF(ISBLANK(F20),"",AS20-AVERAGE($F$91:F107))</f>
        <v>-0.17770588235293694</v>
      </c>
      <c r="BG20" s="25">
        <f>IF(ISBLANK(G20),"",AT20-AVERAGE($G$91:G107))</f>
        <v>-0.35485294117647825</v>
      </c>
      <c r="BH20" s="367">
        <f t="shared" si="20"/>
        <v>-0.17714705882354131</v>
      </c>
      <c r="BI20" s="115">
        <f t="shared" si="8"/>
        <v>1.8843469591226321</v>
      </c>
      <c r="BJ20" s="115">
        <f t="shared" si="9"/>
        <v>0.92254674629542288</v>
      </c>
      <c r="BK20" s="402"/>
      <c r="BL20" s="572">
        <v>17</v>
      </c>
    </row>
    <row r="21" spans="1:64" ht="12.75" customHeight="1" x14ac:dyDescent="0.2">
      <c r="A21" s="394">
        <f t="shared" si="10"/>
        <v>18</v>
      </c>
      <c r="B21" s="131">
        <f t="shared" si="11"/>
        <v>11.2</v>
      </c>
      <c r="C21" s="282">
        <f t="shared" si="11"/>
        <v>17.5</v>
      </c>
      <c r="D21" s="685"/>
      <c r="E21" s="97">
        <f t="shared" si="12"/>
        <v>18</v>
      </c>
      <c r="F21" s="23">
        <v>11.2</v>
      </c>
      <c r="G21" s="23">
        <v>17.5</v>
      </c>
      <c r="H21" s="553">
        <v>14.1</v>
      </c>
      <c r="I21" s="23">
        <f t="shared" si="0"/>
        <v>6.3000000000000007</v>
      </c>
      <c r="J21" s="6">
        <f t="shared" si="1"/>
        <v>0</v>
      </c>
      <c r="K21" s="24">
        <v>54</v>
      </c>
      <c r="L21" s="24">
        <v>95</v>
      </c>
      <c r="M21" s="554">
        <v>76</v>
      </c>
      <c r="N21" s="24">
        <f t="shared" si="2"/>
        <v>41</v>
      </c>
      <c r="O21" s="50">
        <f t="shared" si="3"/>
        <v>0</v>
      </c>
      <c r="P21" s="24">
        <v>996</v>
      </c>
      <c r="Q21" s="24">
        <v>1005</v>
      </c>
      <c r="R21" s="24">
        <f t="shared" si="13"/>
        <v>1000.5</v>
      </c>
      <c r="S21" s="24">
        <f t="shared" si="4"/>
        <v>9</v>
      </c>
      <c r="T21" s="50"/>
      <c r="U21" s="553">
        <v>7.6</v>
      </c>
      <c r="V21" s="553">
        <v>16.600000000000001</v>
      </c>
      <c r="W21" s="553">
        <v>25.9</v>
      </c>
      <c r="X21" s="485" t="s">
        <v>114</v>
      </c>
      <c r="Y21" s="72">
        <f t="shared" si="14"/>
        <v>2</v>
      </c>
      <c r="Z21" s="539">
        <v>1.1000000000000001</v>
      </c>
      <c r="AA21" s="23">
        <v>0.5</v>
      </c>
      <c r="AB21" s="23"/>
      <c r="AC21" s="510">
        <f t="shared" si="5"/>
        <v>1.2557077625570781E-2</v>
      </c>
      <c r="AD21" s="7">
        <f t="shared" si="6"/>
        <v>0.73333333333333339</v>
      </c>
      <c r="AE21" s="485"/>
      <c r="AF21" s="72"/>
      <c r="AG21" s="553">
        <v>7.7</v>
      </c>
      <c r="AH21" s="553">
        <v>11.9</v>
      </c>
      <c r="AI21" s="553">
        <v>9.8000000000000007</v>
      </c>
      <c r="AJ21" s="26">
        <f t="shared" si="7"/>
        <v>4.2</v>
      </c>
      <c r="AK21" s="54"/>
      <c r="AL21" s="485" t="s">
        <v>243</v>
      </c>
      <c r="AM21" s="134"/>
      <c r="AN21" s="555" t="s">
        <v>568</v>
      </c>
      <c r="AO21" s="400"/>
      <c r="AP21" s="485">
        <v>3.5</v>
      </c>
      <c r="AQ21" s="485">
        <v>1.5</v>
      </c>
      <c r="AR21" s="134"/>
      <c r="AS21" s="26">
        <f>IF(ISBLANK(F21),"",(AVERAGE($F$4:F21)))</f>
        <v>10.572222222222221</v>
      </c>
      <c r="AT21" s="26">
        <f>IF(ISBLANK(G21),"",(AVERAGE($G$4:G21)))</f>
        <v>19.12777777777778</v>
      </c>
      <c r="AU21" s="25">
        <f>IF(ISBLANK(H21),"",(AVERAGE($H$4:H21)))</f>
        <v>14.844444444444443</v>
      </c>
      <c r="AV21" s="368">
        <f>IF(ISBLANK(G21),"",(AVERAGE($I$4:I21)))</f>
        <v>8.5555555555555571</v>
      </c>
      <c r="AW21" s="22">
        <f>IF(ISBLANK(M21),"",AVERAGE($M$4:M21))</f>
        <v>69.611111111111114</v>
      </c>
      <c r="AX21" s="376">
        <f>IF(ISBLANK(P21),"",(AVERAGE($R$4:R21)))</f>
        <v>1014.3055555833333</v>
      </c>
      <c r="AY21" s="368">
        <f>IF(ISBLANK(U21),"",(AVERAGE($U$4:U21)))</f>
        <v>5.0888888888888886</v>
      </c>
      <c r="AZ21" s="6"/>
      <c r="BA21" s="25">
        <f t="shared" si="15"/>
        <v>-8.5999999999993193E-2</v>
      </c>
      <c r="BB21" s="25">
        <f t="shared" si="16"/>
        <v>-3.0949999999999989</v>
      </c>
      <c r="BC21" s="25">
        <f t="shared" si="19"/>
        <v>-1.590499999999996</v>
      </c>
      <c r="BD21" s="367">
        <f t="shared" si="18"/>
        <v>-3.0090000000000057</v>
      </c>
      <c r="BE21" s="72"/>
      <c r="BF21" s="25">
        <f>IF(ISBLANK(F21),"",AS21-AVERAGE($F$91:F108))</f>
        <v>-0.17261111111110772</v>
      </c>
      <c r="BG21" s="25">
        <f>IF(ISBLANK(G21),"",AT21-AVERAGE($G$91:G108))</f>
        <v>-0.50708333333333755</v>
      </c>
      <c r="BH21" s="367">
        <f t="shared" ref="BH21:BH29" si="21">IF(ISBLANK(G21),"",BG21-BF21)</f>
        <v>-0.33447222222222983</v>
      </c>
      <c r="BI21" s="115">
        <f t="shared" si="8"/>
        <v>1.8107344632768361</v>
      </c>
      <c r="BJ21" s="115">
        <f t="shared" si="9"/>
        <v>0.90151935703765396</v>
      </c>
      <c r="BK21" s="402"/>
      <c r="BL21" s="572">
        <v>18</v>
      </c>
    </row>
    <row r="22" spans="1:64" ht="12.75" customHeight="1" x14ac:dyDescent="0.2">
      <c r="A22" s="394">
        <f t="shared" si="10"/>
        <v>19</v>
      </c>
      <c r="B22" s="131">
        <f t="shared" si="11"/>
        <v>11.1</v>
      </c>
      <c r="C22" s="282">
        <f t="shared" si="11"/>
        <v>18.399999999999999</v>
      </c>
      <c r="D22" s="685"/>
      <c r="E22" s="97">
        <f t="shared" si="12"/>
        <v>19</v>
      </c>
      <c r="F22" s="23">
        <v>11.1</v>
      </c>
      <c r="G22" s="23">
        <v>18.399999999999999</v>
      </c>
      <c r="H22" s="553">
        <v>15.2</v>
      </c>
      <c r="I22" s="23">
        <f t="shared" si="0"/>
        <v>7.2999999999999989</v>
      </c>
      <c r="J22" s="6">
        <f t="shared" si="1"/>
        <v>0</v>
      </c>
      <c r="K22" s="24">
        <v>44</v>
      </c>
      <c r="L22" s="24">
        <v>85</v>
      </c>
      <c r="M22" s="554">
        <v>64</v>
      </c>
      <c r="N22" s="24">
        <f t="shared" si="2"/>
        <v>41</v>
      </c>
      <c r="O22" s="50">
        <f t="shared" si="3"/>
        <v>0</v>
      </c>
      <c r="P22" s="24">
        <v>1005</v>
      </c>
      <c r="Q22" s="24">
        <v>1014</v>
      </c>
      <c r="R22" s="24">
        <f t="shared" si="13"/>
        <v>1009.5</v>
      </c>
      <c r="S22" s="24">
        <f t="shared" si="4"/>
        <v>9</v>
      </c>
      <c r="T22" s="50"/>
      <c r="U22" s="553">
        <v>6.7</v>
      </c>
      <c r="V22" s="553">
        <v>14.5</v>
      </c>
      <c r="W22" s="553">
        <v>22.5</v>
      </c>
      <c r="X22" s="485" t="s">
        <v>114</v>
      </c>
      <c r="Y22" s="72">
        <f t="shared" si="14"/>
        <v>0</v>
      </c>
      <c r="Z22" s="539">
        <v>0.3</v>
      </c>
      <c r="AA22" s="23" t="s">
        <v>8</v>
      </c>
      <c r="AB22" s="23" t="s">
        <v>8</v>
      </c>
      <c r="AC22" s="510">
        <f t="shared" si="5"/>
        <v>3.424657534246576E-3</v>
      </c>
      <c r="AD22" s="7">
        <f t="shared" si="6"/>
        <v>1</v>
      </c>
      <c r="AE22" s="485" t="s">
        <v>8</v>
      </c>
      <c r="AF22" s="72"/>
      <c r="AG22" s="553">
        <v>5.8</v>
      </c>
      <c r="AH22" s="553">
        <v>10.5</v>
      </c>
      <c r="AI22" s="553">
        <v>8.1999999999999993</v>
      </c>
      <c r="AJ22" s="26">
        <f t="shared" si="7"/>
        <v>4.7</v>
      </c>
      <c r="AK22" s="54"/>
      <c r="AL22" s="485" t="s">
        <v>569</v>
      </c>
      <c r="AM22" s="134"/>
      <c r="AN22" s="23" t="s">
        <v>570</v>
      </c>
      <c r="AO22" s="400"/>
      <c r="AP22" s="485">
        <v>5</v>
      </c>
      <c r="AQ22" s="485">
        <v>0.3</v>
      </c>
      <c r="AR22" s="134"/>
      <c r="AS22" s="26">
        <f>IF(ISBLANK(F22),"",(AVERAGE($F$4:F22)))</f>
        <v>10.6</v>
      </c>
      <c r="AT22" s="26">
        <f>IF(ISBLANK(G22),"",(AVERAGE($G$4:G22)))</f>
        <v>19.089473684210528</v>
      </c>
      <c r="AU22" s="25">
        <f>IF(ISBLANK(H22),"",(AVERAGE($H$4:H22)))</f>
        <v>14.86315789473684</v>
      </c>
      <c r="AV22" s="368">
        <f>IF(ISBLANK(G22),"",(AVERAGE($I$4:I22)))</f>
        <v>8.4894736842105285</v>
      </c>
      <c r="AW22" s="22">
        <f>IF(ISBLANK(M22),"",AVERAGE($M$4:M22))</f>
        <v>69.315789473684205</v>
      </c>
      <c r="AX22" s="376">
        <f>IF(ISBLANK(P22),"",(AVERAGE($R$4:R22)))</f>
        <v>1014.0526316052632</v>
      </c>
      <c r="AY22" s="368">
        <f>IF(ISBLANK(U22),"",(AVERAGE($U$4:U22)))</f>
        <v>5.1736842105263152</v>
      </c>
      <c r="AZ22" s="6"/>
      <c r="BA22" s="25">
        <f t="shared" si="15"/>
        <v>-0.24966666666665915</v>
      </c>
      <c r="BB22" s="25">
        <f t="shared" si="16"/>
        <v>-2.2787500000000023</v>
      </c>
      <c r="BC22" s="25">
        <f t="shared" si="19"/>
        <v>-1.2642083333333307</v>
      </c>
      <c r="BD22" s="367">
        <f t="shared" si="18"/>
        <v>-2.0290833333333431</v>
      </c>
      <c r="BE22" s="72"/>
      <c r="BF22" s="25">
        <f>IF(ISBLANK(F22),"",AS22-AVERAGE($F$91:F109))</f>
        <v>-0.17666666666666231</v>
      </c>
      <c r="BG22" s="25">
        <f>IF(ISBLANK(G22),"",AT22-AVERAGE($G$91:G109))</f>
        <v>-0.60032894736842479</v>
      </c>
      <c r="BH22" s="367">
        <f t="shared" si="21"/>
        <v>-0.42366228070176248</v>
      </c>
      <c r="BI22" s="115">
        <f t="shared" si="8"/>
        <v>1.7234611953612844</v>
      </c>
      <c r="BJ22" s="115">
        <f t="shared" si="9"/>
        <v>0.89513986910053434</v>
      </c>
      <c r="BK22" s="402"/>
      <c r="BL22" s="572">
        <v>19</v>
      </c>
    </row>
    <row r="23" spans="1:64" ht="12.75" customHeight="1" x14ac:dyDescent="0.2">
      <c r="A23" s="394">
        <f t="shared" si="10"/>
        <v>20</v>
      </c>
      <c r="B23" s="131">
        <f t="shared" si="11"/>
        <v>9.3000000000000007</v>
      </c>
      <c r="C23" s="282">
        <f t="shared" si="11"/>
        <v>20.3</v>
      </c>
      <c r="D23" s="685"/>
      <c r="E23" s="97">
        <f t="shared" si="12"/>
        <v>20</v>
      </c>
      <c r="F23" s="23">
        <v>9.3000000000000007</v>
      </c>
      <c r="G23" s="23">
        <v>20.3</v>
      </c>
      <c r="H23" s="553">
        <v>15.2</v>
      </c>
      <c r="I23" s="23">
        <f t="shared" si="0"/>
        <v>11</v>
      </c>
      <c r="J23" s="6">
        <f t="shared" si="1"/>
        <v>0</v>
      </c>
      <c r="K23" s="24">
        <v>54</v>
      </c>
      <c r="L23" s="24">
        <v>90</v>
      </c>
      <c r="M23" s="554">
        <v>73</v>
      </c>
      <c r="N23" s="24">
        <f t="shared" si="2"/>
        <v>36</v>
      </c>
      <c r="O23" s="50">
        <f t="shared" si="3"/>
        <v>0</v>
      </c>
      <c r="P23" s="24">
        <v>1009</v>
      </c>
      <c r="Q23" s="24">
        <v>1014</v>
      </c>
      <c r="R23" s="24">
        <f t="shared" si="13"/>
        <v>1011.5</v>
      </c>
      <c r="S23" s="24">
        <f t="shared" si="4"/>
        <v>5</v>
      </c>
      <c r="T23" s="50"/>
      <c r="U23" s="553">
        <v>3.4</v>
      </c>
      <c r="V23" s="553">
        <v>11.2</v>
      </c>
      <c r="W23" s="553">
        <v>14.5</v>
      </c>
      <c r="X23" s="485" t="s">
        <v>111</v>
      </c>
      <c r="Y23" s="72">
        <f t="shared" si="14"/>
        <v>2</v>
      </c>
      <c r="Z23" s="539">
        <v>2.7</v>
      </c>
      <c r="AA23" s="23">
        <v>1.1000000000000001</v>
      </c>
      <c r="AB23" s="23">
        <v>0.5</v>
      </c>
      <c r="AC23" s="510">
        <f t="shared" si="5"/>
        <v>3.0821917808219187E-2</v>
      </c>
      <c r="AD23" s="7">
        <f t="shared" si="6"/>
        <v>0.9</v>
      </c>
      <c r="AE23" s="485">
        <v>10</v>
      </c>
      <c r="AF23" s="72"/>
      <c r="AG23" s="553">
        <v>6</v>
      </c>
      <c r="AH23" s="553">
        <v>13.7</v>
      </c>
      <c r="AI23" s="553">
        <v>10.1</v>
      </c>
      <c r="AJ23" s="26">
        <f t="shared" ref="AJ23:AJ28" si="22">IF(ISBLANK(AG23),"",AH23-AG23)</f>
        <v>7.6999999999999993</v>
      </c>
      <c r="AK23" s="54"/>
      <c r="AL23" s="485" t="s">
        <v>571</v>
      </c>
      <c r="AM23" s="134"/>
      <c r="AN23" s="23" t="s">
        <v>572</v>
      </c>
      <c r="AO23" s="400"/>
      <c r="AP23" s="485">
        <v>3.5</v>
      </c>
      <c r="AQ23" s="485">
        <v>3</v>
      </c>
      <c r="AR23" s="134"/>
      <c r="AS23" s="26">
        <f>IF(ISBLANK(F23),"",(AVERAGE($F$4:F23)))</f>
        <v>10.535</v>
      </c>
      <c r="AT23" s="26">
        <f>IF(ISBLANK(G23),"",(AVERAGE($G$4:G23)))</f>
        <v>19.150000000000002</v>
      </c>
      <c r="AU23" s="25">
        <f>IF(ISBLANK(H23),"",(AVERAGE($H$4:H23)))</f>
        <v>14.879999999999999</v>
      </c>
      <c r="AV23" s="368">
        <f>IF(ISBLANK(G23),"",(AVERAGE($I$4:I23)))</f>
        <v>8.615000000000002</v>
      </c>
      <c r="AW23" s="22">
        <f>IF(ISBLANK(M23),"",AVERAGE($M$4:M23))</f>
        <v>69.5</v>
      </c>
      <c r="AX23" s="376">
        <f>IF(ISBLANK(P23),"",(AVERAGE($R$4:R23)))</f>
        <v>1013.925000025</v>
      </c>
      <c r="AY23" s="368">
        <f>IF(ISBLANK(U23),"",(AVERAGE($U$4:U23)))</f>
        <v>5.085</v>
      </c>
      <c r="AZ23" s="6"/>
      <c r="BA23" s="25">
        <f t="shared" si="15"/>
        <v>-2.1133333333333244</v>
      </c>
      <c r="BB23" s="25">
        <f t="shared" si="16"/>
        <v>-0.46249999999999858</v>
      </c>
      <c r="BC23" s="25">
        <f t="shared" si="19"/>
        <v>-1.2879166666666615</v>
      </c>
      <c r="BD23" s="367">
        <f t="shared" si="18"/>
        <v>1.6508333333333258</v>
      </c>
      <c r="BE23" s="72"/>
      <c r="BF23" s="25">
        <f>IF(ISBLANK(F23),"",AS23-AVERAGE($F$91:F110))</f>
        <v>-0.27349999999999497</v>
      </c>
      <c r="BG23" s="25">
        <f>IF(ISBLANK(G23),"",AT23-AVERAGE($G$91:G110))</f>
        <v>-0.59343750000000384</v>
      </c>
      <c r="BH23" s="367">
        <f t="shared" si="21"/>
        <v>-0.31993750000000887</v>
      </c>
      <c r="BI23" s="115">
        <f t="shared" si="8"/>
        <v>1.7059322033898305</v>
      </c>
      <c r="BJ23" s="115">
        <f t="shared" si="9"/>
        <v>0.87758738819756676</v>
      </c>
      <c r="BK23" s="88"/>
      <c r="BL23" s="572">
        <v>20</v>
      </c>
    </row>
    <row r="24" spans="1:64" ht="12.75" customHeight="1" x14ac:dyDescent="0.2">
      <c r="A24" s="394">
        <f t="shared" si="10"/>
        <v>21</v>
      </c>
      <c r="B24" s="131">
        <f t="shared" si="11"/>
        <v>14</v>
      </c>
      <c r="C24" s="282">
        <f t="shared" si="11"/>
        <v>21.2</v>
      </c>
      <c r="D24" s="685"/>
      <c r="E24" s="97">
        <f t="shared" si="12"/>
        <v>21</v>
      </c>
      <c r="F24" s="23">
        <v>14</v>
      </c>
      <c r="G24" s="23">
        <v>21.2</v>
      </c>
      <c r="H24" s="553">
        <v>17.2</v>
      </c>
      <c r="I24" s="23">
        <f t="shared" si="0"/>
        <v>7.1999999999999993</v>
      </c>
      <c r="J24" s="6">
        <f t="shared" si="1"/>
        <v>0</v>
      </c>
      <c r="K24" s="24">
        <v>45</v>
      </c>
      <c r="L24" s="24">
        <v>91</v>
      </c>
      <c r="M24" s="554">
        <v>69</v>
      </c>
      <c r="N24" s="24">
        <f t="shared" si="2"/>
        <v>46</v>
      </c>
      <c r="O24" s="50">
        <f t="shared" si="3"/>
        <v>0</v>
      </c>
      <c r="P24" s="24">
        <v>1009</v>
      </c>
      <c r="Q24" s="24">
        <v>1011</v>
      </c>
      <c r="R24" s="24">
        <f t="shared" si="13"/>
        <v>1010</v>
      </c>
      <c r="S24" s="24">
        <f t="shared" si="4"/>
        <v>2</v>
      </c>
      <c r="T24" s="50"/>
      <c r="U24" s="553">
        <v>8.1999999999999993</v>
      </c>
      <c r="V24" s="553">
        <v>19.7</v>
      </c>
      <c r="W24" s="553">
        <v>32.9</v>
      </c>
      <c r="X24" s="555" t="s">
        <v>110</v>
      </c>
      <c r="Y24" s="72">
        <f t="shared" si="14"/>
        <v>0</v>
      </c>
      <c r="Z24" s="539">
        <v>0</v>
      </c>
      <c r="AA24" s="23"/>
      <c r="AB24" s="23"/>
      <c r="AC24" s="510" t="str">
        <f t="shared" si="5"/>
        <v/>
      </c>
      <c r="AD24" s="7" t="str">
        <f t="shared" si="6"/>
        <v/>
      </c>
      <c r="AE24" s="485"/>
      <c r="AF24" s="72"/>
      <c r="AG24" s="553">
        <v>6.2</v>
      </c>
      <c r="AH24" s="553">
        <v>14.2</v>
      </c>
      <c r="AI24" s="553">
        <v>11</v>
      </c>
      <c r="AJ24" s="26">
        <f t="shared" si="22"/>
        <v>7.9999999999999991</v>
      </c>
      <c r="AK24" s="54"/>
      <c r="AL24" s="485" t="s">
        <v>361</v>
      </c>
      <c r="AM24" s="134"/>
      <c r="AN24" s="23" t="s">
        <v>8</v>
      </c>
      <c r="AO24" s="400"/>
      <c r="AP24" s="485">
        <v>7</v>
      </c>
      <c r="AQ24" s="485">
        <v>0</v>
      </c>
      <c r="AR24" s="134"/>
      <c r="AS24" s="26">
        <f>IF(ISBLANK(F24),"",(AVERAGE($F$4:F24)))</f>
        <v>10.7</v>
      </c>
      <c r="AT24" s="26">
        <f>IF(ISBLANK(G24),"",(AVERAGE($G$4:G24)))</f>
        <v>19.24761904761905</v>
      </c>
      <c r="AU24" s="25">
        <f>IF(ISBLANK(H24),"",(AVERAGE($H$4:H24)))</f>
        <v>14.990476190476189</v>
      </c>
      <c r="AV24" s="368">
        <f>IF(ISBLANK(G24),"",(AVERAGE($I$4:I24)))</f>
        <v>8.5476190476190492</v>
      </c>
      <c r="AW24" s="22">
        <f>IF(ISBLANK(M24),"",AVERAGE($M$4:M24))</f>
        <v>69.476190476190482</v>
      </c>
      <c r="AX24" s="376">
        <f>IF(ISBLANK(P24),"",(AVERAGE($R$4:R24)))</f>
        <v>1013.7380952619047</v>
      </c>
      <c r="AY24" s="368">
        <f>IF(ISBLANK(U24),"",(AVERAGE($U$4:U24)))</f>
        <v>5.2333333333333334</v>
      </c>
      <c r="AZ24" s="6"/>
      <c r="BA24" s="25">
        <f t="shared" si="15"/>
        <v>2.5230000000000086</v>
      </c>
      <c r="BB24" s="25">
        <f t="shared" si="16"/>
        <v>0.35374999999999801</v>
      </c>
      <c r="BC24" s="25">
        <f t="shared" si="19"/>
        <v>1.4383750000000033</v>
      </c>
      <c r="BD24" s="367">
        <f t="shared" si="18"/>
        <v>-2.1692500000000106</v>
      </c>
      <c r="BE24" s="72"/>
      <c r="BF24" s="25">
        <f>IF(ISBLANK(F24),"",AS24-AVERAGE($F$91:F111))</f>
        <v>-0.14033333333332898</v>
      </c>
      <c r="BG24" s="25">
        <f>IF(ISBLANK(G24),"",AT24-AVERAGE($G$91:G111))</f>
        <v>-0.54833333333333556</v>
      </c>
      <c r="BH24" s="367">
        <f t="shared" si="21"/>
        <v>-0.40800000000000658</v>
      </c>
      <c r="BI24" s="115">
        <f t="shared" si="8"/>
        <v>1.6246973365617434</v>
      </c>
      <c r="BJ24" s="115">
        <f t="shared" si="9"/>
        <v>0.88794016504493334</v>
      </c>
      <c r="BK24" s="88"/>
      <c r="BL24" s="572">
        <v>21</v>
      </c>
    </row>
    <row r="25" spans="1:64" ht="12.75" customHeight="1" x14ac:dyDescent="0.2">
      <c r="A25" s="394">
        <f t="shared" si="10"/>
        <v>22</v>
      </c>
      <c r="B25" s="131">
        <f t="shared" si="11"/>
        <v>12.3</v>
      </c>
      <c r="C25" s="282">
        <f t="shared" si="11"/>
        <v>18.100000000000001</v>
      </c>
      <c r="D25" s="685"/>
      <c r="E25" s="97">
        <f t="shared" si="12"/>
        <v>22</v>
      </c>
      <c r="F25" s="23">
        <v>12.3</v>
      </c>
      <c r="G25" s="23">
        <v>18.100000000000001</v>
      </c>
      <c r="H25" s="553">
        <v>15.2</v>
      </c>
      <c r="I25" s="23">
        <f t="shared" si="0"/>
        <v>5.8000000000000007</v>
      </c>
      <c r="J25" s="6">
        <f t="shared" si="1"/>
        <v>0</v>
      </c>
      <c r="K25" s="24">
        <v>64</v>
      </c>
      <c r="L25" s="24">
        <v>89</v>
      </c>
      <c r="M25" s="554">
        <v>73</v>
      </c>
      <c r="N25" s="24">
        <f t="shared" si="2"/>
        <v>25</v>
      </c>
      <c r="O25" s="50">
        <f t="shared" si="3"/>
        <v>0</v>
      </c>
      <c r="P25" s="24">
        <v>1007</v>
      </c>
      <c r="Q25" s="24">
        <v>1011</v>
      </c>
      <c r="R25" s="24">
        <f t="shared" si="13"/>
        <v>1009</v>
      </c>
      <c r="S25" s="24">
        <f t="shared" si="4"/>
        <v>4</v>
      </c>
      <c r="T25" s="50"/>
      <c r="U25" s="553">
        <v>7.1</v>
      </c>
      <c r="V25" s="553">
        <v>17</v>
      </c>
      <c r="W25" s="553">
        <v>24.6</v>
      </c>
      <c r="X25" s="555" t="s">
        <v>110</v>
      </c>
      <c r="Y25" s="72">
        <f t="shared" si="14"/>
        <v>2</v>
      </c>
      <c r="Z25" s="539">
        <v>5.2</v>
      </c>
      <c r="AA25" s="23">
        <v>3</v>
      </c>
      <c r="AB25" s="23">
        <v>1.1000000000000001</v>
      </c>
      <c r="AC25" s="510">
        <f t="shared" si="5"/>
        <v>5.9360730593607323E-2</v>
      </c>
      <c r="AD25" s="7">
        <f t="shared" si="6"/>
        <v>1.7333333333333334</v>
      </c>
      <c r="AE25" s="485">
        <v>10</v>
      </c>
      <c r="AF25" s="72"/>
      <c r="AG25" s="553">
        <v>7.3</v>
      </c>
      <c r="AH25" s="553">
        <v>13.4</v>
      </c>
      <c r="AI25" s="553">
        <v>10.4</v>
      </c>
      <c r="AJ25" s="26">
        <f t="shared" si="22"/>
        <v>6.1000000000000005</v>
      </c>
      <c r="AK25" s="54"/>
      <c r="AL25" s="485" t="s">
        <v>573</v>
      </c>
      <c r="AM25" s="134"/>
      <c r="AN25" s="23" t="s">
        <v>574</v>
      </c>
      <c r="AO25" s="400"/>
      <c r="AP25" s="485">
        <v>4</v>
      </c>
      <c r="AQ25" s="485">
        <v>3</v>
      </c>
      <c r="AR25" s="134"/>
      <c r="AS25" s="26">
        <f>IF(ISBLANK(F25),"",(AVERAGE($F$4:F25)))</f>
        <v>10.772727272727273</v>
      </c>
      <c r="AT25" s="26">
        <f>IF(ISBLANK(G25),"",(AVERAGE($G$4:G25)))</f>
        <v>19.195454545454549</v>
      </c>
      <c r="AU25" s="25">
        <f>IF(ISBLANK(H25),"",(AVERAGE($H$4:H25)))</f>
        <v>14.999999999999998</v>
      </c>
      <c r="AV25" s="368">
        <f>IF(ISBLANK(G25),"",(AVERAGE($I$4:I25)))</f>
        <v>8.4227272727272737</v>
      </c>
      <c r="AW25" s="22">
        <f>IF(ISBLANK(M25),"",AVERAGE($M$4:M25))</f>
        <v>69.63636363636364</v>
      </c>
      <c r="AX25" s="376">
        <f>IF(ISBLANK(P25),"",(AVERAGE($R$4:R25)))</f>
        <v>1013.5227272954545</v>
      </c>
      <c r="AY25" s="368">
        <f>IF(ISBLANK(U25),"",(AVERAGE($U$4:U25)))</f>
        <v>5.3181818181818183</v>
      </c>
      <c r="AZ25" s="6"/>
      <c r="BA25" s="25">
        <f t="shared" si="15"/>
        <v>0.75933333333334296</v>
      </c>
      <c r="BB25" s="25">
        <f t="shared" si="16"/>
        <v>-2.8299999999999983</v>
      </c>
      <c r="BC25" s="25">
        <f t="shared" si="19"/>
        <v>-1.0353333333333277</v>
      </c>
      <c r="BD25" s="367">
        <f t="shared" si="18"/>
        <v>-3.5893333333333413</v>
      </c>
      <c r="BE25" s="72"/>
      <c r="BF25" s="25">
        <f>IF(ISBLANK(F25),"",AS25-AVERAGE($F$91:F112))</f>
        <v>-9.9439393939388054E-2</v>
      </c>
      <c r="BG25" s="25">
        <f>IF(ISBLANK(G25),"",AT25-AVERAGE($G$91:G112))</f>
        <v>-0.65204545454545482</v>
      </c>
      <c r="BH25" s="367">
        <f t="shared" si="21"/>
        <v>-0.55260606060606676</v>
      </c>
      <c r="BI25" s="115">
        <f t="shared" si="8"/>
        <v>1.6710323574730355</v>
      </c>
      <c r="BJ25" s="115">
        <f t="shared" si="9"/>
        <v>0.87589414250594444</v>
      </c>
      <c r="BK25" s="88"/>
      <c r="BL25" s="572">
        <v>22</v>
      </c>
    </row>
    <row r="26" spans="1:64" ht="12.75" customHeight="1" x14ac:dyDescent="0.2">
      <c r="A26" s="394">
        <f t="shared" si="10"/>
        <v>23</v>
      </c>
      <c r="B26" s="131">
        <f t="shared" si="11"/>
        <v>11.2</v>
      </c>
      <c r="C26" s="282">
        <f t="shared" si="11"/>
        <v>19.2</v>
      </c>
      <c r="D26" s="685"/>
      <c r="E26" s="97">
        <f t="shared" si="12"/>
        <v>23</v>
      </c>
      <c r="F26" s="23">
        <v>11.2</v>
      </c>
      <c r="G26" s="23">
        <v>19.2</v>
      </c>
      <c r="H26" s="553">
        <v>15.3</v>
      </c>
      <c r="I26" s="23">
        <f t="shared" si="0"/>
        <v>8</v>
      </c>
      <c r="J26" s="6">
        <f t="shared" si="1"/>
        <v>0</v>
      </c>
      <c r="K26" s="24">
        <v>46</v>
      </c>
      <c r="L26" s="24">
        <v>86</v>
      </c>
      <c r="M26" s="554">
        <v>64</v>
      </c>
      <c r="N26" s="24">
        <f t="shared" si="2"/>
        <v>40</v>
      </c>
      <c r="O26" s="50">
        <f t="shared" si="3"/>
        <v>0</v>
      </c>
      <c r="P26" s="24">
        <v>1012</v>
      </c>
      <c r="Q26" s="24">
        <v>1019</v>
      </c>
      <c r="R26" s="24">
        <f t="shared" si="13"/>
        <v>1015.5</v>
      </c>
      <c r="S26" s="24">
        <f t="shared" si="4"/>
        <v>7</v>
      </c>
      <c r="T26" s="50"/>
      <c r="U26" s="553">
        <v>6.3</v>
      </c>
      <c r="V26" s="553">
        <v>13.5</v>
      </c>
      <c r="W26" s="553">
        <v>17.600000000000001</v>
      </c>
      <c r="X26" s="555" t="s">
        <v>114</v>
      </c>
      <c r="Y26" s="72">
        <f t="shared" si="14"/>
        <v>0</v>
      </c>
      <c r="Z26" s="539">
        <v>0.1</v>
      </c>
      <c r="AA26" s="23"/>
      <c r="AB26" s="23"/>
      <c r="AC26" s="510">
        <f t="shared" si="5"/>
        <v>1.1415525114155255E-3</v>
      </c>
      <c r="AD26" s="7" t="str">
        <f t="shared" si="6"/>
        <v/>
      </c>
      <c r="AE26" s="485"/>
      <c r="AF26" s="72"/>
      <c r="AG26" s="553">
        <v>5.8</v>
      </c>
      <c r="AH26" s="553">
        <v>15.4</v>
      </c>
      <c r="AI26" s="553">
        <v>8.1999999999999993</v>
      </c>
      <c r="AJ26" s="26">
        <f t="shared" si="22"/>
        <v>9.6000000000000014</v>
      </c>
      <c r="AK26" s="54"/>
      <c r="AL26" s="485" t="s">
        <v>569</v>
      </c>
      <c r="AM26" s="134"/>
      <c r="AN26" s="302" t="s">
        <v>575</v>
      </c>
      <c r="AO26" s="400"/>
      <c r="AP26" s="485">
        <v>6</v>
      </c>
      <c r="AQ26" s="485">
        <v>0.4</v>
      </c>
      <c r="AR26" s="134"/>
      <c r="AS26" s="26">
        <f>IF(ISBLANK(F26),"",(AVERAGE($F$4:F26)))</f>
        <v>10.791304347826086</v>
      </c>
      <c r="AT26" s="26">
        <f>IF(ISBLANK(G26),"",(AVERAGE($G$4:G26)))</f>
        <v>19.195652173913047</v>
      </c>
      <c r="AU26" s="25">
        <f>IF(ISBLANK(H26),"",(AVERAGE($H$4:H26)))</f>
        <v>15.013043478260867</v>
      </c>
      <c r="AV26" s="368">
        <f>IF(ISBLANK(G26),"",(AVERAGE($I$4:I26)))</f>
        <v>8.4043478260869584</v>
      </c>
      <c r="AW26" s="22">
        <f>IF(ISBLANK(M26),"",AVERAGE($M$4:M26))</f>
        <v>69.391304347826093</v>
      </c>
      <c r="AX26" s="376">
        <f>IF(ISBLANK(P26),"",(AVERAGE($R$4:R26)))</f>
        <v>1013.6086956739131</v>
      </c>
      <c r="AY26" s="368">
        <f>IF(ISBLANK(U26),"",(AVERAGE($U$4:U26)))</f>
        <v>5.3608695652173912</v>
      </c>
      <c r="AZ26" s="6"/>
      <c r="BA26" s="25">
        <f t="shared" si="15"/>
        <v>-0.40433333333332477</v>
      </c>
      <c r="BB26" s="25">
        <f t="shared" si="16"/>
        <v>-1.8137500000000024</v>
      </c>
      <c r="BC26" s="25">
        <f t="shared" si="19"/>
        <v>-1.1090416666666636</v>
      </c>
      <c r="BD26" s="367">
        <f t="shared" si="18"/>
        <v>-1.4094166666666776</v>
      </c>
      <c r="BE26" s="72"/>
      <c r="BF26" s="25">
        <f>IF(ISBLANK(F26),"",AS26-AVERAGE($F$91:F113))</f>
        <v>-0.1126956521739082</v>
      </c>
      <c r="BG26" s="25">
        <f>IF(ISBLANK(G26),"",AT26-AVERAGE($G$91:G113))</f>
        <v>-0.70255434782608717</v>
      </c>
      <c r="BH26" s="367">
        <f t="shared" si="21"/>
        <v>-0.58985869565217897</v>
      </c>
      <c r="BI26" s="115">
        <f t="shared" si="8"/>
        <v>1.6005895357406041</v>
      </c>
      <c r="BJ26" s="115">
        <f t="shared" si="9"/>
        <v>0.87858043366836125</v>
      </c>
      <c r="BK26" s="88"/>
      <c r="BL26" s="572">
        <v>23</v>
      </c>
    </row>
    <row r="27" spans="1:64" ht="12.75" customHeight="1" x14ac:dyDescent="0.2">
      <c r="A27" s="394">
        <f t="shared" si="10"/>
        <v>24</v>
      </c>
      <c r="B27" s="131">
        <f t="shared" si="11"/>
        <v>10.5</v>
      </c>
      <c r="C27" s="282">
        <f t="shared" si="11"/>
        <v>19.899999999999999</v>
      </c>
      <c r="D27" s="685"/>
      <c r="E27" s="97">
        <f t="shared" si="12"/>
        <v>24</v>
      </c>
      <c r="F27" s="23">
        <v>10.5</v>
      </c>
      <c r="G27" s="23">
        <v>19.899999999999999</v>
      </c>
      <c r="H27" s="553">
        <v>15.3</v>
      </c>
      <c r="I27" s="23">
        <f t="shared" si="0"/>
        <v>9.3999999999999986</v>
      </c>
      <c r="J27" s="6">
        <f t="shared" si="1"/>
        <v>0</v>
      </c>
      <c r="K27" s="24">
        <v>37</v>
      </c>
      <c r="L27" s="24">
        <v>83</v>
      </c>
      <c r="M27" s="555">
        <v>62</v>
      </c>
      <c r="N27" s="24">
        <f t="shared" si="2"/>
        <v>46</v>
      </c>
      <c r="O27" s="50">
        <f t="shared" si="3"/>
        <v>0</v>
      </c>
      <c r="P27" s="24">
        <v>1020</v>
      </c>
      <c r="Q27" s="24">
        <v>1024</v>
      </c>
      <c r="R27" s="24">
        <f t="shared" si="13"/>
        <v>1022</v>
      </c>
      <c r="S27" s="24">
        <f t="shared" si="4"/>
        <v>4</v>
      </c>
      <c r="T27" s="50"/>
      <c r="U27" s="553">
        <v>5</v>
      </c>
      <c r="V27" s="553">
        <v>11.8</v>
      </c>
      <c r="W27" s="553">
        <v>17.600000000000001</v>
      </c>
      <c r="X27" s="555" t="s">
        <v>114</v>
      </c>
      <c r="Y27" s="72">
        <f t="shared" si="14"/>
        <v>2</v>
      </c>
      <c r="Z27" s="539">
        <v>3.3</v>
      </c>
      <c r="AA27" s="23">
        <v>1.6</v>
      </c>
      <c r="AB27" s="23">
        <v>0.3</v>
      </c>
      <c r="AC27" s="510">
        <f t="shared" si="5"/>
        <v>3.7671232876712334E-2</v>
      </c>
      <c r="AD27" s="7">
        <f t="shared" si="6"/>
        <v>0.82499999999999996</v>
      </c>
      <c r="AE27" s="485">
        <v>2.5</v>
      </c>
      <c r="AF27" s="72"/>
      <c r="AG27" s="553">
        <v>4.5999999999999996</v>
      </c>
      <c r="AH27" s="553">
        <v>10.3</v>
      </c>
      <c r="AI27" s="553">
        <v>7.5</v>
      </c>
      <c r="AJ27" s="26">
        <f t="shared" si="22"/>
        <v>5.7000000000000011</v>
      </c>
      <c r="AK27" s="6"/>
      <c r="AL27" s="485" t="s">
        <v>576</v>
      </c>
      <c r="AM27" s="134"/>
      <c r="AN27" s="23" t="s">
        <v>577</v>
      </c>
      <c r="AO27" s="400"/>
      <c r="AP27" s="485">
        <v>8</v>
      </c>
      <c r="AQ27" s="485">
        <v>4</v>
      </c>
      <c r="AR27" s="134"/>
      <c r="AS27" s="26">
        <f>IF(ISBLANK(F27),"",(AVERAGE($F$4:F27)))</f>
        <v>10.779166666666667</v>
      </c>
      <c r="AT27" s="26">
        <f>IF(ISBLANK(G27),"",(AVERAGE($G$4:G27)))</f>
        <v>19.225000000000001</v>
      </c>
      <c r="AU27" s="25">
        <f>IF(ISBLANK(H27),"",(AVERAGE($H$4:H27)))</f>
        <v>15.024999999999999</v>
      </c>
      <c r="AV27" s="368">
        <f>IF(ISBLANK(G27),"",(AVERAGE($I$4:I27)))</f>
        <v>8.4458333333333346</v>
      </c>
      <c r="AW27" s="22">
        <f>IF(ISBLANK(M27),"",AVERAGE($M$4:M27))</f>
        <v>69.083333333333329</v>
      </c>
      <c r="AX27" s="376">
        <f>IF(ISBLANK(P27),"",(AVERAGE($R$4:R27)))</f>
        <v>1013.9583333541667</v>
      </c>
      <c r="AY27" s="368">
        <f>IF(ISBLANK(U27),"",(AVERAGE($U$4:U27)))</f>
        <v>5.3458333333333341</v>
      </c>
      <c r="AZ27" s="6"/>
      <c r="BA27" s="25">
        <f t="shared" si="15"/>
        <v>-1.1679999999999904</v>
      </c>
      <c r="BB27" s="25">
        <f t="shared" si="16"/>
        <v>-1.1975000000000016</v>
      </c>
      <c r="BC27" s="25">
        <f t="shared" si="19"/>
        <v>-1.182749999999996</v>
      </c>
      <c r="BD27" s="367">
        <f t="shared" si="18"/>
        <v>-2.9500000000011184E-2</v>
      </c>
      <c r="BE27" s="72"/>
      <c r="BF27" s="25">
        <f>IF(ISBLANK(F27),"",AS27-AVERAGE($F$91:F114))</f>
        <v>-0.15666666666666096</v>
      </c>
      <c r="BG27" s="25">
        <f>IF(ISBLANK(G27),"",AT27-AVERAGE($G$91:G114))</f>
        <v>-0.72317708333333641</v>
      </c>
      <c r="BH27" s="367">
        <f t="shared" si="21"/>
        <v>-0.56651041666667545</v>
      </c>
      <c r="BI27" s="115">
        <f t="shared" si="8"/>
        <v>1.6038135593220337</v>
      </c>
      <c r="BJ27" s="115">
        <f t="shared" si="9"/>
        <v>0.89414950466024834</v>
      </c>
      <c r="BK27" s="88"/>
      <c r="BL27" s="572">
        <v>24</v>
      </c>
    </row>
    <row r="28" spans="1:64" ht="12.75" customHeight="1" x14ac:dyDescent="0.2">
      <c r="A28" s="394">
        <f t="shared" si="10"/>
        <v>25</v>
      </c>
      <c r="B28" s="131">
        <f t="shared" si="11"/>
        <v>11.7</v>
      </c>
      <c r="C28" s="282">
        <f t="shared" si="11"/>
        <v>23.4</v>
      </c>
      <c r="D28" s="685"/>
      <c r="E28" s="97">
        <f t="shared" si="12"/>
        <v>25</v>
      </c>
      <c r="F28" s="23">
        <v>11.7</v>
      </c>
      <c r="G28" s="23">
        <v>23.4</v>
      </c>
      <c r="H28" s="553">
        <v>17.2</v>
      </c>
      <c r="I28" s="23">
        <f t="shared" si="0"/>
        <v>11.7</v>
      </c>
      <c r="J28" s="6">
        <f t="shared" si="1"/>
        <v>0</v>
      </c>
      <c r="K28" s="24">
        <v>58</v>
      </c>
      <c r="L28" s="24">
        <v>95</v>
      </c>
      <c r="M28" s="555">
        <v>80</v>
      </c>
      <c r="N28" s="24">
        <f t="shared" si="2"/>
        <v>37</v>
      </c>
      <c r="O28" s="50">
        <f t="shared" si="3"/>
        <v>0</v>
      </c>
      <c r="P28" s="24">
        <v>1019</v>
      </c>
      <c r="Q28" s="24">
        <v>1023</v>
      </c>
      <c r="R28" s="24">
        <f t="shared" si="13"/>
        <v>1021</v>
      </c>
      <c r="S28" s="24">
        <f t="shared" si="4"/>
        <v>4</v>
      </c>
      <c r="T28" s="50"/>
      <c r="U28" s="553">
        <v>6.7</v>
      </c>
      <c r="V28" s="553">
        <v>14</v>
      </c>
      <c r="W28" s="553">
        <v>22.1</v>
      </c>
      <c r="X28" s="555" t="s">
        <v>114</v>
      </c>
      <c r="Y28" s="72">
        <f t="shared" si="14"/>
        <v>2</v>
      </c>
      <c r="Z28" s="539">
        <v>3.3</v>
      </c>
      <c r="AA28" s="23">
        <v>1.1000000000000001</v>
      </c>
      <c r="AB28" s="23">
        <v>0.3</v>
      </c>
      <c r="AC28" s="510">
        <f t="shared" si="5"/>
        <v>3.7671232876712334E-2</v>
      </c>
      <c r="AD28" s="7">
        <f t="shared" si="6"/>
        <v>0.65999999999999992</v>
      </c>
      <c r="AE28" s="485">
        <v>1.6</v>
      </c>
      <c r="AF28" s="72"/>
      <c r="AG28" s="553">
        <v>9</v>
      </c>
      <c r="AH28" s="553">
        <v>16.2</v>
      </c>
      <c r="AI28" s="553">
        <v>13.6</v>
      </c>
      <c r="AJ28" s="26">
        <f t="shared" si="22"/>
        <v>7.1999999999999993</v>
      </c>
      <c r="AK28" s="6"/>
      <c r="AL28" s="485" t="s">
        <v>578</v>
      </c>
      <c r="AM28" s="134"/>
      <c r="AN28" s="23" t="s">
        <v>579</v>
      </c>
      <c r="AO28" s="400"/>
      <c r="AP28" s="485">
        <v>5</v>
      </c>
      <c r="AQ28" s="485">
        <v>5</v>
      </c>
      <c r="AR28" s="134"/>
      <c r="AS28" s="26">
        <f>IF(ISBLANK(F28),"",(AVERAGE($F$4:F28)))</f>
        <v>10.815999999999999</v>
      </c>
      <c r="AT28" s="26">
        <f>IF(ISBLANK(G28),"",(AVERAGE($G$4:G28)))</f>
        <v>19.391999999999999</v>
      </c>
      <c r="AU28" s="25">
        <f>IF(ISBLANK(H28),"",(AVERAGE($H$4:H28)))</f>
        <v>15.111999999999998</v>
      </c>
      <c r="AV28" s="368">
        <f>IF(ISBLANK(G28),"",(AVERAGE($I$4:I28)))</f>
        <v>8.5760000000000005</v>
      </c>
      <c r="AW28" s="22">
        <f>IF(ISBLANK(M28),"",AVERAGE($M$4:M28))</f>
        <v>69.52</v>
      </c>
      <c r="AX28" s="376">
        <f>IF(ISBLANK(P28),"",(AVERAGE($R$4:R28)))</f>
        <v>1014.24000002</v>
      </c>
      <c r="AY28" s="368">
        <f>IF(ISBLANK(U28),"",(AVERAGE($U$4:U28)))</f>
        <v>5.4</v>
      </c>
      <c r="AZ28" s="6"/>
      <c r="BA28" s="25">
        <f t="shared" si="15"/>
        <v>-3.1666666666657406E-2</v>
      </c>
      <c r="BB28" s="25">
        <f t="shared" si="16"/>
        <v>2.21875</v>
      </c>
      <c r="BC28" s="25">
        <f t="shared" si="19"/>
        <v>1.0935416666666713</v>
      </c>
      <c r="BD28" s="367">
        <f t="shared" si="18"/>
        <v>2.2504166666666574</v>
      </c>
      <c r="BE28" s="72"/>
      <c r="BF28" s="25">
        <f>IF(ISBLANK(F28),"",AS28-AVERAGE($F$91:F115))</f>
        <v>-0.15166666666666373</v>
      </c>
      <c r="BG28" s="25">
        <f>IF(ISBLANK(G28),"",AT28-AVERAGE($G$91:G115))</f>
        <v>-0.60550000000000637</v>
      </c>
      <c r="BH28" s="367">
        <f t="shared" si="21"/>
        <v>-0.45383333333334264</v>
      </c>
      <c r="BI28" s="115">
        <f t="shared" si="8"/>
        <v>1.6067796610169489</v>
      </c>
      <c r="BJ28" s="115">
        <f t="shared" si="9"/>
        <v>0.88961509684911033</v>
      </c>
      <c r="BK28" s="88"/>
      <c r="BL28" s="572">
        <v>25</v>
      </c>
    </row>
    <row r="29" spans="1:64" ht="12.75" customHeight="1" x14ac:dyDescent="0.2">
      <c r="A29" s="278">
        <f t="shared" si="10"/>
        <v>26</v>
      </c>
      <c r="B29" s="131">
        <f t="shared" si="11"/>
        <v>15.9</v>
      </c>
      <c r="C29" s="282">
        <f t="shared" si="11"/>
        <v>29.4</v>
      </c>
      <c r="D29" s="685"/>
      <c r="E29" s="99">
        <f t="shared" si="12"/>
        <v>26</v>
      </c>
      <c r="F29" s="23">
        <v>15.9</v>
      </c>
      <c r="G29" s="23">
        <v>29.4</v>
      </c>
      <c r="H29" s="553">
        <v>22.2</v>
      </c>
      <c r="I29" s="23">
        <f t="shared" si="0"/>
        <v>13.499999999999998</v>
      </c>
      <c r="J29" s="6">
        <f t="shared" si="1"/>
        <v>0</v>
      </c>
      <c r="K29" s="24">
        <v>42</v>
      </c>
      <c r="L29" s="24">
        <v>88</v>
      </c>
      <c r="M29" s="555">
        <v>66</v>
      </c>
      <c r="N29" s="24">
        <f t="shared" si="2"/>
        <v>46</v>
      </c>
      <c r="O29" s="50">
        <f t="shared" si="3"/>
        <v>0</v>
      </c>
      <c r="P29" s="24">
        <v>1017</v>
      </c>
      <c r="Q29" s="24">
        <v>1023</v>
      </c>
      <c r="R29" s="24">
        <f t="shared" si="13"/>
        <v>1020</v>
      </c>
      <c r="S29" s="24">
        <f t="shared" si="4"/>
        <v>6</v>
      </c>
      <c r="T29" s="50"/>
      <c r="U29" s="553">
        <v>4.2</v>
      </c>
      <c r="V29" s="553">
        <v>10.9</v>
      </c>
      <c r="W29" s="553">
        <v>15.4</v>
      </c>
      <c r="X29" s="555" t="s">
        <v>111</v>
      </c>
      <c r="Y29" s="72">
        <f t="shared" si="14"/>
        <v>0</v>
      </c>
      <c r="Z29" s="539">
        <v>0</v>
      </c>
      <c r="AA29" s="23"/>
      <c r="AB29" s="23"/>
      <c r="AC29" s="510" t="str">
        <f t="shared" si="5"/>
        <v/>
      </c>
      <c r="AD29" s="7" t="str">
        <f t="shared" si="6"/>
        <v/>
      </c>
      <c r="AE29" s="485"/>
      <c r="AF29" s="72"/>
      <c r="AG29" s="553">
        <v>12.9</v>
      </c>
      <c r="AH29" s="553">
        <v>17.100000000000001</v>
      </c>
      <c r="AI29" s="553">
        <v>14.8</v>
      </c>
      <c r="AJ29" s="7">
        <f>IF(ISBLANK(AH29),"",AH29-AG29)</f>
        <v>4.2000000000000011</v>
      </c>
      <c r="AK29" s="6"/>
      <c r="AL29" s="485" t="s">
        <v>580</v>
      </c>
      <c r="AM29" s="134"/>
      <c r="AN29" s="47" t="s">
        <v>16</v>
      </c>
      <c r="AO29" s="400"/>
      <c r="AP29" s="485">
        <v>12</v>
      </c>
      <c r="AQ29" s="485">
        <v>0</v>
      </c>
      <c r="AR29" s="134"/>
      <c r="AS29" s="26">
        <f>IF(ISBLANK(F29),"",(AVERAGE($F$4:F29)))</f>
        <v>11.011538461538461</v>
      </c>
      <c r="AT29" s="26">
        <f>IF(ISBLANK(G29),"",(AVERAGE($G$4:G29)))</f>
        <v>19.776923076923079</v>
      </c>
      <c r="AU29" s="25">
        <f>IF(ISBLANK(H29),"",(AVERAGE($H$4:H29)))</f>
        <v>15.384615384615383</v>
      </c>
      <c r="AV29" s="368">
        <f>IF(ISBLANK(G29),"",(AVERAGE($I$4:I29)))</f>
        <v>8.7653846153846171</v>
      </c>
      <c r="AW29" s="22">
        <f>IF(ISBLANK(M29),"",AVERAGE($M$4:M29))</f>
        <v>69.384615384615387</v>
      </c>
      <c r="AX29" s="376">
        <f>IF(ISBLANK(P29),"",(AVERAGE($R$4:R29)))</f>
        <v>1014.4615384807693</v>
      </c>
      <c r="AY29" s="368">
        <f>IF(ISBLANK(U29),"",(AVERAGE($U$4:U29)))</f>
        <v>5.3538461538461535</v>
      </c>
      <c r="AZ29" s="6"/>
      <c r="BA29" s="25">
        <f t="shared" si="15"/>
        <v>4.1046666666666773</v>
      </c>
      <c r="BB29" s="25">
        <f t="shared" si="16"/>
        <v>8.134999999999998</v>
      </c>
      <c r="BC29" s="25">
        <f t="shared" si="19"/>
        <v>6.1198333333333377</v>
      </c>
      <c r="BD29" s="367">
        <f t="shared" si="18"/>
        <v>4.0303333333333207</v>
      </c>
      <c r="BE29" s="72"/>
      <c r="BF29" s="25">
        <f>IF(ISBLANK(F29),"",AS29-AVERAGE($F$91:F116))</f>
        <v>1.2038461538466549E-2</v>
      </c>
      <c r="BG29" s="25">
        <f>IF(ISBLANK(G29),"",AT29-AVERAGE($G$91:G116))</f>
        <v>-0.26932692307692463</v>
      </c>
      <c r="BH29" s="367">
        <f t="shared" si="21"/>
        <v>-0.28136538461539118</v>
      </c>
      <c r="BI29" s="115">
        <f t="shared" si="8"/>
        <v>1.5449804432855279</v>
      </c>
      <c r="BJ29" s="115">
        <f t="shared" si="9"/>
        <v>0.92775268705134162</v>
      </c>
      <c r="BK29" s="88"/>
      <c r="BL29" s="572">
        <v>26</v>
      </c>
    </row>
    <row r="30" spans="1:64" ht="12.75" customHeight="1" x14ac:dyDescent="0.2">
      <c r="A30" s="394">
        <f t="shared" si="10"/>
        <v>27</v>
      </c>
      <c r="B30" s="131">
        <f t="shared" si="11"/>
        <v>18.2</v>
      </c>
      <c r="C30" s="282">
        <f t="shared" si="11"/>
        <v>31.9</v>
      </c>
      <c r="D30" s="685"/>
      <c r="E30" s="97">
        <f t="shared" si="12"/>
        <v>27</v>
      </c>
      <c r="F30" s="23">
        <v>18.2</v>
      </c>
      <c r="G30" s="23">
        <v>31.9</v>
      </c>
      <c r="H30" s="553">
        <v>25.4</v>
      </c>
      <c r="I30" s="23">
        <f t="shared" si="0"/>
        <v>13.7</v>
      </c>
      <c r="J30" s="6">
        <f t="shared" si="1"/>
        <v>0</v>
      </c>
      <c r="K30" s="24">
        <v>31</v>
      </c>
      <c r="L30" s="24">
        <v>85</v>
      </c>
      <c r="M30" s="554">
        <v>57</v>
      </c>
      <c r="N30" s="24">
        <f t="shared" si="2"/>
        <v>54</v>
      </c>
      <c r="O30" s="50">
        <f t="shared" si="3"/>
        <v>0</v>
      </c>
      <c r="P30" s="24">
        <v>1012</v>
      </c>
      <c r="Q30" s="24">
        <v>1017</v>
      </c>
      <c r="R30" s="24">
        <f t="shared" si="13"/>
        <v>1014.5</v>
      </c>
      <c r="S30" s="24">
        <f t="shared" si="4"/>
        <v>5</v>
      </c>
      <c r="T30" s="50"/>
      <c r="U30" s="553">
        <v>3.8</v>
      </c>
      <c r="V30" s="553">
        <v>12.1</v>
      </c>
      <c r="W30" s="553">
        <v>16.100000000000001</v>
      </c>
      <c r="X30" s="591" t="s">
        <v>111</v>
      </c>
      <c r="Y30" s="72">
        <f t="shared" si="14"/>
        <v>0</v>
      </c>
      <c r="Z30" s="539">
        <v>0</v>
      </c>
      <c r="AA30" s="23"/>
      <c r="AB30" s="23"/>
      <c r="AC30" s="510" t="str">
        <f t="shared" si="5"/>
        <v/>
      </c>
      <c r="AD30" s="7" t="str">
        <f t="shared" si="6"/>
        <v/>
      </c>
      <c r="AE30" s="485"/>
      <c r="AF30" s="72"/>
      <c r="AG30" s="553">
        <v>12</v>
      </c>
      <c r="AH30" s="553">
        <v>18.2</v>
      </c>
      <c r="AI30" s="553">
        <v>15.4</v>
      </c>
      <c r="AJ30" s="26">
        <f>IF(ISBLANK(AH30),"",AH30-AG30)</f>
        <v>6.1999999999999993</v>
      </c>
      <c r="AK30" s="72"/>
      <c r="AL30" s="485" t="s">
        <v>581</v>
      </c>
      <c r="AM30" s="134"/>
      <c r="AN30" s="47" t="s">
        <v>582</v>
      </c>
      <c r="AO30" s="400"/>
      <c r="AP30" s="485">
        <v>10</v>
      </c>
      <c r="AQ30" s="485">
        <v>0</v>
      </c>
      <c r="AR30" s="134"/>
      <c r="AS30" s="26">
        <f>IF(ISBLANK(F30),"",(AVERAGE($F$4:F30)))</f>
        <v>11.277777777777775</v>
      </c>
      <c r="AT30" s="26">
        <f>IF(ISBLANK(G30),"",(AVERAGE($G$4:G30)))</f>
        <v>20.225925925925928</v>
      </c>
      <c r="AU30" s="25">
        <f>IF(ISBLANK(H30),"",(AVERAGE($H$4:H30)))</f>
        <v>15.755555555555553</v>
      </c>
      <c r="AV30" s="368">
        <f>IF(ISBLANK(G30),"",(AVERAGE($I$4:I30)))</f>
        <v>8.9481481481481495</v>
      </c>
      <c r="AW30" s="22">
        <f>IF(ISBLANK(M30),"",AVERAGE($M$4:M30))</f>
        <v>68.925925925925924</v>
      </c>
      <c r="AX30" s="376">
        <f>IF(ISBLANK(P30),"",(AVERAGE($R$4:R30)))</f>
        <v>1014.4629629814815</v>
      </c>
      <c r="AY30" s="368">
        <f>IF(ISBLANK(U30),"",(AVERAGE($U$4:U30)))</f>
        <v>5.2962962962962967</v>
      </c>
      <c r="AZ30" s="6"/>
      <c r="BA30" s="25">
        <f t="shared" si="15"/>
        <v>6.34100000000001</v>
      </c>
      <c r="BB30" s="25">
        <f t="shared" si="16"/>
        <v>10.55125</v>
      </c>
      <c r="BC30" s="25">
        <f t="shared" si="19"/>
        <v>8.4461250000000057</v>
      </c>
      <c r="BD30" s="367">
        <f t="shared" si="18"/>
        <v>4.2102499999999896</v>
      </c>
      <c r="BE30" s="72"/>
      <c r="BF30" s="25">
        <f>IF(ISBLANK(F30),"",AS30-AVERAGE($F$91:F117))</f>
        <v>0.2464444444444478</v>
      </c>
      <c r="BG30" s="25">
        <f>IF(ISBLANK(G30),"",AT30-AVERAGE($G$91:G117))</f>
        <v>0.13143518518518249</v>
      </c>
      <c r="BH30" s="367">
        <f>IF(ISBLANK(G30),"",BG30-BF30)</f>
        <v>-0.11500925925926531</v>
      </c>
      <c r="BI30" s="115">
        <f t="shared" si="8"/>
        <v>1.487758945386064</v>
      </c>
      <c r="BJ30" s="115">
        <f t="shared" si="9"/>
        <v>0.951430675867739</v>
      </c>
      <c r="BK30" s="421"/>
      <c r="BL30" s="572">
        <v>27</v>
      </c>
    </row>
    <row r="31" spans="1:64" ht="12.75" customHeight="1" x14ac:dyDescent="0.2">
      <c r="A31" s="394">
        <f t="shared" si="10"/>
        <v>28</v>
      </c>
      <c r="B31" s="131">
        <v>18.5</v>
      </c>
      <c r="C31" s="282">
        <v>20.100000000000001</v>
      </c>
      <c r="D31" s="685"/>
      <c r="E31" s="97">
        <f t="shared" si="12"/>
        <v>28</v>
      </c>
      <c r="F31" s="23">
        <v>14.5</v>
      </c>
      <c r="G31" s="23">
        <v>20.6</v>
      </c>
      <c r="H31" s="553">
        <v>18.100000000000001</v>
      </c>
      <c r="I31" s="23">
        <f t="shared" si="0"/>
        <v>6.1000000000000014</v>
      </c>
      <c r="J31" s="6">
        <f t="shared" si="1"/>
        <v>1</v>
      </c>
      <c r="K31" s="24">
        <v>68</v>
      </c>
      <c r="L31" s="24">
        <v>92</v>
      </c>
      <c r="M31" s="554">
        <v>82</v>
      </c>
      <c r="N31" s="24">
        <f t="shared" si="2"/>
        <v>24</v>
      </c>
      <c r="O31" s="50">
        <f t="shared" si="3"/>
        <v>1</v>
      </c>
      <c r="P31" s="24">
        <v>1013</v>
      </c>
      <c r="Q31" s="24">
        <v>1018</v>
      </c>
      <c r="R31" s="24">
        <f t="shared" si="13"/>
        <v>1015.5</v>
      </c>
      <c r="S31" s="24">
        <f t="shared" si="4"/>
        <v>5</v>
      </c>
      <c r="T31" s="50"/>
      <c r="U31" s="553">
        <v>3.1</v>
      </c>
      <c r="V31" s="553">
        <v>9.1999999999999993</v>
      </c>
      <c r="W31" s="553">
        <v>12.8</v>
      </c>
      <c r="X31" s="555" t="s">
        <v>113</v>
      </c>
      <c r="Y31" s="72">
        <f t="shared" si="14"/>
        <v>2</v>
      </c>
      <c r="Z31" s="539">
        <v>8.5</v>
      </c>
      <c r="AA31" s="23">
        <v>6.3</v>
      </c>
      <c r="AB31" s="23">
        <v>3</v>
      </c>
      <c r="AC31" s="510">
        <f t="shared" si="5"/>
        <v>9.7031963470319657E-2</v>
      </c>
      <c r="AD31" s="7">
        <f t="shared" si="6"/>
        <v>2.8333333333333335</v>
      </c>
      <c r="AE31" s="485">
        <v>40</v>
      </c>
      <c r="AF31" s="72"/>
      <c r="AG31" s="553">
        <v>10.3</v>
      </c>
      <c r="AH31" s="553">
        <v>16.399999999999999</v>
      </c>
      <c r="AI31" s="553">
        <v>14.9</v>
      </c>
      <c r="AJ31" s="26">
        <f>IF(ISBLANK(AH31),"",AH31-AG31)</f>
        <v>6.0999999999999979</v>
      </c>
      <c r="AK31" s="72"/>
      <c r="AL31" s="485" t="s">
        <v>364</v>
      </c>
      <c r="AM31" s="134"/>
      <c r="AN31" s="23" t="s">
        <v>583</v>
      </c>
      <c r="AO31" s="400"/>
      <c r="AP31" s="485">
        <v>0.5</v>
      </c>
      <c r="AQ31" s="485">
        <v>3</v>
      </c>
      <c r="AR31" s="134"/>
      <c r="AS31" s="26">
        <f>IF(ISBLANK(F31),"",(AVERAGE($F$4:F31)))</f>
        <v>11.392857142857141</v>
      </c>
      <c r="AT31" s="26">
        <f>IF(ISBLANK(G31),"",(AVERAGE($G$4:G31)))</f>
        <v>20.239285714285717</v>
      </c>
      <c r="AU31" s="25">
        <f>IF(ISBLANK(H31),"",(AVERAGE($H$4:H31)))</f>
        <v>15.839285714285712</v>
      </c>
      <c r="AV31" s="368">
        <f>IF(ISBLANK(G31),"",(AVERAGE($I$4:I31)))</f>
        <v>8.8464285714285715</v>
      </c>
      <c r="AW31" s="22">
        <f>IF(ISBLANK(M31),"",AVERAGE($M$4:M31))</f>
        <v>69.392857142857139</v>
      </c>
      <c r="AX31" s="376">
        <f>IF(ISBLANK(P31),"",(AVERAGE($R$4:R31)))</f>
        <v>1014.5000000178571</v>
      </c>
      <c r="AY31" s="368">
        <f>IF(ISBLANK(U31),"",(AVERAGE($U$4:U31)))</f>
        <v>5.2178571428571425</v>
      </c>
      <c r="AZ31" s="6"/>
      <c r="BA31" s="25">
        <f t="shared" si="15"/>
        <v>2.5773333333333444</v>
      </c>
      <c r="BB31" s="25">
        <f t="shared" si="16"/>
        <v>-0.83249999999999957</v>
      </c>
      <c r="BC31" s="25">
        <f t="shared" si="19"/>
        <v>0.87241666666667239</v>
      </c>
      <c r="BD31" s="367">
        <f t="shared" si="18"/>
        <v>-3.4098333333333439</v>
      </c>
      <c r="BE31" s="72"/>
      <c r="BF31" s="25">
        <f>IF(ISBLANK(F31),"",AS31-AVERAGE($F$91:F118))</f>
        <v>0.3296904761904802</v>
      </c>
      <c r="BG31" s="25">
        <f>IF(ISBLANK(G31),"",AT31-AVERAGE($G$91:G118))</f>
        <v>9.7008928571426623E-2</v>
      </c>
      <c r="BH31" s="367">
        <f>IF(ISBLANK(G31),"",BG31-BF31)</f>
        <v>-0.23268154761905357</v>
      </c>
      <c r="BI31" s="115">
        <f t="shared" si="8"/>
        <v>1.5889830508474574</v>
      </c>
      <c r="BJ31" s="115">
        <f t="shared" si="9"/>
        <v>0.92013049572196248</v>
      </c>
      <c r="BK31" s="421"/>
      <c r="BL31" s="572">
        <v>28</v>
      </c>
    </row>
    <row r="32" spans="1:64" ht="12.75" customHeight="1" x14ac:dyDescent="0.2">
      <c r="A32" s="394">
        <f t="shared" si="10"/>
        <v>29</v>
      </c>
      <c r="B32" s="131">
        <f t="shared" si="11"/>
        <v>10.4</v>
      </c>
      <c r="C32" s="282">
        <f t="shared" si="11"/>
        <v>20.8</v>
      </c>
      <c r="D32" s="685"/>
      <c r="E32" s="97">
        <f t="shared" si="12"/>
        <v>29</v>
      </c>
      <c r="F32" s="23">
        <v>10.4</v>
      </c>
      <c r="G32" s="23">
        <v>20.8</v>
      </c>
      <c r="H32" s="553">
        <v>16.3</v>
      </c>
      <c r="I32" s="23">
        <f t="shared" si="0"/>
        <v>10.4</v>
      </c>
      <c r="J32" s="6">
        <f t="shared" si="1"/>
        <v>0</v>
      </c>
      <c r="K32" s="24">
        <v>36</v>
      </c>
      <c r="L32" s="24">
        <v>77</v>
      </c>
      <c r="M32" s="554">
        <v>54</v>
      </c>
      <c r="N32" s="24">
        <f t="shared" si="2"/>
        <v>41</v>
      </c>
      <c r="O32" s="50">
        <f t="shared" si="3"/>
        <v>0</v>
      </c>
      <c r="P32" s="24">
        <v>1018</v>
      </c>
      <c r="Q32" s="24">
        <v>1024</v>
      </c>
      <c r="R32" s="24">
        <f t="shared" si="13"/>
        <v>1021</v>
      </c>
      <c r="S32" s="24">
        <f t="shared" si="4"/>
        <v>6</v>
      </c>
      <c r="T32" s="50"/>
      <c r="U32" s="553">
        <v>4.3</v>
      </c>
      <c r="V32" s="553">
        <v>10.5</v>
      </c>
      <c r="W32" s="553">
        <v>14.7</v>
      </c>
      <c r="X32" s="555" t="s">
        <v>128</v>
      </c>
      <c r="Y32" s="72">
        <f t="shared" si="14"/>
        <v>0</v>
      </c>
      <c r="Z32" s="557">
        <v>0</v>
      </c>
      <c r="AA32" s="558"/>
      <c r="AB32" s="23"/>
      <c r="AC32" s="510" t="str">
        <f t="shared" si="5"/>
        <v/>
      </c>
      <c r="AD32" s="7" t="str">
        <f t="shared" si="6"/>
        <v/>
      </c>
      <c r="AE32" s="559"/>
      <c r="AF32" s="72"/>
      <c r="AG32" s="553">
        <v>4.9000000000000004</v>
      </c>
      <c r="AH32" s="553">
        <v>10.5</v>
      </c>
      <c r="AI32" s="553">
        <v>6.6</v>
      </c>
      <c r="AJ32" s="26">
        <f>IF(ISBLANK(AH32),"",AH32-AG32)</f>
        <v>5.6</v>
      </c>
      <c r="AK32" s="72"/>
      <c r="AL32" s="485" t="s">
        <v>584</v>
      </c>
      <c r="AM32" s="134"/>
      <c r="AN32" s="23" t="s">
        <v>8</v>
      </c>
      <c r="AO32" s="400"/>
      <c r="AP32" s="485">
        <v>10.5</v>
      </c>
      <c r="AQ32" s="485">
        <v>0</v>
      </c>
      <c r="AR32" s="134"/>
      <c r="AS32" s="26">
        <f>IF(ISBLANK(F32),"",(AVERAGE($F$4:F32)))</f>
        <v>11.35862068965517</v>
      </c>
      <c r="AT32" s="26">
        <f>IF(ISBLANK(G32),"",(AVERAGE($G$4:G32)))</f>
        <v>20.258620689655171</v>
      </c>
      <c r="AU32" s="25">
        <f>IF(ISBLANK(H32),"",(AVERAGE($H$4:H32)))</f>
        <v>15.855172413793102</v>
      </c>
      <c r="AV32" s="368">
        <f>IF(ISBLANK(G32),"",(AVERAGE($I$4:I32)))</f>
        <v>8.9</v>
      </c>
      <c r="AW32" s="22">
        <f>IF(ISBLANK(M32),"",AVERAGE($M$4:M32))</f>
        <v>68.862068965517238</v>
      </c>
      <c r="AX32" s="376">
        <f>IF(ISBLANK(P32),"",(AVERAGE($R$4:R32)))</f>
        <v>1014.7241379482758</v>
      </c>
      <c r="AY32" s="368">
        <f>IF(ISBLANK(U32),"",(AVERAGE($U$4:U32)))</f>
        <v>5.1862068965517247</v>
      </c>
      <c r="AZ32" s="6"/>
      <c r="BA32" s="25">
        <f t="shared" si="15"/>
        <v>-1.5863333333333216</v>
      </c>
      <c r="BB32" s="25">
        <f t="shared" si="16"/>
        <v>-0.71624999999999872</v>
      </c>
      <c r="BC32" s="25">
        <f t="shared" si="19"/>
        <v>-1.1512916666666602</v>
      </c>
      <c r="BD32" s="367">
        <f t="shared" si="18"/>
        <v>0.87008333333332288</v>
      </c>
      <c r="BE32" s="72"/>
      <c r="BF32" s="25">
        <f>IF(ISBLANK(F32),"",AS32-AVERAGE($F$91:F119))</f>
        <v>0.26362068965517693</v>
      </c>
      <c r="BG32" s="25">
        <f>IF(ISBLANK(G32),"",AT32-AVERAGE($G$91:G119))</f>
        <v>6.8965517241373675E-2</v>
      </c>
      <c r="BH32" s="367">
        <f>IF(ISBLANK(G32),"",BG32-BF32)</f>
        <v>-0.19465517241380326</v>
      </c>
      <c r="BI32" s="115">
        <f t="shared" si="8"/>
        <v>1.5341905318527176</v>
      </c>
      <c r="BJ32" s="115">
        <f t="shared" si="9"/>
        <v>0.94518312526422443</v>
      </c>
      <c r="BK32" s="88"/>
      <c r="BL32" s="572">
        <v>29</v>
      </c>
    </row>
    <row r="33" spans="1:64" ht="12.75" customHeight="1" x14ac:dyDescent="0.2">
      <c r="A33" s="394">
        <f t="shared" si="10"/>
        <v>30</v>
      </c>
      <c r="B33" s="131">
        <f t="shared" si="11"/>
        <v>9.3000000000000007</v>
      </c>
      <c r="C33" s="282">
        <f t="shared" si="11"/>
        <v>20.5</v>
      </c>
      <c r="D33" s="685"/>
      <c r="E33" s="97">
        <f t="shared" si="12"/>
        <v>30</v>
      </c>
      <c r="F33" s="23">
        <v>9.3000000000000007</v>
      </c>
      <c r="G33" s="23">
        <v>20.5</v>
      </c>
      <c r="H33" s="553">
        <v>15.9</v>
      </c>
      <c r="I33" s="23">
        <f t="shared" si="0"/>
        <v>11.2</v>
      </c>
      <c r="J33" s="6">
        <f t="shared" si="1"/>
        <v>0</v>
      </c>
      <c r="K33" s="24">
        <v>38</v>
      </c>
      <c r="L33" s="24">
        <v>78</v>
      </c>
      <c r="M33" s="554">
        <v>56</v>
      </c>
      <c r="N33" s="24">
        <f t="shared" si="2"/>
        <v>40</v>
      </c>
      <c r="O33" s="50">
        <f t="shared" si="3"/>
        <v>0</v>
      </c>
      <c r="P33" s="24">
        <v>1024</v>
      </c>
      <c r="Q33" s="24">
        <v>1026</v>
      </c>
      <c r="R33" s="24">
        <f t="shared" si="13"/>
        <v>1025</v>
      </c>
      <c r="S33" s="24">
        <f t="shared" si="4"/>
        <v>2</v>
      </c>
      <c r="T33" s="50"/>
      <c r="U33" s="553">
        <v>2.9</v>
      </c>
      <c r="V33" s="553">
        <v>9.6999999999999993</v>
      </c>
      <c r="W33" s="553">
        <v>12.5</v>
      </c>
      <c r="X33" s="485" t="s">
        <v>128</v>
      </c>
      <c r="Y33" s="72">
        <f t="shared" si="14"/>
        <v>0</v>
      </c>
      <c r="Z33" s="557">
        <v>0.1</v>
      </c>
      <c r="AA33" s="558"/>
      <c r="AB33" s="23"/>
      <c r="AC33" s="510">
        <f t="shared" si="5"/>
        <v>1.1415525114155255E-3</v>
      </c>
      <c r="AD33" s="7" t="str">
        <f t="shared" si="6"/>
        <v/>
      </c>
      <c r="AE33" s="559"/>
      <c r="AF33" s="72"/>
      <c r="AG33" s="553">
        <v>4.8</v>
      </c>
      <c r="AH33" s="553">
        <v>9.5</v>
      </c>
      <c r="AI33" s="553">
        <v>6.8</v>
      </c>
      <c r="AJ33" s="26">
        <f>IF(ISBLANK(AH33),"",AH33-AG33)</f>
        <v>4.7</v>
      </c>
      <c r="AK33" s="72"/>
      <c r="AL33" s="485" t="s">
        <v>585</v>
      </c>
      <c r="AM33" s="134"/>
      <c r="AN33" s="302" t="s">
        <v>288</v>
      </c>
      <c r="AO33" s="400"/>
      <c r="AP33" s="485">
        <v>8</v>
      </c>
      <c r="AQ33" s="485">
        <v>0.3</v>
      </c>
      <c r="AR33" s="134"/>
      <c r="AS33" s="26">
        <f>IF(ISBLANK(F33),"",(AVERAGE($F$4:F33)))</f>
        <v>11.289999999999997</v>
      </c>
      <c r="AT33" s="26">
        <f>IF(ISBLANK(G33),"",(AVERAGE($G$4:G33)))</f>
        <v>20.266666666666666</v>
      </c>
      <c r="AU33" s="25">
        <f>IF(ISBLANK(H33),"",(AVERAGE($H$4:H33)))</f>
        <v>15.856666666666664</v>
      </c>
      <c r="AV33" s="368">
        <f>IF(ISBLANK(G33),"",(AVERAGE($I$4:I33)))</f>
        <v>8.9766666666666666</v>
      </c>
      <c r="AW33" s="22">
        <f>IF(ISBLANK(M33),"",AVERAGE($M$4:M33))</f>
        <v>68.433333333333337</v>
      </c>
      <c r="AX33" s="376">
        <f>IF(ISBLANK(P33),"",(AVERAGE($R$4:R33)))</f>
        <v>1015.0666666833333</v>
      </c>
      <c r="AY33" s="368">
        <f>IF(ISBLANK(U33),"",(AVERAGE($U$4:U33)))</f>
        <v>5.1100000000000003</v>
      </c>
      <c r="AZ33" s="6"/>
      <c r="BA33" s="25">
        <f t="shared" si="15"/>
        <v>-2.75</v>
      </c>
      <c r="BB33" s="25">
        <f t="shared" si="16"/>
        <v>-1.1000000000000014</v>
      </c>
      <c r="BC33" s="25">
        <f t="shared" si="19"/>
        <v>-1.9250000000000007</v>
      </c>
      <c r="BD33" s="367">
        <f t="shared" si="18"/>
        <v>1.6499999999999986</v>
      </c>
      <c r="BE33" s="72"/>
      <c r="BF33" s="25">
        <f>IF(ISBLANK(F33),"",AS33-AVERAGE($F$91:F120))</f>
        <v>0.1631666666666689</v>
      </c>
      <c r="BG33" s="25">
        <f>IF(ISBLANK(G33),"",AT33-AVERAGE($G$91:G120))</f>
        <v>2.9999999999994031E-2</v>
      </c>
      <c r="BH33" s="367">
        <f>IF(ISBLANK(G33),"",BG33-BF33)</f>
        <v>-0.13316666666667487</v>
      </c>
      <c r="BI33" s="115">
        <f t="shared" si="8"/>
        <v>1.4847457627118641</v>
      </c>
      <c r="BJ33" s="115">
        <f t="shared" si="9"/>
        <v>0.95549738219895275</v>
      </c>
      <c r="BK33" s="88"/>
      <c r="BL33" s="572">
        <v>30</v>
      </c>
    </row>
    <row r="34" spans="1:64" ht="12.75" hidden="1" customHeight="1" x14ac:dyDescent="0.2">
      <c r="A34" s="278">
        <v>31</v>
      </c>
      <c r="B34" s="131" t="str">
        <f t="shared" si="11"/>
        <v/>
      </c>
      <c r="C34" s="282" t="str">
        <f t="shared" si="11"/>
        <v/>
      </c>
      <c r="D34" s="685"/>
      <c r="E34" s="99">
        <v>30</v>
      </c>
      <c r="F34" s="23"/>
      <c r="G34" s="23"/>
      <c r="H34" s="553"/>
      <c r="I34" s="23"/>
      <c r="J34" s="6"/>
      <c r="K34" s="24"/>
      <c r="L34" s="24"/>
      <c r="M34" s="554"/>
      <c r="N34" s="24"/>
      <c r="O34" s="50"/>
      <c r="P34" s="24"/>
      <c r="Q34" s="24"/>
      <c r="R34" s="24" t="str">
        <f>IF(ISBLANK(P34),"",AVERAGE(P34:Q34))</f>
        <v/>
      </c>
      <c r="S34" s="24"/>
      <c r="T34" s="50"/>
      <c r="U34" s="553"/>
      <c r="V34" s="553"/>
      <c r="W34" s="553"/>
      <c r="X34" s="485"/>
      <c r="Y34" s="72" t="str">
        <f>IF(ISBLANK(Z34),"",IF(AQ34&lt;0.5,0,IF(Z34=0,0,IF(Z34&lt;1,1,2))))</f>
        <v/>
      </c>
      <c r="Z34" s="557"/>
      <c r="AA34" s="558"/>
      <c r="AB34" s="558"/>
      <c r="AC34" s="563"/>
      <c r="AD34" s="7"/>
      <c r="AE34" s="559"/>
      <c r="AF34" s="72"/>
      <c r="AG34" s="553"/>
      <c r="AH34" s="553"/>
      <c r="AI34" s="553"/>
      <c r="AJ34" s="26"/>
      <c r="AK34" s="72"/>
      <c r="AL34" s="485"/>
      <c r="AM34" s="134"/>
      <c r="AN34" s="23"/>
      <c r="AO34" s="400"/>
      <c r="AP34" s="485"/>
      <c r="AQ34" s="485"/>
      <c r="AR34" s="134"/>
      <c r="AS34" s="26"/>
      <c r="AT34" s="26"/>
      <c r="AU34" s="25"/>
      <c r="AV34" s="368"/>
      <c r="AW34" s="22"/>
      <c r="AX34" s="376"/>
      <c r="AY34" s="368"/>
      <c r="AZ34" s="6"/>
      <c r="BA34" s="25" t="str">
        <f t="shared" si="15"/>
        <v/>
      </c>
      <c r="BB34" s="25" t="str">
        <f t="shared" si="16"/>
        <v/>
      </c>
      <c r="BC34" s="25" t="str">
        <f t="shared" si="19"/>
        <v/>
      </c>
      <c r="BD34" s="367" t="str">
        <f t="shared" si="18"/>
        <v/>
      </c>
      <c r="BE34" s="72"/>
      <c r="BF34" s="25" t="str">
        <f>IF(ISBLANK(F34),"",AS34-AVERAGE($F$91:F121))</f>
        <v/>
      </c>
      <c r="BG34" s="25" t="str">
        <f>IF(ISBLANK(G34),"",AT34-AVERAGE($G$91:G121))</f>
        <v/>
      </c>
      <c r="BH34" s="367" t="str">
        <f>IF(ISBLANK(G34),"",BG34-BF34)</f>
        <v/>
      </c>
      <c r="BI34" s="138"/>
      <c r="BJ34" s="115" t="str">
        <f t="shared" si="9"/>
        <v/>
      </c>
      <c r="BK34" s="88"/>
      <c r="BL34" s="572">
        <v>31</v>
      </c>
    </row>
    <row r="35" spans="1:64" s="10" customFormat="1" ht="3" customHeight="1" x14ac:dyDescent="0.2">
      <c r="A35" s="67"/>
      <c r="B35" s="284"/>
      <c r="C35" s="285"/>
      <c r="D35" s="685"/>
      <c r="E35" s="15"/>
      <c r="F35" s="29"/>
      <c r="G35" s="29"/>
      <c r="H35" s="28"/>
      <c r="I35" s="29"/>
      <c r="J35" s="6"/>
      <c r="K35" s="30"/>
      <c r="L35" s="30"/>
      <c r="M35" s="30"/>
      <c r="N35" s="30"/>
      <c r="O35" s="17"/>
      <c r="P35" s="30"/>
      <c r="Q35" s="30"/>
      <c r="R35" s="30"/>
      <c r="S35" s="30"/>
      <c r="T35" s="50"/>
      <c r="U35" s="28"/>
      <c r="V35" s="28"/>
      <c r="W35" s="32"/>
      <c r="X35" s="28"/>
      <c r="Y35" s="67"/>
      <c r="Z35" s="501"/>
      <c r="AA35" s="501"/>
      <c r="AB35" s="501"/>
      <c r="AC35" s="511"/>
      <c r="AD35" s="28"/>
      <c r="AE35" s="28"/>
      <c r="AF35" s="6"/>
      <c r="AG35" s="28"/>
      <c r="AH35" s="28"/>
      <c r="AI35" s="28"/>
      <c r="AJ35" s="28"/>
      <c r="AK35" s="67"/>
      <c r="AL35" s="95"/>
      <c r="AM35" s="6"/>
      <c r="AN35" s="29"/>
      <c r="AO35" s="400"/>
      <c r="AP35" s="28"/>
      <c r="AQ35" s="28"/>
      <c r="AR35" s="67"/>
      <c r="AS35" s="31"/>
      <c r="AT35" s="32"/>
      <c r="AU35" s="83"/>
      <c r="AV35" s="33"/>
      <c r="AW35" s="33"/>
      <c r="AX35" s="32"/>
      <c r="AY35" s="112"/>
      <c r="AZ35" s="54"/>
      <c r="BA35" s="112"/>
      <c r="BB35" s="112"/>
      <c r="BC35" s="112"/>
      <c r="BD35" s="82"/>
      <c r="BE35" s="402"/>
      <c r="BF35" s="32"/>
      <c r="BG35" s="32"/>
      <c r="BH35" s="32"/>
      <c r="BI35" s="28"/>
      <c r="BJ35" s="584"/>
      <c r="BK35" s="88"/>
      <c r="BL35" s="78"/>
    </row>
    <row r="36" spans="1:64" ht="12.75" customHeight="1" x14ac:dyDescent="0.2">
      <c r="A36" s="67"/>
      <c r="B36" s="697"/>
      <c r="C36" s="698"/>
      <c r="D36" s="685"/>
      <c r="E36" s="4"/>
      <c r="F36" s="25"/>
      <c r="G36" s="25"/>
      <c r="H36" s="21"/>
      <c r="I36" s="25"/>
      <c r="J36" s="18"/>
      <c r="K36" s="22"/>
      <c r="L36" s="22"/>
      <c r="M36" s="22"/>
      <c r="N36" s="22"/>
      <c r="O36" s="18"/>
      <c r="P36" s="48"/>
      <c r="Q36" s="48"/>
      <c r="R36" s="48"/>
      <c r="S36" s="48"/>
      <c r="T36" s="67"/>
      <c r="U36" s="21"/>
      <c r="V36" s="21"/>
      <c r="W36" s="21"/>
      <c r="X36" s="21"/>
      <c r="Y36" s="67"/>
      <c r="Z36" s="458" t="s">
        <v>34</v>
      </c>
      <c r="AA36" s="502"/>
      <c r="AB36" s="502"/>
      <c r="AC36" s="512"/>
      <c r="AD36" s="430" t="s">
        <v>202</v>
      </c>
      <c r="AE36" s="111"/>
      <c r="AF36" s="6"/>
      <c r="AG36" s="21"/>
      <c r="AJ36" s="21"/>
      <c r="AK36" s="67"/>
      <c r="AM36" s="6"/>
      <c r="AN36" s="182" t="s">
        <v>121</v>
      </c>
      <c r="AO36" s="402"/>
      <c r="AP36" s="185" t="s">
        <v>34</v>
      </c>
      <c r="AQ36" s="520" t="s">
        <v>34</v>
      </c>
      <c r="AR36" s="67"/>
      <c r="AS36" s="271" t="s">
        <v>16</v>
      </c>
      <c r="AT36" s="152" t="s">
        <v>26</v>
      </c>
      <c r="AU36" s="11" t="s">
        <v>41</v>
      </c>
      <c r="AV36" s="416" t="s">
        <v>81</v>
      </c>
      <c r="AW36" s="11" t="s">
        <v>6</v>
      </c>
      <c r="AX36" s="296" t="s">
        <v>79</v>
      </c>
      <c r="AY36" s="182" t="s">
        <v>201</v>
      </c>
      <c r="AZ36" s="71"/>
      <c r="BA36" s="699" t="s">
        <v>78</v>
      </c>
      <c r="BB36" s="699"/>
      <c r="BC36" s="569" t="s">
        <v>200</v>
      </c>
      <c r="BD36" s="417" t="s">
        <v>253</v>
      </c>
      <c r="BE36" s="402"/>
      <c r="BH36" s="21"/>
      <c r="BK36" s="88"/>
      <c r="BL36" s="78"/>
    </row>
    <row r="37" spans="1:64" ht="3" customHeight="1" x14ac:dyDescent="0.2">
      <c r="A37" s="73"/>
      <c r="B37" s="284"/>
      <c r="C37" s="286"/>
      <c r="D37" s="685"/>
      <c r="E37" s="35"/>
      <c r="F37" s="36"/>
      <c r="G37" s="36"/>
      <c r="H37" s="34"/>
      <c r="I37" s="36"/>
      <c r="J37" s="60"/>
      <c r="K37" s="37"/>
      <c r="L37" s="37"/>
      <c r="M37" s="37"/>
      <c r="N37" s="37"/>
      <c r="O37" s="18"/>
      <c r="P37" s="37"/>
      <c r="Q37" s="37"/>
      <c r="R37" s="37"/>
      <c r="S37" s="37"/>
      <c r="T37" s="73"/>
      <c r="U37" s="34"/>
      <c r="V37" s="34"/>
      <c r="W37" s="34"/>
      <c r="X37" s="34"/>
      <c r="Y37" s="73"/>
      <c r="Z37" s="503"/>
      <c r="AA37" s="503"/>
      <c r="AB37" s="503"/>
      <c r="AC37" s="513"/>
      <c r="AD37" s="261"/>
      <c r="AE37" s="261"/>
      <c r="AF37" s="6"/>
      <c r="AG37" s="34"/>
      <c r="AH37" s="34"/>
      <c r="AI37" s="34"/>
      <c r="AJ37" s="34"/>
      <c r="AK37" s="73"/>
      <c r="AL37" s="95"/>
      <c r="AM37" s="6"/>
      <c r="AN37" s="34"/>
      <c r="AO37" s="403"/>
      <c r="AP37" s="34"/>
      <c r="AQ37" s="34"/>
      <c r="AR37" s="73"/>
      <c r="AS37" s="272"/>
      <c r="AT37" s="270"/>
      <c r="AU37" s="36"/>
      <c r="AV37" s="269"/>
      <c r="AW37" s="36"/>
      <c r="AX37" s="297"/>
      <c r="AY37" s="269"/>
      <c r="AZ37" s="76"/>
      <c r="BA37" s="687"/>
      <c r="BB37" s="687"/>
      <c r="BC37" s="36"/>
      <c r="BD37" s="34"/>
      <c r="BE37" s="522"/>
      <c r="BF37" s="95"/>
      <c r="BG37" s="34"/>
      <c r="BH37" s="34"/>
      <c r="BI37" s="364"/>
      <c r="BJ37" s="364"/>
      <c r="BK37" s="403"/>
      <c r="BL37" s="79"/>
    </row>
    <row r="38" spans="1:64" ht="12.75" customHeight="1" x14ac:dyDescent="0.2">
      <c r="A38" s="67"/>
      <c r="B38" s="700" t="s">
        <v>4</v>
      </c>
      <c r="C38" s="701"/>
      <c r="D38" s="685"/>
      <c r="E38" s="4" t="s">
        <v>4</v>
      </c>
      <c r="F38" s="152">
        <f>IF(ISBLANK(F4),"",AVERAGE(F4:F34))</f>
        <v>11.289999999999997</v>
      </c>
      <c r="G38" s="151">
        <f>IF(ISBLANK(G4),"",AVERAGE(G4:G34))</f>
        <v>20.266666666666666</v>
      </c>
      <c r="H38" s="14">
        <f>IF(ISBLANK(H4),"",AVERAGE(H4:H34))</f>
        <v>15.856666666666664</v>
      </c>
      <c r="I38" s="129">
        <f>IF(ISBLANK(G4),"",AVERAGE(I4:I34))</f>
        <v>8.9766666666666666</v>
      </c>
      <c r="J38" s="19"/>
      <c r="K38" s="156">
        <f>IF(ISBLANK(K4),"",AVERAGE(K4:K34))</f>
        <v>48.8</v>
      </c>
      <c r="L38" s="153">
        <f>IF(ISBLANK(K4),"",AVERAGE(L4:L34))</f>
        <v>86.966666666666669</v>
      </c>
      <c r="M38" s="9">
        <f>IF(ISBLANK(M4),"",AVERAGE(M4:M34))</f>
        <v>68.433333333333337</v>
      </c>
      <c r="N38" s="398">
        <f>IF(ISBLANK(K4),"",AVERAGE(N4:N34))</f>
        <v>38.166666666666664</v>
      </c>
      <c r="O38" s="18"/>
      <c r="P38" s="154">
        <f>IF(ISBLANK(P4),"",AVERAGE(P4:P34))</f>
        <v>1012.2333333333333</v>
      </c>
      <c r="Q38" s="155">
        <f>IF(ISBLANK(P4),"",AVERAGE(Q4:Q34))</f>
        <v>1017.9000000333333</v>
      </c>
      <c r="R38" s="378">
        <f>IF(ISBLANK(P4),"",AVERAGE(P4:Q34))</f>
        <v>1015.0666666833333</v>
      </c>
      <c r="S38" s="130">
        <f>IF(ISBLANK(P4),"",AVERAGE(S4:S34))</f>
        <v>5.6666667000000039</v>
      </c>
      <c r="T38" s="70"/>
      <c r="U38" s="266">
        <f>IF(ISBLANK(U4),"",AVERAGE(U4:U34))</f>
        <v>5.1100000000000003</v>
      </c>
      <c r="V38" s="266">
        <f>IF(ISBLANK(V4),"",AVERAGE(V4:V34))</f>
        <v>13.473333333333329</v>
      </c>
      <c r="W38" s="266">
        <f>IF(ISBLANK(U4),"",AVERAGE(W4:W34))</f>
        <v>19.45</v>
      </c>
      <c r="X38" s="266" t="s">
        <v>105</v>
      </c>
      <c r="Y38" s="56"/>
      <c r="Z38" s="466">
        <f>SUM(Z4:Z34)</f>
        <v>87.59999999999998</v>
      </c>
      <c r="AA38" s="466">
        <f>IF($AN$38=0,"",AVERAGE(AA4:AA34))</f>
        <v>2.8333333333333335</v>
      </c>
      <c r="AB38" s="466"/>
      <c r="AC38" s="514">
        <f>IF($AN$38=0,"",AVERAGE(AC4:AC34))</f>
        <v>5.2631578947368432E-2</v>
      </c>
      <c r="AD38" s="182">
        <f>IF(Z38=0,"",Z38/AQ38)</f>
        <v>1.3232628398791537</v>
      </c>
      <c r="AE38" s="182">
        <f>IF($AN$38=0,"",AVERAGE(AE4:AE34))</f>
        <v>13.184615384615386</v>
      </c>
      <c r="AF38" s="6"/>
      <c r="AG38" s="263">
        <f>IF(ISBLANK(AG4),"",AVERAGE(AG4:AG34))</f>
        <v>6.6266666666666678</v>
      </c>
      <c r="AH38" s="321">
        <f>IF(ISBLANK(AH4),"",AVERAGE(AH4:AH34))</f>
        <v>12.516666666666664</v>
      </c>
      <c r="AI38" s="301">
        <f>IF(ISBLANK(AI4),"",AVERAGE(AI4:AI34))</f>
        <v>9.6399999999999988</v>
      </c>
      <c r="AJ38" s="46">
        <f>IF(ISBLANK(AG4),"",AVERAGE(AJ4:AJ34))</f>
        <v>5.8899999999999988</v>
      </c>
      <c r="AK38" s="311"/>
      <c r="AL38" s="669" t="s">
        <v>487</v>
      </c>
      <c r="AM38" s="6"/>
      <c r="AN38" s="254">
        <f>COUNTIF(AL91:AL120,1)</f>
        <v>14</v>
      </c>
      <c r="AO38" s="224"/>
      <c r="AP38" s="528">
        <f>SUM(AP4:AP34)</f>
        <v>182.5</v>
      </c>
      <c r="AQ38" s="432">
        <f>SUM(AQ4:AQ34)</f>
        <v>66.2</v>
      </c>
      <c r="AR38" s="56"/>
      <c r="AS38" s="358">
        <f>COUNTIF(G4:G34, "&gt;25")</f>
        <v>3</v>
      </c>
      <c r="AT38" s="357">
        <f>COUNTIF(B4:B34,"&lt;0")</f>
        <v>0</v>
      </c>
      <c r="AU38" s="145">
        <f>SUM(COUNTIF(AN4:AN34,"Thunder"),COUNTIF(AN4:AN34,"*Thunder*"),COUNTIF(AN4:AN34,"*Storm*"))</f>
        <v>4</v>
      </c>
      <c r="AV38" s="396">
        <f xml:space="preserve"> SUM(COUNTIF(AN4:AN34,"*Slt*"),COUNTIF(AN4:AN34,"*Snw*"))</f>
        <v>0</v>
      </c>
      <c r="AW38" s="145">
        <f>COUNTIF(W4:W34, "&gt;38")</f>
        <v>0</v>
      </c>
      <c r="AX38" s="359">
        <f xml:space="preserve"> SUM(COUNTIF(AN4:AN34,"Hail"),COUNTIF(AN4:AN34,"*Hail*"))</f>
        <v>0</v>
      </c>
      <c r="AY38" s="396">
        <f>COUNTIF(Z4:Z34,"&gt;19.9")</f>
        <v>0</v>
      </c>
      <c r="AZ38" s="360"/>
      <c r="BA38" s="689">
        <f xml:space="preserve"> SUM(COUNTIF(AN4:AN34,"cm"),COUNTIF(AN4:AN34,"*cm*"))</f>
        <v>0</v>
      </c>
      <c r="BB38" s="689"/>
      <c r="BC38" s="568">
        <f xml:space="preserve"> SUM(COUNTIF(AN4:AN34,"Dense"),COUNTIF(AN4:AN34,"*Dense*"))</f>
        <v>0</v>
      </c>
      <c r="BD38" s="417">
        <f t="array" ref="BD38">SUM(IF(AP4:AP34&gt;0.95*AT91:AT121,1,0))</f>
        <v>1</v>
      </c>
      <c r="BE38" s="523"/>
      <c r="BH38" s="25"/>
      <c r="BK38" s="88"/>
      <c r="BL38" s="78"/>
    </row>
    <row r="39" spans="1:64" ht="12.75" customHeight="1" x14ac:dyDescent="0.2">
      <c r="A39" s="67"/>
      <c r="B39" s="214">
        <f>IF(ISBLANK(F4),"",AVERAGE(B4:B34))</f>
        <v>11.58</v>
      </c>
      <c r="C39" s="287">
        <f>IF(ISBLANK(P4),"",AVERAGE(C4:C34))</f>
        <v>20.216666666666665</v>
      </c>
      <c r="D39" s="686"/>
      <c r="E39" s="4" t="s">
        <v>9</v>
      </c>
      <c r="F39" s="163">
        <v>11.1</v>
      </c>
      <c r="G39" s="94">
        <v>20.2</v>
      </c>
      <c r="H39" s="390" t="s">
        <v>4</v>
      </c>
      <c r="I39" s="162">
        <f>G39-F39</f>
        <v>9.1</v>
      </c>
      <c r="J39" s="19"/>
      <c r="K39" s="22"/>
      <c r="L39" s="22"/>
      <c r="M39" s="538" t="s">
        <v>4</v>
      </c>
      <c r="N39" s="22"/>
      <c r="O39" s="18"/>
      <c r="P39" s="22"/>
      <c r="Q39" s="22"/>
      <c r="R39" s="380">
        <v>1013.25</v>
      </c>
      <c r="S39" s="22"/>
      <c r="T39" s="70"/>
      <c r="U39" s="259">
        <v>4.4000000000000004</v>
      </c>
      <c r="V39" s="259"/>
      <c r="X39" s="260"/>
      <c r="Y39" s="70"/>
      <c r="Z39" s="504">
        <v>59</v>
      </c>
      <c r="AA39" s="105"/>
      <c r="AB39" s="505"/>
      <c r="AC39" s="515"/>
      <c r="AD39" s="490">
        <f>Z39/AQ39</f>
        <v>1.7878787878787878</v>
      </c>
      <c r="AF39" s="6"/>
      <c r="AG39" s="25"/>
      <c r="AI39" s="25"/>
      <c r="AJ39" s="25"/>
      <c r="AK39" s="56"/>
      <c r="AL39" s="669"/>
      <c r="AM39" s="6"/>
      <c r="AN39" s="253">
        <v>9</v>
      </c>
      <c r="AO39" s="224"/>
      <c r="AP39" s="529">
        <v>191</v>
      </c>
      <c r="AQ39" s="460">
        <v>33</v>
      </c>
      <c r="AR39" s="67"/>
      <c r="AT39" s="357">
        <v>0</v>
      </c>
      <c r="AU39" s="22">
        <v>3</v>
      </c>
      <c r="AV39" s="396">
        <v>0</v>
      </c>
      <c r="AW39" s="145"/>
      <c r="AX39" s="359"/>
      <c r="AZ39" s="360"/>
      <c r="BA39" s="689">
        <v>0</v>
      </c>
      <c r="BB39" s="689"/>
      <c r="BC39" s="145"/>
      <c r="BD39" s="145"/>
      <c r="BE39" s="360"/>
      <c r="BF39" s="147"/>
      <c r="BG39" s="147"/>
      <c r="BH39" s="147"/>
      <c r="BI39" s="147"/>
      <c r="BK39" s="88"/>
      <c r="BL39" s="78"/>
    </row>
    <row r="40" spans="1:64" ht="12.75" customHeight="1" x14ac:dyDescent="0.2">
      <c r="A40" s="67"/>
      <c r="B40" s="215">
        <f>IF(ISBLANK(F4),"",B39-F38)</f>
        <v>0.2900000000000027</v>
      </c>
      <c r="C40" s="288">
        <f>IF(ISBLANK(P4),"",C39-G38)</f>
        <v>-5.0000000000000711E-2</v>
      </c>
      <c r="D40" s="686"/>
      <c r="E40" s="4" t="s">
        <v>10</v>
      </c>
      <c r="F40" s="152">
        <f>IF(ISBLANK(F4),"",F38-F39)</f>
        <v>0.18999999999999773</v>
      </c>
      <c r="G40" s="151">
        <f>IF(ISBLANK(G4),"",G38-G39)</f>
        <v>6.666666666666643E-2</v>
      </c>
      <c r="H40" s="383">
        <f>IF(M53&lt;1,"",AVERAGE(F4:G34))</f>
        <v>15.778333333333334</v>
      </c>
      <c r="I40" s="129">
        <f>IF(ISBLANK(G4),"",SUM(I38-I39))</f>
        <v>-0.12333333333333307</v>
      </c>
      <c r="J40" s="19"/>
      <c r="K40" s="22"/>
      <c r="L40" s="22"/>
      <c r="M40" s="537">
        <f>IF(M53&lt;1,"",AVERAGE(K4:L34))</f>
        <v>67.88333333333334</v>
      </c>
      <c r="N40" s="25"/>
      <c r="O40" s="18"/>
      <c r="P40" s="102"/>
      <c r="Q40" s="22"/>
      <c r="R40" s="378">
        <f>IF(ISBLANK(P4),"",R38-R39)</f>
        <v>1.8166666833333238</v>
      </c>
      <c r="S40" s="22"/>
      <c r="T40" s="70"/>
      <c r="U40" s="266">
        <f>IF(ISBLANK(U4),"",U38-U39)</f>
        <v>0.71</v>
      </c>
      <c r="V40" s="435">
        <f>IF(ISBLANK(U5),"",CORREL(U4:U34,V4:V34))</f>
        <v>0.83974515502621572</v>
      </c>
      <c r="W40" s="435">
        <f>IF(ISBLANK(U5),"",CORREL(U4:U34,W4:W34))</f>
        <v>0.85306559987097097</v>
      </c>
      <c r="X40" s="435">
        <f>IF(ISBLANK(V5),"",CORREL(V4:V34,W4:W34))</f>
        <v>0.9559151348723568</v>
      </c>
      <c r="Y40" s="70"/>
      <c r="Z40" s="465">
        <f>IF(ISBLANK(Z4),"",AB47/AB48)</f>
        <v>1.4847457627118643</v>
      </c>
      <c r="AA40" s="506">
        <f>Z38/Z39</f>
        <v>1.4847457627118641</v>
      </c>
      <c r="AB40" s="506"/>
      <c r="AC40" s="516"/>
      <c r="AD40" s="262">
        <f>IF(Z38&lt;0.3,"",AD38/(Z39/AQ39))</f>
        <v>0.74013006298325545</v>
      </c>
      <c r="AE40" s="527">
        <f>IF($AN$38=0,"",AVERAGE(AD4:AD34))</f>
        <v>1.460798319327731</v>
      </c>
      <c r="AF40" s="6"/>
      <c r="AI40" s="25"/>
      <c r="AJ40" s="25"/>
      <c r="AK40" s="56"/>
      <c r="AL40" s="669"/>
      <c r="AM40" s="6"/>
      <c r="AN40" s="254">
        <f>SUM(AN38-AN39)</f>
        <v>5</v>
      </c>
      <c r="AO40" s="224"/>
      <c r="AP40" s="530">
        <f>IF(ISBLANK(AP4),"",AP47/AP54)</f>
        <v>0.95549738219895286</v>
      </c>
      <c r="AQ40" s="427">
        <f>IF(ISBLANK(AQ4),"",AQ47/(AQ39/E34))</f>
        <v>2.0060606060606059</v>
      </c>
      <c r="AR40" s="418"/>
      <c r="AT40" s="357">
        <f>SUM(AT38-AT39)</f>
        <v>0</v>
      </c>
      <c r="AU40" s="145">
        <f>SUM(AU38-AU39)</f>
        <v>1</v>
      </c>
      <c r="AV40" s="396">
        <f>AV38-AV39</f>
        <v>0</v>
      </c>
      <c r="AW40" s="145"/>
      <c r="AX40" s="359"/>
      <c r="AZ40" s="360"/>
      <c r="BA40" s="689">
        <f>BA38-BA39</f>
        <v>0</v>
      </c>
      <c r="BB40" s="689"/>
      <c r="BC40" s="145"/>
      <c r="BD40" s="145"/>
      <c r="BE40" s="360"/>
      <c r="BI40" s="25"/>
      <c r="BK40" s="88"/>
      <c r="BL40" s="78"/>
    </row>
    <row r="41" spans="1:64" ht="4.5" customHeight="1" x14ac:dyDescent="0.2">
      <c r="A41" s="74"/>
      <c r="B41" s="289"/>
      <c r="C41" s="290"/>
      <c r="D41" s="686"/>
      <c r="E41" s="40"/>
      <c r="F41" s="41"/>
      <c r="G41" s="41"/>
      <c r="H41" s="42"/>
      <c r="I41" s="41"/>
      <c r="J41" s="61"/>
      <c r="K41" s="43"/>
      <c r="L41" s="43"/>
      <c r="M41" s="44"/>
      <c r="N41" s="43"/>
      <c r="O41" s="18"/>
      <c r="P41" s="43"/>
      <c r="Q41" s="43"/>
      <c r="R41" s="44"/>
      <c r="S41" s="43"/>
      <c r="T41" s="74"/>
      <c r="U41" s="41"/>
      <c r="V41" s="41"/>
      <c r="W41" s="41"/>
      <c r="X41" s="41"/>
      <c r="Y41" s="77"/>
      <c r="Z41" s="507"/>
      <c r="AA41" s="507"/>
      <c r="AB41" s="507"/>
      <c r="AC41" s="517"/>
      <c r="AD41" s="41"/>
      <c r="AE41" s="41"/>
      <c r="AF41" s="6"/>
      <c r="AG41" s="41"/>
      <c r="AH41" s="41"/>
      <c r="AI41" s="41"/>
      <c r="AJ41" s="41"/>
      <c r="AK41" s="77"/>
      <c r="AL41" s="669"/>
      <c r="AM41" s="6"/>
      <c r="AN41" s="39"/>
      <c r="AO41" s="39"/>
      <c r="AP41" s="39"/>
      <c r="AQ41" s="39"/>
      <c r="AR41" s="39"/>
      <c r="AS41" s="41"/>
      <c r="AT41" s="43"/>
      <c r="AU41" s="41"/>
      <c r="AV41" s="41"/>
      <c r="AW41" s="41"/>
      <c r="AX41" s="41"/>
      <c r="AY41" s="41"/>
      <c r="AZ41" s="77"/>
      <c r="BA41" s="41"/>
      <c r="BB41" s="41"/>
      <c r="BC41" s="41"/>
      <c r="BD41" s="41"/>
      <c r="BE41" s="77"/>
      <c r="BF41" s="41"/>
      <c r="BG41" s="41"/>
      <c r="BH41" s="39"/>
      <c r="BI41" s="41"/>
      <c r="BJ41" s="41"/>
      <c r="BK41" s="39"/>
      <c r="BL41" s="80"/>
    </row>
    <row r="42" spans="1:64" ht="12.75" customHeight="1" x14ac:dyDescent="0.2">
      <c r="A42" s="67"/>
      <c r="B42" s="705" t="s">
        <v>98</v>
      </c>
      <c r="C42" s="706"/>
      <c r="D42" s="686"/>
      <c r="E42" s="4" t="s">
        <v>5</v>
      </c>
      <c r="F42" s="25">
        <f>F86-F85</f>
        <v>10.199999999999999</v>
      </c>
      <c r="G42" s="25">
        <f>G86-G85</f>
        <v>17.5</v>
      </c>
      <c r="H42" s="25">
        <f>H86-H85</f>
        <v>13.799999999999999</v>
      </c>
      <c r="I42" s="25">
        <f>I86-I85</f>
        <v>8.7999999999999989</v>
      </c>
      <c r="J42" s="20"/>
      <c r="K42" s="22">
        <f>K86-K85</f>
        <v>41</v>
      </c>
      <c r="L42" s="22">
        <f>L86-L85</f>
        <v>20</v>
      </c>
      <c r="M42" s="22">
        <f>M86-M85</f>
        <v>32</v>
      </c>
      <c r="N42" s="22">
        <f>N86-N85</f>
        <v>38</v>
      </c>
      <c r="O42" s="20"/>
      <c r="P42" s="22">
        <f>P86-P85</f>
        <v>36</v>
      </c>
      <c r="Q42" s="22">
        <f>Q86-Q85</f>
        <v>29.000001000000111</v>
      </c>
      <c r="R42" s="22">
        <f>R86-R85</f>
        <v>32.000000500000169</v>
      </c>
      <c r="S42" s="22">
        <f>S86-S85</f>
        <v>14</v>
      </c>
      <c r="T42" s="75"/>
      <c r="U42" s="25">
        <f>U86-U85</f>
        <v>5.7999999999999989</v>
      </c>
      <c r="V42" s="25">
        <f>V86-V85</f>
        <v>10.7</v>
      </c>
      <c r="W42" s="25">
        <f>W86-W85</f>
        <v>20.399999999999999</v>
      </c>
      <c r="X42" s="25"/>
      <c r="Y42" s="135"/>
      <c r="Z42" s="38">
        <f>Z86-Z85</f>
        <v>14.7</v>
      </c>
      <c r="AA42" s="38">
        <f>AA86-AA85</f>
        <v>8</v>
      </c>
      <c r="AB42" s="38">
        <f>AB86-AB85</f>
        <v>2.7</v>
      </c>
      <c r="AC42" s="510">
        <f>AC86-AC85</f>
        <v>0.16666666666666669</v>
      </c>
      <c r="AD42" s="25">
        <f>AE86-AE85</f>
        <v>3.0749999999999997</v>
      </c>
      <c r="AE42" s="22">
        <f>AD86-AD85</f>
        <v>48.7</v>
      </c>
      <c r="AF42" s="6"/>
      <c r="AG42" s="25">
        <f>AG86-AG85</f>
        <v>11</v>
      </c>
      <c r="AH42" s="25">
        <f>AH86-AH85</f>
        <v>9.6999999999999993</v>
      </c>
      <c r="AI42" s="25">
        <f>AI86-AI85</f>
        <v>9.3000000000000007</v>
      </c>
      <c r="AJ42" s="25">
        <f>AJ86-AJ85</f>
        <v>6.5</v>
      </c>
      <c r="AK42" s="56"/>
      <c r="AL42" s="669"/>
      <c r="AM42" s="6"/>
      <c r="AN42" s="4" t="s">
        <v>80</v>
      </c>
      <c r="AO42" s="223"/>
      <c r="AP42" s="25">
        <f>AP86-AP85</f>
        <v>14.399999999999999</v>
      </c>
      <c r="AQ42" s="22">
        <f>AQ86-AQ85</f>
        <v>10</v>
      </c>
      <c r="AR42" s="70"/>
      <c r="AS42" s="25">
        <f t="shared" ref="AS42:AY42" si="23">AS86-AS85</f>
        <v>1.4511904761904741</v>
      </c>
      <c r="AT42" s="25">
        <f t="shared" si="23"/>
        <v>3.2705263157894748</v>
      </c>
      <c r="AU42" s="25">
        <f t="shared" si="23"/>
        <v>2.1900000000000031</v>
      </c>
      <c r="AV42" s="25">
        <f t="shared" si="23"/>
        <v>3.1756521739130417</v>
      </c>
      <c r="AW42" s="25">
        <f t="shared" si="23"/>
        <v>5.2363636363636346</v>
      </c>
      <c r="AX42" s="25">
        <f t="shared" si="23"/>
        <v>11.977272804545578</v>
      </c>
      <c r="AY42" s="25">
        <f t="shared" si="23"/>
        <v>0.75000000000000089</v>
      </c>
      <c r="AZ42" s="56"/>
      <c r="BA42" s="25">
        <f>G42</f>
        <v>17.5</v>
      </c>
      <c r="BB42" s="25">
        <f>H42</f>
        <v>13.799999999999999</v>
      </c>
      <c r="BC42" s="25">
        <f>I42</f>
        <v>8.7999999999999989</v>
      </c>
      <c r="BD42" s="22"/>
      <c r="BE42" s="67"/>
      <c r="BF42" s="13">
        <f>AS42</f>
        <v>1.4511904761904741</v>
      </c>
      <c r="BG42" s="13">
        <f>AT42</f>
        <v>3.2705263157894748</v>
      </c>
      <c r="BH42" s="13">
        <f>BH86-BH85</f>
        <v>3.702287267080747</v>
      </c>
      <c r="BI42" s="93">
        <f>BI86-BI85</f>
        <v>1.1623130608175472</v>
      </c>
      <c r="BJ42" s="93">
        <f>BJ86-BJ85</f>
        <v>0.56064291668263022</v>
      </c>
      <c r="BK42" s="88"/>
      <c r="BL42" s="78"/>
    </row>
    <row r="43" spans="1:64" ht="12.75" customHeight="1" x14ac:dyDescent="0.2">
      <c r="A43" s="67"/>
      <c r="B43" s="216">
        <f>COUNTIF(O4:O34,1)</f>
        <v>5</v>
      </c>
      <c r="C43" s="291">
        <f>COUNTIF(J4:J34,1)</f>
        <v>2</v>
      </c>
      <c r="D43" s="686"/>
      <c r="E43" s="12" t="s">
        <v>174</v>
      </c>
      <c r="F43" s="25">
        <f>IF(ISBLANK($G$6),"",STDEV(F4:F34))</f>
        <v>2.3834703762545102</v>
      </c>
      <c r="G43" s="25">
        <f>IF(ISBLANK($G$6),"",STDEV(G4:G34))</f>
        <v>3.9353686532244341</v>
      </c>
      <c r="H43" s="25">
        <f>IF(ISBLANK($H$6),"",STDEV(H4:H34))</f>
        <v>2.9490715468611199</v>
      </c>
      <c r="I43" s="25">
        <f>IF(ISBLANK($G$6),"",STDEV(I4:I34))</f>
        <v>2.847101772987247</v>
      </c>
      <c r="J43" s="56"/>
      <c r="K43" s="25">
        <f>IF(ISBLANK($G$6),"",STDEV(K4:K34))</f>
        <v>11.405987538312413</v>
      </c>
      <c r="L43" s="25">
        <f>IF(ISBLANK($G$6),"",STDEV(L4:L34))</f>
        <v>6.1334770098114042</v>
      </c>
      <c r="M43" s="25">
        <f>IF(ISBLANK($H$6),"",STDEV(M4:M34))</f>
        <v>8.9082810499202303</v>
      </c>
      <c r="N43" s="25">
        <f>IF(ISBLANK($G$6),"",STDEV(N4:N34))</f>
        <v>9.0022347161722784</v>
      </c>
      <c r="O43" s="56"/>
      <c r="P43" s="25">
        <f>IF(ISBLANK($G$6),"",STDEV(P4:P34))</f>
        <v>8.5123979900043381</v>
      </c>
      <c r="Q43" s="25">
        <f>IF(ISBLANK($G$6),"",STDEV(Q4:Q34))</f>
        <v>7.7118360267480064</v>
      </c>
      <c r="R43" s="25">
        <f>IF(ISBLANK($G$6),"",STDEV(R4:R34))</f>
        <v>7.9759696937220488</v>
      </c>
      <c r="S43" s="25">
        <f>IF(ISBLANK($G$6),"",STDEV(S4:S34))</f>
        <v>3.0663167916356389</v>
      </c>
      <c r="T43" s="75"/>
      <c r="U43" s="25">
        <f>IF(ISBLANK($G$6),"",STDEV(U4:U34))</f>
        <v>1.5790328772974296</v>
      </c>
      <c r="V43" s="25">
        <f>IF(ISBLANK($G$6),"",STDEV(V4:V34))</f>
        <v>2.6433955870972441</v>
      </c>
      <c r="W43" s="25">
        <f>IF(ISBLANK($G$6),"",STDEV(W4:W34))</f>
        <v>4.9669077315562271</v>
      </c>
      <c r="X43" s="25"/>
      <c r="Y43" s="135"/>
      <c r="Z43" s="38">
        <f>IF(ISBLANK($G$6),"",STDEV(Z4:Z34))</f>
        <v>4.1536357152707089</v>
      </c>
      <c r="AA43" s="38">
        <f>IF(AA86-AA85=0,"",STDEV(AA4:AA34))</f>
        <v>2.3741665204165163</v>
      </c>
      <c r="AB43" s="38">
        <f>IF(AB86-AB85=0,"",STDEV(AB4:AB34))</f>
        <v>0.93019159868083634</v>
      </c>
      <c r="AC43" s="510">
        <f>IF(AC86-AC85=0,"",STDEV(AC4:AC34))</f>
        <v>5.0498407160793388E-2</v>
      </c>
      <c r="AD43" s="25">
        <f>IF(AE86-AE85=0,"",STDEV(AD4:AD34))</f>
        <v>0.9685724370633495</v>
      </c>
      <c r="AE43" s="25">
        <f>IF(AD86-AD85=0,"",STDEV(AE4:AE34))</f>
        <v>15.08491775217033</v>
      </c>
      <c r="AF43" s="6"/>
      <c r="AG43" s="25">
        <f>IF(ISBLANK($AG$6),"",STDEV(AG4:AG34))</f>
        <v>2.6038344845608901</v>
      </c>
      <c r="AH43" s="25">
        <f>IF(ISBLANK($AH$6),"",STDEV(AH4:AH34))</f>
        <v>2.633351520379517</v>
      </c>
      <c r="AI43" s="25">
        <f>IF(ISBLANK($AI$6),"",STDEV(AI4:AI34))</f>
        <v>2.6697022951684306</v>
      </c>
      <c r="AJ43" s="25">
        <f>IF(ISBLANK($AH$6),"",STDEV(AJ4:AJ34))</f>
        <v>1.6212702555031746</v>
      </c>
      <c r="AK43" s="56"/>
      <c r="AL43" s="669"/>
      <c r="AM43" s="6"/>
      <c r="AN43" s="22">
        <f>M53-AN91</f>
        <v>18</v>
      </c>
      <c r="AO43" s="224"/>
      <c r="AP43" s="25">
        <f>IF(ISBLANK($AP$6),"",STDEV(AP4:AP34))</f>
        <v>3.97284605127438</v>
      </c>
      <c r="AQ43" s="25">
        <f>IF(ISBLANK($AQ$6),"",STDEV(AQ4:AQ34))</f>
        <v>2.8857477765537749</v>
      </c>
      <c r="AR43" s="56"/>
      <c r="AS43" s="25">
        <f>IF(ISBLANK($G$6),"",STDEV(AS4:AS34))</f>
        <v>0.66194449476956052</v>
      </c>
      <c r="AT43" s="25">
        <f>IF(ISBLANK($G$6),"",STDEV(AT4:AT34))</f>
        <v>1.1394754366177153</v>
      </c>
      <c r="AU43" s="25">
        <f>IF(ISBLANK($G$6),"",STDEV(AU4:AU34))</f>
        <v>0.69933173350752087</v>
      </c>
      <c r="AV43" s="25">
        <f>IF(ISBLANK($G$6),"",STDEV(AV4:AV34))</f>
        <v>1.4207254604901556</v>
      </c>
      <c r="AW43" s="25">
        <f>IF(ISBLANK($M$6),"",STDEV(AW4:AW34))</f>
        <v>2.993920509003138</v>
      </c>
      <c r="AX43" s="25">
        <f>IF(ISBLANK($G$6),"",STDEV(AX4:AX34))</f>
        <v>5.4957255831988983</v>
      </c>
      <c r="AY43" s="25">
        <f>IF(ISBLANK($G$6),"",STDEV(BA4:BA34))</f>
        <v>2.2166186560352523</v>
      </c>
      <c r="AZ43" s="56"/>
      <c r="BA43" s="25">
        <f>IF(ISBLANK($G$6),"",STDEV(BB4:BB34))</f>
        <v>3.8722670721846049</v>
      </c>
      <c r="BB43" s="25">
        <f>IF(ISBLANK($G$6),"",STDEV(BD4:BD34))</f>
        <v>2.9324489117702148</v>
      </c>
      <c r="BC43" s="25">
        <f>IF(ISBLANK($G$6),"",STDEV(BD4:BD34))</f>
        <v>2.9324489117702148</v>
      </c>
      <c r="BD43" s="25"/>
      <c r="BE43" s="56"/>
      <c r="BF43" s="25">
        <f>IF(ISBLANK($G$6),"",STDEV(BF4:BF34))</f>
        <v>0.50325304420745576</v>
      </c>
      <c r="BG43" s="25">
        <f>IF(ISBLANK($G$6),"",STDEV(BG4:BG34))</f>
        <v>1.5335466972606833</v>
      </c>
      <c r="BH43" s="25">
        <f>IF(ISBLANK($G$6),"",STDEV(BH4:BH34))</f>
        <v>1.6411899092250886</v>
      </c>
      <c r="BI43" s="93">
        <f>IF(ISBLANK($Z$6),"",STDEV(BI4:BI34))</f>
        <v>0.58367351029017156</v>
      </c>
      <c r="BJ43" s="93">
        <f>IF(ISBLANK($Z$6),"",STDEV(BJ4:BJ34))</f>
        <v>0.28796724739480212</v>
      </c>
      <c r="BK43" s="402"/>
      <c r="BL43" s="78"/>
    </row>
    <row r="44" spans="1:64" ht="4.5" customHeight="1" x14ac:dyDescent="0.2">
      <c r="A44" s="67"/>
      <c r="B44" s="63"/>
      <c r="C44" s="66"/>
      <c r="D44" s="63"/>
      <c r="E44" s="64"/>
      <c r="F44" s="66"/>
      <c r="G44" s="66"/>
      <c r="H44" s="66"/>
      <c r="I44" s="66"/>
      <c r="J44" s="62"/>
      <c r="K44" s="66"/>
      <c r="L44" s="66"/>
      <c r="M44" s="66"/>
      <c r="N44" s="65"/>
      <c r="O44" s="62"/>
      <c r="P44" s="66"/>
      <c r="Q44" s="66"/>
      <c r="R44" s="66"/>
      <c r="S44" s="66"/>
      <c r="T44" s="66"/>
      <c r="U44" s="66"/>
      <c r="V44" s="66"/>
      <c r="W44" s="66"/>
      <c r="X44" s="66"/>
      <c r="Y44" s="135"/>
      <c r="Z44" s="66"/>
      <c r="AA44" s="66"/>
      <c r="AB44" s="66"/>
      <c r="AC44" s="66"/>
      <c r="AD44" s="66"/>
      <c r="AE44" s="66"/>
      <c r="AF44" s="6"/>
      <c r="AG44" s="66"/>
      <c r="AH44" s="66"/>
      <c r="AI44" s="132"/>
      <c r="AJ44" s="132"/>
      <c r="AK44" s="6"/>
      <c r="AL44" s="132"/>
      <c r="AM44" s="6"/>
      <c r="AN44" s="66"/>
      <c r="AO44" s="402"/>
      <c r="AP44" s="63"/>
      <c r="AQ44" s="63"/>
      <c r="AR44" s="67"/>
      <c r="AS44" s="66"/>
      <c r="AT44" s="65"/>
      <c r="AU44" s="66"/>
      <c r="AV44" s="66"/>
      <c r="AW44" s="66"/>
      <c r="AX44" s="66"/>
      <c r="AY44" s="66"/>
      <c r="AZ44" s="56"/>
      <c r="BA44" s="66"/>
      <c r="BB44" s="66"/>
      <c r="BC44" s="66"/>
      <c r="BD44" s="66"/>
      <c r="BE44" s="56"/>
      <c r="BF44" s="66"/>
      <c r="BG44" s="66"/>
      <c r="BH44" s="63"/>
      <c r="BI44" s="63"/>
      <c r="BJ44" s="66"/>
      <c r="BK44" s="88"/>
      <c r="BL44" s="78"/>
    </row>
    <row r="45" spans="1:64" ht="5.25" customHeight="1" thickBot="1" x14ac:dyDescent="0.25">
      <c r="A45" s="67"/>
      <c r="B45" s="21"/>
      <c r="C45" s="25"/>
      <c r="D45" s="21"/>
      <c r="E45" s="4"/>
      <c r="F45" s="25"/>
      <c r="G45" s="25"/>
      <c r="H45" s="25"/>
      <c r="I45" s="25"/>
      <c r="J45" s="18"/>
      <c r="K45" s="25"/>
      <c r="L45" s="25"/>
      <c r="M45" s="25"/>
      <c r="N45" s="22"/>
      <c r="O45" s="18"/>
      <c r="P45" s="25"/>
      <c r="Q45" s="25"/>
      <c r="R45" s="25"/>
      <c r="S45" s="25"/>
      <c r="T45" s="56"/>
      <c r="U45" s="25"/>
      <c r="V45" s="25"/>
      <c r="W45" s="25"/>
      <c r="X45" s="25"/>
      <c r="Y45" s="135"/>
      <c r="AF45" s="56"/>
      <c r="AG45" s="25"/>
      <c r="AH45" s="25"/>
      <c r="AK45" s="6"/>
      <c r="AM45" s="6"/>
      <c r="AN45" s="25"/>
      <c r="AO45" s="402"/>
      <c r="AP45" s="21"/>
      <c r="AQ45" s="21"/>
      <c r="AR45" s="67"/>
      <c r="AS45" s="25"/>
      <c r="AT45" s="22"/>
      <c r="AU45" s="25"/>
      <c r="AV45" s="25"/>
      <c r="AW45" s="25"/>
      <c r="AX45" s="25"/>
      <c r="AY45" s="25"/>
      <c r="AZ45" s="56"/>
      <c r="BA45" s="25"/>
      <c r="BB45" s="25"/>
      <c r="BC45" s="25"/>
      <c r="BD45" s="25"/>
      <c r="BE45" s="56"/>
      <c r="BF45" s="25"/>
      <c r="BG45" s="25"/>
      <c r="BH45" s="21"/>
      <c r="BI45" s="21"/>
      <c r="BJ45" s="25"/>
      <c r="BK45" s="67"/>
      <c r="BL45" s="78"/>
    </row>
    <row r="46" spans="1:64" ht="15" customHeight="1" x14ac:dyDescent="0.2">
      <c r="A46" s="67"/>
      <c r="B46" s="702" t="s">
        <v>132</v>
      </c>
      <c r="C46" s="703"/>
      <c r="D46" s="703"/>
      <c r="E46" s="704"/>
      <c r="F46" s="349">
        <f>F40</f>
        <v>0.18999999999999773</v>
      </c>
      <c r="G46" s="350">
        <f>G40</f>
        <v>6.666666666666643E-2</v>
      </c>
      <c r="H46" s="382">
        <f>AY82</f>
        <v>0.12833333333333563</v>
      </c>
      <c r="I46" s="352">
        <f>I40</f>
        <v>-0.12333333333333307</v>
      </c>
      <c r="J46" s="18"/>
      <c r="K46" s="353">
        <f>K38</f>
        <v>48.8</v>
      </c>
      <c r="L46" s="298">
        <f>L38</f>
        <v>86.966666666666669</v>
      </c>
      <c r="M46" s="354">
        <f>M38</f>
        <v>68.433333333333337</v>
      </c>
      <c r="N46" s="25">
        <f>N38</f>
        <v>38.166666666666664</v>
      </c>
      <c r="O46" s="18"/>
      <c r="P46" s="25"/>
      <c r="Q46" s="25"/>
      <c r="R46" s="381">
        <f>R40</f>
        <v>1.8166666833333238</v>
      </c>
      <c r="S46" s="162">
        <f>S38</f>
        <v>5.6666667000000039</v>
      </c>
      <c r="T46" s="56"/>
      <c r="U46" s="355">
        <f>U38</f>
        <v>5.1100000000000003</v>
      </c>
      <c r="W46" s="304" t="s">
        <v>113</v>
      </c>
      <c r="X46" s="22">
        <f>COUNTIF(X4:X34,"N")</f>
        <v>2</v>
      </c>
      <c r="Y46" s="135"/>
      <c r="Z46" s="681" t="s">
        <v>151</v>
      </c>
      <c r="AA46" s="668">
        <f>IF(AN48=0,"n/a",Z38/AN48)</f>
        <v>5.1529411764705868</v>
      </c>
      <c r="AB46" s="385" t="s">
        <v>189</v>
      </c>
      <c r="AC46" s="268" t="s">
        <v>282</v>
      </c>
      <c r="AF46" s="135"/>
      <c r="AG46" s="392">
        <f>AG38</f>
        <v>6.6266666666666678</v>
      </c>
      <c r="AH46" s="393">
        <f>AH38</f>
        <v>12.516666666666664</v>
      </c>
      <c r="AI46" s="348">
        <f>AI38</f>
        <v>9.6399999999999988</v>
      </c>
      <c r="AJ46" s="49">
        <f>AJ38</f>
        <v>5.8899999999999988</v>
      </c>
      <c r="AK46" s="126"/>
      <c r="AL46" s="356"/>
      <c r="AM46" s="6"/>
      <c r="AO46" s="404"/>
      <c r="AP46" s="428">
        <f>AP38/AP39</f>
        <v>0.95549738219895286</v>
      </c>
      <c r="AQ46" s="429">
        <f>AQ38/AQ39</f>
        <v>2.0060606060606063</v>
      </c>
      <c r="AR46" s="6"/>
      <c r="AS46" s="696" t="s">
        <v>131</v>
      </c>
      <c r="AT46" s="650"/>
      <c r="AU46" s="650"/>
      <c r="AV46" s="650"/>
      <c r="AW46" s="650"/>
      <c r="AX46" s="650"/>
      <c r="AY46" s="25"/>
      <c r="AZ46" s="56"/>
      <c r="BC46" s="25"/>
      <c r="BD46" s="25"/>
      <c r="BE46" s="56"/>
      <c r="BF46" s="693" t="s">
        <v>232</v>
      </c>
      <c r="BG46" s="693"/>
      <c r="BH46" s="693"/>
      <c r="BI46" s="693"/>
      <c r="BJ46" s="693"/>
      <c r="BK46" s="67"/>
      <c r="BL46" s="78"/>
    </row>
    <row r="47" spans="1:64" ht="12.75" customHeight="1" x14ac:dyDescent="0.2">
      <c r="A47" s="67"/>
      <c r="B47" s="682" t="s">
        <v>17</v>
      </c>
      <c r="C47" s="683"/>
      <c r="D47" s="684"/>
      <c r="E47" s="581" t="s">
        <v>15</v>
      </c>
      <c r="F47" s="349">
        <f>F38</f>
        <v>11.289999999999997</v>
      </c>
      <c r="G47" s="350">
        <f>G38</f>
        <v>20.266666666666666</v>
      </c>
      <c r="H47" s="351">
        <f>H38</f>
        <v>15.856666666666664</v>
      </c>
      <c r="I47" s="352">
        <f>I38</f>
        <v>8.9766666666666666</v>
      </c>
      <c r="J47" s="18"/>
      <c r="K47" s="21"/>
      <c r="L47" s="170"/>
      <c r="M47" s="52"/>
      <c r="N47" s="118"/>
      <c r="O47" s="18"/>
      <c r="P47" s="21"/>
      <c r="Q47" s="21"/>
      <c r="R47" s="381">
        <f>R38</f>
        <v>1015.0666666833333</v>
      </c>
      <c r="S47" s="21"/>
      <c r="T47" s="56"/>
      <c r="U47" s="7"/>
      <c r="W47" s="143" t="s">
        <v>105</v>
      </c>
      <c r="X47" s="22">
        <f>COUNTIF(X4:X34,"NE")</f>
        <v>4</v>
      </c>
      <c r="Y47" s="56"/>
      <c r="Z47" s="681"/>
      <c r="AA47" s="668"/>
      <c r="AB47" s="384">
        <f>IF(M53=0,"",AVERAGE(Z4:Z34))</f>
        <v>2.9199999999999995</v>
      </c>
      <c r="AC47" s="323" t="str">
        <f>IF(M54&gt;0,IF(Z38&gt;Z39,"",AC48/M54/AB48),"n/a")</f>
        <v>n/a</v>
      </c>
      <c r="AE47" s="548"/>
      <c r="AF47" s="56"/>
      <c r="AH47" s="124"/>
      <c r="AI47" s="124"/>
      <c r="AJ47" s="124"/>
      <c r="AK47" s="126"/>
      <c r="AL47" s="124"/>
      <c r="AM47" s="6"/>
      <c r="AN47" s="179" t="s">
        <v>67</v>
      </c>
      <c r="AO47" s="405"/>
      <c r="AP47" s="456">
        <f>IF(ISBLANK(AP4),"",AVERAGE(AP4:AP34))</f>
        <v>6.083333333333333</v>
      </c>
      <c r="AQ47" s="443">
        <f>IF(ISBLANK(AQ4),"",AVERAGE(AQ4:AQ34))</f>
        <v>2.2066666666666666</v>
      </c>
      <c r="AR47" s="6"/>
      <c r="AS47" s="25"/>
      <c r="AT47" s="22"/>
      <c r="AU47" s="25"/>
      <c r="AV47" s="25"/>
      <c r="AW47" s="25"/>
      <c r="AX47" s="25"/>
      <c r="AY47" s="695" t="s">
        <v>35</v>
      </c>
      <c r="AZ47" s="695"/>
      <c r="BA47" s="695"/>
      <c r="BB47" s="695"/>
      <c r="BC47" s="695"/>
      <c r="BD47" s="695"/>
      <c r="BE47" s="67"/>
      <c r="BF47" s="694" t="s">
        <v>169</v>
      </c>
      <c r="BG47" s="694"/>
      <c r="BH47" s="694"/>
      <c r="BI47" s="694"/>
      <c r="BJ47" s="694"/>
      <c r="BK47" s="2"/>
      <c r="BL47" s="78"/>
    </row>
    <row r="48" spans="1:64" ht="12.75" customHeight="1" x14ac:dyDescent="0.2">
      <c r="A48" s="67"/>
      <c r="B48" s="707" t="s">
        <v>51</v>
      </c>
      <c r="C48" s="708"/>
      <c r="D48" s="709"/>
      <c r="E48" s="142">
        <f>IF(ISBLANK(H5),"",CORREL(H4:H34,R4:R34))</f>
        <v>0.38920276238935841</v>
      </c>
      <c r="F48" s="576">
        <f>IF(ISBLANK(H5),"",ABS(E48))</f>
        <v>0.38920276238935841</v>
      </c>
      <c r="J48" s="18"/>
      <c r="K48" s="636" t="s">
        <v>377</v>
      </c>
      <c r="L48" s="636"/>
      <c r="M48" s="636"/>
      <c r="N48" s="636"/>
      <c r="O48" s="17"/>
      <c r="R48" s="25"/>
      <c r="S48" s="25"/>
      <c r="T48" s="56"/>
      <c r="U48" s="97"/>
      <c r="W48" s="304" t="s">
        <v>106</v>
      </c>
      <c r="X48" s="22">
        <f>COUNTIF(X4:X34,"E")</f>
        <v>0</v>
      </c>
      <c r="Y48" s="6"/>
      <c r="AB48" s="438">
        <f>Z39/E34</f>
        <v>1.9666666666666666</v>
      </c>
      <c r="AC48" s="579">
        <f>ABS(Z39-Z38)</f>
        <v>28.59999999999998</v>
      </c>
      <c r="AD48" s="578" t="str">
        <f>IF(Z38&gt;Z39,"Excess","Deficit")</f>
        <v>Excess</v>
      </c>
      <c r="AE48" s="547"/>
      <c r="AF48" s="6"/>
      <c r="AK48" s="6"/>
      <c r="AL48" s="124"/>
      <c r="AM48" s="6"/>
      <c r="AN48" s="5">
        <f>SUM(AJ91:AJ121)</f>
        <v>17</v>
      </c>
      <c r="AO48" s="406"/>
      <c r="AR48" s="6"/>
      <c r="AS48" s="641" t="s">
        <v>447</v>
      </c>
      <c r="AT48" s="642"/>
      <c r="AU48" s="643"/>
      <c r="AV48" s="139"/>
      <c r="AY48" s="4" t="s">
        <v>164</v>
      </c>
      <c r="AZ48" s="68"/>
      <c r="BA48" s="4" t="s">
        <v>199</v>
      </c>
      <c r="BB48" s="329" t="s">
        <v>166</v>
      </c>
      <c r="BC48" s="147" t="s">
        <v>326</v>
      </c>
      <c r="BD48" s="147" t="s">
        <v>545</v>
      </c>
      <c r="BE48" s="67"/>
      <c r="BF48" s="181" t="s">
        <v>21</v>
      </c>
      <c r="BG48" s="294" t="s">
        <v>22</v>
      </c>
      <c r="BH48" s="335" t="s">
        <v>171</v>
      </c>
      <c r="BI48" s="336" t="s">
        <v>170</v>
      </c>
      <c r="BJ48" s="97" t="s">
        <v>172</v>
      </c>
      <c r="BK48" s="16"/>
      <c r="BL48" s="78"/>
    </row>
    <row r="49" spans="1:64" ht="12.75" customHeight="1" x14ac:dyDescent="0.2">
      <c r="A49" s="67"/>
      <c r="B49" s="707" t="s">
        <v>50</v>
      </c>
      <c r="C49" s="708"/>
      <c r="D49" s="709"/>
      <c r="E49" s="89">
        <f>IF(ISBLANK(H5),"",CORREL(H4:H34,M4:M34))</f>
        <v>-0.37360581538121668</v>
      </c>
      <c r="F49" s="576">
        <f>IF(ISBLANK(H5),"",ABS(E49))</f>
        <v>0.37360581538121668</v>
      </c>
      <c r="H49" s="4"/>
      <c r="I49" s="4"/>
      <c r="J49" s="18"/>
      <c r="K49" s="152">
        <f ca="1">IF(ISBLANK(F4),"",F38-AVERAGE(OFFSET(F91,0,0,M53)))</f>
        <v>0.1631666666666689</v>
      </c>
      <c r="L49" s="151">
        <f ca="1">IF(ISBLANK(G4),"",G38-AVERAGE(OFFSET(G91,0,0,M53)))</f>
        <v>2.9999999999994031E-2</v>
      </c>
      <c r="M49" s="14">
        <f ca="1">IF(ISBLANK(G4),"",AVERAGE(K49:L49))</f>
        <v>9.6583333333331467E-2</v>
      </c>
      <c r="N49" s="129">
        <f ca="1">IF(ISBLANK(H4),"",I38-AVERAGE(OFFSET(I91,0,0,M53)))</f>
        <v>-0.13316666666667665</v>
      </c>
      <c r="O49" s="18"/>
      <c r="R49" s="21"/>
      <c r="S49" s="21"/>
      <c r="T49" s="56"/>
      <c r="U49" s="300"/>
      <c r="W49" s="304" t="s">
        <v>112</v>
      </c>
      <c r="X49" s="22">
        <f>COUNTIF(X4:X34,"SE")</f>
        <v>0</v>
      </c>
      <c r="Y49" s="67"/>
      <c r="Z49" s="648" t="s">
        <v>115</v>
      </c>
      <c r="AA49" s="648"/>
      <c r="AE49" s="547"/>
      <c r="AF49" s="67"/>
      <c r="AG49" s="710" t="s">
        <v>179</v>
      </c>
      <c r="AH49" s="710"/>
      <c r="AI49" s="710"/>
      <c r="AJ49" s="710"/>
      <c r="AK49" s="313"/>
      <c r="AL49" s="124"/>
      <c r="AM49" s="67"/>
      <c r="AO49" s="224"/>
      <c r="AP49" s="457" t="s">
        <v>215</v>
      </c>
      <c r="AR49" s="6"/>
      <c r="AS49" s="644" t="s">
        <v>17</v>
      </c>
      <c r="AT49" s="645"/>
      <c r="AU49" s="280" t="s">
        <v>15</v>
      </c>
      <c r="AX49" s="361">
        <v>1</v>
      </c>
      <c r="AY49" s="23">
        <f t="shared" ref="AY49:AY79" si="24">IF(ISBLANK(G4),"",AVERAGE(F4:G4))</f>
        <v>14.5</v>
      </c>
      <c r="AZ49" s="50"/>
      <c r="BA49" s="26">
        <f>BC4</f>
        <v>0.13173809523809599</v>
      </c>
      <c r="BB49" s="25">
        <f t="shared" ref="BB49:BB79" si="25">IF(ISBLANK(H4),"",AY49-H4)</f>
        <v>-0.30000000000000071</v>
      </c>
      <c r="BC49" s="25">
        <f>IF(ISBLANK(G4),"",(AVERAGE($AY$49:AY49)))</f>
        <v>14.5</v>
      </c>
      <c r="BD49" s="13">
        <f>IF(ISBLANK(G4),"",AVERAGE(BF4:BG4))</f>
        <v>0.13173809523809599</v>
      </c>
      <c r="BE49" s="67"/>
      <c r="BF49" s="556">
        <v>0.22222222222222221</v>
      </c>
      <c r="BG49" s="556">
        <v>0.64583333333333337</v>
      </c>
      <c r="BH49" s="556">
        <v>0.60416666666666663</v>
      </c>
      <c r="BI49" s="556">
        <v>0.24652777777777779</v>
      </c>
      <c r="BJ49" s="556">
        <v>0.55833333333333335</v>
      </c>
      <c r="BK49" s="20"/>
      <c r="BL49" s="78"/>
    </row>
    <row r="50" spans="1:64" ht="12.75" customHeight="1" x14ac:dyDescent="0.2">
      <c r="A50" s="67"/>
      <c r="B50" s="707" t="s">
        <v>56</v>
      </c>
      <c r="C50" s="708"/>
      <c r="D50" s="709"/>
      <c r="E50" s="89">
        <f>IF(ISBLANK(H5),"",CORREL(M4:M34,R4:R34))</f>
        <v>-0.50296531127808597</v>
      </c>
      <c r="F50" s="576">
        <f>IF(ISBLANK(H5),"",ABS(E50))</f>
        <v>0.50296531127808597</v>
      </c>
      <c r="G50" s="607" t="s">
        <v>427</v>
      </c>
      <c r="H50" s="820" t="s">
        <v>423</v>
      </c>
      <c r="I50" s="821"/>
      <c r="J50" s="18"/>
      <c r="K50" s="8"/>
      <c r="L50" s="118"/>
      <c r="M50" s="118"/>
      <c r="N50" s="118"/>
      <c r="O50" s="18"/>
      <c r="Q50" s="662" t="s">
        <v>132</v>
      </c>
      <c r="R50" s="662"/>
      <c r="T50" s="68"/>
      <c r="U50" s="300"/>
      <c r="W50" s="305" t="s">
        <v>111</v>
      </c>
      <c r="X50" s="22">
        <f>COUNTIF(X4:X34,"S")</f>
        <v>5</v>
      </c>
      <c r="Y50" s="84"/>
      <c r="Z50" s="661" t="s">
        <v>120</v>
      </c>
      <c r="AA50" s="660">
        <v>0</v>
      </c>
      <c r="AB50" s="322"/>
      <c r="AC50" s="646" t="s">
        <v>285</v>
      </c>
      <c r="AD50" s="647"/>
      <c r="AF50" s="67"/>
      <c r="AH50" s="713">
        <f>SUM(AW91:AW121)</f>
        <v>3</v>
      </c>
      <c r="AI50" s="713"/>
      <c r="AJ50" s="93">
        <f>IF(M53=0,"",AH50/M53)</f>
        <v>0.1</v>
      </c>
      <c r="AK50" s="68"/>
      <c r="AM50" s="67"/>
      <c r="AN50" s="180" t="s">
        <v>68</v>
      </c>
      <c r="AO50" s="87"/>
      <c r="AP50" s="397">
        <f>IF(M53=0,"",AP38/SUM(AT91:AT121))</f>
        <v>0.40420590668664685</v>
      </c>
      <c r="AR50" s="6"/>
      <c r="AS50" s="637" t="s">
        <v>44</v>
      </c>
      <c r="AT50" s="638"/>
      <c r="AU50" s="92">
        <f>IF(AP4=AP5,"",IF(AP42=0,"",CORREL(G4:G34,AP4:AP34)))</f>
        <v>0.6816072845329223</v>
      </c>
      <c r="AV50" s="577">
        <f>IF(AP4=AP5,"",IF(AP42=0,"",ABS(AU50)))</f>
        <v>0.6816072845329223</v>
      </c>
      <c r="AX50" s="361">
        <v>2</v>
      </c>
      <c r="AY50" s="23">
        <f t="shared" si="24"/>
        <v>16.399999999999999</v>
      </c>
      <c r="AZ50" s="50"/>
      <c r="BA50" s="26">
        <f t="shared" ref="BA50:BA79" si="26">BC5</f>
        <v>1.9334761904761901</v>
      </c>
      <c r="BB50" s="25">
        <f t="shared" si="25"/>
        <v>-1.1000000000000014</v>
      </c>
      <c r="BC50" s="25">
        <f>IF(ISBLANK(G5),"",(AVERAGE($AY$49:AY50)))</f>
        <v>15.45</v>
      </c>
      <c r="BD50" s="13">
        <f t="shared" ref="BD50:BD79" si="27">IF(ISBLANK(G5),"",AVERAGE(BF5:BG5))</f>
        <v>1.0326071428571453</v>
      </c>
      <c r="BE50" s="67"/>
      <c r="BF50" s="556">
        <v>0.22222222222222221</v>
      </c>
      <c r="BG50" s="556">
        <v>0.70833333333333337</v>
      </c>
      <c r="BH50" s="556">
        <v>0.75347222222222221</v>
      </c>
      <c r="BI50" s="556">
        <v>0.26041666666666669</v>
      </c>
      <c r="BJ50" s="556">
        <v>0.62430555555555556</v>
      </c>
      <c r="BK50" s="55"/>
      <c r="BL50" s="78"/>
    </row>
    <row r="51" spans="1:64" ht="12.75" customHeight="1" x14ac:dyDescent="0.2">
      <c r="A51" s="67"/>
      <c r="B51" s="707" t="s">
        <v>11</v>
      </c>
      <c r="C51" s="708"/>
      <c r="D51" s="709"/>
      <c r="E51" s="89">
        <f>IF(ISBLANK(H5),"",CORREL(F4:F34,G4:G34))</f>
        <v>0.69628461034430089</v>
      </c>
      <c r="F51" s="576">
        <f>IF(ISBLANK(H5),"",ABS(E51))</f>
        <v>0.69628461034430089</v>
      </c>
      <c r="H51" s="821" t="s">
        <v>424</v>
      </c>
      <c r="I51" s="821"/>
      <c r="J51" s="18"/>
      <c r="K51" s="8"/>
      <c r="N51" s="187"/>
      <c r="O51" s="18"/>
      <c r="P51" s="21"/>
      <c r="Q51" s="649" t="s">
        <v>143</v>
      </c>
      <c r="R51" s="649"/>
      <c r="S51" s="21"/>
      <c r="T51" s="68"/>
      <c r="W51" s="304" t="s">
        <v>110</v>
      </c>
      <c r="X51" s="22">
        <f>COUNTIF(X4:X34,"SW")</f>
        <v>10</v>
      </c>
      <c r="Y51" s="67"/>
      <c r="Z51" s="661"/>
      <c r="AA51" s="660"/>
      <c r="AC51" s="714" t="s">
        <v>286</v>
      </c>
      <c r="AD51" s="717">
        <v>0</v>
      </c>
      <c r="AF51" s="67"/>
      <c r="AG51" s="650"/>
      <c r="AH51" s="650"/>
      <c r="AI51" s="650"/>
      <c r="AJ51" s="650"/>
      <c r="AK51" s="6"/>
      <c r="AM51" s="67"/>
      <c r="AN51" s="5">
        <f>M53-AN48</f>
        <v>13</v>
      </c>
      <c r="AO51" s="406"/>
      <c r="AR51" s="6"/>
      <c r="AS51" s="637" t="s">
        <v>39</v>
      </c>
      <c r="AT51" s="638"/>
      <c r="AU51" s="92">
        <f>IF(AP4=AP5,"",IF(AP42=0,"",CORREL(AP4:AP34,I4:I34)))</f>
        <v>0.81731861067068856</v>
      </c>
      <c r="AV51" s="577">
        <f>IF(AP4=AP5,"",IF(AP42=0,"",ABS(AU51)))</f>
        <v>0.81731861067068856</v>
      </c>
      <c r="AX51" s="361">
        <v>3</v>
      </c>
      <c r="AY51" s="23">
        <f t="shared" si="24"/>
        <v>18.3</v>
      </c>
      <c r="AZ51" s="50"/>
      <c r="BA51" s="26">
        <f t="shared" si="26"/>
        <v>3.735214285714286</v>
      </c>
      <c r="BB51" s="25">
        <f t="shared" si="25"/>
        <v>-0.39999999999999858</v>
      </c>
      <c r="BC51" s="25">
        <f>IF(ISBLANK(G6),"",(AVERAGE($AY$49:AY51)))</f>
        <v>16.400000000000002</v>
      </c>
      <c r="BD51" s="13">
        <f t="shared" si="27"/>
        <v>1.9334761904761937</v>
      </c>
      <c r="BE51" s="67"/>
      <c r="BF51" s="556">
        <v>0.22916666666666666</v>
      </c>
      <c r="BG51" s="556">
        <v>0.65972222222222221</v>
      </c>
      <c r="BH51" s="556">
        <v>0.72916666666666663</v>
      </c>
      <c r="BI51" s="556">
        <v>0.25347222222222221</v>
      </c>
      <c r="BJ51" s="556">
        <v>0.70347222222222217</v>
      </c>
      <c r="BK51" s="18"/>
      <c r="BL51" s="78"/>
    </row>
    <row r="52" spans="1:64" ht="12.75" customHeight="1" x14ac:dyDescent="0.2">
      <c r="A52" s="67"/>
      <c r="B52" s="707" t="s">
        <v>92</v>
      </c>
      <c r="C52" s="708"/>
      <c r="D52" s="709"/>
      <c r="E52" s="89">
        <f>IF(ISBLANK(H5),"",CORREL(K4:K34,L4:L34))</f>
        <v>0.61948178294382839</v>
      </c>
      <c r="F52" s="576">
        <f>IF(ISBLANK(H5),"",ABS(E52))</f>
        <v>0.61948178294382839</v>
      </c>
      <c r="H52" s="598"/>
      <c r="I52" s="598"/>
      <c r="J52" s="18"/>
      <c r="K52" s="8"/>
      <c r="L52" s="187" t="s">
        <v>346</v>
      </c>
      <c r="M52" s="118"/>
      <c r="N52" s="118"/>
      <c r="O52" s="18"/>
      <c r="P52" s="25"/>
      <c r="Q52" s="715">
        <f>IF(ISBLANK(H5),"",AVERAGE(F48:F66,F72:F80,AV50:AV60))</f>
        <v>0.53421099455916965</v>
      </c>
      <c r="R52" s="716"/>
      <c r="S52" s="25"/>
      <c r="T52" s="67"/>
      <c r="W52" s="304" t="s">
        <v>114</v>
      </c>
      <c r="X52" s="22">
        <f>COUNTIF(X4:X34,"W")</f>
        <v>7</v>
      </c>
      <c r="Y52" s="67"/>
      <c r="Z52" s="659" t="s">
        <v>116</v>
      </c>
      <c r="AA52" s="711">
        <f>(Z38+AA50)/Z39</f>
        <v>1.4847457627118641</v>
      </c>
      <c r="AC52" s="714"/>
      <c r="AD52" s="717"/>
      <c r="AF52" s="67"/>
      <c r="AG52" s="712" t="s">
        <v>180</v>
      </c>
      <c r="AH52" s="712"/>
      <c r="AI52" s="712"/>
      <c r="AJ52" s="712"/>
      <c r="AK52" s="314"/>
      <c r="AM52" s="67"/>
      <c r="AO52" s="407"/>
      <c r="AP52" s="639" t="s">
        <v>190</v>
      </c>
      <c r="AQ52" s="640"/>
      <c r="AR52" s="6"/>
      <c r="AS52" s="637" t="s">
        <v>40</v>
      </c>
      <c r="AT52" s="638"/>
      <c r="AU52" s="92">
        <f>IF(AP4=AP5,"",IF(AP42=0,"",CORREL(AP4:AP34,K4:K34)))</f>
        <v>-0.83524035893677673</v>
      </c>
      <c r="AV52" s="577">
        <f>IF(AP4=AP5,"",IF(AP42=0,"",ABS(AU52)))</f>
        <v>0.83524035893677673</v>
      </c>
      <c r="AX52" s="361">
        <v>4</v>
      </c>
      <c r="AY52" s="23">
        <f t="shared" si="24"/>
        <v>18.850000000000001</v>
      </c>
      <c r="AZ52" s="50"/>
      <c r="BA52" s="26">
        <f t="shared" si="26"/>
        <v>4.1869523809523796</v>
      </c>
      <c r="BB52" s="25">
        <f t="shared" si="25"/>
        <v>0.55000000000000071</v>
      </c>
      <c r="BC52" s="25">
        <f>IF(ISBLANK(G7),"",(AVERAGE($AY$49:AY52)))</f>
        <v>17.012500000000003</v>
      </c>
      <c r="BD52" s="13">
        <f t="shared" si="27"/>
        <v>2.4968452380952399</v>
      </c>
      <c r="BE52" s="6"/>
      <c r="BF52" s="556">
        <v>0.22569444444444445</v>
      </c>
      <c r="BG52" s="556">
        <v>0.61805555555555558</v>
      </c>
      <c r="BH52" s="556">
        <v>0.73263888888888884</v>
      </c>
      <c r="BI52" s="556">
        <v>0.2986111111111111</v>
      </c>
      <c r="BJ52" s="556">
        <v>0.7680555555555556</v>
      </c>
      <c r="BK52" s="18"/>
      <c r="BL52" s="78"/>
    </row>
    <row r="53" spans="1:64" ht="12.75" customHeight="1" x14ac:dyDescent="0.2">
      <c r="A53" s="67"/>
      <c r="B53" s="707" t="s">
        <v>93</v>
      </c>
      <c r="C53" s="708"/>
      <c r="D53" s="709"/>
      <c r="E53" s="89">
        <f>IF(ISBLANK(H5),"",CORREL(P4:P34,Q4:Q34))</f>
        <v>0.93326805759567399</v>
      </c>
      <c r="F53" s="576">
        <f>IF(ISBLANK(H5),"",ABS(E53))</f>
        <v>0.93326805759567399</v>
      </c>
      <c r="H53" s="598"/>
      <c r="I53" s="598"/>
      <c r="J53" s="18"/>
      <c r="K53" s="8"/>
      <c r="L53" s="21" t="s">
        <v>88</v>
      </c>
      <c r="M53" s="21">
        <f>COUNT(H4:H34)</f>
        <v>30</v>
      </c>
      <c r="N53" s="118"/>
      <c r="O53" s="18"/>
      <c r="Q53" s="663" t="s">
        <v>34</v>
      </c>
      <c r="R53" s="663"/>
      <c r="S53" s="22"/>
      <c r="T53" s="67"/>
      <c r="U53" s="7"/>
      <c r="W53" s="304" t="s">
        <v>128</v>
      </c>
      <c r="X53" s="22">
        <f>COUNTIF(X4:X34,"NW")</f>
        <v>2</v>
      </c>
      <c r="Y53" s="136"/>
      <c r="Z53" s="659"/>
      <c r="AA53" s="711"/>
      <c r="AB53" s="323"/>
      <c r="AC53" s="542" t="s">
        <v>281</v>
      </c>
      <c r="AD53" s="549">
        <f>IF(Z38=0,"",AD51/Z38)</f>
        <v>0</v>
      </c>
      <c r="AF53" s="67"/>
      <c r="AH53" s="713">
        <f>SUM(AX91:AX121)</f>
        <v>4</v>
      </c>
      <c r="AI53" s="713"/>
      <c r="AJ53" s="93">
        <f>IF(M53=0,"",AH53/M53)</f>
        <v>0.13333333333333333</v>
      </c>
      <c r="AK53" s="68"/>
      <c r="AL53" s="4"/>
      <c r="AM53" s="67"/>
      <c r="AN53" s="179" t="s">
        <v>77</v>
      </c>
      <c r="AO53" s="88"/>
      <c r="AP53" s="718" t="str">
        <f>IF(M54=0,"",(AP39-AP38)/M54/(AP39/E34))</f>
        <v/>
      </c>
      <c r="AQ53" s="719"/>
      <c r="AR53" s="6"/>
      <c r="AS53" s="637" t="s">
        <v>38</v>
      </c>
      <c r="AT53" s="638"/>
      <c r="AU53" s="92">
        <f>IF(AQ38=0,"",CORREL(AP4:AP34,AQ4:AQ34))</f>
        <v>-0.67995226804284403</v>
      </c>
      <c r="AV53" s="577">
        <f>IF(AQ38=0,"",ABS(AU53))</f>
        <v>0.67995226804284403</v>
      </c>
      <c r="AX53" s="361">
        <v>5</v>
      </c>
      <c r="AY53" s="23">
        <f t="shared" si="24"/>
        <v>14.8</v>
      </c>
      <c r="AZ53" s="50"/>
      <c r="BA53" s="26">
        <f t="shared" si="26"/>
        <v>3.8690476190475387E-2</v>
      </c>
      <c r="BB53" s="25">
        <f t="shared" si="25"/>
        <v>0.40000000000000036</v>
      </c>
      <c r="BC53" s="25">
        <f>IF(ISBLANK(G8),"",(AVERAGE($AY$49:AY53)))</f>
        <v>16.57</v>
      </c>
      <c r="BD53" s="13">
        <f t="shared" si="27"/>
        <v>2.0052142857142874</v>
      </c>
      <c r="BE53" s="6"/>
      <c r="BF53" s="556">
        <v>0.25347222222222221</v>
      </c>
      <c r="BG53" s="556">
        <v>0.60069444444444442</v>
      </c>
      <c r="BH53" s="556">
        <v>0.60763888888888895</v>
      </c>
      <c r="BI53" s="556" t="s">
        <v>544</v>
      </c>
      <c r="BJ53" s="556">
        <v>0.3611111111111111</v>
      </c>
      <c r="BK53" s="18"/>
      <c r="BL53" s="78"/>
    </row>
    <row r="54" spans="1:64" ht="12.75" customHeight="1" x14ac:dyDescent="0.2">
      <c r="A54" s="67"/>
      <c r="B54" s="707" t="s">
        <v>53</v>
      </c>
      <c r="C54" s="708"/>
      <c r="D54" s="709"/>
      <c r="E54" s="89">
        <f>IF(ISBLANK(H5),"",(CORREL(G4:G34,R4:R34)))</f>
        <v>0.49937945604236689</v>
      </c>
      <c r="F54" s="576">
        <f>IF(ISBLANK(H5),"",ABS(E54))</f>
        <v>0.49937945604236689</v>
      </c>
      <c r="H54" s="598"/>
      <c r="I54" s="598"/>
      <c r="J54" s="18"/>
      <c r="K54" s="8"/>
      <c r="L54" s="21" t="s">
        <v>89</v>
      </c>
      <c r="M54" s="21">
        <f>SUM(E34-M53)</f>
        <v>0</v>
      </c>
      <c r="N54" s="187"/>
      <c r="O54" s="18"/>
      <c r="Q54" s="5">
        <f>SUM(E69,E83,AU63)</f>
        <v>22</v>
      </c>
      <c r="R54" s="21" t="s">
        <v>193</v>
      </c>
      <c r="S54" s="608"/>
      <c r="T54" s="67"/>
      <c r="U54" s="7"/>
      <c r="W54" s="300"/>
      <c r="X54" s="25"/>
      <c r="Y54" s="136"/>
      <c r="Z54" s="659" t="s">
        <v>153</v>
      </c>
      <c r="AA54" s="659" t="str">
        <f>IF(M54&gt;0,(Z39-Z38)/M54,"n/a")</f>
        <v>n/a</v>
      </c>
      <c r="AB54" s="267"/>
      <c r="AC54" s="542" t="s">
        <v>283</v>
      </c>
      <c r="AD54" s="549">
        <f>IF(AT67=0,"",AV38/AT67)</f>
        <v>0</v>
      </c>
      <c r="AF54" s="67"/>
      <c r="AK54" s="6"/>
      <c r="AM54" s="67"/>
      <c r="AN54" s="138">
        <f>IF(M53=0,"",AN48/M53)</f>
        <v>0.56666666666666665</v>
      </c>
      <c r="AO54" s="406"/>
      <c r="AP54" s="531">
        <f>AP39/E34</f>
        <v>6.3666666666666663</v>
      </c>
      <c r="AQ54" s="532" t="str">
        <f>IF(M54=0,"",(AP39-AP38)/M54)</f>
        <v/>
      </c>
      <c r="AR54" s="6"/>
      <c r="AS54" s="637" t="s">
        <v>49</v>
      </c>
      <c r="AT54" s="638"/>
      <c r="AU54" s="92">
        <f>IF(AQ38=0,"",CORREL(AQ4:AQ34,I4:I34))</f>
        <v>-0.47995118109686785</v>
      </c>
      <c r="AV54" s="577">
        <f>IF(AQ38=0,"",ABS(AU54))</f>
        <v>0.47995118109686785</v>
      </c>
      <c r="AX54" s="361">
        <v>6</v>
      </c>
      <c r="AY54" s="23">
        <f t="shared" si="24"/>
        <v>12.4</v>
      </c>
      <c r="AZ54" s="50"/>
      <c r="BA54" s="26">
        <f t="shared" si="26"/>
        <v>-2.4595714285714303</v>
      </c>
      <c r="BB54" s="25">
        <f t="shared" si="25"/>
        <v>0.40000000000000036</v>
      </c>
      <c r="BC54" s="25">
        <f>IF(ISBLANK(G9),"",(AVERAGE($AY$49:AY54)))</f>
        <v>15.875000000000002</v>
      </c>
      <c r="BD54" s="13">
        <f t="shared" si="27"/>
        <v>1.2610833333333336</v>
      </c>
      <c r="BE54" s="6"/>
      <c r="BF54" s="556">
        <v>0.27083333333333331</v>
      </c>
      <c r="BG54" s="556">
        <v>0.65277777777777779</v>
      </c>
      <c r="BH54" s="556">
        <v>0.67013888888888884</v>
      </c>
      <c r="BI54" s="556">
        <v>0.30902777777777779</v>
      </c>
      <c r="BJ54" s="556">
        <v>4.4444444444444446E-2</v>
      </c>
      <c r="BK54" s="18"/>
      <c r="BL54" s="78"/>
    </row>
    <row r="55" spans="1:64" ht="12.75" customHeight="1" x14ac:dyDescent="0.2">
      <c r="A55" s="67"/>
      <c r="B55" s="707" t="s">
        <v>54</v>
      </c>
      <c r="C55" s="708"/>
      <c r="D55" s="709"/>
      <c r="E55" s="89">
        <f>IF(ISBLANK(H5),"",CORREL(F4:F34,R4:R34))</f>
        <v>-9.3959037239628191E-3</v>
      </c>
      <c r="F55" s="576">
        <f>IF(ISBLANK(H5),"",ABS(E55))</f>
        <v>9.3959037239628191E-3</v>
      </c>
      <c r="H55" s="598"/>
      <c r="I55" s="598"/>
      <c r="J55" s="20"/>
      <c r="K55" s="8"/>
      <c r="L55" s="118"/>
      <c r="M55" s="118"/>
      <c r="N55" s="118"/>
      <c r="O55" s="18"/>
      <c r="Q55" s="21"/>
      <c r="S55" s="21"/>
      <c r="T55" s="67"/>
      <c r="U55" s="7"/>
      <c r="W55" s="300" t="s">
        <v>129</v>
      </c>
      <c r="X55" s="22">
        <f>MAX(X46:X53)</f>
        <v>10</v>
      </c>
      <c r="Y55" s="136"/>
      <c r="Z55" s="659"/>
      <c r="AA55" s="659"/>
      <c r="AB55" s="267"/>
      <c r="AC55" s="543" t="s">
        <v>284</v>
      </c>
      <c r="AD55" s="546" t="s">
        <v>205</v>
      </c>
      <c r="AE55" s="267"/>
      <c r="AF55" s="67"/>
      <c r="AK55" s="6"/>
      <c r="AM55" s="67"/>
      <c r="AO55" s="408"/>
      <c r="AR55" s="6"/>
      <c r="AS55" s="637" t="s">
        <v>96</v>
      </c>
      <c r="AT55" s="638"/>
      <c r="AU55" s="92">
        <f>IF(AQ38=0,"",CORREL(M4:M34,AQ4:AQ34))</f>
        <v>0.7408584688709825</v>
      </c>
      <c r="AV55" s="577">
        <f>IF(AQ38=0,"",ABS(AU55))</f>
        <v>0.7408584688709825</v>
      </c>
      <c r="AX55" s="361">
        <v>7</v>
      </c>
      <c r="AY55" s="23">
        <f t="shared" si="24"/>
        <v>14.9</v>
      </c>
      <c r="AZ55" s="50"/>
      <c r="BA55" s="26">
        <f t="shared" si="26"/>
        <v>-5.7833333333330295E-2</v>
      </c>
      <c r="BB55" s="25">
        <f t="shared" si="25"/>
        <v>-9.9999999999999645E-2</v>
      </c>
      <c r="BC55" s="25">
        <f>IF(ISBLANK(G10),"",(AVERAGE($AY$49:AY55)))</f>
        <v>15.735714285714289</v>
      </c>
      <c r="BD55" s="13">
        <f t="shared" si="27"/>
        <v>1.0726666666666667</v>
      </c>
      <c r="BE55" s="6"/>
      <c r="BF55" s="556">
        <v>0.21527777777777779</v>
      </c>
      <c r="BG55" s="556">
        <v>0.53472222222222221</v>
      </c>
      <c r="BH55" s="556">
        <v>0.69097222222222221</v>
      </c>
      <c r="BI55" s="556">
        <v>0.24305555555555555</v>
      </c>
      <c r="BJ55" s="556">
        <v>0.64166666666666672</v>
      </c>
      <c r="BK55" s="18"/>
      <c r="BL55" s="78"/>
    </row>
    <row r="56" spans="1:64" ht="12.75" customHeight="1" thickBot="1" x14ac:dyDescent="0.25">
      <c r="A56" s="67"/>
      <c r="B56" s="707" t="s">
        <v>55</v>
      </c>
      <c r="C56" s="708"/>
      <c r="D56" s="709"/>
      <c r="E56" s="89">
        <f>IF(ISBLANK(H5),"",CORREL(I4:I34,R4:R34))</f>
        <v>0.69812647177418419</v>
      </c>
      <c r="F56" s="576">
        <f>IF(ISBLANK(H5),"",ABS(E56))</f>
        <v>0.69812647177418419</v>
      </c>
      <c r="J56" s="20"/>
      <c r="O56" s="20"/>
      <c r="T56" s="67"/>
      <c r="U56" s="7"/>
      <c r="V56" s="7"/>
      <c r="W56" s="25"/>
      <c r="X56" s="25"/>
      <c r="Y56" s="136"/>
      <c r="AD56" s="267"/>
      <c r="AE56" s="267"/>
      <c r="AF56" s="166"/>
      <c r="AG56" s="710" t="s">
        <v>126</v>
      </c>
      <c r="AH56" s="710"/>
      <c r="AI56" s="710"/>
      <c r="AJ56" s="710"/>
      <c r="AK56" s="313"/>
      <c r="AL56" s="152"/>
      <c r="AM56" s="67"/>
      <c r="AN56" s="181" t="s">
        <v>109</v>
      </c>
      <c r="AO56" s="88"/>
      <c r="AR56" s="6"/>
      <c r="AS56" s="637" t="s">
        <v>37</v>
      </c>
      <c r="AT56" s="638"/>
      <c r="AU56" s="92">
        <f>IF(AQ38=0,"",CORREL(Z4:Z34,AQ4:AQ34))</f>
        <v>0.69163759893716348</v>
      </c>
      <c r="AV56" s="577">
        <f>IF(AQ38=0,"",ABS(AU56))</f>
        <v>0.69163759893716348</v>
      </c>
      <c r="AX56" s="361">
        <v>8</v>
      </c>
      <c r="AY56" s="23">
        <f t="shared" si="24"/>
        <v>14</v>
      </c>
      <c r="AZ56" s="50"/>
      <c r="BA56" s="26">
        <f t="shared" si="26"/>
        <v>-1.0560952380952413</v>
      </c>
      <c r="BB56" s="25">
        <f t="shared" si="25"/>
        <v>0.19999999999999929</v>
      </c>
      <c r="BC56" s="25">
        <f>IF(ISBLANK(G11),"",(AVERAGE($AY$49:AY56)))</f>
        <v>15.518750000000002</v>
      </c>
      <c r="BD56" s="13">
        <f t="shared" si="27"/>
        <v>0.80657142857142805</v>
      </c>
      <c r="BE56" s="6"/>
      <c r="BF56" s="556">
        <v>0.18402777777777779</v>
      </c>
      <c r="BG56" s="556">
        <v>0.55208333333333337</v>
      </c>
      <c r="BH56" s="556">
        <v>0.55208333333333337</v>
      </c>
      <c r="BI56" s="556">
        <v>0.22916666666666666</v>
      </c>
      <c r="BJ56" s="556">
        <v>0.52500000000000002</v>
      </c>
      <c r="BK56" s="18"/>
      <c r="BL56" s="78"/>
    </row>
    <row r="57" spans="1:64" ht="12.75" customHeight="1" x14ac:dyDescent="0.2">
      <c r="A57" s="67"/>
      <c r="B57" s="707" t="s">
        <v>94</v>
      </c>
      <c r="C57" s="708"/>
      <c r="D57" s="709"/>
      <c r="E57" s="89">
        <f>IF(ISBLANK(H5),"",CORREL(N4:N34,R4:R34))</f>
        <v>0.32064750895692445</v>
      </c>
      <c r="F57" s="576">
        <f>IF(ISBLANK(H5),"",ABS(E57))</f>
        <v>0.32064750895692445</v>
      </c>
      <c r="H57" s="720" t="s">
        <v>135</v>
      </c>
      <c r="I57" s="721"/>
      <c r="J57" s="193"/>
      <c r="K57" s="721" t="s">
        <v>35</v>
      </c>
      <c r="L57" s="721"/>
      <c r="M57" s="721"/>
      <c r="N57" s="721"/>
      <c r="O57" s="194"/>
      <c r="P57" s="721" t="s">
        <v>136</v>
      </c>
      <c r="Q57" s="721"/>
      <c r="R57" s="721"/>
      <c r="S57" s="721"/>
      <c r="T57" s="195"/>
      <c r="U57" s="651" t="s">
        <v>159</v>
      </c>
      <c r="V57" s="653" t="s">
        <v>134</v>
      </c>
      <c r="W57" s="655" t="s">
        <v>160</v>
      </c>
      <c r="X57" s="657" t="s">
        <v>181</v>
      </c>
      <c r="Y57" s="196"/>
      <c r="Z57" s="724" t="s">
        <v>133</v>
      </c>
      <c r="AA57" s="724"/>
      <c r="AB57" s="725"/>
      <c r="AC57" s="726" t="s">
        <v>122</v>
      </c>
      <c r="AD57" s="727"/>
      <c r="AE57" s="728"/>
      <c r="AF57" s="166"/>
      <c r="AH57" s="713">
        <f t="array" ref="AH57">MAX(FREQUENCY(IF(AW91:AW121=1,ROW(91:121)),IF(AW91:AW121&lt;&gt;1,ROW(91:121))))</f>
        <v>1</v>
      </c>
      <c r="AI57" s="713"/>
      <c r="AJ57" s="4"/>
      <c r="AK57" s="68"/>
      <c r="AL57" s="4"/>
      <c r="AM57" s="67"/>
      <c r="AN57" s="138">
        <f>IF(AN48=0,"",AN38/AN48)</f>
        <v>0.82352941176470584</v>
      </c>
      <c r="AO57" s="223"/>
      <c r="AR57" s="6"/>
      <c r="AS57" s="637" t="s">
        <v>45</v>
      </c>
      <c r="AT57" s="638"/>
      <c r="AU57" s="92">
        <f>IF(AP4=AP5,"",IF(AP42=0,"",CORREL(AP4:AP34,R4:R34)))</f>
        <v>0.63044221918293408</v>
      </c>
      <c r="AV57" s="577">
        <f>IF(AP4=AP5,"",IF(AP42=0,"",ABS(AU57)))</f>
        <v>0.63044221918293408</v>
      </c>
      <c r="AX57" s="361">
        <v>9</v>
      </c>
      <c r="AY57" s="23">
        <f t="shared" si="24"/>
        <v>13.4</v>
      </c>
      <c r="AZ57" s="50"/>
      <c r="BA57" s="26">
        <f t="shared" si="26"/>
        <v>-1.7543571428571463</v>
      </c>
      <c r="BB57" s="25">
        <f t="shared" si="25"/>
        <v>-0.29999999999999893</v>
      </c>
      <c r="BC57" s="25">
        <f>IF(ISBLANK(G12),"",(AVERAGE($AY$49:AY57)))</f>
        <v>15.283333333333335</v>
      </c>
      <c r="BD57" s="13">
        <f t="shared" si="27"/>
        <v>0.522023809523807</v>
      </c>
      <c r="BE57" s="6"/>
      <c r="BF57" s="556">
        <v>0.125</v>
      </c>
      <c r="BG57" s="556">
        <v>0.79166666666666663</v>
      </c>
      <c r="BH57" s="556">
        <v>0.79513888888888884</v>
      </c>
      <c r="BI57" s="556">
        <v>0.20138888888888887</v>
      </c>
      <c r="BJ57" s="556">
        <v>0.55000000000000004</v>
      </c>
      <c r="BK57" s="18"/>
      <c r="BL57" s="78"/>
    </row>
    <row r="58" spans="1:64" ht="12.75" x14ac:dyDescent="0.2">
      <c r="A58" s="67"/>
      <c r="B58" s="707" t="s">
        <v>14</v>
      </c>
      <c r="C58" s="708"/>
      <c r="D58" s="709"/>
      <c r="E58" s="89">
        <f>IF(ISBLANK(H5),"",CORREL(I4:I34,N4:N34))</f>
        <v>0.65818794289378546</v>
      </c>
      <c r="F58" s="576">
        <f>IF(ISBLANK(H5),"",ABS(E58))</f>
        <v>0.65818794289378546</v>
      </c>
      <c r="H58" s="722"/>
      <c r="I58" s="723"/>
      <c r="J58" s="204"/>
      <c r="K58" s="205" t="s">
        <v>2</v>
      </c>
      <c r="L58" s="206" t="s">
        <v>3</v>
      </c>
      <c r="M58" s="207" t="s">
        <v>156</v>
      </c>
      <c r="N58" s="208" t="s">
        <v>5</v>
      </c>
      <c r="O58" s="204"/>
      <c r="P58" s="205" t="s">
        <v>2</v>
      </c>
      <c r="Q58" s="206" t="s">
        <v>3</v>
      </c>
      <c r="R58" s="207" t="s">
        <v>4</v>
      </c>
      <c r="S58" s="208" t="s">
        <v>5</v>
      </c>
      <c r="T58" s="209"/>
      <c r="U58" s="652"/>
      <c r="V58" s="654"/>
      <c r="W58" s="656"/>
      <c r="X58" s="658"/>
      <c r="Y58" s="210"/>
      <c r="Z58" s="211" t="s">
        <v>137</v>
      </c>
      <c r="AA58" s="211" t="s">
        <v>235</v>
      </c>
      <c r="AB58" s="495" t="s">
        <v>138</v>
      </c>
      <c r="AC58" s="533" t="s">
        <v>140</v>
      </c>
      <c r="AD58" s="534" t="s">
        <v>235</v>
      </c>
      <c r="AE58" s="535" t="s">
        <v>141</v>
      </c>
      <c r="AF58" s="166"/>
      <c r="AG58" s="650"/>
      <c r="AH58" s="650"/>
      <c r="AI58" s="650"/>
      <c r="AJ58" s="650"/>
      <c r="AK58" s="6"/>
      <c r="AM58" s="67"/>
      <c r="AO58" s="224"/>
      <c r="AR58" s="6"/>
      <c r="AS58" s="637" t="s">
        <v>46</v>
      </c>
      <c r="AT58" s="638"/>
      <c r="AU58" s="92">
        <f>IF(ISBLANK(U5),"",CORREL(U4:U34,R4:R34))</f>
        <v>-0.31067649159795646</v>
      </c>
      <c r="AV58" s="577">
        <f>IF(ISBLANK(U5),"",ABS(AU58))</f>
        <v>0.31067649159795646</v>
      </c>
      <c r="AX58" s="361">
        <v>10</v>
      </c>
      <c r="AY58" s="23">
        <f t="shared" si="24"/>
        <v>12.1</v>
      </c>
      <c r="AZ58" s="50"/>
      <c r="BA58" s="26">
        <f t="shared" si="26"/>
        <v>-3.1526190476190523</v>
      </c>
      <c r="BB58" s="25">
        <f t="shared" si="25"/>
        <v>0.5</v>
      </c>
      <c r="BC58" s="25">
        <f>IF(ISBLANK(G13),"",(AVERAGE($AY$49:AY58)))</f>
        <v>14.965</v>
      </c>
      <c r="BD58" s="13">
        <f t="shared" si="27"/>
        <v>0.15455952380952098</v>
      </c>
      <c r="BE58" s="6"/>
      <c r="BF58" s="556">
        <v>0.20138888888888887</v>
      </c>
      <c r="BG58" s="556">
        <v>0.47916666666666669</v>
      </c>
      <c r="BH58" s="556">
        <v>0.4861111111111111</v>
      </c>
      <c r="BI58" s="556" t="s">
        <v>233</v>
      </c>
      <c r="BJ58" s="556">
        <v>0.4909722222222222</v>
      </c>
      <c r="BK58" s="18"/>
      <c r="BL58" s="78"/>
    </row>
    <row r="59" spans="1:64" ht="12.75" x14ac:dyDescent="0.2">
      <c r="A59" s="67"/>
      <c r="B59" s="707" t="s">
        <v>52</v>
      </c>
      <c r="C59" s="708"/>
      <c r="D59" s="709"/>
      <c r="E59" s="89">
        <f>IF(ISBLANK(H5),"",CORREL(L4:L34,R4:R34))</f>
        <v>-0.39750219426431305</v>
      </c>
      <c r="F59" s="576">
        <f>IF(ISBLANK(H5),"",ABS(E59))</f>
        <v>0.39750219426431305</v>
      </c>
      <c r="H59" s="729" t="s">
        <v>19</v>
      </c>
      <c r="I59" s="830"/>
      <c r="J59" s="191"/>
      <c r="K59" s="100">
        <f>IF(ISBLANK(F4),"",AVERAGE(F4:F18))</f>
        <v>10.573333333333332</v>
      </c>
      <c r="L59" s="100">
        <f>IF(ISBLANK(G4),"",AVERAGE(G4:G18))</f>
        <v>19.646666666666668</v>
      </c>
      <c r="M59" s="100">
        <f>IF(ISBLANK(H4),"",AVERAGE(H4:H18))</f>
        <v>15.093333333333332</v>
      </c>
      <c r="N59" s="100">
        <f>IF(ISBLANK(G4),"",AVERAGE(I4:I18))</f>
        <v>9.0733333333333341</v>
      </c>
      <c r="O59" s="191"/>
      <c r="P59" s="100">
        <f>IF(ISBLANK(F4),"",K59-AVERAGE(F91:F105))</f>
        <v>-7.5999999999996959E-2</v>
      </c>
      <c r="Q59" s="100">
        <f>IF(ISBLANK(G4),"",L59-AVERAGE(G91:G105))</f>
        <v>0.18708333333332661</v>
      </c>
      <c r="R59" s="100">
        <f>IF(ISBLANK(H4),"",M59-AVERAGE(H91:H105))</f>
        <v>3.8874999999995552E-2</v>
      </c>
      <c r="S59" s="100">
        <f>IF(ISBLANK(G4),"",N59-AVERAGE(I91:I105))</f>
        <v>0.26308333333332534</v>
      </c>
      <c r="T59" s="166"/>
      <c r="U59" s="342">
        <f>IF(ISBLANK(M4),"",AVERAGE(M4:M18))</f>
        <v>67.533333333333331</v>
      </c>
      <c r="V59" s="342">
        <f>IF(ISBLANK(P4),"",AVERAGE(R4:R18))</f>
        <v>1016.2000000333334</v>
      </c>
      <c r="W59" s="345">
        <f>IF(ISBLANK(U4),"",AVERAGE(U4:U18))</f>
        <v>4.9266666666666667</v>
      </c>
      <c r="X59" s="100">
        <f>IF(ISBLANK(AI4),"",AVERAGE(AI4:AI18))</f>
        <v>8.7666666666666675</v>
      </c>
      <c r="Y59" s="192"/>
      <c r="Z59" s="38">
        <f>IF(ISBLANK(Z4),"",SUM(Z4:Z18))</f>
        <v>40.699999999999996</v>
      </c>
      <c r="AA59" s="492">
        <f>IF(ISBLANK(Z4),"",Z59/($Z$39/$E$34*15))</f>
        <v>1.3796610169491523</v>
      </c>
      <c r="AB59" s="496">
        <f>IF(Z38=0,"",Z59/$Z$38)</f>
        <v>0.46461187214611877</v>
      </c>
      <c r="AC59" s="499">
        <f>IF(ISBLANK(AP4),"",SUM(AP4:AP18))</f>
        <v>96.2</v>
      </c>
      <c r="AD59" s="492">
        <f>IF(ISBLANK(AP4),"",AC59/SUM(AS91:AS105))</f>
        <v>1.0119253039094394</v>
      </c>
      <c r="AE59" s="197">
        <f>IF(ISBLANK(AP4),"",AC59/$AP$38)</f>
        <v>0.52712328767123284</v>
      </c>
      <c r="AF59" s="166"/>
      <c r="AG59" s="712" t="s">
        <v>127</v>
      </c>
      <c r="AH59" s="712"/>
      <c r="AI59" s="712"/>
      <c r="AJ59" s="712"/>
      <c r="AK59" s="314"/>
      <c r="AL59" s="151"/>
      <c r="AM59" s="67"/>
      <c r="AN59" s="182" t="s">
        <v>66</v>
      </c>
      <c r="AO59" s="87"/>
      <c r="AP59" s="800" t="s">
        <v>97</v>
      </c>
      <c r="AQ59" s="800"/>
      <c r="AR59" s="6"/>
      <c r="AS59" s="637" t="s">
        <v>47</v>
      </c>
      <c r="AT59" s="638"/>
      <c r="AU59" s="92">
        <f>IF(AQ38=0,"",CORREL(AQ4:AQ34,R4:R34))</f>
        <v>-0.34137725789006684</v>
      </c>
      <c r="AV59" s="577">
        <f>IF(AQ38=0,"",ABS(AU59))</f>
        <v>0.34137725789006684</v>
      </c>
      <c r="AX59" s="361">
        <v>11</v>
      </c>
      <c r="AY59" s="23">
        <f t="shared" si="24"/>
        <v>13.55</v>
      </c>
      <c r="AZ59" s="50"/>
      <c r="BA59" s="26">
        <f t="shared" si="26"/>
        <v>-1.8008809523809566</v>
      </c>
      <c r="BB59" s="25">
        <f t="shared" si="25"/>
        <v>0.65000000000000036</v>
      </c>
      <c r="BC59" s="25">
        <f>IF(ISBLANK(G14),"",(AVERAGE($AY$49:AY59)))</f>
        <v>14.836363636363638</v>
      </c>
      <c r="BD59" s="13">
        <f t="shared" si="27"/>
        <v>-2.3207792207793787E-2</v>
      </c>
      <c r="BE59" s="6"/>
      <c r="BF59" s="556">
        <v>0.23611111111111113</v>
      </c>
      <c r="BG59" s="556">
        <v>0.65625</v>
      </c>
      <c r="BH59" s="556">
        <v>0.71180555555555547</v>
      </c>
      <c r="BI59" s="556">
        <v>0.28125</v>
      </c>
      <c r="BJ59" s="556">
        <v>0.61388888888888882</v>
      </c>
      <c r="BK59" s="18"/>
      <c r="BL59" s="78"/>
    </row>
    <row r="60" spans="1:64" ht="12.75" customHeight="1" x14ac:dyDescent="0.2">
      <c r="A60" s="67"/>
      <c r="B60" s="707" t="s">
        <v>57</v>
      </c>
      <c r="C60" s="708"/>
      <c r="D60" s="709"/>
      <c r="E60" s="89">
        <f>IF(ISBLANK(H5),"",CORREL(G4:G34,N4:N34))</f>
        <v>0.57073633471421203</v>
      </c>
      <c r="F60" s="576">
        <f>IF(ISBLANK(H5),"",ABS(E60))</f>
        <v>0.57073633471421203</v>
      </c>
      <c r="H60" s="729" t="s">
        <v>182</v>
      </c>
      <c r="I60" s="830"/>
      <c r="J60" s="191"/>
      <c r="K60" s="100">
        <f>IF(ISBLANK(F19),"",AVERAGE(F19:F34))</f>
        <v>12.006666666666668</v>
      </c>
      <c r="L60" s="100">
        <f>IF(ISBLANK(G19),"",AVERAGE(G19:G34))</f>
        <v>20.886666666666667</v>
      </c>
      <c r="M60" s="100">
        <f>IF(ISBLANK(H19),"",AVERAGE(H19:H34))</f>
        <v>16.62</v>
      </c>
      <c r="N60" s="100">
        <f>IF(ISBLANK(G19),"",AVERAGE(I19:I34))</f>
        <v>8.879999999999999</v>
      </c>
      <c r="O60" s="191"/>
      <c r="P60" s="100">
        <f>IF(ISBLANK(F19),"",K60-AVERAGE(F106:F121))</f>
        <v>0.40233333333334187</v>
      </c>
      <c r="Q60" s="100">
        <f>IF(ISBLANK(G19),"",L60-AVERAGE(G106:G121))</f>
        <v>-0.12708333333333499</v>
      </c>
      <c r="R60" s="100">
        <f>IF(ISBLANK(H19),"",M60-AVERAGE(H106:H121))</f>
        <v>0.310958333333339</v>
      </c>
      <c r="S60" s="100">
        <f>IF(ISBLANK(G19),"",N60-AVERAGE(I106:I121))</f>
        <v>-0.52941666666667686</v>
      </c>
      <c r="T60" s="166"/>
      <c r="U60" s="342">
        <f>IF(ISBLANK(M19),"",AVERAGE(M19:M34))</f>
        <v>69.333333333333329</v>
      </c>
      <c r="V60" s="342">
        <f>IF(ISBLANK(P19),"",AVERAGE(R19:R34))</f>
        <v>1013.9333333333333</v>
      </c>
      <c r="W60" s="345">
        <f>IF(ISBLANK(U19),"",AVERAGE(U19:U34))</f>
        <v>5.293333333333333</v>
      </c>
      <c r="X60" s="100">
        <f>IF(ISBLANK(AI19),"",AVERAGE(AI19:AI34))</f>
        <v>10.513333333333334</v>
      </c>
      <c r="Y60" s="192"/>
      <c r="Z60" s="38">
        <f>IF(ISBLANK(Z19),"",SUM(Z19:Z34))</f>
        <v>46.9</v>
      </c>
      <c r="AA60" s="492">
        <f>IF(ISBLANK(Z19),"",(Z60/($Z$39/$E$34*15)))</f>
        <v>1.5898305084745763</v>
      </c>
      <c r="AB60" s="496">
        <f>IF(ISBLANK(Z19),"",Z60/$Z$38)</f>
        <v>0.53538812785388135</v>
      </c>
      <c r="AC60" s="118">
        <f>IF(ISBLANK(AP19),"",SUM(AP19:AP34))</f>
        <v>86.3</v>
      </c>
      <c r="AD60" s="492">
        <f>IF(ISBLANK(AP19),"",AC60/SUM(AS106:AS121))</f>
        <v>0.89957965628813774</v>
      </c>
      <c r="AE60" s="197">
        <f>IF(ISBLANK(AP19),"",AC60/$AP$38)</f>
        <v>0.4728767123287671</v>
      </c>
      <c r="AF60" s="166"/>
      <c r="AH60" s="713">
        <f t="array" ref="AH60">MAX(FREQUENCY(IF(AX91:AX121=1,ROW(91:121)),IF(AX91:AX121&lt;&gt;1,ROW(91:121))))</f>
        <v>2</v>
      </c>
      <c r="AI60" s="713"/>
      <c r="AJ60" s="4"/>
      <c r="AK60" s="68"/>
      <c r="AL60" s="4"/>
      <c r="AM60" s="67"/>
      <c r="AN60" s="53">
        <f t="array" ref="AN60">MAX(FREQUENCY(IF(AJ91:AJ121=1,ROW(53:83)),IF(AJ91:AJ121&lt;&gt;1,ROW(53:83))))</f>
        <v>6</v>
      </c>
      <c r="AO60" s="223"/>
      <c r="AP60" s="767" t="s">
        <v>268</v>
      </c>
      <c r="AQ60" s="767"/>
      <c r="AR60" s="6"/>
      <c r="AS60" s="801" t="s">
        <v>48</v>
      </c>
      <c r="AT60" s="802"/>
      <c r="AU60" s="96">
        <f>IF(U42=0,"",CORREL(U4:U34,S4:S34))</f>
        <v>0.32618145968238288</v>
      </c>
      <c r="AV60" s="577">
        <f>IF(U42=0,"",ABS(AU60))</f>
        <v>0.32618145968238288</v>
      </c>
      <c r="AX60" s="361">
        <v>12</v>
      </c>
      <c r="AY60" s="23">
        <f t="shared" si="24"/>
        <v>11.45</v>
      </c>
      <c r="AZ60" s="50"/>
      <c r="BA60" s="26">
        <f t="shared" si="26"/>
        <v>-3.9991428571428624</v>
      </c>
      <c r="BB60" s="25">
        <f t="shared" si="25"/>
        <v>-0.45000000000000107</v>
      </c>
      <c r="BC60" s="25">
        <f>IF(ISBLANK(G15),"",(AVERAGE($AY$49:AY60)))</f>
        <v>14.554166666666667</v>
      </c>
      <c r="BD60" s="13">
        <f t="shared" si="27"/>
        <v>-0.35453571428571529</v>
      </c>
      <c r="BE60" s="6"/>
      <c r="BF60" s="556">
        <v>0.22222222222222221</v>
      </c>
      <c r="BG60" s="556">
        <v>0.68055555555555547</v>
      </c>
      <c r="BH60" s="556" t="s">
        <v>549</v>
      </c>
      <c r="BI60" s="556" t="s">
        <v>233</v>
      </c>
      <c r="BJ60" s="556">
        <v>0.67986111111111114</v>
      </c>
      <c r="BK60" s="18"/>
      <c r="BL60" s="78"/>
    </row>
    <row r="61" spans="1:64" ht="12.75" x14ac:dyDescent="0.2">
      <c r="A61" s="67"/>
      <c r="B61" s="707" t="s">
        <v>58</v>
      </c>
      <c r="C61" s="708"/>
      <c r="D61" s="709"/>
      <c r="E61" s="89">
        <f>IF(ISBLANK(H5),"",CORREL(G4:G34,K4:K34))</f>
        <v>-0.5591848631317935</v>
      </c>
      <c r="F61" s="576">
        <f>IF(ISBLANK(H5),"",ABS(E61))</f>
        <v>0.5591848631317935</v>
      </c>
      <c r="H61" s="198"/>
      <c r="I61" s="434"/>
      <c r="J61" s="191"/>
      <c r="K61" s="50"/>
      <c r="L61" s="50"/>
      <c r="M61" s="50"/>
      <c r="N61" s="50"/>
      <c r="O61" s="191"/>
      <c r="P61" s="50"/>
      <c r="Q61" s="50"/>
      <c r="R61" s="50"/>
      <c r="S61" s="50"/>
      <c r="T61" s="166"/>
      <c r="U61" s="343"/>
      <c r="V61" s="343"/>
      <c r="W61" s="346"/>
      <c r="X61" s="50"/>
      <c r="Y61" s="192"/>
      <c r="Z61" s="110"/>
      <c r="AA61" s="493"/>
      <c r="AB61" s="497"/>
      <c r="AC61" s="69"/>
      <c r="AD61" s="493"/>
      <c r="AE61" s="199"/>
      <c r="AF61" s="166"/>
      <c r="AK61" s="6"/>
      <c r="AM61" s="136"/>
      <c r="AO61" s="225"/>
      <c r="AP61" s="767"/>
      <c r="AQ61" s="767"/>
      <c r="AR61" s="6"/>
      <c r="AX61" s="361">
        <v>13</v>
      </c>
      <c r="AY61" s="23">
        <f t="shared" si="24"/>
        <v>17.55</v>
      </c>
      <c r="AZ61" s="50"/>
      <c r="BA61" s="26">
        <f t="shared" si="26"/>
        <v>2.0025952380952328</v>
      </c>
      <c r="BB61" s="25">
        <f t="shared" si="25"/>
        <v>0.44999999999999929</v>
      </c>
      <c r="BC61" s="25">
        <f>IF(ISBLANK(G16),"",(AVERAGE($AY$49:AY61)))</f>
        <v>14.784615384615385</v>
      </c>
      <c r="BD61" s="13">
        <f t="shared" si="27"/>
        <v>-0.1732179487179506</v>
      </c>
      <c r="BE61" s="6"/>
      <c r="BF61" s="556" t="s">
        <v>355</v>
      </c>
      <c r="BG61" s="556">
        <v>0.64236111111111105</v>
      </c>
      <c r="BH61" s="556">
        <v>0.73958333333333337</v>
      </c>
      <c r="BI61" s="556">
        <v>0.28472222222222221</v>
      </c>
      <c r="BJ61" s="556">
        <v>0.56597222222222221</v>
      </c>
      <c r="BK61" s="18"/>
      <c r="BL61" s="78"/>
    </row>
    <row r="62" spans="1:64" ht="12.75" x14ac:dyDescent="0.2">
      <c r="A62" s="67"/>
      <c r="B62" s="707" t="s">
        <v>59</v>
      </c>
      <c r="C62" s="708"/>
      <c r="D62" s="709"/>
      <c r="E62" s="89">
        <f>IF(ISBLANK(H5),"",CORREL(I4:I34,K4:K34))</f>
        <v>-0.72741465862264021</v>
      </c>
      <c r="F62" s="576">
        <f>IF(ISBLANK(H5),"",ABS(E62))</f>
        <v>0.72741465862264021</v>
      </c>
      <c r="H62" s="729" t="s">
        <v>27</v>
      </c>
      <c r="I62" s="830"/>
      <c r="J62" s="191"/>
      <c r="K62" s="100">
        <f>IF(ISBLANK(F4),"",AVERAGE(F4:F13))</f>
        <v>10.25</v>
      </c>
      <c r="L62" s="100">
        <f>IF(ISBLANK(G4),"",AVERAGE(G4:G13))</f>
        <v>19.68</v>
      </c>
      <c r="M62" s="100">
        <f>IF(ISBLANK(H4),"",AVERAGE(H4:H13))</f>
        <v>14.979999999999999</v>
      </c>
      <c r="N62" s="100">
        <f>IF(ISBLANK(G4),"",AVERAGE(I4:I13))</f>
        <v>9.4300000000000015</v>
      </c>
      <c r="O62" s="191"/>
      <c r="P62" s="100">
        <f>IF(ISBLANK(F4),"",K62-AVERAGE(F91:F100))</f>
        <v>-0.24016666666666353</v>
      </c>
      <c r="Q62" s="100">
        <f>IF(ISBLANK(G4),"",L62-AVERAGE(G91:G100))</f>
        <v>0.5492857142857055</v>
      </c>
      <c r="R62" s="100">
        <f>IF(ISBLANK(H4),"",M62-AVERAGE(H91:H100))</f>
        <v>0.16955952380952333</v>
      </c>
      <c r="S62" s="100">
        <f>IF(ISBLANK(G4),"",N62-AVERAGE(I91:I100))</f>
        <v>0.78945238095237436</v>
      </c>
      <c r="T62" s="166"/>
      <c r="U62" s="342">
        <f>IF(ISBLANK(M4),"",AVERAGE(M4:M13))</f>
        <v>66.5</v>
      </c>
      <c r="V62" s="342">
        <f>IF(ISBLANK(P4),"",AVERAGE(R4:R13))</f>
        <v>1017.00000005</v>
      </c>
      <c r="W62" s="345">
        <f>IF(ISBLANK(U4),"",AVERAGE(U4:U13))</f>
        <v>4.83</v>
      </c>
      <c r="X62" s="100">
        <f>IF(ISBLANK(AI4),"",AVERAGE(AI4:AI13))</f>
        <v>8.4000000000000021</v>
      </c>
      <c r="Y62" s="192"/>
      <c r="Z62" s="38">
        <f>IF(ISBLANK(Z4),"",SUM(Z4:Z13))</f>
        <v>29.5</v>
      </c>
      <c r="AA62" s="492">
        <f>IF(ISBLANK(Z4),"",Z62/($Z$39/$E$34*10))</f>
        <v>1.5000000000000002</v>
      </c>
      <c r="AB62" s="496">
        <f>IF(Z38=0,"",Z62/$Z$38)</f>
        <v>0.33675799086757996</v>
      </c>
      <c r="AC62" s="118">
        <f>IF(ISBLANK(AP4),"",SUM(AP4:AP13))</f>
        <v>69.7</v>
      </c>
      <c r="AD62" s="492">
        <f>IF(ISBLANK(AP4),"",AC62/SUM(AS91:AS100))</f>
        <v>1.1032369409110576</v>
      </c>
      <c r="AE62" s="197">
        <f>IF(ISBLANK(AP4),"",AC62/$AP$38)</f>
        <v>0.38191780821917809</v>
      </c>
      <c r="AF62" s="222"/>
      <c r="AK62" s="6"/>
      <c r="AM62" s="136"/>
      <c r="AN62" s="180" t="s">
        <v>65</v>
      </c>
      <c r="AO62" s="226"/>
      <c r="AP62" s="767"/>
      <c r="AQ62" s="767"/>
      <c r="AR62" s="6"/>
      <c r="AS62" s="785" t="s">
        <v>4</v>
      </c>
      <c r="AT62" s="785"/>
      <c r="AU62" s="220">
        <f>IF(AQ38=0,"",AVERAGE(AV50:AV60))</f>
        <v>0.59411301813105333</v>
      </c>
      <c r="AV62" s="577">
        <f>AU62</f>
        <v>0.59411301813105333</v>
      </c>
      <c r="AX62" s="361">
        <v>14</v>
      </c>
      <c r="AY62" s="23">
        <f t="shared" si="24"/>
        <v>17</v>
      </c>
      <c r="AZ62" s="50"/>
      <c r="BA62" s="26">
        <f t="shared" si="26"/>
        <v>1.3543333333333347</v>
      </c>
      <c r="BB62" s="25">
        <f t="shared" si="25"/>
        <v>-0.5</v>
      </c>
      <c r="BC62" s="25">
        <f>IF(ISBLANK(G17),"",(AVERAGE($AY$49:AY62)))</f>
        <v>14.942857142857145</v>
      </c>
      <c r="BD62" s="13">
        <f t="shared" si="27"/>
        <v>-6.4107142857143806E-2</v>
      </c>
      <c r="BE62" s="6"/>
      <c r="BF62" s="556">
        <v>0.1875</v>
      </c>
      <c r="BG62" s="556">
        <v>0.73263888888888884</v>
      </c>
      <c r="BH62" s="556">
        <v>0.65972222222222221</v>
      </c>
      <c r="BI62" s="556">
        <v>0.24305555555555555</v>
      </c>
      <c r="BJ62" s="556">
        <v>0.7597222222222223</v>
      </c>
      <c r="BK62" s="55"/>
      <c r="BL62" s="78"/>
    </row>
    <row r="63" spans="1:64" ht="12.75" customHeight="1" x14ac:dyDescent="0.2">
      <c r="A63" s="67"/>
      <c r="B63" s="707" t="s">
        <v>72</v>
      </c>
      <c r="C63" s="708"/>
      <c r="D63" s="709"/>
      <c r="E63" s="89">
        <f>IF(ISBLANK(H5),"",CORREL(R4:R34,K4:K34))</f>
        <v>-0.46682627775724822</v>
      </c>
      <c r="F63" s="576">
        <f>IF(ISBLANK(H5),"",ABS(E63))</f>
        <v>0.46682627775724822</v>
      </c>
      <c r="H63" s="729" t="s">
        <v>28</v>
      </c>
      <c r="I63" s="830"/>
      <c r="J63" s="191"/>
      <c r="K63" s="100">
        <f>IF(ISBLANK(F14),"",AVERAGE(F14:F23))</f>
        <v>10.82</v>
      </c>
      <c r="L63" s="100">
        <f>IF(ISBLANK(G14),"",AVERAGE(G14:G23))</f>
        <v>18.62</v>
      </c>
      <c r="M63" s="100">
        <f>IF(ISBLANK(H14),"",AVERAGE(H14:H23))</f>
        <v>14.779999999999998</v>
      </c>
      <c r="N63" s="100">
        <f>IF(ISBLANK(G14),"",AVERAGE(I14:I23))</f>
        <v>7.8</v>
      </c>
      <c r="O63" s="191"/>
      <c r="P63" s="100">
        <f>IF(ISBLANK(F14),"",K63-AVERAGE(F101:F110))</f>
        <v>-0.30683333333332641</v>
      </c>
      <c r="Q63" s="100">
        <f>IF(ISBLANK(G14),"",L63-AVERAGE(G101:G110))</f>
        <v>-1.7361607142857167</v>
      </c>
      <c r="R63" s="100">
        <f>IF(ISBLANK(H14),"",M63-AVERAGE(H101:H110))</f>
        <v>-0.9614970238095264</v>
      </c>
      <c r="S63" s="100">
        <f>IF(ISBLANK(G14),"",N63-AVERAGE(I101:I110))</f>
        <v>-1.4293273809523948</v>
      </c>
      <c r="T63" s="166"/>
      <c r="U63" s="342">
        <f>IF(ISBLANK(M14),"",AVERAGE(M14:M23))</f>
        <v>72.5</v>
      </c>
      <c r="V63" s="342">
        <f>IF(ISBLANK(P14),"",AVERAGE(R14:R23))</f>
        <v>1010.85</v>
      </c>
      <c r="W63" s="345">
        <f>IF(ISBLANK(U14),"",AVERAGE(U14:U23))</f>
        <v>5.3400000000000007</v>
      </c>
      <c r="X63" s="100">
        <f>IF(ISBLANK(AI14),"",AVERAGE(AI14:AI23))</f>
        <v>9.6</v>
      </c>
      <c r="Y63" s="192"/>
      <c r="Z63" s="38">
        <f>IF(ISBLANK(Z14),"",SUM(Z14:Z23))</f>
        <v>37.6</v>
      </c>
      <c r="AA63" s="492">
        <f>IF(ISBLANK(Z14),"",Z63/($Z$39/$E$34*10))</f>
        <v>1.9118644067796613</v>
      </c>
      <c r="AB63" s="496">
        <f>IF(ISBLANK(Z14),"",Z63/$Z$38)</f>
        <v>0.42922374429223753</v>
      </c>
      <c r="AC63" s="118">
        <f>IF(ISBLANK(AP14),"",SUM(AP14:AP23))</f>
        <v>41.8</v>
      </c>
      <c r="AD63" s="492">
        <f>IF(ISBLANK(AP14),"",AC63/SUM(AS101:AS110))</f>
        <v>0.65440160234939682</v>
      </c>
      <c r="AE63" s="197">
        <f>IF(ISBLANK(AP14),"",AC63/$AP$38)</f>
        <v>0.22904109589041094</v>
      </c>
      <c r="AF63" s="222"/>
      <c r="AK63" s="315"/>
      <c r="AL63" s="306"/>
      <c r="AM63" s="136"/>
      <c r="AN63" s="5">
        <f>MIN(AT79,AN92)</f>
        <v>4</v>
      </c>
      <c r="AO63" s="227"/>
      <c r="AP63" s="835" t="s">
        <v>271</v>
      </c>
      <c r="AQ63" s="835"/>
      <c r="AR63" s="6"/>
      <c r="AS63" s="785" t="s">
        <v>34</v>
      </c>
      <c r="AT63" s="785"/>
      <c r="AU63" s="9">
        <f>AN96+AN101</f>
        <v>7</v>
      </c>
      <c r="AV63" s="103" t="s">
        <v>69</v>
      </c>
      <c r="AX63" s="361">
        <v>15</v>
      </c>
      <c r="AY63" s="23">
        <f t="shared" si="24"/>
        <v>17.45</v>
      </c>
      <c r="AZ63" s="50"/>
      <c r="BA63" s="26">
        <f t="shared" si="26"/>
        <v>1.7306249999999999</v>
      </c>
      <c r="BB63" s="25">
        <f t="shared" si="25"/>
        <v>0.25</v>
      </c>
      <c r="BC63" s="25">
        <f>IF(ISBLANK(G18),"",(AVERAGE($AY$49:AY63)))</f>
        <v>15.110000000000001</v>
      </c>
      <c r="BD63" s="13">
        <f t="shared" si="27"/>
        <v>5.5541666666664824E-2</v>
      </c>
      <c r="BE63" s="6"/>
      <c r="BF63" s="556">
        <v>0.20833333333333334</v>
      </c>
      <c r="BG63" s="556">
        <v>0.55555555555555558</v>
      </c>
      <c r="BH63" s="556">
        <v>0.4861111111111111</v>
      </c>
      <c r="BI63" s="556">
        <v>0.28472222222222221</v>
      </c>
      <c r="BJ63" s="556">
        <v>0.39583333333333331</v>
      </c>
      <c r="BK63" s="18"/>
      <c r="BL63" s="78"/>
    </row>
    <row r="64" spans="1:64" ht="12.75" x14ac:dyDescent="0.2">
      <c r="A64" s="67"/>
      <c r="B64" s="707" t="s">
        <v>74</v>
      </c>
      <c r="C64" s="708"/>
      <c r="D64" s="709"/>
      <c r="E64" s="89">
        <f>IF(ISBLANK(H5),"",CORREL(K4:K34,N4:N34))</f>
        <v>-0.84494689423779845</v>
      </c>
      <c r="F64" s="576">
        <f>IF(ISBLANK(H5),"",ABS(E64))</f>
        <v>0.84494689423779845</v>
      </c>
      <c r="H64" s="729" t="s">
        <v>161</v>
      </c>
      <c r="I64" s="830"/>
      <c r="J64" s="191"/>
      <c r="K64" s="100">
        <f>IF(ISBLANK(F24),"",AVERAGE(F24:F34))</f>
        <v>12.800000000000002</v>
      </c>
      <c r="L64" s="100">
        <f>IF(ISBLANK(G24),"",AVERAGE(G24:G34))</f>
        <v>22.500000000000004</v>
      </c>
      <c r="M64" s="100">
        <f>IF(ISBLANK(H24),"",AVERAGE(H24:H34))</f>
        <v>17.810000000000002</v>
      </c>
      <c r="N64" s="100">
        <f>IF(ISBLANK(G24),"",AVERAGE(I24:I34))</f>
        <v>9.7000000000000011</v>
      </c>
      <c r="O64" s="191"/>
      <c r="P64" s="100">
        <f>IF(ISBLANK(F24),"",K64-AVERAGE(F111:F121))</f>
        <v>1.0365000000000126</v>
      </c>
      <c r="Q64" s="100">
        <f>IF(ISBLANK(G24),"",L64-AVERAGE(G111:G121))</f>
        <v>1.2768750000000004</v>
      </c>
      <c r="R64" s="100">
        <f>IF(ISBLANK(H24),"",M64-AVERAGE(H111:H121))</f>
        <v>1.3166875000000076</v>
      </c>
      <c r="S64" s="100">
        <f>IF(ISBLANK(G24),"",N64-AVERAGE(I111:I121))</f>
        <v>0.24037499999999135</v>
      </c>
      <c r="T64" s="166"/>
      <c r="U64" s="342">
        <f>IF(ISBLANK(M24),"",AVERAGE(M24:M34))</f>
        <v>66.3</v>
      </c>
      <c r="V64" s="342">
        <f>IF(ISBLANK(P24),"",AVERAGE(R24:R34))</f>
        <v>1017.35</v>
      </c>
      <c r="W64" s="345">
        <f>IF(ISBLANK(U24),"",AVERAGE(U24:U34))</f>
        <v>5.1599999999999993</v>
      </c>
      <c r="X64" s="100">
        <f>IF(ISBLANK(AI24),"",AVERAGE(AI24:AI34))</f>
        <v>10.92</v>
      </c>
      <c r="Y64" s="192"/>
      <c r="Z64" s="38">
        <f>IF(ISBLANK(Z24),"",SUM(Z24:Z34))</f>
        <v>20.5</v>
      </c>
      <c r="AA64" s="492">
        <f>IF(ISBLANK(Z24),"",Z64/($Z$39/$E$34*10))</f>
        <v>1.0423728813559323</v>
      </c>
      <c r="AB64" s="496">
        <f>IF(ISBLANK(Z24),"",Z64/$Z$38)</f>
        <v>0.2340182648401827</v>
      </c>
      <c r="AC64" s="118">
        <f>IF(ISBLANK(AP24),"",SUM(AP24:AP34))</f>
        <v>71</v>
      </c>
      <c r="AD64" s="492">
        <f>IF(ISBLANK(AP24),"",AC64/SUM(AS111:AS121))</f>
        <v>1.11029227773826</v>
      </c>
      <c r="AE64" s="197">
        <f>IF(ISBLANK(AP24),"",AC64/$AP$38)</f>
        <v>0.38904109589041097</v>
      </c>
      <c r="AF64" s="50"/>
      <c r="AG64" s="739" t="s">
        <v>177</v>
      </c>
      <c r="AH64" s="739"/>
      <c r="AI64" s="739"/>
      <c r="AJ64" s="739"/>
      <c r="AK64" s="68"/>
      <c r="AL64" s="4"/>
      <c r="AM64" s="136"/>
      <c r="AN64" s="105"/>
      <c r="AO64" s="228"/>
      <c r="AP64" s="835"/>
      <c r="AQ64" s="835"/>
      <c r="AR64" s="6"/>
      <c r="AX64" s="361">
        <v>16</v>
      </c>
      <c r="AY64" s="23">
        <f t="shared" si="24"/>
        <v>13.95</v>
      </c>
      <c r="AZ64" s="50"/>
      <c r="BA64" s="26">
        <f t="shared" si="26"/>
        <v>-1.843083333333329</v>
      </c>
      <c r="BB64" s="25">
        <f t="shared" si="25"/>
        <v>-0.25</v>
      </c>
      <c r="BC64" s="25">
        <f>IF(ISBLANK(G19),"",(AVERAGE($AY$49:AY64)))</f>
        <v>15.0375</v>
      </c>
      <c r="BD64" s="13">
        <f t="shared" si="27"/>
        <v>-6.3122395833334011E-2</v>
      </c>
      <c r="BE64" s="6"/>
      <c r="BF64" s="556">
        <v>0.22569444444444445</v>
      </c>
      <c r="BG64" s="556">
        <v>0.65277777777777779</v>
      </c>
      <c r="BH64" s="556">
        <v>0.76041666666666663</v>
      </c>
      <c r="BI64" s="556" t="s">
        <v>387</v>
      </c>
      <c r="BJ64" s="556">
        <v>0.8881944444444444</v>
      </c>
      <c r="BK64" s="18"/>
      <c r="BL64" s="78"/>
    </row>
    <row r="65" spans="1:64" ht="12.75" customHeight="1" thickBot="1" x14ac:dyDescent="0.25">
      <c r="A65" s="67"/>
      <c r="B65" s="707" t="s">
        <v>73</v>
      </c>
      <c r="C65" s="708"/>
      <c r="D65" s="709"/>
      <c r="E65" s="89">
        <f>IF(ISBLANK(H5),"",CORREL(F4:F34,I4:I34))</f>
        <v>0.12527344698424334</v>
      </c>
      <c r="F65" s="576">
        <f>IF(ISBLANK(H5),"",ABS(E65))</f>
        <v>0.12527344698424334</v>
      </c>
      <c r="G65" s="21"/>
      <c r="H65" s="198"/>
      <c r="I65" s="434"/>
      <c r="J65" s="191"/>
      <c r="K65" s="50"/>
      <c r="L65" s="50"/>
      <c r="M65" s="50"/>
      <c r="N65" s="50"/>
      <c r="O65" s="191"/>
      <c r="P65" s="50"/>
      <c r="Q65" s="50"/>
      <c r="R65" s="50"/>
      <c r="S65" s="50"/>
      <c r="T65" s="166"/>
      <c r="U65" s="343"/>
      <c r="V65" s="343"/>
      <c r="W65" s="346"/>
      <c r="X65" s="50"/>
      <c r="Y65" s="192"/>
      <c r="Z65" s="110"/>
      <c r="AA65" s="493"/>
      <c r="AB65" s="497"/>
      <c r="AC65" s="69"/>
      <c r="AD65" s="493"/>
      <c r="AE65" s="199"/>
      <c r="AF65" s="50"/>
      <c r="AH65" s="713">
        <f>SUM(BH91:BH121)</f>
        <v>7</v>
      </c>
      <c r="AI65" s="713"/>
      <c r="AJ65" s="93">
        <f>IF(M53=0,"",AH65/M53)</f>
        <v>0.23333333333333334</v>
      </c>
      <c r="AK65" s="6"/>
      <c r="AM65" s="136"/>
      <c r="AO65" s="229"/>
      <c r="AP65" s="835"/>
      <c r="AQ65" s="835"/>
      <c r="AR65" s="6"/>
      <c r="AV65" s="332"/>
      <c r="AW65" s="332"/>
      <c r="AX65" s="361">
        <v>17</v>
      </c>
      <c r="AY65" s="23">
        <f t="shared" si="24"/>
        <v>12.350000000000001</v>
      </c>
      <c r="AZ65" s="50"/>
      <c r="BA65" s="26">
        <f t="shared" si="26"/>
        <v>-3.5167916666666628</v>
      </c>
      <c r="BB65" s="25">
        <f t="shared" si="25"/>
        <v>-0.14999999999999858</v>
      </c>
      <c r="BC65" s="25">
        <f>IF(ISBLANK(G20),"",(AVERAGE($AY$49:AY65)))</f>
        <v>14.879411764705882</v>
      </c>
      <c r="BD65" s="13">
        <f t="shared" si="27"/>
        <v>-0.2662794117647076</v>
      </c>
      <c r="BE65" s="6"/>
      <c r="BF65" s="556">
        <v>0.20138888888888887</v>
      </c>
      <c r="BG65" s="556">
        <v>0.47916666666666669</v>
      </c>
      <c r="BH65" s="556">
        <v>0.5</v>
      </c>
      <c r="BI65" s="556" t="s">
        <v>233</v>
      </c>
      <c r="BJ65" s="556">
        <v>0.4458333333333333</v>
      </c>
      <c r="BK65" s="18"/>
      <c r="BL65" s="78"/>
    </row>
    <row r="66" spans="1:64" ht="12.75" customHeight="1" thickTop="1" x14ac:dyDescent="0.2">
      <c r="A66" s="67"/>
      <c r="B66" s="707" t="s">
        <v>82</v>
      </c>
      <c r="C66" s="708"/>
      <c r="D66" s="709"/>
      <c r="E66" s="89">
        <f>IF(ISBLANK(H5),"",CORREL(G4:G34,I4:I34))</f>
        <v>0.79933739377327628</v>
      </c>
      <c r="F66" s="576">
        <f>IF(ISBLANK(H5),"",ABS(E66))</f>
        <v>0.79933739377327628</v>
      </c>
      <c r="H66" s="729" t="s">
        <v>29</v>
      </c>
      <c r="I66" s="830"/>
      <c r="J66" s="191"/>
      <c r="K66" s="100">
        <f>IF(ISBLANK(F4),"",AVERAGE(F4:F8))</f>
        <v>10.780000000000001</v>
      </c>
      <c r="L66" s="100">
        <f>IF(ISBLANK(G4),"",AVERAGE(G4:G8))</f>
        <v>22.360000000000003</v>
      </c>
      <c r="M66" s="100">
        <f>IF(ISBLANK(H4),"",AVERAGE(H4:H8))</f>
        <v>16.740000000000002</v>
      </c>
      <c r="N66" s="100">
        <f>IF(ISBLANK(G4),"",AVERAGE(I4:I8))</f>
        <v>11.58</v>
      </c>
      <c r="O66" s="191"/>
      <c r="P66" s="100">
        <f>IF(ISBLANK(F4),"",K66-AVERAGE(F91:F95))</f>
        <v>0.4490000000000034</v>
      </c>
      <c r="Q66" s="100">
        <f>IF(ISBLANK(G4),"",L66-AVERAGE(G91:G95))</f>
        <v>3.5614285714285714</v>
      </c>
      <c r="R66" s="100">
        <f>IF(ISBLANK(H4),"",M66-AVERAGE(H91:H95))</f>
        <v>2.1752142857142864</v>
      </c>
      <c r="S66" s="100">
        <f>IF(ISBLANK(G4),"",N66-AVERAGE(I91:I95))</f>
        <v>3.1124285714285662</v>
      </c>
      <c r="T66" s="166"/>
      <c r="U66" s="342">
        <f>IF(ISBLANK(M4),"",AVERAGE(M4:M8))</f>
        <v>64.400000000000006</v>
      </c>
      <c r="V66" s="342">
        <f>IF(ISBLANK(P4),"",AVERAGE(R4:R8))</f>
        <v>1025.5000001000001</v>
      </c>
      <c r="W66" s="345">
        <f>IF(ISBLANK(U4),"",AVERAGE(U4:U8))</f>
        <v>5.0999999999999996</v>
      </c>
      <c r="X66" s="100">
        <f>IF(ISBLANK(AI4),"",AVERAGE(AI4:AI8))</f>
        <v>9.52</v>
      </c>
      <c r="Y66" s="192"/>
      <c r="Z66" s="100">
        <f>IF(ISBLANK(Z4),"",SUM(Z4:Z8))</f>
        <v>7.1</v>
      </c>
      <c r="AA66" s="492">
        <f>IF(ISBLANK(Z4),"",Z66/($Z$39/$E$34*5))</f>
        <v>0.7220338983050848</v>
      </c>
      <c r="AB66" s="496">
        <f>IF(Z38=0,"",Z66/$Z$38)</f>
        <v>8.1050228310502292E-2</v>
      </c>
      <c r="AC66" s="165">
        <f>IF(ISBLANK(AP4),"",SUM(AP4:AP8))</f>
        <v>45.2</v>
      </c>
      <c r="AD66" s="492">
        <f>IF(ISBLANK(AP4),"",AC66/SUM(AS91:AS95))</f>
        <v>1.4365370591885747</v>
      </c>
      <c r="AE66" s="197">
        <f>IF(ISBLANK(AP4),"",AC66/$AP$38)</f>
        <v>0.24767123287671233</v>
      </c>
      <c r="AF66" s="50"/>
      <c r="AG66" s="650"/>
      <c r="AH66" s="650"/>
      <c r="AI66" s="650"/>
      <c r="AJ66" s="650"/>
      <c r="AK66" s="316"/>
      <c r="AM66" s="136"/>
      <c r="AN66" s="190" t="s">
        <v>254</v>
      </c>
      <c r="AO66" s="229"/>
      <c r="AP66" s="835"/>
      <c r="AQ66" s="835"/>
      <c r="AR66" s="6"/>
      <c r="AT66" s="186" t="s">
        <v>86</v>
      </c>
      <c r="AU66" s="186"/>
      <c r="AV66" s="571"/>
      <c r="AW66" s="571"/>
      <c r="AX66" s="361">
        <v>18</v>
      </c>
      <c r="AY66" s="23">
        <f t="shared" si="24"/>
        <v>14.35</v>
      </c>
      <c r="AZ66" s="50"/>
      <c r="BA66" s="26">
        <f t="shared" si="26"/>
        <v>-1.590499999999996</v>
      </c>
      <c r="BB66" s="25">
        <f t="shared" si="25"/>
        <v>0.25</v>
      </c>
      <c r="BC66" s="25">
        <f>IF(ISBLANK(G21),"",(AVERAGE($AY$49:AY66)))</f>
        <v>14.850000000000001</v>
      </c>
      <c r="BD66" s="13">
        <f t="shared" si="27"/>
        <v>-0.33984722222222263</v>
      </c>
      <c r="BE66" s="6"/>
      <c r="BF66" s="556">
        <v>0.25</v>
      </c>
      <c r="BG66" s="556">
        <v>0.65625</v>
      </c>
      <c r="BH66" s="556">
        <v>0.66666666666666663</v>
      </c>
      <c r="BI66" s="556">
        <v>3.125E-2</v>
      </c>
      <c r="BJ66" s="556">
        <v>0.66666666666666663</v>
      </c>
      <c r="BK66" s="18"/>
      <c r="BL66" s="78"/>
    </row>
    <row r="67" spans="1:64" ht="12.75" x14ac:dyDescent="0.2">
      <c r="A67" s="67"/>
      <c r="B67" s="740"/>
      <c r="C67" s="741"/>
      <c r="D67" s="741"/>
      <c r="E67" s="157"/>
      <c r="F67" s="576"/>
      <c r="H67" s="729" t="s">
        <v>36</v>
      </c>
      <c r="I67" s="830"/>
      <c r="J67" s="191"/>
      <c r="K67" s="100">
        <f>IF(ISBLANK(F9),"",AVERAGE(F9:F13))</f>
        <v>9.7200000000000006</v>
      </c>
      <c r="L67" s="100">
        <f>IF(ISBLANK(G9),"",AVERAGE(G9:G13))</f>
        <v>17</v>
      </c>
      <c r="M67" s="100">
        <f>IF(ISBLANK(H9),"",AVERAGE(H9:H13))</f>
        <v>13.219999999999999</v>
      </c>
      <c r="N67" s="100">
        <f>IF(ISBLANK(G9),"",AVERAGE(I9:I13))</f>
        <v>7.2800000000000011</v>
      </c>
      <c r="O67" s="191"/>
      <c r="P67" s="100">
        <f>IF(ISBLANK(F9),"",K67-AVERAGE(F96:F100))</f>
        <v>-0.92933333333332868</v>
      </c>
      <c r="Q67" s="100">
        <f>IF(ISBLANK(G9),"",L67-AVERAGE(G96:G100))</f>
        <v>-2.4628571428571533</v>
      </c>
      <c r="R67" s="100">
        <f>IF(ISBLANK(H9),"",M67-AVERAGE(H96:H100))</f>
        <v>-1.8360952380952433</v>
      </c>
      <c r="S67" s="100">
        <f>IF(ISBLANK(G9),"",N67-AVERAGE(I96:I100))</f>
        <v>-1.5335238095238193</v>
      </c>
      <c r="T67" s="166"/>
      <c r="U67" s="342">
        <f>IF(ISBLANK(M9),"",AVERAGE(M9:M13))</f>
        <v>68.599999999999994</v>
      </c>
      <c r="V67" s="342">
        <f>IF(ISBLANK(P9),"",AVERAGE(R9:R13))</f>
        <v>1008.5</v>
      </c>
      <c r="W67" s="345">
        <f>IF(ISBLANK(U9),"",AVERAGE(U9:U13))</f>
        <v>4.5599999999999996</v>
      </c>
      <c r="X67" s="100">
        <f>IF(ISBLANK(AI9),"",AVERAGE(AI9:AI13))</f>
        <v>7.2799999999999994</v>
      </c>
      <c r="Y67" s="192"/>
      <c r="Z67" s="100">
        <f>IF(ISBLANK(Z9),"",SUM(Z9:Z13))</f>
        <v>22.4</v>
      </c>
      <c r="AA67" s="492">
        <f>IF(ISBLANK(Z9),"",Z67/($Z$39/$E$34*5))</f>
        <v>2.2779661016949153</v>
      </c>
      <c r="AB67" s="496">
        <f>IF(ISBLANK(Z9),"",Z67/$Z$38)</f>
        <v>0.25570776255707767</v>
      </c>
      <c r="AC67" s="165">
        <f>IF(ISBLANK(AP9),"",SUM(AP9:AP13))</f>
        <v>24.5</v>
      </c>
      <c r="AD67" s="492">
        <f>IF(ISBLANK(AP9),"",AC67/SUM(AS96:AS100))</f>
        <v>0.77254971407353279</v>
      </c>
      <c r="AE67" s="197">
        <f>IF(ISBLANK(AP9),"",AC67/$AP$38)</f>
        <v>0.13424657534246576</v>
      </c>
      <c r="AF67" s="50"/>
      <c r="AG67" s="780" t="s">
        <v>178</v>
      </c>
      <c r="AH67" s="780"/>
      <c r="AI67" s="780"/>
      <c r="AJ67" s="780"/>
      <c r="AK67" s="84"/>
      <c r="AM67" s="71"/>
      <c r="AN67" s="5">
        <f t="array" ref="AN67">SUM(IF(AP4:AP34&gt;0.25*AT91:AT121,1,0))</f>
        <v>20</v>
      </c>
      <c r="AO67" s="229"/>
      <c r="AP67" s="835"/>
      <c r="AQ67" s="835"/>
      <c r="AR67" s="6"/>
      <c r="AT67" s="187">
        <f>M53-AT70</f>
        <v>16</v>
      </c>
      <c r="AU67" s="187"/>
      <c r="AV67" s="571"/>
      <c r="AW67" s="571"/>
      <c r="AX67" s="361">
        <v>19</v>
      </c>
      <c r="AY67" s="23">
        <f t="shared" si="24"/>
        <v>14.75</v>
      </c>
      <c r="AZ67" s="50"/>
      <c r="BA67" s="26">
        <f t="shared" si="26"/>
        <v>-1.2642083333333307</v>
      </c>
      <c r="BB67" s="25">
        <f t="shared" si="25"/>
        <v>-0.44999999999999929</v>
      </c>
      <c r="BC67" s="25">
        <f>IF(ISBLANK(G22),"",(AVERAGE($AY$49:AY67)))</f>
        <v>14.844736842105263</v>
      </c>
      <c r="BD67" s="13">
        <f t="shared" si="27"/>
        <v>-0.38849780701754355</v>
      </c>
      <c r="BE67" s="6"/>
      <c r="BF67" s="556">
        <v>0.21527777777777779</v>
      </c>
      <c r="BG67" s="556">
        <v>0.73611111111111116</v>
      </c>
      <c r="BH67" s="556">
        <v>0.73958333333333337</v>
      </c>
      <c r="BI67" s="556">
        <v>0.23611111111111113</v>
      </c>
      <c r="BJ67" s="556">
        <v>0.66527777777777775</v>
      </c>
      <c r="BK67" s="18"/>
      <c r="BL67" s="78"/>
    </row>
    <row r="68" spans="1:64" ht="12.75" customHeight="1" x14ac:dyDescent="0.2">
      <c r="A68" s="67"/>
      <c r="B68" s="731" t="s">
        <v>4</v>
      </c>
      <c r="C68" s="732"/>
      <c r="D68" s="732"/>
      <c r="E68" s="582">
        <f>IF(ISBLANK(H5),"",AVERAGE(F48:F66))</f>
        <v>0.53640882562153758</v>
      </c>
      <c r="F68" s="576">
        <f>IF(ISBLANK(H5),"",ABS(E68))</f>
        <v>0.53640882562153758</v>
      </c>
      <c r="H68" s="729" t="s">
        <v>30</v>
      </c>
      <c r="I68" s="830"/>
      <c r="J68" s="191"/>
      <c r="K68" s="100">
        <f>IF(ISBLANK(F14),"",AVERAGE(F14:F18))</f>
        <v>11.22</v>
      </c>
      <c r="L68" s="100">
        <f>IF(ISBLANK(G14),"",AVERAGE(G14:G18))</f>
        <v>19.580000000000002</v>
      </c>
      <c r="M68" s="100">
        <f>IF(ISBLANK(H14),"",AVERAGE(H14:H18))</f>
        <v>15.320000000000002</v>
      </c>
      <c r="N68" s="100">
        <f>IF(ISBLANK(G14),"",AVERAGE(I14:I18))</f>
        <v>8.36</v>
      </c>
      <c r="O68" s="191"/>
      <c r="P68" s="100">
        <f>IF(ISBLANK(F14),"",K68-AVERAGE(F101:F105))</f>
        <v>0.25233333333333796</v>
      </c>
      <c r="Q68" s="100">
        <f>IF(ISBLANK(G14),"",L68-AVERAGE(G101:G105))</f>
        <v>-0.53732142857143472</v>
      </c>
      <c r="R68" s="100">
        <f>IF(ISBLANK(H14),"",M68-AVERAGE(H101:H105))</f>
        <v>-0.22249404761904756</v>
      </c>
      <c r="S68" s="100">
        <f>IF(ISBLANK(G14),"",N68-AVERAGE(I101:I105))</f>
        <v>-0.78965476190477801</v>
      </c>
      <c r="T68" s="166"/>
      <c r="U68" s="342">
        <f>IF(ISBLANK(M14),"",AVERAGE(M14:M18))</f>
        <v>69.599999999999994</v>
      </c>
      <c r="V68" s="342">
        <f>IF(ISBLANK(P14),"",AVERAGE(R14:R18))</f>
        <v>1014.6</v>
      </c>
      <c r="W68" s="345">
        <f>IF(ISBLANK(U14),"",AVERAGE(U14:U18))</f>
        <v>5.12</v>
      </c>
      <c r="X68" s="100">
        <f>IF(ISBLANK(AI14),"",AVERAGE(AI14:AI18))</f>
        <v>9.5</v>
      </c>
      <c r="Y68" s="192"/>
      <c r="Z68" s="100">
        <f>IF(ISBLANK(Z14),"",SUM(Z14:Z18))</f>
        <v>11.2</v>
      </c>
      <c r="AA68" s="492">
        <f>IF(ISBLANK(Z14),"",Z68/($Z$39/$E$34*5))</f>
        <v>1.1389830508474577</v>
      </c>
      <c r="AB68" s="496">
        <f>IF(ISBLANK(Z14),"",Z68/$Z$38)</f>
        <v>0.12785388127853883</v>
      </c>
      <c r="AC68" s="165">
        <f>IF(ISBLANK(AP14),"",SUM(AP14:AP18))</f>
        <v>26.5</v>
      </c>
      <c r="AD68" s="492">
        <f>IF(ISBLANK(AP14),"",AC68/SUM(AS101:AS105))</f>
        <v>0.83101849021659369</v>
      </c>
      <c r="AE68" s="197">
        <f>IF(ISBLANK(AP14),"",AC68/$AP$38)</f>
        <v>0.14520547945205478</v>
      </c>
      <c r="AF68" s="50"/>
      <c r="AH68" s="781">
        <f>SUM(AY91:AY121)</f>
        <v>11</v>
      </c>
      <c r="AI68" s="781"/>
      <c r="AJ68" s="93">
        <f>IF(M53=0,"",AH68/M53)</f>
        <v>0.36666666666666664</v>
      </c>
      <c r="AK68" s="6"/>
      <c r="AM68" s="136"/>
      <c r="AO68" s="228"/>
      <c r="AP68" s="835"/>
      <c r="AQ68" s="835"/>
      <c r="AR68" s="6"/>
      <c r="AT68" s="4"/>
      <c r="AU68" s="4"/>
      <c r="AV68" s="571"/>
      <c r="AW68" s="571"/>
      <c r="AX68" s="361">
        <v>20</v>
      </c>
      <c r="AY68" s="23">
        <f t="shared" si="24"/>
        <v>14.8</v>
      </c>
      <c r="AZ68" s="50"/>
      <c r="BA68" s="26">
        <f t="shared" si="26"/>
        <v>-1.2879166666666615</v>
      </c>
      <c r="BB68" s="25">
        <f t="shared" si="25"/>
        <v>-0.39999999999999858</v>
      </c>
      <c r="BC68" s="25">
        <f>IF(ISBLANK(G23),"",(AVERAGE($AY$49:AY68)))</f>
        <v>14.842500000000001</v>
      </c>
      <c r="BD68" s="13">
        <f t="shared" si="27"/>
        <v>-0.4334687499999994</v>
      </c>
      <c r="BE68" s="6"/>
      <c r="BF68" s="556">
        <v>0.17708333333333334</v>
      </c>
      <c r="BG68" s="556">
        <v>0.66666666666666663</v>
      </c>
      <c r="BH68" s="556">
        <v>0.6875</v>
      </c>
      <c r="BI68" s="556" t="s">
        <v>233</v>
      </c>
      <c r="BJ68" s="556">
        <v>0.77013888888888893</v>
      </c>
      <c r="BK68" s="54"/>
      <c r="BL68" s="78"/>
    </row>
    <row r="69" spans="1:64" ht="12.75" customHeight="1" x14ac:dyDescent="0.2">
      <c r="A69" s="67"/>
      <c r="B69" s="731" t="s">
        <v>34</v>
      </c>
      <c r="C69" s="732"/>
      <c r="D69" s="732"/>
      <c r="E69" s="583">
        <f>AN100+AN97</f>
        <v>11</v>
      </c>
      <c r="F69" s="85" t="s">
        <v>90</v>
      </c>
      <c r="H69" s="729" t="s">
        <v>31</v>
      </c>
      <c r="I69" s="830"/>
      <c r="J69" s="191"/>
      <c r="K69" s="100">
        <f>IF(ISBLANK(F19),"",AVERAGE(F19:F23))</f>
        <v>10.419999999999998</v>
      </c>
      <c r="L69" s="100">
        <f>IF(ISBLANK(G19),"",AVERAGE(G19:G23))</f>
        <v>17.66</v>
      </c>
      <c r="M69" s="100">
        <f>IF(ISBLANK(H19),"",AVERAGE(H19:H23))</f>
        <v>14.24</v>
      </c>
      <c r="N69" s="100">
        <f>IF(ISBLANK(G19),"",AVERAGE(I19:I23))</f>
        <v>7.24</v>
      </c>
      <c r="O69" s="191"/>
      <c r="P69" s="100">
        <f>IF(ISBLANK(F19),"",K69-AVERAGE(F106:F110))</f>
        <v>-0.86599999999999433</v>
      </c>
      <c r="Q69" s="100">
        <f>IF(ISBLANK(G19),"",L69-AVERAGE(G106:G110))</f>
        <v>-2.9350000000000023</v>
      </c>
      <c r="R69" s="100">
        <f>IF(ISBLANK(H19),"",M69-AVERAGE(H106:H110))</f>
        <v>-1.7004999999999946</v>
      </c>
      <c r="S69" s="100">
        <f>IF(ISBLANK(G19),"",N69-AVERAGE(I106:I110))</f>
        <v>-2.0690000000000079</v>
      </c>
      <c r="T69" s="166"/>
      <c r="U69" s="342">
        <f>IF(ISBLANK(M19),"",AVERAGE(M19:M23))</f>
        <v>75.400000000000006</v>
      </c>
      <c r="V69" s="342">
        <f>IF(ISBLANK(P19),"",AVERAGE(R19:R23))</f>
        <v>1007.1</v>
      </c>
      <c r="W69" s="345">
        <f>IF(ISBLANK(U19),"",AVERAGE(U19:U23))</f>
        <v>5.56</v>
      </c>
      <c r="X69" s="100">
        <f>IF(ISBLANK(AI19),"",AVERAGE(AI19:AI23))</f>
        <v>9.6999999999999993</v>
      </c>
      <c r="Y69" s="192"/>
      <c r="Z69" s="100">
        <f>IF(ISBLANK(Z19),"",SUM(Z19:Z23))</f>
        <v>26.4</v>
      </c>
      <c r="AA69" s="492">
        <f>IF(ISBLANK(Z19),"",Z69/($Z$39/$E$34*5))</f>
        <v>2.6847457627118647</v>
      </c>
      <c r="AB69" s="496">
        <f>IF(ISBLANK(Z19),"",Z69/$Z$38)</f>
        <v>0.30136986301369867</v>
      </c>
      <c r="AC69" s="165">
        <f>IF(ISBLANK(AP19),"",SUM(AP19:AP23))</f>
        <v>15.3</v>
      </c>
      <c r="AD69" s="492">
        <f>IF(ISBLANK(AP19),"",AC69/SUM(AS106:AS110))</f>
        <v>0.47832576607472083</v>
      </c>
      <c r="AE69" s="197">
        <f>IF(ISBLANK(AP19),"",AC69/$AP$38)</f>
        <v>8.3835616438356172E-2</v>
      </c>
      <c r="AF69" s="50"/>
      <c r="AK69" s="6"/>
      <c r="AM69" s="136"/>
      <c r="AN69" s="183" t="s">
        <v>255</v>
      </c>
      <c r="AO69" s="228"/>
      <c r="AP69" s="767" t="s">
        <v>195</v>
      </c>
      <c r="AQ69" s="767"/>
      <c r="AR69" s="6"/>
      <c r="AT69" s="189" t="s">
        <v>85</v>
      </c>
      <c r="AU69" s="189"/>
      <c r="AV69" s="603"/>
      <c r="AW69" s="571"/>
      <c r="AX69" s="361">
        <v>21</v>
      </c>
      <c r="AY69" s="23">
        <f t="shared" si="24"/>
        <v>17.600000000000001</v>
      </c>
      <c r="AZ69" s="50"/>
      <c r="BA69" s="26">
        <f t="shared" si="26"/>
        <v>1.4383750000000033</v>
      </c>
      <c r="BB69" s="25">
        <f t="shared" si="25"/>
        <v>0.40000000000000213</v>
      </c>
      <c r="BC69" s="25">
        <f>IF(ISBLANK(G24),"",(AVERAGE($AY$49:AY69)))</f>
        <v>14.973809523809527</v>
      </c>
      <c r="BD69" s="13">
        <f t="shared" si="27"/>
        <v>-0.34433333333333227</v>
      </c>
      <c r="BE69" s="6"/>
      <c r="BF69" s="556">
        <v>0.20833333333333334</v>
      </c>
      <c r="BG69" s="556">
        <v>0.67361111111111116</v>
      </c>
      <c r="BH69" s="556">
        <v>0.8125</v>
      </c>
      <c r="BI69" s="556">
        <v>0.25</v>
      </c>
      <c r="BJ69" s="556">
        <v>0.71388888888888891</v>
      </c>
      <c r="BK69" s="54"/>
      <c r="BL69" s="78"/>
    </row>
    <row r="70" spans="1:64" ht="12.75" x14ac:dyDescent="0.2">
      <c r="A70" s="67"/>
      <c r="B70" s="160"/>
      <c r="C70" s="161"/>
      <c r="D70" s="161"/>
      <c r="E70" s="158"/>
      <c r="F70" s="120"/>
      <c r="H70" s="729" t="s">
        <v>32</v>
      </c>
      <c r="I70" s="830"/>
      <c r="J70" s="191"/>
      <c r="K70" s="100">
        <f>IF(ISBLANK(F24),"",AVERAGE(F24:F28))</f>
        <v>11.940000000000001</v>
      </c>
      <c r="L70" s="100">
        <f>IF(ISBLANK(G24),"",AVERAGE(G24:G28))</f>
        <v>20.360000000000003</v>
      </c>
      <c r="M70" s="100">
        <f>IF(ISBLANK(H24),"",AVERAGE(H24:H28))</f>
        <v>16.04</v>
      </c>
      <c r="N70" s="100">
        <f>IF(ISBLANK(G24),"",AVERAGE(I24:I28))</f>
        <v>8.4199999999999982</v>
      </c>
      <c r="O70" s="191"/>
      <c r="P70" s="100">
        <f>IF(ISBLANK(F24),"",K70-AVERAGE(F111:F115))</f>
        <v>0.33566666666667722</v>
      </c>
      <c r="Q70" s="100">
        <f>IF(ISBLANK(G24),"",L70-AVERAGE(G111:G115))</f>
        <v>-0.65374999999999517</v>
      </c>
      <c r="R70" s="100">
        <f>IF(ISBLANK(H24),"",M70-AVERAGE(H111:H115))</f>
        <v>-0.26904166666666285</v>
      </c>
      <c r="S70" s="100">
        <f>IF(ISBLANK(G24),"",N70-AVERAGE(I111:I115))</f>
        <v>-0.98941666666667771</v>
      </c>
      <c r="T70" s="166"/>
      <c r="U70" s="342">
        <f>IF(ISBLANK(M24),"",AVERAGE(M24:M28))</f>
        <v>69.599999999999994</v>
      </c>
      <c r="V70" s="342">
        <f>IF(ISBLANK(P24),"",AVERAGE(R24:R28))</f>
        <v>1015.5</v>
      </c>
      <c r="W70" s="345">
        <f>IF(ISBLANK(U24),"",AVERAGE(U24:U28))</f>
        <v>6.6599999999999993</v>
      </c>
      <c r="X70" s="100">
        <f>IF(ISBLANK(AI24),"",AVERAGE(AI24:AI28))</f>
        <v>10.139999999999999</v>
      </c>
      <c r="Y70" s="192"/>
      <c r="Z70" s="100">
        <f>IF(ISBLANK(Z24),"",SUM(Z24:Z28))</f>
        <v>11.899999999999999</v>
      </c>
      <c r="AA70" s="492">
        <f>IF(ISBLANK(Z24),"",Z70/($Z$39/$E$34*5))</f>
        <v>1.2101694915254237</v>
      </c>
      <c r="AB70" s="496">
        <f>IF(ISBLANK(Z24),"",Z70/$Z$38)</f>
        <v>0.13584474885844749</v>
      </c>
      <c r="AC70" s="165">
        <f>IF(ISBLANK(AP24),"",SUM(AP24:AP28))</f>
        <v>30</v>
      </c>
      <c r="AD70" s="492">
        <f>IF(ISBLANK(AP24),"",AC70/SUM(AS111:AS115))</f>
        <v>0.93736295846463136</v>
      </c>
      <c r="AE70" s="197">
        <f>IF(ISBLANK(AP24),"",AC70/$AP$38)</f>
        <v>0.16438356164383561</v>
      </c>
      <c r="AF70" s="50"/>
      <c r="AK70" s="6"/>
      <c r="AM70" s="149"/>
      <c r="AN70" s="5">
        <f>M53-AN67</f>
        <v>10</v>
      </c>
      <c r="AO70" s="88"/>
      <c r="AP70" s="767"/>
      <c r="AQ70" s="767"/>
      <c r="AR70" s="6"/>
      <c r="AT70" s="5">
        <f>M53-SUM(BI91:BI121)</f>
        <v>14</v>
      </c>
      <c r="AU70" s="5"/>
      <c r="AV70" s="571"/>
      <c r="AW70" s="571"/>
      <c r="AX70" s="361">
        <v>22</v>
      </c>
      <c r="AY70" s="23">
        <f t="shared" si="24"/>
        <v>15.200000000000001</v>
      </c>
      <c r="AZ70" s="50"/>
      <c r="BA70" s="26">
        <f t="shared" si="26"/>
        <v>-1.0353333333333277</v>
      </c>
      <c r="BB70" s="25">
        <f t="shared" si="25"/>
        <v>1.7763568394002505E-15</v>
      </c>
      <c r="BC70" s="25">
        <f>IF(ISBLANK(G25),"",(AVERAGE($AY$49:AY70)))</f>
        <v>14.984090909090911</v>
      </c>
      <c r="BD70" s="13">
        <f t="shared" si="27"/>
        <v>-0.37574242424242144</v>
      </c>
      <c r="BE70" s="6"/>
      <c r="BF70" s="556">
        <v>0.20138888888888887</v>
      </c>
      <c r="BG70" s="556">
        <v>0.78125</v>
      </c>
      <c r="BH70" s="556" t="s">
        <v>550</v>
      </c>
      <c r="BI70" s="556" t="s">
        <v>551</v>
      </c>
      <c r="BJ70" s="556">
        <v>0.53402777777777777</v>
      </c>
      <c r="BK70" s="54"/>
      <c r="BL70" s="78"/>
    </row>
    <row r="71" spans="1:64" ht="13.5" customHeight="1" thickBot="1" x14ac:dyDescent="0.25">
      <c r="A71" s="67"/>
      <c r="B71" s="748" t="s">
        <v>7</v>
      </c>
      <c r="C71" s="749"/>
      <c r="D71" s="749"/>
      <c r="E71" s="221" t="s">
        <v>15</v>
      </c>
      <c r="F71" s="120"/>
      <c r="G71" s="575" t="s">
        <v>340</v>
      </c>
      <c r="H71" s="750" t="s">
        <v>162</v>
      </c>
      <c r="I71" s="831"/>
      <c r="J71" s="200"/>
      <c r="K71" s="201">
        <f>IF(ISBLANK(F29),"",AVERAGE(F29:F34))</f>
        <v>13.66</v>
      </c>
      <c r="L71" s="201">
        <f>IF(ISBLANK(G29),"",AVERAGE(G29:G34))</f>
        <v>24.64</v>
      </c>
      <c r="M71" s="201">
        <f>IF(ISBLANK(H29),"",AVERAGE(H29:H34))</f>
        <v>19.579999999999998</v>
      </c>
      <c r="N71" s="201">
        <f>IF(ISBLANK(G29),"",AVERAGE(I29:I34))</f>
        <v>10.979999999999999</v>
      </c>
      <c r="O71" s="200"/>
      <c r="P71" s="201">
        <f>IF(ISBLANK(F29),"",K71-AVERAGE(F116:F121))</f>
        <v>1.7373333333333427</v>
      </c>
      <c r="Q71" s="201">
        <f>IF(ISBLANK(G29),"",L71-AVERAGE(G116:G121))</f>
        <v>3.2075000000000031</v>
      </c>
      <c r="R71" s="201">
        <f>IF(ISBLANK(H29),"",M71-AVERAGE(H116:H121))</f>
        <v>2.9024166666666673</v>
      </c>
      <c r="S71" s="201">
        <f>IF(ISBLANK(G29),"",N71-AVERAGE(I116:I121))</f>
        <v>1.4701666666666569</v>
      </c>
      <c r="T71" s="202"/>
      <c r="U71" s="344">
        <f>IF(ISBLANK(M29),"",AVERAGE(M29:M34))</f>
        <v>63</v>
      </c>
      <c r="V71" s="344">
        <f>IF(ISBLANK(P29),"",AVERAGE(R29:R34))</f>
        <v>1019.2</v>
      </c>
      <c r="W71" s="347">
        <f>IF(ISBLANK(U29),"",AVERAGE(U29:U34))</f>
        <v>3.6599999999999993</v>
      </c>
      <c r="X71" s="201">
        <f>IF(ISBLANK(AI29),"",AVERAGE(AI29:AI34))</f>
        <v>11.7</v>
      </c>
      <c r="Y71" s="203"/>
      <c r="Z71" s="201">
        <f>IF(ISBLANK(Z29),"",SUM(Z29:Z34))</f>
        <v>8.6</v>
      </c>
      <c r="AA71" s="494">
        <f>IF(ISBLANK(Z29),"",Z71/($Z$39/$E$34*5))</f>
        <v>0.87457627118644077</v>
      </c>
      <c r="AB71" s="498">
        <f>IF(ISBLANK(Z29),"",Z71/$Z$38)</f>
        <v>9.8173515981735182E-2</v>
      </c>
      <c r="AC71" s="255">
        <f>IF(ISBLANK(AP29),"",SUM(AP29:AP34))</f>
        <v>41</v>
      </c>
      <c r="AD71" s="494">
        <f>IF(ISBLANK(AP29),"",AC71/SUM(AS116:AS121))</f>
        <v>1.2835585012885016</v>
      </c>
      <c r="AE71" s="256">
        <f>IF(ISBLANK(AP29),"",AC71/$AP$38)</f>
        <v>0.22465753424657534</v>
      </c>
      <c r="AF71" s="50"/>
      <c r="AG71" s="739" t="s">
        <v>125</v>
      </c>
      <c r="AH71" s="739"/>
      <c r="AI71" s="739"/>
      <c r="AJ71" s="739"/>
      <c r="AK71" s="315"/>
      <c r="AL71" s="306"/>
      <c r="AM71" s="136"/>
      <c r="AO71" s="88"/>
      <c r="AP71" s="767"/>
      <c r="AQ71" s="767"/>
      <c r="AR71" s="6"/>
      <c r="AT71" s="52"/>
      <c r="AU71" s="52"/>
      <c r="AV71" s="571"/>
      <c r="AW71" s="571"/>
      <c r="AX71" s="361">
        <v>23</v>
      </c>
      <c r="AY71" s="23">
        <f t="shared" si="24"/>
        <v>15.2</v>
      </c>
      <c r="AZ71" s="50"/>
      <c r="BA71" s="26">
        <f t="shared" si="26"/>
        <v>-1.1090416666666636</v>
      </c>
      <c r="BB71" s="25">
        <f t="shared" si="25"/>
        <v>-0.10000000000000142</v>
      </c>
      <c r="BC71" s="25">
        <f>IF(ISBLANK(G26),"",(AVERAGE($AY$49:AY71)))</f>
        <v>14.993478260869566</v>
      </c>
      <c r="BD71" s="13">
        <f t="shared" si="27"/>
        <v>-0.40762499999999768</v>
      </c>
      <c r="BE71" s="6"/>
      <c r="BF71" s="556">
        <v>0.20833333333333334</v>
      </c>
      <c r="BG71" s="556">
        <v>0.52777777777777779</v>
      </c>
      <c r="BH71" s="556">
        <v>0.60416666666666663</v>
      </c>
      <c r="BI71" s="556">
        <v>0.23958333333333334</v>
      </c>
      <c r="BJ71" s="556">
        <v>0.53333333333333333</v>
      </c>
      <c r="BK71" s="54"/>
      <c r="BL71" s="78"/>
    </row>
    <row r="72" spans="1:64" ht="12.75" customHeight="1" x14ac:dyDescent="0.2">
      <c r="A72" s="67"/>
      <c r="B72" s="742" t="s">
        <v>33</v>
      </c>
      <c r="C72" s="743"/>
      <c r="D72" s="744"/>
      <c r="E72" s="89">
        <f>IF(Z38=0,"",CORREL(Z4:Z34,R4:R34))</f>
        <v>-0.2873175291106711</v>
      </c>
      <c r="F72" s="576">
        <f>IF(Z38=0,"",ABS(E72))</f>
        <v>0.2873175291106711</v>
      </c>
      <c r="G72" s="574">
        <f>IF(Z38=0,"",IF(AQ86&lt;0.5,"n/a",CORREL(Y4:Y34,R4:R34)))</f>
        <v>-0.45538512680578047</v>
      </c>
      <c r="H72" s="102"/>
      <c r="I72" s="21"/>
      <c r="J72" s="20"/>
      <c r="K72" s="21"/>
      <c r="O72" s="20"/>
      <c r="Q72" s="122"/>
      <c r="S72" s="100"/>
      <c r="T72" s="166"/>
      <c r="W72" s="24"/>
      <c r="X72" s="24"/>
      <c r="Y72" s="192"/>
      <c r="Z72" s="24"/>
      <c r="AA72" s="24"/>
      <c r="AB72" s="24"/>
      <c r="AC72" s="24"/>
      <c r="AF72" s="6"/>
      <c r="AH72" s="713">
        <f t="array" ref="AH72">MAX(FREQUENCY(IF(BH91:BH121=1,ROW(91:121)),IF(BH91:BH121&lt;&gt;1,ROW(91:121))))</f>
        <v>3</v>
      </c>
      <c r="AI72" s="713"/>
      <c r="AJ72" s="4"/>
      <c r="AK72" s="68"/>
      <c r="AL72" s="474"/>
      <c r="AM72" s="136"/>
      <c r="AN72" s="185" t="s">
        <v>123</v>
      </c>
      <c r="AO72" s="409"/>
      <c r="AP72" s="767"/>
      <c r="AQ72" s="767"/>
      <c r="AR72" s="6"/>
      <c r="AT72" s="307" t="s">
        <v>87</v>
      </c>
      <c r="AU72" s="307"/>
      <c r="AV72" s="571"/>
      <c r="AW72" s="571"/>
      <c r="AX72" s="361">
        <v>24</v>
      </c>
      <c r="AY72" s="23">
        <f t="shared" si="24"/>
        <v>15.2</v>
      </c>
      <c r="AZ72" s="50"/>
      <c r="BA72" s="26">
        <f t="shared" si="26"/>
        <v>-1.182749999999996</v>
      </c>
      <c r="BB72" s="25">
        <f t="shared" si="25"/>
        <v>-0.10000000000000142</v>
      </c>
      <c r="BC72" s="25">
        <f>IF(ISBLANK(G27),"",(AVERAGE($AY$49:AY72)))</f>
        <v>15.002083333333333</v>
      </c>
      <c r="BD72" s="13">
        <f t="shared" si="27"/>
        <v>-0.43992187499999869</v>
      </c>
      <c r="BE72" s="6"/>
      <c r="BF72" s="556">
        <v>0.22222222222222221</v>
      </c>
      <c r="BG72" s="556">
        <v>0.57638888888888895</v>
      </c>
      <c r="BH72" s="556">
        <v>0.59375</v>
      </c>
      <c r="BI72" s="556">
        <v>0.25</v>
      </c>
      <c r="BJ72" s="556">
        <v>0.79583333333333339</v>
      </c>
      <c r="BK72" s="54"/>
      <c r="BL72" s="78"/>
    </row>
    <row r="73" spans="1:64" ht="12.75" customHeight="1" x14ac:dyDescent="0.2">
      <c r="A73" s="67"/>
      <c r="B73" s="742" t="s">
        <v>61</v>
      </c>
      <c r="C73" s="743"/>
      <c r="D73" s="744"/>
      <c r="E73" s="89">
        <f>IF(Z38=0,"",CORREL(Z4:Z34,H4:H34))</f>
        <v>-0.48124646775472957</v>
      </c>
      <c r="F73" s="576">
        <f>IF(Z38=0,"",ABS(E73))</f>
        <v>0.48124646775472957</v>
      </c>
      <c r="H73" s="102"/>
      <c r="J73" s="20"/>
      <c r="K73" s="231"/>
      <c r="L73" s="4" t="s">
        <v>352</v>
      </c>
      <c r="M73" s="4" t="s">
        <v>10</v>
      </c>
      <c r="N73" s="122"/>
      <c r="O73" s="20"/>
      <c r="Q73" s="753" t="s">
        <v>103</v>
      </c>
      <c r="R73" s="754"/>
      <c r="S73" s="754"/>
      <c r="T73" s="754"/>
      <c r="U73" s="754"/>
      <c r="V73" s="754"/>
      <c r="W73" s="754"/>
      <c r="X73" s="754"/>
      <c r="Y73" s="754"/>
      <c r="Z73" s="754"/>
      <c r="AA73" s="754"/>
      <c r="AB73" s="755"/>
      <c r="AC73" s="303"/>
      <c r="AD73" s="800" t="s">
        <v>270</v>
      </c>
      <c r="AE73" s="800"/>
      <c r="AF73" s="6"/>
      <c r="AG73" s="650"/>
      <c r="AH73" s="650"/>
      <c r="AI73" s="650"/>
      <c r="AJ73" s="650"/>
      <c r="AK73" s="6"/>
      <c r="AL73" s="477"/>
      <c r="AM73" s="136"/>
      <c r="AN73" s="138">
        <f>IF(M53=0,"",AN67/M53)</f>
        <v>0.66666666666666663</v>
      </c>
      <c r="AO73" s="409"/>
      <c r="AP73" s="783" t="s">
        <v>269</v>
      </c>
      <c r="AQ73" s="661"/>
      <c r="AR73" s="6"/>
      <c r="AT73" s="587">
        <f>IF(AT67=0,"",AT67/M53)</f>
        <v>0.53333333333333333</v>
      </c>
      <c r="AU73" s="587"/>
      <c r="AV73" s="571"/>
      <c r="AW73" s="571"/>
      <c r="AX73" s="361">
        <v>25</v>
      </c>
      <c r="AY73" s="23">
        <f t="shared" si="24"/>
        <v>17.549999999999997</v>
      </c>
      <c r="AZ73" s="50"/>
      <c r="BA73" s="26">
        <f t="shared" si="26"/>
        <v>1.0935416666666713</v>
      </c>
      <c r="BB73" s="25">
        <f t="shared" si="25"/>
        <v>0.34999999999999787</v>
      </c>
      <c r="BC73" s="25">
        <f>IF(ISBLANK(G28),"",(AVERAGE($AY$49:AY73)))</f>
        <v>15.104000000000001</v>
      </c>
      <c r="BD73" s="13">
        <f t="shared" si="27"/>
        <v>-0.37858333333333505</v>
      </c>
      <c r="BE73" s="6"/>
      <c r="BF73" s="556">
        <v>0.125</v>
      </c>
      <c r="BG73" s="556">
        <v>0.75694444444444453</v>
      </c>
      <c r="BH73" s="556">
        <v>0.75347222222222221</v>
      </c>
      <c r="BI73" s="556">
        <v>0.36805555555555558</v>
      </c>
      <c r="BJ73" s="556">
        <v>0.49722222222222223</v>
      </c>
      <c r="BK73" s="54"/>
      <c r="BL73" s="78"/>
    </row>
    <row r="74" spans="1:64" ht="12.75" customHeight="1" x14ac:dyDescent="0.2">
      <c r="A74" s="67"/>
      <c r="B74" s="742" t="s">
        <v>60</v>
      </c>
      <c r="C74" s="743"/>
      <c r="D74" s="744"/>
      <c r="E74" s="89">
        <f>IF(Z38=0,"",CORREL(Z4:Z34,G4:G34))</f>
        <v>-0.53457903651982774</v>
      </c>
      <c r="F74" s="576">
        <f>IF(Z38=0,"",ABS(E74))</f>
        <v>0.53457903651982774</v>
      </c>
      <c r="G74" s="236"/>
      <c r="H74" s="747" t="s">
        <v>2</v>
      </c>
      <c r="I74" s="237" t="s">
        <v>203</v>
      </c>
      <c r="J74" s="245"/>
      <c r="K74" s="106">
        <f>F39</f>
        <v>11.1</v>
      </c>
      <c r="L74" s="108" t="str">
        <f>IF(ISBLANK(F4),"",(IF(M54=0,"n/a",(E34*K74-M53*F38)/M54)))</f>
        <v>n/a</v>
      </c>
      <c r="M74" s="106" t="str">
        <f>IF(ISBLANK(F4),"",IF(M54&gt;0,L74-F39,"n/a"))</f>
        <v>n/a</v>
      </c>
      <c r="N74" s="246" t="s">
        <v>142</v>
      </c>
      <c r="O74" s="67"/>
      <c r="Q74" s="733" t="s">
        <v>547</v>
      </c>
      <c r="R74" s="734"/>
      <c r="S74" s="734"/>
      <c r="T74" s="734"/>
      <c r="U74" s="734"/>
      <c r="V74" s="734"/>
      <c r="W74" s="734"/>
      <c r="X74" s="734"/>
      <c r="Y74" s="734"/>
      <c r="Z74" s="734"/>
      <c r="AA74" s="734"/>
      <c r="AB74" s="735"/>
      <c r="AC74" s="437"/>
      <c r="AD74" s="1" t="s">
        <v>238</v>
      </c>
      <c r="AE74" s="1" t="s">
        <v>244</v>
      </c>
      <c r="AF74" s="6"/>
      <c r="AG74" s="780" t="s">
        <v>130</v>
      </c>
      <c r="AH74" s="780"/>
      <c r="AI74" s="780"/>
      <c r="AJ74" s="780"/>
      <c r="AK74" s="316"/>
      <c r="AL74" s="477"/>
      <c r="AM74" s="136"/>
      <c r="AO74" s="88"/>
      <c r="AP74" s="661"/>
      <c r="AQ74" s="661"/>
      <c r="AR74" s="6"/>
      <c r="AV74" s="571"/>
      <c r="AW74" s="571"/>
      <c r="AX74" s="361">
        <v>26</v>
      </c>
      <c r="AY74" s="23">
        <f t="shared" si="24"/>
        <v>22.65</v>
      </c>
      <c r="AZ74" s="50"/>
      <c r="BA74" s="26">
        <f t="shared" si="26"/>
        <v>6.1198333333333377</v>
      </c>
      <c r="BB74" s="25">
        <f t="shared" si="25"/>
        <v>0.44999999999999929</v>
      </c>
      <c r="BC74" s="25">
        <f>IF(ISBLANK(G29),"",(AVERAGE($AY$49:AY74)))</f>
        <v>15.39423076923077</v>
      </c>
      <c r="BD74" s="13">
        <f t="shared" si="27"/>
        <v>-0.12864423076922904</v>
      </c>
      <c r="BE74" s="6"/>
      <c r="BF74" s="556">
        <v>0.22916666666666666</v>
      </c>
      <c r="BG74" s="556">
        <v>0.71875</v>
      </c>
      <c r="BH74" s="556">
        <v>0.76388888888888884</v>
      </c>
      <c r="BI74" s="556">
        <v>0.25</v>
      </c>
      <c r="BJ74" s="556">
        <v>4.4444444444444446E-2</v>
      </c>
      <c r="BK74" s="54"/>
      <c r="BL74" s="78"/>
    </row>
    <row r="75" spans="1:64" ht="12.75" customHeight="1" x14ac:dyDescent="0.2">
      <c r="A75" s="67"/>
      <c r="B75" s="742" t="s">
        <v>64</v>
      </c>
      <c r="C75" s="743"/>
      <c r="D75" s="744"/>
      <c r="E75" s="89">
        <f>IF(Z38=0,"",CORREL(Z4:Z34,I4:I34))</f>
        <v>-0.53240004024506504</v>
      </c>
      <c r="F75" s="576">
        <f>IF(Z38=0,"",ABS(E75))</f>
        <v>0.53240004024506504</v>
      </c>
      <c r="G75" s="236"/>
      <c r="H75" s="746"/>
      <c r="I75" s="238" t="s">
        <v>149</v>
      </c>
      <c r="J75" s="191"/>
      <c r="K75" s="249">
        <f>F39</f>
        <v>11.1</v>
      </c>
      <c r="L75" s="91">
        <f>IF(ISBLANK(F4),"",(M54*K75+M53*F38)/E34)</f>
        <v>11.289999999999997</v>
      </c>
      <c r="M75" s="232">
        <f>IF(ISBLANK(F4),"",L75-F39)</f>
        <v>0.18999999999999773</v>
      </c>
      <c r="N75" s="248" t="s">
        <v>148</v>
      </c>
      <c r="O75" s="67"/>
      <c r="Q75" s="839" t="s">
        <v>546</v>
      </c>
      <c r="R75" s="840"/>
      <c r="S75" s="840"/>
      <c r="T75" s="840"/>
      <c r="U75" s="840"/>
      <c r="V75" s="840"/>
      <c r="W75" s="840"/>
      <c r="X75" s="840"/>
      <c r="Y75" s="840"/>
      <c r="Z75" s="840"/>
      <c r="AA75" s="840"/>
      <c r="AB75" s="841"/>
      <c r="AC75" s="437"/>
      <c r="AD75" s="1" t="s">
        <v>240</v>
      </c>
      <c r="AE75" s="1" t="s">
        <v>245</v>
      </c>
      <c r="AF75" s="6"/>
      <c r="AH75" s="781">
        <f t="array" ref="AH75">MAX(FREQUENCY(IF(AY91:AY121=1,ROW(91:121)),IF(AY91:AY121&lt;&gt;1,ROW(91:121))))</f>
        <v>4</v>
      </c>
      <c r="AI75" s="781"/>
      <c r="AJ75" s="5"/>
      <c r="AK75" s="84"/>
      <c r="AL75" s="5"/>
      <c r="AM75" s="136"/>
      <c r="AN75" s="184" t="s">
        <v>293</v>
      </c>
      <c r="AO75" s="88"/>
      <c r="AP75" s="661"/>
      <c r="AQ75" s="661"/>
      <c r="AR75" s="6"/>
      <c r="AT75" s="589" t="s">
        <v>84</v>
      </c>
      <c r="AU75" s="589"/>
      <c r="AV75" s="571"/>
      <c r="AW75" s="571"/>
      <c r="AX75" s="361">
        <v>27</v>
      </c>
      <c r="AY75" s="23">
        <f t="shared" si="24"/>
        <v>25.049999999999997</v>
      </c>
      <c r="AZ75" s="50"/>
      <c r="BA75" s="26">
        <f t="shared" si="26"/>
        <v>8.4461250000000057</v>
      </c>
      <c r="BB75" s="25">
        <f t="shared" si="25"/>
        <v>-0.35000000000000142</v>
      </c>
      <c r="BC75" s="25">
        <f>IF(ISBLANK(G30),"",(AVERAGE($AY$49:AY75)))</f>
        <v>15.751851851851852</v>
      </c>
      <c r="BD75" s="13">
        <f t="shared" si="27"/>
        <v>0.18893981481481514</v>
      </c>
      <c r="BE75" s="6"/>
      <c r="BF75" s="556">
        <v>0.21180555555555555</v>
      </c>
      <c r="BG75" s="556">
        <v>0.61111111111111105</v>
      </c>
      <c r="BH75" s="556">
        <v>0.64583333333333337</v>
      </c>
      <c r="BI75" s="556">
        <v>0.22916666666666666</v>
      </c>
      <c r="BJ75" s="556">
        <v>0.50763888888888886</v>
      </c>
      <c r="BK75" s="54"/>
      <c r="BL75" s="78"/>
    </row>
    <row r="76" spans="1:64" ht="12.75" customHeight="1" x14ac:dyDescent="0.2">
      <c r="A76" s="67"/>
      <c r="B76" s="742" t="s">
        <v>62</v>
      </c>
      <c r="C76" s="743"/>
      <c r="D76" s="744"/>
      <c r="E76" s="89">
        <f>IF(Z38=0,"",CORREL(Z4:Z34,M4:M34))</f>
        <v>0.63290568550899562</v>
      </c>
      <c r="F76" s="576">
        <f>IF(Z38=0,"",ABS(E76))</f>
        <v>0.63290568550899562</v>
      </c>
      <c r="G76" s="236"/>
      <c r="H76" s="745" t="s">
        <v>3</v>
      </c>
      <c r="I76" s="237" t="s">
        <v>203</v>
      </c>
      <c r="J76" s="191"/>
      <c r="K76" s="90">
        <f>G39</f>
        <v>20.2</v>
      </c>
      <c r="L76" s="38" t="str">
        <f>IF(ISBLANK(G4),"",IF(M54&gt;0,(E34*K76-G38*M53)/M54,"n/a"))</f>
        <v>n/a</v>
      </c>
      <c r="M76" s="90" t="str">
        <f>IF(ISBLANK(G4),"",IF(M54&gt;0,L76-G39,"n/a"))</f>
        <v>n/a</v>
      </c>
      <c r="N76" s="247" t="s">
        <v>142</v>
      </c>
      <c r="O76" s="67"/>
      <c r="Q76" s="814" t="s">
        <v>548</v>
      </c>
      <c r="R76" s="815"/>
      <c r="S76" s="815"/>
      <c r="T76" s="815"/>
      <c r="U76" s="815"/>
      <c r="V76" s="815"/>
      <c r="W76" s="815"/>
      <c r="X76" s="815"/>
      <c r="Y76" s="815"/>
      <c r="Z76" s="815"/>
      <c r="AA76" s="815"/>
      <c r="AB76" s="816"/>
      <c r="AC76" s="437"/>
      <c r="AD76" s="1" t="s">
        <v>241</v>
      </c>
      <c r="AE76" s="1" t="s">
        <v>246</v>
      </c>
      <c r="AF76" s="6"/>
      <c r="AK76" s="6"/>
      <c r="AM76" s="136"/>
      <c r="AN76" s="5">
        <f>COUNTIF(AP4:AP34, "0")</f>
        <v>0</v>
      </c>
      <c r="AO76" s="88"/>
      <c r="AP76" s="782" t="s">
        <v>272</v>
      </c>
      <c r="AQ76" s="782"/>
      <c r="AR76" s="6"/>
      <c r="AT76" s="188">
        <f>AN94</f>
        <v>6</v>
      </c>
      <c r="AU76" s="188"/>
      <c r="AV76" s="571"/>
      <c r="AW76" s="571"/>
      <c r="AX76" s="361">
        <v>28</v>
      </c>
      <c r="AY76" s="23">
        <f t="shared" si="24"/>
        <v>17.55</v>
      </c>
      <c r="AZ76" s="50"/>
      <c r="BA76" s="26">
        <f t="shared" si="26"/>
        <v>0.87241666666667239</v>
      </c>
      <c r="BB76" s="25">
        <f t="shared" si="25"/>
        <v>-0.55000000000000071</v>
      </c>
      <c r="BC76" s="25">
        <f>IF(ISBLANK(G31),"",(AVERAGE($AY$49:AY76)))</f>
        <v>15.81607142857143</v>
      </c>
      <c r="BD76" s="13">
        <f t="shared" si="27"/>
        <v>0.21334970238095341</v>
      </c>
      <c r="BE76" s="6"/>
      <c r="BF76" s="556">
        <v>0.3125</v>
      </c>
      <c r="BG76" s="556">
        <v>0.52777777777777779</v>
      </c>
      <c r="BH76" s="556" t="s">
        <v>552</v>
      </c>
      <c r="BI76" s="556" t="s">
        <v>553</v>
      </c>
      <c r="BJ76" s="556">
        <v>0.36388888888888887</v>
      </c>
      <c r="BK76" s="54"/>
      <c r="BL76" s="78"/>
    </row>
    <row r="77" spans="1:64" ht="12.75" customHeight="1" x14ac:dyDescent="0.2">
      <c r="A77" s="67"/>
      <c r="B77" s="742" t="s">
        <v>95</v>
      </c>
      <c r="C77" s="743"/>
      <c r="D77" s="744"/>
      <c r="E77" s="89">
        <f>IF(Z38=0,"",CORREL(Z4:Z34,L4:L34))</f>
        <v>0.41704867375255367</v>
      </c>
      <c r="F77" s="576">
        <f>IF(Z38=0,"",ABS(E77))</f>
        <v>0.41704867375255367</v>
      </c>
      <c r="G77" s="236"/>
      <c r="H77" s="746"/>
      <c r="I77" s="238" t="s">
        <v>149</v>
      </c>
      <c r="J77" s="191"/>
      <c r="K77" s="249">
        <f>G39</f>
        <v>20.2</v>
      </c>
      <c r="L77" s="91">
        <f>IF(ISBLANK(G4),"",(M54*K77+M53*G38)/E34)</f>
        <v>20.266666666666666</v>
      </c>
      <c r="M77" s="233">
        <f>IF(ISBLANK(G4),"",L77-G39)</f>
        <v>6.666666666666643E-2</v>
      </c>
      <c r="N77" s="248" t="s">
        <v>148</v>
      </c>
      <c r="O77" s="67"/>
      <c r="Q77" s="839"/>
      <c r="R77" s="840"/>
      <c r="S77" s="840"/>
      <c r="T77" s="840"/>
      <c r="U77" s="840"/>
      <c r="V77" s="840"/>
      <c r="W77" s="840"/>
      <c r="X77" s="840"/>
      <c r="Y77" s="840"/>
      <c r="Z77" s="840"/>
      <c r="AA77" s="840"/>
      <c r="AB77" s="841"/>
      <c r="AC77" s="437"/>
      <c r="AD77" s="1" t="s">
        <v>242</v>
      </c>
      <c r="AE77" s="1" t="s">
        <v>247</v>
      </c>
      <c r="AF77" s="6"/>
      <c r="AK77" s="6"/>
      <c r="AM77" s="136"/>
      <c r="AN77" s="105"/>
      <c r="AO77" s="410"/>
      <c r="AP77" s="782"/>
      <c r="AQ77" s="782"/>
      <c r="AR77" s="6"/>
      <c r="AT77" s="21"/>
      <c r="AU77" s="21"/>
      <c r="AV77" s="571"/>
      <c r="AW77" s="571"/>
      <c r="AX77" s="361">
        <v>29</v>
      </c>
      <c r="AY77" s="23">
        <f t="shared" si="24"/>
        <v>15.600000000000001</v>
      </c>
      <c r="AZ77" s="50"/>
      <c r="BA77" s="26">
        <f t="shared" si="26"/>
        <v>-1.1512916666666602</v>
      </c>
      <c r="BB77" s="25">
        <f t="shared" si="25"/>
        <v>-0.69999999999999929</v>
      </c>
      <c r="BC77" s="25">
        <f>IF(ISBLANK(G32),"",(AVERAGE($AY$49:AY77)))</f>
        <v>15.808620689655173</v>
      </c>
      <c r="BD77" s="13">
        <f t="shared" si="27"/>
        <v>0.1662931034482753</v>
      </c>
      <c r="BE77" s="6"/>
      <c r="BF77" s="556">
        <v>0.21875</v>
      </c>
      <c r="BG77" s="556">
        <v>0.70138888888888884</v>
      </c>
      <c r="BH77" s="556">
        <v>0.70833333333333337</v>
      </c>
      <c r="BI77" s="556">
        <v>0</v>
      </c>
      <c r="BJ77" s="556">
        <v>0.46875</v>
      </c>
      <c r="BK77" s="54"/>
      <c r="BL77" s="78"/>
    </row>
    <row r="78" spans="1:64" ht="12.75" customHeight="1" x14ac:dyDescent="0.2">
      <c r="A78" s="67"/>
      <c r="B78" s="742" t="s">
        <v>63</v>
      </c>
      <c r="C78" s="743"/>
      <c r="D78" s="744"/>
      <c r="E78" s="89">
        <f>IF(Z38=0,"",CORREL(Z4:Z34,N4:N34))</f>
        <v>-0.41959920965570996</v>
      </c>
      <c r="F78" s="576">
        <f>IF(Z38=0,"",ABS(E78))</f>
        <v>0.41959920965570996</v>
      </c>
      <c r="G78" s="236"/>
      <c r="H78" s="745" t="s">
        <v>4</v>
      </c>
      <c r="I78" s="237" t="s">
        <v>203</v>
      </c>
      <c r="J78" s="191"/>
      <c r="K78" s="90">
        <f>AY81</f>
        <v>15.649999999999999</v>
      </c>
      <c r="L78" s="38" t="str">
        <f>IF(ISBLANK(F4),"",IF(M54&gt;0,(E34*K78-AY80*M53)/M54,"n/a"))</f>
        <v>n/a</v>
      </c>
      <c r="M78" s="90" t="str">
        <f>IF(ISBLANK(F4),"",IF(M54&gt;0,L78-AY81,"n/a"))</f>
        <v>n/a</v>
      </c>
      <c r="N78" s="247" t="s">
        <v>142</v>
      </c>
      <c r="O78" s="67"/>
      <c r="Q78" s="839"/>
      <c r="R78" s="840"/>
      <c r="S78" s="840"/>
      <c r="T78" s="840"/>
      <c r="U78" s="840"/>
      <c r="V78" s="840"/>
      <c r="W78" s="840"/>
      <c r="X78" s="840"/>
      <c r="Y78" s="840"/>
      <c r="Z78" s="840"/>
      <c r="AA78" s="840"/>
      <c r="AB78" s="841"/>
      <c r="AC78" s="437"/>
      <c r="AD78" s="1" t="s">
        <v>243</v>
      </c>
      <c r="AE78" s="1" t="s">
        <v>248</v>
      </c>
      <c r="AF78" s="6"/>
      <c r="AG78" s="307"/>
      <c r="AH78" s="307"/>
      <c r="AI78" s="307"/>
      <c r="AJ78" s="307"/>
      <c r="AK78" s="317"/>
      <c r="AL78" s="308"/>
      <c r="AM78" s="136"/>
      <c r="AN78" s="230" t="s">
        <v>175</v>
      </c>
      <c r="AO78" s="88"/>
      <c r="AP78" s="782"/>
      <c r="AQ78" s="782"/>
      <c r="AR78" s="6"/>
      <c r="AT78" s="189" t="s">
        <v>83</v>
      </c>
      <c r="AU78" s="189"/>
      <c r="AV78" s="603"/>
      <c r="AW78" s="571"/>
      <c r="AX78" s="361">
        <v>30</v>
      </c>
      <c r="AY78" s="23">
        <f t="shared" si="24"/>
        <v>14.9</v>
      </c>
      <c r="AZ78" s="50"/>
      <c r="BA78" s="26">
        <f t="shared" si="26"/>
        <v>-1.9250000000000007</v>
      </c>
      <c r="BB78" s="38">
        <f t="shared" si="25"/>
        <v>-1</v>
      </c>
      <c r="BC78" s="38">
        <f>IF(ISBLANK(G33),"",(AVERAGE($AY$49:AY78)))</f>
        <v>15.778333333333334</v>
      </c>
      <c r="BD78" s="13">
        <f t="shared" si="27"/>
        <v>9.6583333333331467E-2</v>
      </c>
      <c r="BE78" s="6"/>
      <c r="BF78" s="556">
        <v>0.21527777777777779</v>
      </c>
      <c r="BG78" s="556">
        <v>0.62847222222222221</v>
      </c>
      <c r="BH78" s="556">
        <v>0.63194444444444442</v>
      </c>
      <c r="BI78" s="556">
        <v>0.22916666666666666</v>
      </c>
      <c r="BJ78" s="556">
        <v>0.65277777777777779</v>
      </c>
      <c r="BK78" s="54"/>
      <c r="BL78" s="78"/>
    </row>
    <row r="79" spans="1:64" ht="12.75" customHeight="1" x14ac:dyDescent="0.2">
      <c r="A79" s="67"/>
      <c r="B79" s="742" t="s">
        <v>76</v>
      </c>
      <c r="C79" s="743"/>
      <c r="D79" s="744"/>
      <c r="E79" s="89">
        <f>IF(Z38=0,"",CORREL(Z4:Z34,F4:F34))</f>
        <v>-0.2466858788464637</v>
      </c>
      <c r="F79" s="576">
        <f>IF(Z38=0,"",ABS(E79))</f>
        <v>0.2466858788464637</v>
      </c>
      <c r="G79" s="236"/>
      <c r="H79" s="746"/>
      <c r="I79" s="238" t="s">
        <v>149</v>
      </c>
      <c r="J79" s="191"/>
      <c r="K79" s="250">
        <f>AVERAGE(K75,K77)</f>
        <v>15.649999999999999</v>
      </c>
      <c r="L79" s="38">
        <f>IF(ISBLANK(F4),"",(M54*K79+M53*AY80)/E34)</f>
        <v>15.778333333333334</v>
      </c>
      <c r="M79" s="234">
        <f>IF(ISBLANK(F4),"",L79-AY81)</f>
        <v>0.12833333333333563</v>
      </c>
      <c r="N79" s="248" t="s">
        <v>148</v>
      </c>
      <c r="O79" s="67"/>
      <c r="Q79" s="839"/>
      <c r="R79" s="840"/>
      <c r="S79" s="840"/>
      <c r="T79" s="840"/>
      <c r="U79" s="840"/>
      <c r="V79" s="840"/>
      <c r="W79" s="840"/>
      <c r="X79" s="840"/>
      <c r="Y79" s="840"/>
      <c r="Z79" s="840"/>
      <c r="AA79" s="840"/>
      <c r="AB79" s="841"/>
      <c r="AC79" s="437"/>
      <c r="AD79" s="1" t="s">
        <v>239</v>
      </c>
      <c r="AE79" s="1" t="s">
        <v>249</v>
      </c>
      <c r="AF79" s="6"/>
      <c r="AH79" s="612"/>
      <c r="AI79" s="612"/>
      <c r="AJ79" s="52"/>
      <c r="AK79" s="318"/>
      <c r="AL79" s="309"/>
      <c r="AM79" s="136"/>
      <c r="AN79" s="4">
        <f t="array" ref="AN79">MAX(FREQUENCY(IF(AV91:AV121=1,ROW(91:121)),IF(AV91:AV121&lt;&gt;1,ROW(91:121))))</f>
        <v>7</v>
      </c>
      <c r="AO79" s="88"/>
      <c r="AP79" s="803" t="s">
        <v>278</v>
      </c>
      <c r="AQ79" s="661"/>
      <c r="AR79" s="6"/>
      <c r="AT79" s="5">
        <f>AN95</f>
        <v>4</v>
      </c>
      <c r="AU79" s="5"/>
      <c r="AV79" s="5"/>
      <c r="AX79" s="386"/>
      <c r="AY79" s="387" t="str">
        <f t="shared" si="24"/>
        <v/>
      </c>
      <c r="AZ79" s="388"/>
      <c r="BA79" s="101" t="str">
        <f t="shared" si="26"/>
        <v/>
      </c>
      <c r="BB79" s="91" t="str">
        <f t="shared" si="25"/>
        <v/>
      </c>
      <c r="BC79" s="91" t="str">
        <f>IF(ISBLANK(G34),"",(AVERAGE($AY$49:AY79)))</f>
        <v/>
      </c>
      <c r="BD79" s="241" t="str">
        <f t="shared" si="27"/>
        <v/>
      </c>
      <c r="BE79" s="243"/>
      <c r="BF79" s="560"/>
      <c r="BG79" s="560"/>
      <c r="BH79" s="560"/>
      <c r="BI79" s="560"/>
      <c r="BJ79" s="560"/>
      <c r="BK79" s="58"/>
      <c r="BL79" s="78"/>
    </row>
    <row r="80" spans="1:64" ht="12.75" customHeight="1" x14ac:dyDescent="0.2">
      <c r="A80" s="67"/>
      <c r="B80" s="742" t="s">
        <v>75</v>
      </c>
      <c r="C80" s="743"/>
      <c r="D80" s="744"/>
      <c r="E80" s="89">
        <f>IF(Z38=0,"",CORREL(Z4:Z34,K4:K34))</f>
        <v>0.55543538016280003</v>
      </c>
      <c r="F80" s="576">
        <f>IF(Z38=0,"",ABS(E80))</f>
        <v>0.55543538016280003</v>
      </c>
      <c r="G80" s="236"/>
      <c r="H80" s="745" t="s">
        <v>5</v>
      </c>
      <c r="I80" s="237" t="s">
        <v>203</v>
      </c>
      <c r="J80" s="191"/>
      <c r="K80" s="106">
        <f>K76-K74</f>
        <v>9.1</v>
      </c>
      <c r="L80" s="108" t="str">
        <f>IF(ISBLANK(F4),"",IF(M54&gt;0,(E34*K80-I38*M53)/M54,"n/a"))</f>
        <v>n/a</v>
      </c>
      <c r="M80" s="90" t="str">
        <f>IF(ISBLANK(F4),"",IF(M54&gt;0,L80-I39,"n/a"))</f>
        <v>n/a</v>
      </c>
      <c r="N80" s="247" t="s">
        <v>142</v>
      </c>
      <c r="O80" s="67"/>
      <c r="Q80" s="839"/>
      <c r="R80" s="840"/>
      <c r="S80" s="840"/>
      <c r="T80" s="840"/>
      <c r="U80" s="840"/>
      <c r="V80" s="840"/>
      <c r="W80" s="840"/>
      <c r="X80" s="840"/>
      <c r="Y80" s="840"/>
      <c r="Z80" s="840"/>
      <c r="AA80" s="840"/>
      <c r="AB80" s="841"/>
      <c r="AC80" s="437"/>
      <c r="AD80" s="1" t="s">
        <v>251</v>
      </c>
      <c r="AE80" s="1" t="s">
        <v>250</v>
      </c>
      <c r="AF80" s="6"/>
      <c r="AK80" s="319"/>
      <c r="AL80" s="99"/>
      <c r="AM80" s="136"/>
      <c r="AO80" s="88"/>
      <c r="AP80" s="661"/>
      <c r="AQ80" s="661"/>
      <c r="AR80" s="6"/>
      <c r="AS80" s="4"/>
      <c r="AT80" s="4"/>
      <c r="AU80" s="4"/>
      <c r="AV80" s="4"/>
      <c r="AX80" s="11" t="s">
        <v>4</v>
      </c>
      <c r="AY80" s="57">
        <f>IF(ISBLANK(G4),"",AVERAGE(F4:G34))</f>
        <v>15.778333333333334</v>
      </c>
      <c r="AZ80" s="362"/>
      <c r="BB80" s="7">
        <f>IF(ISBLANK(H4),"",AVERAGE(BB49:BB79))</f>
        <v>-7.8333333333333324E-2</v>
      </c>
      <c r="BC80" s="114">
        <f>IF(ISBLANK(G4),"",(AVERAGE($AY$49:AY79)))</f>
        <v>15.778333333333334</v>
      </c>
      <c r="BD80" s="585">
        <f>IF(ISBLANK(H4),"",BC80-D120)</f>
        <v>0.12833333333333563</v>
      </c>
      <c r="BE80" s="6"/>
      <c r="BF80" s="341">
        <f>IF(ISBLANK(BF50),"",AVERAGE(BF49:BF79))</f>
        <v>0.21467911877394635</v>
      </c>
      <c r="BG80" s="340">
        <f>IF(ISBLANK(BG49),"",AVERAGE(BG49:BG79))</f>
        <v>0.640162037037037</v>
      </c>
      <c r="BH80" s="339">
        <f>IF(ISBLANK(BH50),"",AVERAGE(BH49:BH79))</f>
        <v>0.66988168724279806</v>
      </c>
      <c r="BI80" s="338">
        <f>IF(ISBLANK(L4),"",AVERAGE(BI49:BI79))</f>
        <v>0.23721590909090909</v>
      </c>
      <c r="BJ80" s="337">
        <f>IF(ISBLANK(BJ49),"",AVERAGE(BJ49:BJ79))</f>
        <v>0.56101851851851847</v>
      </c>
      <c r="BK80" s="19"/>
      <c r="BL80" s="78"/>
    </row>
    <row r="81" spans="1:64" ht="12.75" customHeight="1" thickBot="1" x14ac:dyDescent="0.25">
      <c r="A81" s="67"/>
      <c r="B81" s="740"/>
      <c r="C81" s="741"/>
      <c r="D81" s="741"/>
      <c r="E81" s="159"/>
      <c r="F81" s="25"/>
      <c r="G81" s="236"/>
      <c r="H81" s="752"/>
      <c r="I81" s="281" t="s">
        <v>149</v>
      </c>
      <c r="J81" s="191"/>
      <c r="K81" s="252">
        <f>K77-K75</f>
        <v>9.1</v>
      </c>
      <c r="L81" s="167">
        <f>IF(ISBLANK(F4),"",(M54*K81+M53*I38)/E34)</f>
        <v>8.9766666666666666</v>
      </c>
      <c r="M81" s="235">
        <f>IF(ISBLANK(F4),"",L81-I39)</f>
        <v>-0.12333333333333307</v>
      </c>
      <c r="N81" s="279" t="s">
        <v>148</v>
      </c>
      <c r="O81" s="67"/>
      <c r="Q81" s="839"/>
      <c r="R81" s="840"/>
      <c r="S81" s="840"/>
      <c r="T81" s="840"/>
      <c r="U81" s="840"/>
      <c r="V81" s="840"/>
      <c r="W81" s="840"/>
      <c r="X81" s="840"/>
      <c r="Y81" s="840"/>
      <c r="Z81" s="840"/>
      <c r="AA81" s="840"/>
      <c r="AB81" s="841"/>
      <c r="AC81" s="437"/>
      <c r="AD81" s="1" t="s">
        <v>258</v>
      </c>
      <c r="AE81" s="1" t="s">
        <v>259</v>
      </c>
      <c r="AF81" s="6"/>
      <c r="AG81" s="613"/>
      <c r="AH81" s="613"/>
      <c r="AI81" s="613"/>
      <c r="AJ81" s="613"/>
      <c r="AK81" s="222"/>
      <c r="AM81" s="136"/>
      <c r="AN81" s="183" t="s">
        <v>176</v>
      </c>
      <c r="AO81" s="411"/>
      <c r="AP81" s="661"/>
      <c r="AQ81" s="661"/>
      <c r="AR81" s="6"/>
      <c r="AT81" s="588" t="s">
        <v>194</v>
      </c>
      <c r="AU81" s="588"/>
      <c r="AX81" s="4" t="s">
        <v>9</v>
      </c>
      <c r="AY81" s="379">
        <f>AVERAGE(F39:G39)</f>
        <v>15.649999999999999</v>
      </c>
      <c r="AZ81" s="363"/>
      <c r="BB81" s="713" t="s">
        <v>173</v>
      </c>
      <c r="BC81" s="713"/>
      <c r="BE81" s="6"/>
      <c r="BK81" s="67"/>
      <c r="BL81" s="78"/>
    </row>
    <row r="82" spans="1:64" ht="12.75" customHeight="1" x14ac:dyDescent="0.2">
      <c r="A82" s="67"/>
      <c r="B82" s="764" t="s">
        <v>4</v>
      </c>
      <c r="C82" s="765"/>
      <c r="D82" s="765"/>
      <c r="E82" s="218">
        <f>IF(Z38=0,"",AVERAGE(F72:F80))</f>
        <v>0.456357544617424</v>
      </c>
      <c r="F82" s="25"/>
      <c r="G82" s="236"/>
      <c r="H82" s="766" t="s">
        <v>13</v>
      </c>
      <c r="I82" s="237" t="s">
        <v>203</v>
      </c>
      <c r="J82" s="191"/>
      <c r="K82" s="164">
        <f>R39</f>
        <v>1013.25</v>
      </c>
      <c r="L82" s="168" t="str">
        <f>IF(ISBLANK(P4),"",IF(M54&gt;0,(E34*K82-R38*M53)/M54,"n/a"))</f>
        <v>n/a</v>
      </c>
      <c r="M82" s="164" t="str">
        <f>IF(ISBLANK(P4),"",IF(M54&gt;0,L82-R39,"n/a"))</f>
        <v>n/a</v>
      </c>
      <c r="N82" s="247" t="s">
        <v>142</v>
      </c>
      <c r="O82" s="67"/>
      <c r="Q82" s="814"/>
      <c r="R82" s="815"/>
      <c r="S82" s="815"/>
      <c r="T82" s="815"/>
      <c r="U82" s="815"/>
      <c r="V82" s="815"/>
      <c r="W82" s="815"/>
      <c r="X82" s="815"/>
      <c r="Y82" s="815"/>
      <c r="Z82" s="815"/>
      <c r="AA82" s="815"/>
      <c r="AB82" s="816"/>
      <c r="AC82" s="436"/>
      <c r="AD82" s="1" t="s">
        <v>8</v>
      </c>
      <c r="AE82" s="1" t="s">
        <v>260</v>
      </c>
      <c r="AF82" s="6"/>
      <c r="AH82" s="332"/>
      <c r="AI82" s="332"/>
      <c r="AJ82" s="52"/>
      <c r="AK82" s="320"/>
      <c r="AL82" s="307"/>
      <c r="AM82" s="136"/>
      <c r="AN82" s="332">
        <f t="array" ref="AN82">MAX(FREQUENCY(IF(AV91:AV121=0,ROW(91:121)),IF(AV91:AV121&lt;&gt;0,ROW(91:121))))</f>
        <v>4</v>
      </c>
      <c r="AO82" s="412"/>
      <c r="AP82" s="822" t="s">
        <v>526</v>
      </c>
      <c r="AQ82" s="823"/>
      <c r="AR82" s="6"/>
      <c r="AT82" s="138">
        <f>IF(AN48=0,"n/a",AN48/AT67)</f>
        <v>1.0625</v>
      </c>
      <c r="AU82" s="138"/>
      <c r="AX82" s="4" t="s">
        <v>10</v>
      </c>
      <c r="AY82" s="57">
        <f>IF(ISBLANK(F4),"",AY80-AY81)</f>
        <v>0.12833333333333563</v>
      </c>
      <c r="AZ82" s="311"/>
      <c r="BA82" s="148" t="s">
        <v>158</v>
      </c>
      <c r="BB82" s="275" t="s">
        <v>145</v>
      </c>
      <c r="BC82" s="276" t="s">
        <v>146</v>
      </c>
      <c r="BE82" s="6"/>
      <c r="BF82" s="431">
        <f>MAX(BF49:BF79)-MIN(BF49:BF79)</f>
        <v>0.1875</v>
      </c>
      <c r="BG82" s="431">
        <f>MAX(BG49:BG79)-MIN(BG49:BG79)</f>
        <v>0.31249999999999994</v>
      </c>
      <c r="BH82" s="431">
        <f>MAX(BH49:BH79)-MIN(BH49:BH79)</f>
        <v>0.3263888888888889</v>
      </c>
      <c r="BI82" s="431">
        <f>MAX(BI49:BI79)-MIN(BI49:BI79)</f>
        <v>0.36805555555555558</v>
      </c>
      <c r="BJ82" s="431">
        <f>MAX(BJ49:BJ79)-MIN(BJ49:BJ79)</f>
        <v>0.84375</v>
      </c>
      <c r="BK82" s="67"/>
      <c r="BL82" s="78"/>
    </row>
    <row r="83" spans="1:64" ht="12.75" customHeight="1" thickBot="1" x14ac:dyDescent="0.25">
      <c r="A83" s="67"/>
      <c r="B83" s="756" t="s">
        <v>34</v>
      </c>
      <c r="C83" s="757"/>
      <c r="D83" s="757"/>
      <c r="E83" s="219">
        <f>AN93+AN98</f>
        <v>4</v>
      </c>
      <c r="F83" s="85" t="s">
        <v>91</v>
      </c>
      <c r="G83" s="236"/>
      <c r="H83" s="746"/>
      <c r="I83" s="238" t="s">
        <v>149</v>
      </c>
      <c r="J83" s="242"/>
      <c r="K83" s="251">
        <f>K82</f>
        <v>1013.25</v>
      </c>
      <c r="L83" s="119">
        <f>IF(ISBLANK(P4),"",SUM(M54*K83+M53*R38)/E34)</f>
        <v>1015.0666666833333</v>
      </c>
      <c r="M83" s="169">
        <f>IF(ISBLANK(P4),"",L83-R39)</f>
        <v>1.8166666833333238</v>
      </c>
      <c r="N83" s="248" t="s">
        <v>148</v>
      </c>
      <c r="O83" s="67"/>
      <c r="Q83" s="836"/>
      <c r="R83" s="837"/>
      <c r="S83" s="837"/>
      <c r="T83" s="837"/>
      <c r="U83" s="837"/>
      <c r="V83" s="837"/>
      <c r="W83" s="837"/>
      <c r="X83" s="837"/>
      <c r="Y83" s="837"/>
      <c r="Z83" s="837"/>
      <c r="AA83" s="837"/>
      <c r="AB83" s="838"/>
      <c r="AC83" s="436"/>
      <c r="AD83" s="1" t="s">
        <v>264</v>
      </c>
      <c r="AE83" s="1" t="s">
        <v>259</v>
      </c>
      <c r="AF83" s="6"/>
      <c r="AK83" s="312"/>
      <c r="AM83" s="136"/>
      <c r="AO83" s="88"/>
      <c r="AP83" s="823"/>
      <c r="AQ83" s="823"/>
      <c r="AR83" s="67"/>
      <c r="AZ83" s="6"/>
      <c r="BA83" s="25">
        <f>E91/3</f>
        <v>3.0333333333333332</v>
      </c>
      <c r="BB83" s="274">
        <f>AY81-BA83</f>
        <v>12.616666666666665</v>
      </c>
      <c r="BC83" s="273">
        <f>AY81+BA83</f>
        <v>18.68333333333333</v>
      </c>
      <c r="BE83" s="6"/>
      <c r="BF83" s="334">
        <f>IF(ISBLANK(BF50),"",STDEV(BF49:BF79))</f>
        <v>3.6192447004026441E-2</v>
      </c>
      <c r="BG83" s="334">
        <f>IF(ISBLANK(BG50),"",STDEV(BG49:BG79))</f>
        <v>8.3823209579475422E-2</v>
      </c>
      <c r="BH83" s="334">
        <f>IF(ISBLANK(BH50),"",STDEV(BH49:BH79))</f>
        <v>9.1759929761917977E-2</v>
      </c>
      <c r="BI83" s="334">
        <f>IF(ISBLANK(BI51),"",STDEV(BI49:BI79))</f>
        <v>7.9917785012128192E-2</v>
      </c>
      <c r="BJ83" s="334">
        <f>IF(ISBLANK(BJ50),"",STDEV(BJ49:BJ79))</f>
        <v>0.19173994356011353</v>
      </c>
      <c r="BK83" s="67"/>
      <c r="BL83" s="78"/>
    </row>
    <row r="84" spans="1:64" s="107" customFormat="1" ht="12.75" x14ac:dyDescent="0.2">
      <c r="A84" s="240"/>
      <c r="C84" s="239"/>
      <c r="F84" s="117"/>
      <c r="H84" s="241"/>
      <c r="J84" s="242"/>
      <c r="O84" s="242"/>
      <c r="T84" s="243"/>
      <c r="Y84" s="243"/>
      <c r="AF84" s="243"/>
      <c r="AI84" s="117"/>
      <c r="AJ84" s="117"/>
      <c r="AK84" s="240"/>
      <c r="AL84" s="117"/>
      <c r="AM84" s="240"/>
      <c r="AO84" s="413"/>
      <c r="AP84" s="799"/>
      <c r="AQ84" s="799"/>
      <c r="AR84" s="240"/>
      <c r="AV84" s="117"/>
      <c r="AY84" s="117"/>
      <c r="AZ84" s="240"/>
      <c r="BA84" s="330">
        <f>MIN(AY49:AY79)</f>
        <v>11.45</v>
      </c>
      <c r="BB84" s="330">
        <f>MAX(AY49:AY79)</f>
        <v>25.049999999999997</v>
      </c>
      <c r="BE84" s="243"/>
      <c r="BF84" s="771" t="s">
        <v>191</v>
      </c>
      <c r="BG84" s="771"/>
      <c r="BH84" s="771"/>
      <c r="BI84" s="771"/>
      <c r="BJ84" s="771"/>
      <c r="BK84" s="240"/>
      <c r="BL84" s="244"/>
    </row>
    <row r="85" spans="1:64" s="172" customFormat="1" ht="12" x14ac:dyDescent="0.2">
      <c r="A85" s="171"/>
      <c r="C85" s="173">
        <f>MIN(C4:C34)</f>
        <v>13.4</v>
      </c>
      <c r="E85" s="174" t="s">
        <v>70</v>
      </c>
      <c r="F85" s="173">
        <f>MIN(F4:F34)</f>
        <v>8</v>
      </c>
      <c r="G85" s="173">
        <f>MIN(G4:G34)</f>
        <v>14.4</v>
      </c>
      <c r="H85" s="173">
        <f>MIN(H4:H34)</f>
        <v>11.6</v>
      </c>
      <c r="I85" s="173">
        <f>MIN(I4:I34)</f>
        <v>4.9000000000000004</v>
      </c>
      <c r="J85" s="175"/>
      <c r="K85" s="176">
        <f>MIN(K4:K34)</f>
        <v>31</v>
      </c>
      <c r="L85" s="176">
        <f>MIN(L4:L34)</f>
        <v>75</v>
      </c>
      <c r="M85" s="176">
        <f>MIN(M4:M34)</f>
        <v>54</v>
      </c>
      <c r="N85" s="176">
        <f>MIN(N4:N34)</f>
        <v>21</v>
      </c>
      <c r="O85" s="177"/>
      <c r="P85" s="176">
        <f>MIN(P4:P34)</f>
        <v>995</v>
      </c>
      <c r="Q85" s="176">
        <f>MIN(Q4:Q34)</f>
        <v>1005</v>
      </c>
      <c r="R85" s="173">
        <f>MIN(R4:R34)</f>
        <v>1000.5</v>
      </c>
      <c r="S85" s="176">
        <f>MIN(S4:S34)</f>
        <v>2</v>
      </c>
      <c r="T85" s="171"/>
      <c r="U85" s="173">
        <f t="shared" ref="U85:AC85" si="28">MIN(U4:U34)</f>
        <v>2.4</v>
      </c>
      <c r="V85" s="173">
        <f t="shared" si="28"/>
        <v>9</v>
      </c>
      <c r="W85" s="173">
        <f t="shared" si="28"/>
        <v>12.5</v>
      </c>
      <c r="X85" s="173">
        <f t="shared" si="28"/>
        <v>0</v>
      </c>
      <c r="Y85" s="175">
        <f t="shared" si="28"/>
        <v>0</v>
      </c>
      <c r="Z85" s="173">
        <f t="shared" si="28"/>
        <v>0</v>
      </c>
      <c r="AA85" s="173">
        <f t="shared" si="28"/>
        <v>0.5</v>
      </c>
      <c r="AB85" s="173">
        <f t="shared" si="28"/>
        <v>0.3</v>
      </c>
      <c r="AC85" s="422">
        <f t="shared" si="28"/>
        <v>1.1415525114155255E-3</v>
      </c>
      <c r="AD85" s="173">
        <f>MIN(AE4:AE34)</f>
        <v>1.3</v>
      </c>
      <c r="AE85" s="173">
        <f>MIN(AD4:AD34)</f>
        <v>0.6</v>
      </c>
      <c r="AF85" s="175">
        <f>MIN(AF4:AF4)</f>
        <v>0</v>
      </c>
      <c r="AG85" s="173">
        <f>MIN(AG4:AG34)</f>
        <v>1.9</v>
      </c>
      <c r="AH85" s="173">
        <f>MIN(AH4:AH34)</f>
        <v>8.5</v>
      </c>
      <c r="AI85" s="173">
        <f>MIN(AI4:AI34)</f>
        <v>6.1</v>
      </c>
      <c r="AJ85" s="173">
        <f>MIN(AJ4:AJ34)</f>
        <v>3.1000000000000014</v>
      </c>
      <c r="AK85" s="175"/>
      <c r="AL85" s="173"/>
      <c r="AM85" s="175"/>
      <c r="AO85" s="414"/>
      <c r="AP85" s="173">
        <f>MIN(AP4:AP34)</f>
        <v>0.3</v>
      </c>
      <c r="AQ85" s="173">
        <f>MIN(AQ4:AQ34)</f>
        <v>0</v>
      </c>
      <c r="AR85" s="175"/>
      <c r="AS85" s="173">
        <f t="shared" ref="AS85:AZ85" si="29">MIN(AS8:AS34)</f>
        <v>9.9416666666666664</v>
      </c>
      <c r="AT85" s="173">
        <f t="shared" si="29"/>
        <v>19.089473684210528</v>
      </c>
      <c r="AU85" s="173">
        <f t="shared" si="29"/>
        <v>14.549999999999999</v>
      </c>
      <c r="AV85" s="173">
        <f t="shared" si="29"/>
        <v>8.4043478260869584</v>
      </c>
      <c r="AW85" s="173">
        <f t="shared" si="29"/>
        <v>64.400000000000006</v>
      </c>
      <c r="AX85" s="176">
        <f t="shared" si="29"/>
        <v>1013.5227272954545</v>
      </c>
      <c r="AY85" s="173">
        <f t="shared" si="29"/>
        <v>4.6499999999999995</v>
      </c>
      <c r="AZ85" s="175">
        <f t="shared" si="29"/>
        <v>0</v>
      </c>
      <c r="BA85" s="173">
        <f>MIN(BA4:BA34)</f>
        <v>-2.75</v>
      </c>
      <c r="BB85" s="173">
        <f>MIN(BB4:BB34)</f>
        <v>-5.7112499999999997</v>
      </c>
      <c r="BC85" s="173">
        <f>MIN(BC4:BC34)</f>
        <v>-3.9991428571428624</v>
      </c>
      <c r="BD85" s="173">
        <f>MIN(BD4:BD34)</f>
        <v>-4.3889166666666739</v>
      </c>
      <c r="BE85" s="175">
        <f t="shared" ref="BE85:BJ85" si="30">MIN(BE8:BE34)</f>
        <v>0</v>
      </c>
      <c r="BF85" s="173">
        <f t="shared" si="30"/>
        <v>-0.61216666666666342</v>
      </c>
      <c r="BG85" s="173">
        <f t="shared" si="30"/>
        <v>-0.72317708333333641</v>
      </c>
      <c r="BH85" s="173">
        <f t="shared" si="30"/>
        <v>-0.58985869565217897</v>
      </c>
      <c r="BI85" s="422">
        <f t="shared" si="30"/>
        <v>0.7220338983050848</v>
      </c>
      <c r="BJ85" s="422">
        <f t="shared" si="30"/>
        <v>0.87589414250594444</v>
      </c>
      <c r="BK85" s="177"/>
      <c r="BL85" s="178"/>
    </row>
    <row r="86" spans="1:64" s="172" customFormat="1" ht="12" x14ac:dyDescent="0.2">
      <c r="A86" s="171"/>
      <c r="B86" s="173">
        <f>MAX(B4:B34)</f>
        <v>18.5</v>
      </c>
      <c r="E86" s="174" t="s">
        <v>71</v>
      </c>
      <c r="F86" s="173">
        <f>MAX(F4:F34)</f>
        <v>18.2</v>
      </c>
      <c r="G86" s="173">
        <f>MAX(G4:G34)</f>
        <v>31.9</v>
      </c>
      <c r="H86" s="173">
        <f>MAX(H4:H34)</f>
        <v>25.4</v>
      </c>
      <c r="I86" s="173">
        <f>MAX(I4:I34)</f>
        <v>13.7</v>
      </c>
      <c r="J86" s="175"/>
      <c r="K86" s="176">
        <f>MAX(K4:K34)</f>
        <v>72</v>
      </c>
      <c r="L86" s="176">
        <f>MAX(L4:L34)</f>
        <v>95</v>
      </c>
      <c r="M86" s="176">
        <f>MAX(M4:M34)</f>
        <v>86</v>
      </c>
      <c r="N86" s="176">
        <f>MAX(N4:N34)</f>
        <v>59</v>
      </c>
      <c r="O86" s="177"/>
      <c r="P86" s="176">
        <f t="shared" ref="P86:AC86" si="31">MAX(P4:P34)</f>
        <v>1031</v>
      </c>
      <c r="Q86" s="176">
        <f t="shared" si="31"/>
        <v>1034.0000010000001</v>
      </c>
      <c r="R86" s="173">
        <f t="shared" si="31"/>
        <v>1032.5000005000002</v>
      </c>
      <c r="S86" s="176">
        <f t="shared" si="31"/>
        <v>16</v>
      </c>
      <c r="T86" s="177">
        <f t="shared" si="31"/>
        <v>0</v>
      </c>
      <c r="U86" s="173">
        <f t="shared" si="31"/>
        <v>8.1999999999999993</v>
      </c>
      <c r="V86" s="173">
        <f t="shared" si="31"/>
        <v>19.7</v>
      </c>
      <c r="W86" s="173">
        <f t="shared" si="31"/>
        <v>32.9</v>
      </c>
      <c r="X86" s="173">
        <f t="shared" si="31"/>
        <v>0</v>
      </c>
      <c r="Y86" s="175">
        <f t="shared" si="31"/>
        <v>2</v>
      </c>
      <c r="Z86" s="173">
        <f t="shared" si="31"/>
        <v>14.7</v>
      </c>
      <c r="AA86" s="173">
        <f t="shared" si="31"/>
        <v>8.5</v>
      </c>
      <c r="AB86" s="173">
        <f t="shared" si="31"/>
        <v>3</v>
      </c>
      <c r="AC86" s="422">
        <f t="shared" si="31"/>
        <v>0.16780821917808222</v>
      </c>
      <c r="AD86" s="173">
        <f>MAX(AE4:AE34)</f>
        <v>50</v>
      </c>
      <c r="AE86" s="173">
        <f>MAX(AD4:AD34)</f>
        <v>3.6749999999999998</v>
      </c>
      <c r="AF86" s="175">
        <f>MAX(AF4:AF4)</f>
        <v>0</v>
      </c>
      <c r="AG86" s="173">
        <f>MAX(AG4:AG34)</f>
        <v>12.9</v>
      </c>
      <c r="AH86" s="173">
        <f>MAX(AH4:AH34)</f>
        <v>18.2</v>
      </c>
      <c r="AI86" s="173">
        <f>MAX(AI4:AI34)</f>
        <v>15.4</v>
      </c>
      <c r="AJ86" s="173">
        <f>MAX(AJ4:AJ34)</f>
        <v>9.6000000000000014</v>
      </c>
      <c r="AK86" s="175"/>
      <c r="AL86" s="173"/>
      <c r="AM86" s="175"/>
      <c r="AO86" s="415"/>
      <c r="AP86" s="176">
        <f>MAX(AP4:AP34)</f>
        <v>14.7</v>
      </c>
      <c r="AQ86" s="173">
        <f>MAX(AQ4:AQ34)</f>
        <v>10</v>
      </c>
      <c r="AR86" s="177"/>
      <c r="AS86" s="173">
        <f t="shared" ref="AS86:AZ86" si="32">MAX(AS8:AS34)</f>
        <v>11.392857142857141</v>
      </c>
      <c r="AT86" s="173">
        <f t="shared" si="32"/>
        <v>22.360000000000003</v>
      </c>
      <c r="AU86" s="173">
        <f t="shared" si="32"/>
        <v>16.740000000000002</v>
      </c>
      <c r="AV86" s="173">
        <f t="shared" si="32"/>
        <v>11.58</v>
      </c>
      <c r="AW86" s="173">
        <f t="shared" si="32"/>
        <v>69.63636363636364</v>
      </c>
      <c r="AX86" s="176">
        <f t="shared" si="32"/>
        <v>1025.5000001000001</v>
      </c>
      <c r="AY86" s="173">
        <f t="shared" si="32"/>
        <v>5.4</v>
      </c>
      <c r="AZ86" s="175">
        <f t="shared" si="32"/>
        <v>0</v>
      </c>
      <c r="BA86" s="173">
        <f>MAX(BA4:BA34)</f>
        <v>6.34100000000001</v>
      </c>
      <c r="BB86" s="173">
        <f>MAX(BB4:BB34)</f>
        <v>10.55125</v>
      </c>
      <c r="BC86" s="173">
        <f>MAX(BC4:BC34)</f>
        <v>8.4461250000000057</v>
      </c>
      <c r="BD86" s="173">
        <f>MAX(BD4:BD34)</f>
        <v>4.6708095238095222</v>
      </c>
      <c r="BE86" s="175">
        <f t="shared" ref="BE86:BJ86" si="33">MAX(BE8:BE34)</f>
        <v>0</v>
      </c>
      <c r="BF86" s="173">
        <f t="shared" si="33"/>
        <v>0.4490000000000034</v>
      </c>
      <c r="BG86" s="173">
        <f t="shared" si="33"/>
        <v>3.5614285714285714</v>
      </c>
      <c r="BH86" s="173">
        <f t="shared" si="33"/>
        <v>3.112428571428568</v>
      </c>
      <c r="BI86" s="422">
        <f t="shared" si="33"/>
        <v>1.8843469591226321</v>
      </c>
      <c r="BJ86" s="422">
        <f t="shared" si="33"/>
        <v>1.4365370591885747</v>
      </c>
      <c r="BK86" s="177"/>
      <c r="BL86" s="178"/>
    </row>
    <row r="87" spans="1:64" ht="10.5" customHeight="1" x14ac:dyDescent="0.2">
      <c r="A87" s="67"/>
      <c r="B87" s="21"/>
      <c r="C87" s="140"/>
      <c r="D87" s="146"/>
      <c r="E87" s="4"/>
      <c r="F87" s="21"/>
      <c r="H87" s="13"/>
      <c r="J87" s="20"/>
      <c r="K87" s="21"/>
      <c r="L87" s="21"/>
      <c r="M87" s="21"/>
      <c r="N87" s="22"/>
      <c r="O87" s="20"/>
      <c r="P87" s="21"/>
      <c r="Q87" s="21"/>
      <c r="R87" s="21"/>
      <c r="S87" s="21"/>
      <c r="T87" s="67"/>
      <c r="U87" s="21"/>
      <c r="V87" s="21"/>
      <c r="W87" s="21"/>
      <c r="X87" s="21"/>
      <c r="Y87" s="67"/>
      <c r="Z87" s="21"/>
      <c r="AA87" s="21"/>
      <c r="AB87" s="21"/>
      <c r="AC87" s="21"/>
      <c r="AD87" s="21"/>
      <c r="AE87" s="21"/>
      <c r="AF87" s="67"/>
      <c r="AG87" s="21"/>
      <c r="AH87" s="21"/>
      <c r="AI87" s="21"/>
      <c r="AJ87" s="21"/>
      <c r="AK87" s="67"/>
      <c r="AL87" s="21"/>
      <c r="AM87" s="67"/>
      <c r="AO87" s="88"/>
      <c r="AR87" s="6"/>
      <c r="AS87" s="21"/>
      <c r="AT87" s="22"/>
      <c r="AU87" s="21"/>
      <c r="AV87" s="21"/>
      <c r="AW87" s="21"/>
      <c r="AX87" s="21"/>
      <c r="AZ87" s="6"/>
      <c r="BA87" s="25"/>
      <c r="BB87" s="21"/>
      <c r="BC87" s="21"/>
      <c r="BD87" s="21"/>
      <c r="BE87" s="67"/>
      <c r="BF87" s="21"/>
      <c r="BG87" s="21"/>
      <c r="BH87" s="21"/>
      <c r="BI87" s="21"/>
      <c r="BJ87" s="21"/>
      <c r="BK87" s="67"/>
      <c r="BL87" s="95"/>
    </row>
    <row r="88" spans="1:64" s="327" customFormat="1" ht="10.5" customHeight="1" x14ac:dyDescent="0.2">
      <c r="C88" s="328"/>
    </row>
    <row r="89" spans="1:64" s="327" customFormat="1" ht="1.5" customHeight="1" x14ac:dyDescent="0.2">
      <c r="C89" s="328"/>
    </row>
    <row r="90" spans="1:64" s="331" customFormat="1" ht="11.25" x14ac:dyDescent="0.2">
      <c r="A90" s="331" t="s">
        <v>167</v>
      </c>
      <c r="B90" s="148" t="s">
        <v>2</v>
      </c>
      <c r="C90" s="148" t="s">
        <v>3</v>
      </c>
      <c r="D90" s="148" t="s">
        <v>4</v>
      </c>
      <c r="E90" s="147" t="s">
        <v>5</v>
      </c>
      <c r="F90" s="331" t="s">
        <v>332</v>
      </c>
      <c r="G90" s="331" t="s">
        <v>333</v>
      </c>
      <c r="H90" s="331" t="s">
        <v>348</v>
      </c>
      <c r="I90" s="331" t="s">
        <v>347</v>
      </c>
      <c r="K90" s="331" t="s">
        <v>167</v>
      </c>
      <c r="L90" s="331" t="s">
        <v>167</v>
      </c>
      <c r="M90" s="147" t="s">
        <v>184</v>
      </c>
      <c r="N90" s="331" t="s">
        <v>167</v>
      </c>
      <c r="O90" s="331" t="s">
        <v>167</v>
      </c>
      <c r="P90" s="331" t="s">
        <v>167</v>
      </c>
      <c r="Q90" s="331" t="s">
        <v>167</v>
      </c>
      <c r="S90" s="331" t="s">
        <v>167</v>
      </c>
      <c r="U90" s="331" t="s">
        <v>204</v>
      </c>
      <c r="V90" s="331" t="s">
        <v>346</v>
      </c>
      <c r="W90" s="786" t="s">
        <v>229</v>
      </c>
      <c r="X90" s="786"/>
      <c r="Y90" s="331" t="s">
        <v>167</v>
      </c>
      <c r="Z90" s="147" t="s">
        <v>144</v>
      </c>
      <c r="AA90" s="147" t="s">
        <v>185</v>
      </c>
      <c r="AB90" s="147" t="s">
        <v>236</v>
      </c>
      <c r="AC90" s="147" t="s">
        <v>237</v>
      </c>
      <c r="AD90" s="331" t="s">
        <v>167</v>
      </c>
      <c r="AE90" s="278" t="s">
        <v>345</v>
      </c>
      <c r="AF90" s="331" t="s">
        <v>344</v>
      </c>
      <c r="AG90" s="147" t="s">
        <v>155</v>
      </c>
      <c r="AH90" s="147" t="s">
        <v>183</v>
      </c>
      <c r="AI90" s="331" t="s">
        <v>328</v>
      </c>
      <c r="AJ90" s="147" t="s">
        <v>117</v>
      </c>
      <c r="AK90" s="331" t="s">
        <v>167</v>
      </c>
      <c r="AL90" s="147" t="s">
        <v>118</v>
      </c>
      <c r="AM90" s="331" t="s">
        <v>329</v>
      </c>
      <c r="AN90" s="331" t="s">
        <v>168</v>
      </c>
      <c r="AO90" s="331" t="s">
        <v>329</v>
      </c>
      <c r="AQ90" s="147"/>
      <c r="AR90" s="331" t="s">
        <v>329</v>
      </c>
      <c r="AS90" s="331" t="s">
        <v>256</v>
      </c>
      <c r="AT90" s="331" t="s">
        <v>253</v>
      </c>
      <c r="AU90" s="331" t="s">
        <v>346</v>
      </c>
      <c r="AV90" s="147" t="s">
        <v>196</v>
      </c>
      <c r="AW90" s="147" t="s">
        <v>145</v>
      </c>
      <c r="AX90" s="147" t="s">
        <v>146</v>
      </c>
      <c r="AY90" s="147" t="s">
        <v>400</v>
      </c>
      <c r="AZ90" s="147" t="s">
        <v>124</v>
      </c>
      <c r="BA90" s="147" t="s">
        <v>145</v>
      </c>
      <c r="BB90" s="147" t="s">
        <v>146</v>
      </c>
      <c r="BC90" s="331" t="s">
        <v>330</v>
      </c>
      <c r="BD90" s="331" t="s">
        <v>331</v>
      </c>
      <c r="BE90" s="147" t="s">
        <v>327</v>
      </c>
      <c r="BF90" s="331" t="s">
        <v>167</v>
      </c>
      <c r="BG90" s="147" t="s">
        <v>163</v>
      </c>
      <c r="BH90" s="147" t="s">
        <v>399</v>
      </c>
      <c r="BI90" s="147" t="s">
        <v>401</v>
      </c>
      <c r="BJ90" s="147" t="s">
        <v>119</v>
      </c>
      <c r="BK90" s="331" t="s">
        <v>327</v>
      </c>
    </row>
    <row r="91" spans="1:64" ht="12.75" x14ac:dyDescent="0.2">
      <c r="A91" s="8">
        <f t="shared" ref="A91:A121" si="34">IF(ISBLANK(K4),NA(),N4)</f>
        <v>39</v>
      </c>
      <c r="B91" s="125">
        <f t="shared" ref="B91:B121" si="35">$F$39</f>
        <v>11.1</v>
      </c>
      <c r="C91" s="125">
        <f t="shared" ref="C91:C121" si="36">$G$39</f>
        <v>20.2</v>
      </c>
      <c r="D91" s="125">
        <f>AVERAGE(B91:C91)</f>
        <v>15.649999999999999</v>
      </c>
      <c r="E91" s="125">
        <f t="shared" ref="E91:E121" si="37">C91-B91</f>
        <v>9.1</v>
      </c>
      <c r="F91" s="7">
        <v>10.203666666666665</v>
      </c>
      <c r="G91" s="7">
        <v>18.532857142857143</v>
      </c>
      <c r="H91" s="7">
        <f>AVERAGE(F91:G91)</f>
        <v>14.368261904761905</v>
      </c>
      <c r="I91" s="7">
        <f>G91-F91</f>
        <v>8.3291904761904778</v>
      </c>
      <c r="K91" s="7">
        <f t="shared" ref="K91:K121" si="38">IF(ISBLANK(G4),NA(),I4)</f>
        <v>13</v>
      </c>
      <c r="L91" s="7">
        <f t="shared" ref="L91:L121" si="39">IF(ISBLANK(G4),NA(),AY49)</f>
        <v>14.5</v>
      </c>
      <c r="M91" s="370">
        <f t="shared" ref="M91:M121" si="40">IF(ISBLANK(U4),NA(),AY4)</f>
        <v>3.2</v>
      </c>
      <c r="N91" s="1">
        <f t="shared" ref="N91:N121" si="41">IF(ISBLANK(F4),NA(),BJ91)</f>
        <v>0</v>
      </c>
      <c r="O91" s="7">
        <f t="shared" ref="O91:O121" si="42">IF(ISBLANK(M4),NA(),AW4)</f>
        <v>58</v>
      </c>
      <c r="P91" s="7">
        <f t="shared" ref="P91:P121" si="43">IF(ISBLANK(F4),NA(),AS4)</f>
        <v>8</v>
      </c>
      <c r="Q91" s="7">
        <f t="shared" ref="Q91:Q121" si="44">IF(ISBLANK(G4),NA(),AT4)</f>
        <v>21</v>
      </c>
      <c r="R91" s="7">
        <f t="shared" ref="R91:R121" si="45">IF(ISBLANK(H4),NA(),AU4)</f>
        <v>14.8</v>
      </c>
      <c r="S91" s="7">
        <f t="shared" ref="S91:S121" si="46">IF(ISBLANK(G4),NA(),AV4)</f>
        <v>13</v>
      </c>
      <c r="T91" s="1">
        <v>32</v>
      </c>
      <c r="U91" s="333">
        <f t="shared" ref="U91:U121" si="47">$Z$39/$E$34</f>
        <v>1.9666666666666666</v>
      </c>
      <c r="V91" s="4">
        <v>1</v>
      </c>
      <c r="W91" s="7">
        <f t="shared" ref="W91:W121" si="48">0.273*V91</f>
        <v>0.27300000000000002</v>
      </c>
      <c r="X91" s="7">
        <f t="shared" ref="X91:X121" si="49">0.273*T91</f>
        <v>8.7360000000000007</v>
      </c>
      <c r="Y91" s="8">
        <f t="shared" ref="Y91:Y121" si="50">IF(ISBLANK(Q4),NA(),S4)</f>
        <v>5</v>
      </c>
      <c r="Z91" s="7">
        <f>IF(ISBLANK(Z4),NA(),SUM($Z$4:Z4))</f>
        <v>0</v>
      </c>
      <c r="AA91" s="7">
        <f>$AB$48*E4</f>
        <v>1.9666666666666666</v>
      </c>
      <c r="AB91" s="26">
        <f>IF(ISBLANK(Z4),"",SUM($Z$4:Z4))</f>
        <v>0</v>
      </c>
      <c r="AC91" s="115">
        <f>IF(ISBLANK(Z4),NA(),AB91/AA91)</f>
        <v>0</v>
      </c>
      <c r="AD91" s="8">
        <f t="shared" ref="AD91:AD121" si="51">IF(ISBLANK(P4),NA(),AX4)</f>
        <v>1029.5</v>
      </c>
      <c r="AE91" s="610">
        <f t="shared" ref="AE91:AE121" si="52">IF(ISNA(AG91),"",AG91/AH91)</f>
        <v>1.7544733202491805</v>
      </c>
      <c r="AF91" s="524">
        <f t="shared" ref="AF91:AF121" si="53">IF(ISTEXT(BI49),NA(),IF(ISBLANK(BI49),NA(),BI49))</f>
        <v>0.24652777777777779</v>
      </c>
      <c r="AG91" s="22">
        <f>IF(ISBLANK(AP4),NA(),SUM($AP$4:AP4))</f>
        <v>11</v>
      </c>
      <c r="AH91" s="7">
        <f>SUM($AS$91:AS91)</f>
        <v>6.2696878163058738</v>
      </c>
      <c r="AI91" s="115">
        <f t="shared" ref="AI91:AI121" si="54">IF(ISBLANK(AP4),NA(),AG91/AH91)</f>
        <v>1.7544733202491805</v>
      </c>
      <c r="AJ91" s="124">
        <f t="shared" ref="AJ91:AJ121" si="55">IF(ISBLANK(F4),"",IF(Z4&gt;0.1,1,0))</f>
        <v>0</v>
      </c>
      <c r="AK91" s="8">
        <f t="shared" ref="AK91:AK121" si="56">IF(ISBLANK(P4),NA(),R4)</f>
        <v>1029.5</v>
      </c>
      <c r="AL91" s="124">
        <f t="shared" ref="AL91:AL121" si="57">IF(ISBLANK(Z4),"",IF(Z4&gt;0.9,1,0))</f>
        <v>0</v>
      </c>
      <c r="AM91" s="524">
        <f t="shared" ref="AM91:AM121" si="58">IF(ISTEXT(BH49),NA(),IF(ISBLANK(BH49),NA(),BH49))</f>
        <v>0.60416666666666663</v>
      </c>
      <c r="AN91" s="109">
        <f xml:space="preserve"> SUM(COUNTIF(AN4:AN34,"-"),COUNTIF(AN4:AN34,"*yy*"))</f>
        <v>12</v>
      </c>
      <c r="AO91" s="524">
        <f t="shared" ref="AO91:AO121" si="59">IF(ISTEXT(BG49),NA(),IF(ISBLANK(BG49),NA(),BG49))</f>
        <v>0.64583333333333337</v>
      </c>
      <c r="AR91" s="524">
        <f t="shared" ref="AR91:AR121" si="60">IF(ISTEXT(BF49),NA(),IF(ISBLANK(BF49),NA(),BF49))</f>
        <v>0.22222222222222221</v>
      </c>
      <c r="AS91" s="7">
        <f t="shared" ref="AS91:AS121" si="61">AT91/($AT$123/$AP$39)</f>
        <v>6.2696878163058738</v>
      </c>
      <c r="AT91" s="7">
        <v>14.820838084212085</v>
      </c>
      <c r="AU91" s="4">
        <v>1</v>
      </c>
      <c r="AV91" s="127">
        <f t="shared" ref="AV91:AV121" si="62">IF(ISBLANK(AP4),"",IF(AP4&gt;0.25*AT91,1,0))</f>
        <v>1</v>
      </c>
      <c r="AW91" s="124">
        <f>IF(ISBLANK(F4),"",IF(AY49&lt;BC91,1,0))</f>
        <v>0</v>
      </c>
      <c r="AX91" s="124">
        <f>IF(ISBLANK(G4),"",IF(AY49&gt;BD91,1,0))</f>
        <v>0</v>
      </c>
      <c r="AY91" s="124">
        <f t="shared" ref="AY91:AY121" si="63">IF(ISBLANK(F4),"",IF(P4&gt;1013,1,0))</f>
        <v>1</v>
      </c>
      <c r="AZ91" s="125">
        <f t="shared" ref="AZ91:AZ121" si="64">$U$39</f>
        <v>4.4000000000000004</v>
      </c>
      <c r="BA91" s="125">
        <f t="shared" ref="BA91:BA121" si="65">$BB$83</f>
        <v>12.616666666666665</v>
      </c>
      <c r="BB91" s="125">
        <f t="shared" ref="BB91:BB121" si="66">$BC$83</f>
        <v>18.68333333333333</v>
      </c>
      <c r="BC91" s="7">
        <v>11.591865079365078</v>
      </c>
      <c r="BD91" s="7">
        <v>17.144658730158731</v>
      </c>
      <c r="BE91" s="124"/>
      <c r="BF91" s="8">
        <f t="shared" ref="BF91:BF121" si="67">IF(ISBLANK(M4),NA(),M4)</f>
        <v>58</v>
      </c>
      <c r="BG91" s="21">
        <f t="shared" ref="BG91:BG121" si="68">IF(ISBLANK(H4),NA(),H4)</f>
        <v>14.8</v>
      </c>
      <c r="BH91" s="124">
        <f t="shared" ref="BH91:BH121" si="69">IF(ISBLANK(F4),"",IF(Q4&lt;1013,1,0))</f>
        <v>0</v>
      </c>
      <c r="BI91" s="124">
        <f>IF(ISBLANK(L4),"",IF(AQ4&gt;0.4,1,0))</f>
        <v>0</v>
      </c>
      <c r="BJ91" s="144">
        <f t="shared" ref="BJ91:BJ121" si="70">IF(ISBLANK(Z4),"",Z4/3)</f>
        <v>0</v>
      </c>
      <c r="BL91" s="99">
        <v>1</v>
      </c>
    </row>
    <row r="92" spans="1:64" ht="12.75" x14ac:dyDescent="0.2">
      <c r="A92" s="8">
        <f t="shared" si="34"/>
        <v>41</v>
      </c>
      <c r="B92" s="125">
        <f t="shared" si="35"/>
        <v>11.1</v>
      </c>
      <c r="C92" s="125">
        <f t="shared" si="36"/>
        <v>20.2</v>
      </c>
      <c r="D92" s="125">
        <f t="shared" ref="D92:D121" si="71">AVERAGE(B92:C92)</f>
        <v>15.649999999999999</v>
      </c>
      <c r="E92" s="125">
        <f t="shared" si="37"/>
        <v>9.1</v>
      </c>
      <c r="F92" s="7">
        <v>10.267333333333331</v>
      </c>
      <c r="G92" s="7">
        <v>18.665714285714287</v>
      </c>
      <c r="H92" s="7">
        <f t="shared" ref="H92:H120" si="72">AVERAGE(F92:G92)</f>
        <v>14.46652380952381</v>
      </c>
      <c r="I92" s="7">
        <f t="shared" ref="I92:I120" si="73">G92-F92</f>
        <v>8.3983809523809558</v>
      </c>
      <c r="K92" s="7">
        <f t="shared" si="38"/>
        <v>12.6</v>
      </c>
      <c r="L92" s="7">
        <f t="shared" si="39"/>
        <v>16.399999999999999</v>
      </c>
      <c r="M92" s="370">
        <f t="shared" si="40"/>
        <v>3.4000000000000004</v>
      </c>
      <c r="N92" s="1">
        <f t="shared" si="41"/>
        <v>0</v>
      </c>
      <c r="O92" s="7">
        <f t="shared" si="42"/>
        <v>61.5</v>
      </c>
      <c r="P92" s="7">
        <f t="shared" si="43"/>
        <v>9.0500000000000007</v>
      </c>
      <c r="Q92" s="7">
        <f t="shared" si="44"/>
        <v>21.85</v>
      </c>
      <c r="R92" s="7">
        <f t="shared" si="45"/>
        <v>16.149999999999999</v>
      </c>
      <c r="S92" s="7">
        <f t="shared" si="46"/>
        <v>12.8</v>
      </c>
      <c r="T92" s="1">
        <v>33</v>
      </c>
      <c r="U92" s="333">
        <f t="shared" si="47"/>
        <v>1.9666666666666666</v>
      </c>
      <c r="V92" s="4">
        <v>2</v>
      </c>
      <c r="W92" s="7">
        <f t="shared" si="48"/>
        <v>0.54600000000000004</v>
      </c>
      <c r="X92" s="7">
        <f t="shared" si="49"/>
        <v>9.0090000000000003</v>
      </c>
      <c r="Y92" s="8">
        <f t="shared" si="50"/>
        <v>3.0000010000001112</v>
      </c>
      <c r="Z92" s="7">
        <f>IF(ISBLANK(Z5),NA(),SUM($Z$4:Z5))</f>
        <v>0</v>
      </c>
      <c r="AA92" s="7">
        <f t="shared" ref="AA92:AA121" si="74">$AB$48*E5</f>
        <v>3.9333333333333331</v>
      </c>
      <c r="AB92" s="26">
        <f>IF(ISBLANK(Z5),"",SUM($Z$4:Z5))</f>
        <v>0</v>
      </c>
      <c r="AC92" s="115">
        <f t="shared" ref="AC92:AC121" si="75">IF(ISBLANK(Z5),NA(),AB92/AA92)</f>
        <v>0</v>
      </c>
      <c r="AD92" s="8">
        <f t="shared" si="51"/>
        <v>1031.0000002500001</v>
      </c>
      <c r="AE92" s="610">
        <f t="shared" si="52"/>
        <v>1.5934320230795169</v>
      </c>
      <c r="AF92" s="524">
        <f t="shared" si="53"/>
        <v>0.26041666666666669</v>
      </c>
      <c r="AG92" s="22">
        <f>IF(ISBLANK(AP5),NA(),SUM($AP$4:AP5))</f>
        <v>20</v>
      </c>
      <c r="AH92" s="7">
        <f>SUM($AS$91:AS92)</f>
        <v>12.551523824246591</v>
      </c>
      <c r="AI92" s="115">
        <f t="shared" si="54"/>
        <v>1.5934320230795169</v>
      </c>
      <c r="AJ92" s="124">
        <f t="shared" si="55"/>
        <v>0</v>
      </c>
      <c r="AK92" s="8">
        <f t="shared" si="56"/>
        <v>1032.5000005000002</v>
      </c>
      <c r="AL92" s="124">
        <f t="shared" si="57"/>
        <v>0</v>
      </c>
      <c r="AM92" s="524">
        <f t="shared" si="58"/>
        <v>0.75347222222222221</v>
      </c>
      <c r="AN92" s="45">
        <f t="array" ref="AN92">MAX(FREQUENCY(IF(AJ91:AJ121=0,ROW(91:121)),IF(AJ91:AJ121&lt;&gt;0,ROW(91:121))))</f>
        <v>4</v>
      </c>
      <c r="AO92" s="524">
        <f t="shared" si="59"/>
        <v>0.70833333333333337</v>
      </c>
      <c r="AP92" s="59" t="s">
        <v>113</v>
      </c>
      <c r="AQ92" s="447">
        <v>4.7E-2</v>
      </c>
      <c r="AR92" s="524">
        <f t="shared" si="60"/>
        <v>0.22222222222222221</v>
      </c>
      <c r="AS92" s="7">
        <f t="shared" si="61"/>
        <v>6.2818360079407167</v>
      </c>
      <c r="AT92" s="7">
        <v>14.849555045328989</v>
      </c>
      <c r="AU92" s="4">
        <v>2</v>
      </c>
      <c r="AV92" s="127">
        <f t="shared" si="62"/>
        <v>1</v>
      </c>
      <c r="AW92" s="124">
        <f t="shared" ref="AW92:AW121" si="76">IF(ISBLANK(F5),"",IF(AY50&lt;BC92,1,0))</f>
        <v>0</v>
      </c>
      <c r="AX92" s="124">
        <f t="shared" ref="AX92:AX121" si="77">IF(ISBLANK(G5),"",IF(AY50&gt;BD92,1,0))</f>
        <v>0</v>
      </c>
      <c r="AY92" s="124">
        <f t="shared" si="63"/>
        <v>1</v>
      </c>
      <c r="AZ92" s="125">
        <f t="shared" si="64"/>
        <v>4.4000000000000004</v>
      </c>
      <c r="BA92" s="125">
        <f t="shared" si="65"/>
        <v>12.616666666666665</v>
      </c>
      <c r="BB92" s="125">
        <f t="shared" si="66"/>
        <v>18.68333333333333</v>
      </c>
      <c r="BC92" s="7">
        <v>11.667063492063491</v>
      </c>
      <c r="BD92" s="7">
        <v>17.265984126984129</v>
      </c>
      <c r="BE92" s="124"/>
      <c r="BF92" s="8">
        <f t="shared" si="67"/>
        <v>65</v>
      </c>
      <c r="BG92" s="21">
        <f t="shared" si="68"/>
        <v>17.5</v>
      </c>
      <c r="BH92" s="124">
        <f t="shared" si="69"/>
        <v>0</v>
      </c>
      <c r="BI92" s="124">
        <f t="shared" ref="BI92:BI121" si="78">IF(ISBLANK(L5),"",IF(AQ5&gt;0.4,1,0))</f>
        <v>0</v>
      </c>
      <c r="BJ92" s="144">
        <f t="shared" si="70"/>
        <v>0</v>
      </c>
      <c r="BL92" s="99">
        <v>2</v>
      </c>
    </row>
    <row r="93" spans="1:64" ht="12.75" x14ac:dyDescent="0.2">
      <c r="A93" s="8">
        <f t="shared" si="34"/>
        <v>45</v>
      </c>
      <c r="B93" s="125">
        <f t="shared" si="35"/>
        <v>11.1</v>
      </c>
      <c r="C93" s="125">
        <f t="shared" si="36"/>
        <v>20.2</v>
      </c>
      <c r="D93" s="125">
        <f t="shared" si="71"/>
        <v>15.649999999999999</v>
      </c>
      <c r="E93" s="125">
        <f t="shared" si="37"/>
        <v>9.1</v>
      </c>
      <c r="F93" s="7">
        <v>10.330999999999998</v>
      </c>
      <c r="G93" s="7">
        <v>18.798571428571432</v>
      </c>
      <c r="H93" s="7">
        <f t="shared" si="72"/>
        <v>14.564785714285716</v>
      </c>
      <c r="I93" s="7">
        <f t="shared" si="73"/>
        <v>8.4675714285714339</v>
      </c>
      <c r="K93" s="7">
        <f t="shared" si="38"/>
        <v>11.600000000000001</v>
      </c>
      <c r="L93" s="7">
        <f t="shared" si="39"/>
        <v>18.3</v>
      </c>
      <c r="M93" s="370">
        <f t="shared" si="40"/>
        <v>4.4666666666666668</v>
      </c>
      <c r="N93" s="1">
        <f t="shared" si="41"/>
        <v>0</v>
      </c>
      <c r="O93" s="7">
        <f t="shared" si="42"/>
        <v>61</v>
      </c>
      <c r="P93" s="7">
        <f t="shared" si="43"/>
        <v>10.200000000000001</v>
      </c>
      <c r="Q93" s="7">
        <f t="shared" si="44"/>
        <v>22.600000000000005</v>
      </c>
      <c r="R93" s="7">
        <f t="shared" si="45"/>
        <v>17</v>
      </c>
      <c r="S93" s="7">
        <f t="shared" si="46"/>
        <v>12.4</v>
      </c>
      <c r="T93" s="1">
        <v>34</v>
      </c>
      <c r="U93" s="333">
        <f t="shared" si="47"/>
        <v>1.9666666666666666</v>
      </c>
      <c r="V93" s="4">
        <v>3</v>
      </c>
      <c r="W93" s="7">
        <f t="shared" si="48"/>
        <v>0.81900000000000006</v>
      </c>
      <c r="X93" s="7">
        <f t="shared" si="49"/>
        <v>9.282</v>
      </c>
      <c r="Y93" s="8">
        <f t="shared" si="50"/>
        <v>7</v>
      </c>
      <c r="Z93" s="7">
        <f>IF(ISBLANK(Z6),NA(),SUM($Z$4:Z6))</f>
        <v>0</v>
      </c>
      <c r="AA93" s="7">
        <f t="shared" si="74"/>
        <v>5.8999999999999995</v>
      </c>
      <c r="AB93" s="26">
        <f>IF(ISBLANK(Z6),"",SUM($Z$4:Z6))</f>
        <v>0</v>
      </c>
      <c r="AC93" s="115">
        <f t="shared" si="75"/>
        <v>0</v>
      </c>
      <c r="AD93" s="8">
        <f t="shared" si="51"/>
        <v>1030.8333335</v>
      </c>
      <c r="AE93" s="610">
        <f t="shared" si="52"/>
        <v>1.8413395217666382</v>
      </c>
      <c r="AF93" s="524">
        <f t="shared" si="53"/>
        <v>0.25347222222222221</v>
      </c>
      <c r="AG93" s="22">
        <f>IF(ISBLANK(AP6),NA(),SUM($AP$4:AP6))</f>
        <v>34.700000000000003</v>
      </c>
      <c r="AH93" s="7">
        <f>SUM($AS$91:AS93)</f>
        <v>18.844976491194707</v>
      </c>
      <c r="AI93" s="115">
        <f t="shared" si="54"/>
        <v>1.8413395217666382</v>
      </c>
      <c r="AJ93" s="124">
        <f t="shared" si="55"/>
        <v>0</v>
      </c>
      <c r="AK93" s="8">
        <f t="shared" si="56"/>
        <v>1030.5</v>
      </c>
      <c r="AL93" s="124">
        <f t="shared" si="57"/>
        <v>0</v>
      </c>
      <c r="AM93" s="524">
        <f t="shared" si="58"/>
        <v>0.72916666666666663</v>
      </c>
      <c r="AN93" s="150">
        <f>COUNTIF(E72:E80, "&lt;-0.5")</f>
        <v>2</v>
      </c>
      <c r="AO93" s="524">
        <f t="shared" si="59"/>
        <v>0.65972222222222221</v>
      </c>
      <c r="AP93" s="59" t="s">
        <v>206</v>
      </c>
      <c r="AQ93" s="447">
        <v>5.2999999999999999E-2</v>
      </c>
      <c r="AR93" s="524">
        <f t="shared" si="60"/>
        <v>0.22916666666666666</v>
      </c>
      <c r="AS93" s="7">
        <f t="shared" si="61"/>
        <v>6.2934526669481183</v>
      </c>
      <c r="AT93" s="7">
        <v>14.877015522991119</v>
      </c>
      <c r="AU93" s="4">
        <v>3</v>
      </c>
      <c r="AV93" s="127">
        <f t="shared" si="62"/>
        <v>1</v>
      </c>
      <c r="AW93" s="124">
        <f t="shared" si="76"/>
        <v>0</v>
      </c>
      <c r="AX93" s="124">
        <f t="shared" si="77"/>
        <v>1</v>
      </c>
      <c r="AY93" s="124">
        <f t="shared" si="63"/>
        <v>1</v>
      </c>
      <c r="AZ93" s="125">
        <f t="shared" si="64"/>
        <v>4.4000000000000004</v>
      </c>
      <c r="BA93" s="125">
        <f t="shared" si="65"/>
        <v>12.616666666666665</v>
      </c>
      <c r="BB93" s="125">
        <f t="shared" si="66"/>
        <v>18.68333333333333</v>
      </c>
      <c r="BC93" s="7">
        <v>11.742261904761904</v>
      </c>
      <c r="BD93" s="7">
        <v>17.387309523809527</v>
      </c>
      <c r="BE93" s="124"/>
      <c r="BF93" s="8">
        <f t="shared" si="67"/>
        <v>60</v>
      </c>
      <c r="BG93" s="21">
        <f t="shared" si="68"/>
        <v>18.7</v>
      </c>
      <c r="BH93" s="124">
        <f t="shared" si="69"/>
        <v>0</v>
      </c>
      <c r="BI93" s="124">
        <f t="shared" si="78"/>
        <v>0</v>
      </c>
      <c r="BJ93" s="144">
        <f t="shared" si="70"/>
        <v>0</v>
      </c>
      <c r="BL93" s="99">
        <v>3</v>
      </c>
    </row>
    <row r="94" spans="1:64" ht="12.75" x14ac:dyDescent="0.2">
      <c r="A94" s="8">
        <f t="shared" si="34"/>
        <v>44</v>
      </c>
      <c r="B94" s="125">
        <f t="shared" si="35"/>
        <v>11.1</v>
      </c>
      <c r="C94" s="125">
        <f t="shared" si="36"/>
        <v>20.2</v>
      </c>
      <c r="D94" s="125">
        <f t="shared" si="71"/>
        <v>15.649999999999999</v>
      </c>
      <c r="E94" s="125">
        <f t="shared" si="37"/>
        <v>9.1</v>
      </c>
      <c r="F94" s="7">
        <v>10.394666666666664</v>
      </c>
      <c r="G94" s="7">
        <v>18.931428571428576</v>
      </c>
      <c r="H94" s="7">
        <f t="shared" si="72"/>
        <v>14.663047619047621</v>
      </c>
      <c r="I94" s="7">
        <f t="shared" si="73"/>
        <v>8.5367619047619119</v>
      </c>
      <c r="K94" s="7">
        <f t="shared" si="38"/>
        <v>13.099999999999998</v>
      </c>
      <c r="L94" s="7">
        <f t="shared" si="39"/>
        <v>18.850000000000001</v>
      </c>
      <c r="M94" s="370">
        <f t="shared" si="40"/>
        <v>4.9749999999999996</v>
      </c>
      <c r="N94" s="1">
        <f t="shared" si="41"/>
        <v>0</v>
      </c>
      <c r="O94" s="7">
        <f t="shared" si="42"/>
        <v>61.75</v>
      </c>
      <c r="P94" s="7">
        <f t="shared" si="43"/>
        <v>10.725000000000001</v>
      </c>
      <c r="Q94" s="7">
        <f t="shared" si="44"/>
        <v>23.300000000000004</v>
      </c>
      <c r="R94" s="7">
        <f t="shared" si="45"/>
        <v>17.324999999999999</v>
      </c>
      <c r="S94" s="7">
        <f t="shared" si="46"/>
        <v>12.574999999999999</v>
      </c>
      <c r="T94" s="1">
        <v>35</v>
      </c>
      <c r="U94" s="333">
        <f t="shared" si="47"/>
        <v>1.9666666666666666</v>
      </c>
      <c r="V94" s="4">
        <v>4</v>
      </c>
      <c r="W94" s="7">
        <f t="shared" si="48"/>
        <v>1.0920000000000001</v>
      </c>
      <c r="X94" s="7">
        <f t="shared" si="49"/>
        <v>9.5550000000000015</v>
      </c>
      <c r="Y94" s="8">
        <f t="shared" si="50"/>
        <v>9</v>
      </c>
      <c r="Z94" s="7">
        <f>IF(ISBLANK(Z7),NA(),SUM($Z$4:Z7))</f>
        <v>0</v>
      </c>
      <c r="AA94" s="7">
        <f t="shared" si="74"/>
        <v>7.8666666666666663</v>
      </c>
      <c r="AB94" s="26">
        <f>IF(ISBLANK(Z7),"",SUM($Z$4:Z7))</f>
        <v>0</v>
      </c>
      <c r="AC94" s="115">
        <f t="shared" si="75"/>
        <v>0</v>
      </c>
      <c r="AD94" s="8">
        <f t="shared" si="51"/>
        <v>1028.750000125</v>
      </c>
      <c r="AE94" s="610">
        <f t="shared" si="52"/>
        <v>1.7773710236916525</v>
      </c>
      <c r="AF94" s="524">
        <f t="shared" si="53"/>
        <v>0.2986111111111111</v>
      </c>
      <c r="AG94" s="22">
        <f>IF(ISBLANK(AP7),NA(),SUM($AP$4:AP7))</f>
        <v>44.7</v>
      </c>
      <c r="AH94" s="7">
        <f>SUM($AS$91:AS94)</f>
        <v>25.149504185770269</v>
      </c>
      <c r="AI94" s="115">
        <f t="shared" si="54"/>
        <v>1.7773710236916525</v>
      </c>
      <c r="AJ94" s="124">
        <f t="shared" si="55"/>
        <v>0</v>
      </c>
      <c r="AK94" s="8">
        <f t="shared" si="56"/>
        <v>1022.5</v>
      </c>
      <c r="AL94" s="124">
        <f t="shared" si="57"/>
        <v>0</v>
      </c>
      <c r="AM94" s="524">
        <f t="shared" si="58"/>
        <v>0.73263888888888884</v>
      </c>
      <c r="AN94" s="141">
        <f t="array" ref="AN94">MAX(FREQUENCY(IF(BI91:BI121=1,ROW(91:121)),IF(BI91:BI121&lt;&gt;1,ROW(91:121))))</f>
        <v>6</v>
      </c>
      <c r="AO94" s="524">
        <f t="shared" si="59"/>
        <v>0.61805555555555558</v>
      </c>
      <c r="AP94" s="449" t="s">
        <v>105</v>
      </c>
      <c r="AQ94" s="448">
        <v>4.9000000000000002E-2</v>
      </c>
      <c r="AR94" s="524">
        <f t="shared" si="60"/>
        <v>0.22569444444444445</v>
      </c>
      <c r="AS94" s="7">
        <f t="shared" si="61"/>
        <v>6.3045276945755626</v>
      </c>
      <c r="AT94" s="7">
        <v>14.903195644881341</v>
      </c>
      <c r="AU94" s="4">
        <v>4</v>
      </c>
      <c r="AV94" s="127">
        <f t="shared" si="62"/>
        <v>1</v>
      </c>
      <c r="AW94" s="124">
        <f t="shared" si="76"/>
        <v>0</v>
      </c>
      <c r="AX94" s="124">
        <f t="shared" si="77"/>
        <v>1</v>
      </c>
      <c r="AY94" s="124">
        <f t="shared" si="63"/>
        <v>1</v>
      </c>
      <c r="AZ94" s="125">
        <f t="shared" si="64"/>
        <v>4.4000000000000004</v>
      </c>
      <c r="BA94" s="125">
        <f t="shared" si="65"/>
        <v>12.616666666666665</v>
      </c>
      <c r="BB94" s="125">
        <f t="shared" si="66"/>
        <v>18.68333333333333</v>
      </c>
      <c r="BC94" s="7">
        <v>11.817460317460316</v>
      </c>
      <c r="BD94" s="7">
        <v>17.508634920634925</v>
      </c>
      <c r="BE94" s="124"/>
      <c r="BF94" s="8">
        <f t="shared" si="67"/>
        <v>64</v>
      </c>
      <c r="BG94" s="21">
        <f t="shared" si="68"/>
        <v>18.3</v>
      </c>
      <c r="BH94" s="124">
        <f t="shared" si="69"/>
        <v>0</v>
      </c>
      <c r="BI94" s="124">
        <f t="shared" si="78"/>
        <v>0</v>
      </c>
      <c r="BJ94" s="144">
        <f t="shared" si="70"/>
        <v>0</v>
      </c>
      <c r="BL94" s="99">
        <v>4</v>
      </c>
    </row>
    <row r="95" spans="1:64" ht="12.75" x14ac:dyDescent="0.2">
      <c r="A95" s="8">
        <f t="shared" si="34"/>
        <v>33</v>
      </c>
      <c r="B95" s="125">
        <f t="shared" si="35"/>
        <v>11.1</v>
      </c>
      <c r="C95" s="125">
        <f t="shared" si="36"/>
        <v>20.2</v>
      </c>
      <c r="D95" s="125">
        <f t="shared" si="71"/>
        <v>15.649999999999999</v>
      </c>
      <c r="E95" s="125">
        <f t="shared" si="37"/>
        <v>9.1</v>
      </c>
      <c r="F95" s="7">
        <v>10.45833333333333</v>
      </c>
      <c r="G95" s="7">
        <v>19.06428571428572</v>
      </c>
      <c r="H95" s="7">
        <f t="shared" si="72"/>
        <v>14.761309523809526</v>
      </c>
      <c r="I95" s="7">
        <f t="shared" si="73"/>
        <v>8.6059523809523899</v>
      </c>
      <c r="K95" s="7">
        <f t="shared" si="38"/>
        <v>7.6000000000000014</v>
      </c>
      <c r="L95" s="7">
        <f t="shared" si="39"/>
        <v>14.8</v>
      </c>
      <c r="M95" s="370">
        <f t="shared" si="40"/>
        <v>5.0999999999999996</v>
      </c>
      <c r="N95" s="1">
        <f t="shared" si="41"/>
        <v>2.3666666666666667</v>
      </c>
      <c r="O95" s="7">
        <f t="shared" si="42"/>
        <v>64.400000000000006</v>
      </c>
      <c r="P95" s="7">
        <f t="shared" si="43"/>
        <v>10.780000000000001</v>
      </c>
      <c r="Q95" s="7">
        <f t="shared" si="44"/>
        <v>22.360000000000003</v>
      </c>
      <c r="R95" s="7">
        <f t="shared" si="45"/>
        <v>16.740000000000002</v>
      </c>
      <c r="S95" s="7">
        <f t="shared" si="46"/>
        <v>11.58</v>
      </c>
      <c r="T95" s="1">
        <v>36</v>
      </c>
      <c r="U95" s="333">
        <f t="shared" si="47"/>
        <v>1.9666666666666666</v>
      </c>
      <c r="V95" s="4">
        <v>5</v>
      </c>
      <c r="W95" s="7">
        <f t="shared" si="48"/>
        <v>1.3650000000000002</v>
      </c>
      <c r="X95" s="7">
        <f t="shared" si="49"/>
        <v>9.8280000000000012</v>
      </c>
      <c r="Y95" s="8">
        <f t="shared" si="50"/>
        <v>9</v>
      </c>
      <c r="Z95" s="7">
        <f>IF(ISBLANK(Z8),NA(),SUM($Z$4:Z8))</f>
        <v>7.1</v>
      </c>
      <c r="AA95" s="7">
        <f t="shared" si="74"/>
        <v>9.8333333333333321</v>
      </c>
      <c r="AB95" s="26">
        <f>IF(ISBLANK(Z8),"",SUM($Z$4:Z8))</f>
        <v>7.1</v>
      </c>
      <c r="AC95" s="115">
        <f t="shared" si="75"/>
        <v>0.7220338983050848</v>
      </c>
      <c r="AD95" s="8">
        <f t="shared" si="51"/>
        <v>1025.5000001000001</v>
      </c>
      <c r="AE95" s="610">
        <f t="shared" si="52"/>
        <v>1.4365370591885747</v>
      </c>
      <c r="AF95" s="524" t="e">
        <f t="shared" si="53"/>
        <v>#N/A</v>
      </c>
      <c r="AG95" s="22">
        <f>IF(ISBLANK(AP8),NA(),SUM($AP$4:AP8))</f>
        <v>45.2</v>
      </c>
      <c r="AH95" s="7">
        <f>SUM($AS$91:AS95)</f>
        <v>31.464555481451445</v>
      </c>
      <c r="AI95" s="115">
        <f t="shared" si="54"/>
        <v>1.4365370591885747</v>
      </c>
      <c r="AJ95" s="124">
        <f t="shared" si="55"/>
        <v>1</v>
      </c>
      <c r="AK95" s="8">
        <f t="shared" si="56"/>
        <v>1012.5</v>
      </c>
      <c r="AL95" s="124">
        <f t="shared" si="57"/>
        <v>1</v>
      </c>
      <c r="AM95" s="524">
        <f t="shared" si="58"/>
        <v>0.60763888888888895</v>
      </c>
      <c r="AN95" s="141">
        <f t="array" ref="AN95">MAX(FREQUENCY(IF(BI91:BI121=0,ROW(91:121)),IF(BI91:BI121&lt;&gt;0,ROW(91:121))))</f>
        <v>4</v>
      </c>
      <c r="AO95" s="524">
        <f t="shared" si="59"/>
        <v>0.60069444444444442</v>
      </c>
      <c r="AP95" s="449" t="s">
        <v>207</v>
      </c>
      <c r="AQ95" s="448">
        <v>4.2000000000000003E-2</v>
      </c>
      <c r="AR95" s="524">
        <f t="shared" si="60"/>
        <v>0.25347222222222221</v>
      </c>
      <c r="AS95" s="7">
        <f t="shared" si="61"/>
        <v>6.3150512956811751</v>
      </c>
      <c r="AT95" s="7">
        <v>14.928072256383988</v>
      </c>
      <c r="AU95" s="4">
        <v>5</v>
      </c>
      <c r="AV95" s="127">
        <f t="shared" si="62"/>
        <v>0</v>
      </c>
      <c r="AW95" s="124">
        <f t="shared" si="76"/>
        <v>0</v>
      </c>
      <c r="AX95" s="124">
        <f t="shared" si="77"/>
        <v>0</v>
      </c>
      <c r="AY95" s="124">
        <f t="shared" si="63"/>
        <v>0</v>
      </c>
      <c r="AZ95" s="125">
        <f t="shared" si="64"/>
        <v>4.4000000000000004</v>
      </c>
      <c r="BA95" s="125">
        <f t="shared" si="65"/>
        <v>12.616666666666665</v>
      </c>
      <c r="BB95" s="125">
        <f t="shared" si="66"/>
        <v>18.68333333333333</v>
      </c>
      <c r="BC95" s="7">
        <v>11.892658730158729</v>
      </c>
      <c r="BD95" s="7">
        <v>17.629960317460323</v>
      </c>
      <c r="BE95" s="124"/>
      <c r="BF95" s="8">
        <f t="shared" si="67"/>
        <v>75</v>
      </c>
      <c r="BG95" s="21">
        <f t="shared" si="68"/>
        <v>14.4</v>
      </c>
      <c r="BH95" s="124">
        <f t="shared" si="69"/>
        <v>0</v>
      </c>
      <c r="BI95" s="124">
        <f t="shared" si="78"/>
        <v>1</v>
      </c>
      <c r="BJ95" s="144">
        <f t="shared" si="70"/>
        <v>2.3666666666666667</v>
      </c>
      <c r="BL95" s="99">
        <v>5</v>
      </c>
    </row>
    <row r="96" spans="1:64" ht="12.75" x14ac:dyDescent="0.2">
      <c r="A96" s="8">
        <f t="shared" si="34"/>
        <v>29</v>
      </c>
      <c r="B96" s="125">
        <f t="shared" si="35"/>
        <v>11.1</v>
      </c>
      <c r="C96" s="125">
        <f t="shared" si="36"/>
        <v>20.2</v>
      </c>
      <c r="D96" s="125">
        <f t="shared" si="71"/>
        <v>15.649999999999999</v>
      </c>
      <c r="E96" s="125">
        <f t="shared" si="37"/>
        <v>9.1</v>
      </c>
      <c r="F96" s="7">
        <v>10.521999999999997</v>
      </c>
      <c r="G96" s="7">
        <v>19.197142857142865</v>
      </c>
      <c r="H96" s="7">
        <f t="shared" si="72"/>
        <v>14.859571428571432</v>
      </c>
      <c r="I96" s="7">
        <f t="shared" si="73"/>
        <v>8.6751428571428679</v>
      </c>
      <c r="K96" s="7">
        <f t="shared" si="38"/>
        <v>6</v>
      </c>
      <c r="L96" s="7">
        <f t="shared" si="39"/>
        <v>12.4</v>
      </c>
      <c r="M96" s="370">
        <f t="shared" si="40"/>
        <v>4.6499999999999995</v>
      </c>
      <c r="N96" s="1">
        <f t="shared" si="41"/>
        <v>2</v>
      </c>
      <c r="O96" s="7">
        <f t="shared" si="42"/>
        <v>67.5</v>
      </c>
      <c r="P96" s="7">
        <f t="shared" si="43"/>
        <v>10.55</v>
      </c>
      <c r="Q96" s="7">
        <f t="shared" si="44"/>
        <v>21.200000000000003</v>
      </c>
      <c r="R96" s="7">
        <f t="shared" si="45"/>
        <v>15.950000000000001</v>
      </c>
      <c r="S96" s="7">
        <f t="shared" si="46"/>
        <v>10.65</v>
      </c>
      <c r="T96" s="1">
        <v>37</v>
      </c>
      <c r="U96" s="333">
        <f t="shared" si="47"/>
        <v>1.9666666666666666</v>
      </c>
      <c r="V96" s="4">
        <v>6</v>
      </c>
      <c r="W96" s="7">
        <f t="shared" si="48"/>
        <v>1.6380000000000001</v>
      </c>
      <c r="X96" s="7">
        <f t="shared" si="49"/>
        <v>10.101000000000001</v>
      </c>
      <c r="Y96" s="8">
        <f t="shared" si="50"/>
        <v>3</v>
      </c>
      <c r="Z96" s="7">
        <f>IF(ISBLANK(Z9),NA(),SUM($Z$4:Z9))</f>
        <v>13.1</v>
      </c>
      <c r="AA96" s="7">
        <f t="shared" si="74"/>
        <v>11.799999999999999</v>
      </c>
      <c r="AB96" s="26">
        <f>IF(ISBLANK(Z9),"",SUM($Z$4:Z9))</f>
        <v>13.1</v>
      </c>
      <c r="AC96" s="115">
        <f t="shared" si="75"/>
        <v>1.1101694915254239</v>
      </c>
      <c r="AD96" s="8">
        <f t="shared" si="51"/>
        <v>1022.3333334166667</v>
      </c>
      <c r="AE96" s="610">
        <f t="shared" si="52"/>
        <v>1.2357907388159719</v>
      </c>
      <c r="AF96" s="524">
        <f t="shared" si="53"/>
        <v>0.30902777777777779</v>
      </c>
      <c r="AG96" s="22">
        <f>IF(ISBLANK(AP9),NA(),SUM($AP$4:AP9))</f>
        <v>46.7</v>
      </c>
      <c r="AH96" s="7">
        <f>SUM($AS$91:AS96)</f>
        <v>37.789569490336135</v>
      </c>
      <c r="AI96" s="115">
        <f t="shared" si="54"/>
        <v>1.2357907388159719</v>
      </c>
      <c r="AJ96" s="124">
        <f t="shared" si="55"/>
        <v>1</v>
      </c>
      <c r="AK96" s="8">
        <f t="shared" si="56"/>
        <v>1006.5</v>
      </c>
      <c r="AL96" s="124">
        <f t="shared" si="57"/>
        <v>1</v>
      </c>
      <c r="AM96" s="524">
        <f t="shared" si="58"/>
        <v>0.67013888888888884</v>
      </c>
      <c r="AN96" s="124">
        <f>COUNTIF(AU50:AU60, "&lt;-0.5")</f>
        <v>2</v>
      </c>
      <c r="AO96" s="524">
        <f t="shared" si="59"/>
        <v>0.65277777777777779</v>
      </c>
      <c r="AP96" s="449" t="s">
        <v>106</v>
      </c>
      <c r="AQ96" s="448">
        <v>1.6E-2</v>
      </c>
      <c r="AR96" s="524">
        <f t="shared" si="60"/>
        <v>0.27083333333333331</v>
      </c>
      <c r="AS96" s="7">
        <f t="shared" si="61"/>
        <v>6.3250140088846925</v>
      </c>
      <c r="AT96" s="7">
        <v>14.95162299185837</v>
      </c>
      <c r="AU96" s="4">
        <v>6</v>
      </c>
      <c r="AV96" s="127">
        <f t="shared" si="62"/>
        <v>0</v>
      </c>
      <c r="AW96" s="124">
        <f t="shared" si="76"/>
        <v>0</v>
      </c>
      <c r="AX96" s="124">
        <f t="shared" si="77"/>
        <v>0</v>
      </c>
      <c r="AY96" s="124">
        <f t="shared" si="63"/>
        <v>0</v>
      </c>
      <c r="AZ96" s="125">
        <f t="shared" si="64"/>
        <v>4.4000000000000004</v>
      </c>
      <c r="BA96" s="125">
        <f t="shared" si="65"/>
        <v>12.616666666666665</v>
      </c>
      <c r="BB96" s="125">
        <f t="shared" si="66"/>
        <v>18.68333333333333</v>
      </c>
      <c r="BC96" s="7">
        <v>11.967857142857142</v>
      </c>
      <c r="BD96" s="7">
        <v>17.751285714285721</v>
      </c>
      <c r="BE96" s="124"/>
      <c r="BF96" s="8">
        <f t="shared" si="67"/>
        <v>83</v>
      </c>
      <c r="BG96" s="21">
        <f t="shared" si="68"/>
        <v>12</v>
      </c>
      <c r="BH96" s="124">
        <f t="shared" si="69"/>
        <v>1</v>
      </c>
      <c r="BI96" s="124">
        <f t="shared" si="78"/>
        <v>1</v>
      </c>
      <c r="BJ96" s="144">
        <f t="shared" si="70"/>
        <v>2</v>
      </c>
      <c r="BL96" s="99">
        <v>6</v>
      </c>
    </row>
    <row r="97" spans="1:64" ht="12.75" x14ac:dyDescent="0.2">
      <c r="A97" s="8">
        <f t="shared" si="34"/>
        <v>42</v>
      </c>
      <c r="B97" s="125">
        <f t="shared" si="35"/>
        <v>11.1</v>
      </c>
      <c r="C97" s="125">
        <f t="shared" si="36"/>
        <v>20.2</v>
      </c>
      <c r="D97" s="125">
        <f t="shared" si="71"/>
        <v>15.649999999999999</v>
      </c>
      <c r="E97" s="125">
        <f t="shared" si="37"/>
        <v>9.1</v>
      </c>
      <c r="F97" s="7">
        <v>10.585666666666663</v>
      </c>
      <c r="G97" s="7">
        <v>19.329999999999998</v>
      </c>
      <c r="H97" s="7">
        <f t="shared" si="72"/>
        <v>14.95783333333333</v>
      </c>
      <c r="I97" s="7">
        <f t="shared" si="73"/>
        <v>8.7443333333333353</v>
      </c>
      <c r="K97" s="7">
        <f t="shared" si="38"/>
        <v>8.4000000000000021</v>
      </c>
      <c r="L97" s="7">
        <f t="shared" si="39"/>
        <v>14.9</v>
      </c>
      <c r="M97" s="370">
        <f t="shared" si="40"/>
        <v>4.8285714285714283</v>
      </c>
      <c r="N97" s="1">
        <f t="shared" si="41"/>
        <v>0</v>
      </c>
      <c r="O97" s="7">
        <f t="shared" si="42"/>
        <v>66.571428571428569</v>
      </c>
      <c r="P97" s="7">
        <f t="shared" si="43"/>
        <v>10.571428571428571</v>
      </c>
      <c r="Q97" s="7">
        <f t="shared" si="44"/>
        <v>20.900000000000002</v>
      </c>
      <c r="R97" s="7">
        <f t="shared" si="45"/>
        <v>15.814285714285715</v>
      </c>
      <c r="S97" s="7">
        <f t="shared" si="46"/>
        <v>10.328571428571427</v>
      </c>
      <c r="T97" s="1">
        <v>38</v>
      </c>
      <c r="U97" s="333">
        <f t="shared" si="47"/>
        <v>1.9666666666666666</v>
      </c>
      <c r="V97" s="4">
        <v>7</v>
      </c>
      <c r="W97" s="7">
        <f t="shared" si="48"/>
        <v>1.911</v>
      </c>
      <c r="X97" s="7">
        <f t="shared" si="49"/>
        <v>10.374000000000001</v>
      </c>
      <c r="Y97" s="8">
        <f t="shared" si="50"/>
        <v>3</v>
      </c>
      <c r="Z97" s="7">
        <f>IF(ISBLANK(Z10),NA(),SUM($Z$4:Z10))</f>
        <v>13.1</v>
      </c>
      <c r="AA97" s="7">
        <f t="shared" si="74"/>
        <v>13.766666666666666</v>
      </c>
      <c r="AB97" s="26">
        <f>IF(ISBLANK(Z10),"",SUM($Z$4:Z10))</f>
        <v>13.1</v>
      </c>
      <c r="AC97" s="115">
        <f t="shared" si="75"/>
        <v>0.95157384987893467</v>
      </c>
      <c r="AD97" s="8">
        <f t="shared" si="51"/>
        <v>1019.6428572142858</v>
      </c>
      <c r="AE97" s="610">
        <f t="shared" si="52"/>
        <v>1.2396888194927325</v>
      </c>
      <c r="AF97" s="524">
        <f t="shared" si="53"/>
        <v>0.24305555555555555</v>
      </c>
      <c r="AG97" s="22">
        <f>IF(ISBLANK(AP10),NA(),SUM($AP$4:AP10))</f>
        <v>54.7</v>
      </c>
      <c r="AH97" s="7">
        <f>SUM($AS$91:AS97)</f>
        <v>44.123976226858822</v>
      </c>
      <c r="AI97" s="115">
        <f t="shared" si="54"/>
        <v>1.2396888194927325</v>
      </c>
      <c r="AJ97" s="124">
        <f t="shared" si="55"/>
        <v>0</v>
      </c>
      <c r="AK97" s="8">
        <f t="shared" si="56"/>
        <v>1003.5</v>
      </c>
      <c r="AL97" s="124">
        <f t="shared" si="57"/>
        <v>0</v>
      </c>
      <c r="AM97" s="524">
        <f t="shared" si="58"/>
        <v>0.69097222222222221</v>
      </c>
      <c r="AN97" s="150">
        <f>COUNTIF(E48:E66,"&gt;0.5")</f>
        <v>7</v>
      </c>
      <c r="AO97" s="524">
        <f t="shared" si="59"/>
        <v>0.53472222222222221</v>
      </c>
      <c r="AP97" s="449" t="s">
        <v>208</v>
      </c>
      <c r="AQ97" s="448">
        <v>1.0999999999999999E-2</v>
      </c>
      <c r="AR97" s="524">
        <f t="shared" si="60"/>
        <v>0.21527777777777779</v>
      </c>
      <c r="AS97" s="7">
        <f t="shared" si="61"/>
        <v>6.3344067365226895</v>
      </c>
      <c r="AT97" s="7">
        <v>14.973826345449567</v>
      </c>
      <c r="AU97" s="4">
        <v>7</v>
      </c>
      <c r="AV97" s="127">
        <f t="shared" si="62"/>
        <v>1</v>
      </c>
      <c r="AW97" s="124">
        <f t="shared" si="76"/>
        <v>0</v>
      </c>
      <c r="AX97" s="124">
        <f t="shared" si="77"/>
        <v>0</v>
      </c>
      <c r="AY97" s="124">
        <f t="shared" si="63"/>
        <v>0</v>
      </c>
      <c r="AZ97" s="125">
        <f t="shared" si="64"/>
        <v>4.4000000000000004</v>
      </c>
      <c r="BA97" s="125">
        <f t="shared" si="65"/>
        <v>12.616666666666665</v>
      </c>
      <c r="BB97" s="125">
        <f t="shared" si="66"/>
        <v>18.68333333333333</v>
      </c>
      <c r="BC97" s="7">
        <v>12.043055555555554</v>
      </c>
      <c r="BD97" s="7">
        <v>17.872611111111119</v>
      </c>
      <c r="BE97" s="124"/>
      <c r="BF97" s="8">
        <f t="shared" si="67"/>
        <v>61</v>
      </c>
      <c r="BG97" s="21">
        <f t="shared" si="68"/>
        <v>15</v>
      </c>
      <c r="BH97" s="124">
        <f t="shared" si="69"/>
        <v>1</v>
      </c>
      <c r="BI97" s="124">
        <f t="shared" si="78"/>
        <v>0</v>
      </c>
      <c r="BJ97" s="144">
        <f t="shared" si="70"/>
        <v>0</v>
      </c>
      <c r="BL97" s="99">
        <v>7</v>
      </c>
    </row>
    <row r="98" spans="1:64" ht="12.75" x14ac:dyDescent="0.2">
      <c r="A98" s="8">
        <f t="shared" si="34"/>
        <v>33</v>
      </c>
      <c r="B98" s="125">
        <f t="shared" si="35"/>
        <v>11.1</v>
      </c>
      <c r="C98" s="125">
        <f t="shared" si="36"/>
        <v>20.2</v>
      </c>
      <c r="D98" s="125">
        <f t="shared" si="71"/>
        <v>15.649999999999999</v>
      </c>
      <c r="E98" s="125">
        <f t="shared" si="37"/>
        <v>9.1</v>
      </c>
      <c r="F98" s="7">
        <v>10.649333333333329</v>
      </c>
      <c r="G98" s="7">
        <v>19.462857142857153</v>
      </c>
      <c r="H98" s="7">
        <f t="shared" si="72"/>
        <v>15.056095238095242</v>
      </c>
      <c r="I98" s="7">
        <f t="shared" si="73"/>
        <v>8.813523809523824</v>
      </c>
      <c r="K98" s="7">
        <f t="shared" si="38"/>
        <v>8.6000000000000014</v>
      </c>
      <c r="L98" s="7">
        <f t="shared" si="39"/>
        <v>14</v>
      </c>
      <c r="M98" s="370">
        <f t="shared" si="40"/>
        <v>5</v>
      </c>
      <c r="N98" s="1">
        <f t="shared" si="41"/>
        <v>0.46666666666666662</v>
      </c>
      <c r="O98" s="7">
        <f t="shared" si="42"/>
        <v>66.5</v>
      </c>
      <c r="P98" s="7">
        <f t="shared" si="43"/>
        <v>10.4625</v>
      </c>
      <c r="Q98" s="7">
        <f t="shared" si="44"/>
        <v>20.575000000000003</v>
      </c>
      <c r="R98" s="7">
        <f t="shared" si="45"/>
        <v>15.5625</v>
      </c>
      <c r="S98" s="7">
        <f t="shared" si="46"/>
        <v>10.112500000000001</v>
      </c>
      <c r="T98" s="1">
        <v>39</v>
      </c>
      <c r="U98" s="333">
        <f t="shared" si="47"/>
        <v>1.9666666666666666</v>
      </c>
      <c r="V98" s="4">
        <v>8</v>
      </c>
      <c r="W98" s="7">
        <f t="shared" si="48"/>
        <v>2.1840000000000002</v>
      </c>
      <c r="X98" s="7">
        <f t="shared" si="49"/>
        <v>10.647</v>
      </c>
      <c r="Y98" s="8">
        <f t="shared" si="50"/>
        <v>5</v>
      </c>
      <c r="Z98" s="7">
        <f>IF(ISBLANK(Z11),NA(),SUM($Z$4:Z11))</f>
        <v>14.5</v>
      </c>
      <c r="AA98" s="7">
        <f t="shared" si="74"/>
        <v>15.733333333333333</v>
      </c>
      <c r="AB98" s="26">
        <f>IF(ISBLANK(Z11),"",SUM($Z$4:Z11))</f>
        <v>14.5</v>
      </c>
      <c r="AC98" s="115">
        <f t="shared" si="75"/>
        <v>0.92161016949152552</v>
      </c>
      <c r="AD98" s="8">
        <f t="shared" si="51"/>
        <v>1018.0000000625</v>
      </c>
      <c r="AE98" s="610">
        <f t="shared" si="52"/>
        <v>1.1829466177548309</v>
      </c>
      <c r="AF98" s="524">
        <f t="shared" si="53"/>
        <v>0.22916666666666666</v>
      </c>
      <c r="AG98" s="22">
        <f>IF(ISBLANK(AP11),NA(),SUM($AP$4:AP11))</f>
        <v>59.7</v>
      </c>
      <c r="AH98" s="7">
        <f>SUM($AS$91:AS98)</f>
        <v>50.467197001084791</v>
      </c>
      <c r="AI98" s="115">
        <f t="shared" si="54"/>
        <v>1.1829466177548309</v>
      </c>
      <c r="AJ98" s="124">
        <f t="shared" si="55"/>
        <v>1</v>
      </c>
      <c r="AK98" s="8">
        <f t="shared" si="56"/>
        <v>1006.5</v>
      </c>
      <c r="AL98" s="124">
        <f t="shared" si="57"/>
        <v>1</v>
      </c>
      <c r="AM98" s="524">
        <f t="shared" si="58"/>
        <v>0.55208333333333337</v>
      </c>
      <c r="AN98" s="150">
        <f>COUNTIF(E72:E80, "&gt;0.5")</f>
        <v>2</v>
      </c>
      <c r="AO98" s="524">
        <f t="shared" si="59"/>
        <v>0.55208333333333337</v>
      </c>
      <c r="AP98" s="449" t="s">
        <v>112</v>
      </c>
      <c r="AQ98" s="448">
        <v>1.0999999999999999E-2</v>
      </c>
      <c r="AR98" s="524">
        <f t="shared" si="60"/>
        <v>0.18402777777777779</v>
      </c>
      <c r="AS98" s="7">
        <f t="shared" si="61"/>
        <v>6.3432207742259674</v>
      </c>
      <c r="AT98" s="7">
        <v>14.994661741006054</v>
      </c>
      <c r="AU98" s="4">
        <v>8</v>
      </c>
      <c r="AV98" s="127">
        <f t="shared" si="62"/>
        <v>1</v>
      </c>
      <c r="AW98" s="124">
        <f t="shared" si="76"/>
        <v>0</v>
      </c>
      <c r="AX98" s="124">
        <f t="shared" si="77"/>
        <v>0</v>
      </c>
      <c r="AY98" s="124">
        <f t="shared" si="63"/>
        <v>0</v>
      </c>
      <c r="AZ98" s="125">
        <f t="shared" si="64"/>
        <v>4.4000000000000004</v>
      </c>
      <c r="BA98" s="125">
        <f t="shared" si="65"/>
        <v>12.616666666666665</v>
      </c>
      <c r="BB98" s="125">
        <f t="shared" si="66"/>
        <v>18.68333333333333</v>
      </c>
      <c r="BC98" s="7">
        <v>12.118253968253967</v>
      </c>
      <c r="BD98" s="7">
        <v>17.993936507936517</v>
      </c>
      <c r="BE98" s="124"/>
      <c r="BF98" s="8">
        <f t="shared" si="67"/>
        <v>66</v>
      </c>
      <c r="BG98" s="21">
        <f t="shared" si="68"/>
        <v>13.8</v>
      </c>
      <c r="BH98" s="124">
        <f t="shared" si="69"/>
        <v>1</v>
      </c>
      <c r="BI98" s="124">
        <f t="shared" si="78"/>
        <v>1</v>
      </c>
      <c r="BJ98" s="144">
        <f t="shared" si="70"/>
        <v>0.46666666666666662</v>
      </c>
      <c r="BL98" s="99">
        <v>8</v>
      </c>
    </row>
    <row r="99" spans="1:64" ht="12.75" x14ac:dyDescent="0.2">
      <c r="A99" s="8">
        <f t="shared" si="34"/>
        <v>30</v>
      </c>
      <c r="B99" s="125">
        <f t="shared" si="35"/>
        <v>11.1</v>
      </c>
      <c r="C99" s="125">
        <f t="shared" si="36"/>
        <v>20.2</v>
      </c>
      <c r="D99" s="125">
        <f t="shared" si="71"/>
        <v>15.649999999999999</v>
      </c>
      <c r="E99" s="125">
        <f t="shared" si="37"/>
        <v>9.1</v>
      </c>
      <c r="F99" s="7">
        <v>10.712999999999996</v>
      </c>
      <c r="G99" s="7">
        <v>19.595714285714298</v>
      </c>
      <c r="H99" s="7">
        <f t="shared" si="72"/>
        <v>15.154357142857148</v>
      </c>
      <c r="I99" s="7">
        <f t="shared" si="73"/>
        <v>8.882714285714302</v>
      </c>
      <c r="K99" s="7">
        <f t="shared" si="38"/>
        <v>7.4000000000000021</v>
      </c>
      <c r="L99" s="7">
        <f t="shared" si="39"/>
        <v>13.4</v>
      </c>
      <c r="M99" s="370">
        <f t="shared" si="40"/>
        <v>5.0444444444444443</v>
      </c>
      <c r="N99" s="1">
        <f t="shared" si="41"/>
        <v>0.26666666666666666</v>
      </c>
      <c r="O99" s="7">
        <f t="shared" si="42"/>
        <v>66</v>
      </c>
      <c r="P99" s="7">
        <f t="shared" si="43"/>
        <v>10.377777777777778</v>
      </c>
      <c r="Q99" s="7">
        <f t="shared" si="44"/>
        <v>20.18888888888889</v>
      </c>
      <c r="R99" s="7">
        <f t="shared" si="45"/>
        <v>15.355555555555554</v>
      </c>
      <c r="S99" s="7">
        <f t="shared" si="46"/>
        <v>9.8111111111111118</v>
      </c>
      <c r="T99" s="1">
        <v>40</v>
      </c>
      <c r="U99" s="333">
        <f t="shared" si="47"/>
        <v>1.9666666666666666</v>
      </c>
      <c r="V99" s="4">
        <v>9</v>
      </c>
      <c r="W99" s="7">
        <f t="shared" si="48"/>
        <v>2.4570000000000003</v>
      </c>
      <c r="X99" s="7">
        <f t="shared" si="49"/>
        <v>10.920000000000002</v>
      </c>
      <c r="Y99" s="8">
        <f t="shared" si="50"/>
        <v>6</v>
      </c>
      <c r="Z99" s="7">
        <f>IF(ISBLANK(Z12),NA(),SUM($Z$4:Z12))</f>
        <v>15.3</v>
      </c>
      <c r="AA99" s="7">
        <f t="shared" si="74"/>
        <v>17.7</v>
      </c>
      <c r="AB99" s="26">
        <f>IF(ISBLANK(Z12),"",SUM($Z$4:Z12))</f>
        <v>15.3</v>
      </c>
      <c r="AC99" s="115">
        <f t="shared" si="75"/>
        <v>0.86440677966101698</v>
      </c>
      <c r="AD99" s="8">
        <f t="shared" si="51"/>
        <v>1017.3333333888889</v>
      </c>
      <c r="AE99" s="610">
        <f t="shared" si="52"/>
        <v>1.1739104335668904</v>
      </c>
      <c r="AF99" s="524">
        <f t="shared" si="53"/>
        <v>0.20138888888888887</v>
      </c>
      <c r="AG99" s="22">
        <f>IF(ISBLANK(AP12),NA(),SUM($AP$4:AP12))</f>
        <v>66.7</v>
      </c>
      <c r="AH99" s="7">
        <f>SUM($AS$91:AS99)</f>
        <v>56.818644841015782</v>
      </c>
      <c r="AI99" s="115">
        <f t="shared" si="54"/>
        <v>1.1739104335668904</v>
      </c>
      <c r="AJ99" s="124">
        <f t="shared" si="55"/>
        <v>1</v>
      </c>
      <c r="AK99" s="8">
        <f t="shared" si="56"/>
        <v>1012</v>
      </c>
      <c r="AL99" s="124">
        <f t="shared" si="57"/>
        <v>0</v>
      </c>
      <c r="AM99" s="524">
        <f t="shared" si="58"/>
        <v>0.79513888888888884</v>
      </c>
      <c r="AN99" s="7">
        <f>I39/3</f>
        <v>3.0333333333333332</v>
      </c>
      <c r="AO99" s="524">
        <f t="shared" si="59"/>
        <v>0.79166666666666663</v>
      </c>
      <c r="AP99" s="449" t="s">
        <v>209</v>
      </c>
      <c r="AQ99" s="448">
        <v>1.9E-2</v>
      </c>
      <c r="AR99" s="524">
        <f t="shared" si="60"/>
        <v>0.125</v>
      </c>
      <c r="AS99" s="7">
        <f t="shared" si="61"/>
        <v>6.351447839930989</v>
      </c>
      <c r="AT99" s="7">
        <v>15.014109600659479</v>
      </c>
      <c r="AU99" s="4">
        <v>9</v>
      </c>
      <c r="AV99" s="127">
        <f t="shared" si="62"/>
        <v>1</v>
      </c>
      <c r="AW99" s="124">
        <f t="shared" si="76"/>
        <v>0</v>
      </c>
      <c r="AX99" s="124">
        <f t="shared" si="77"/>
        <v>0</v>
      </c>
      <c r="AY99" s="124">
        <f t="shared" si="63"/>
        <v>0</v>
      </c>
      <c r="AZ99" s="125">
        <f t="shared" si="64"/>
        <v>4.4000000000000004</v>
      </c>
      <c r="BA99" s="125">
        <f t="shared" si="65"/>
        <v>12.616666666666665</v>
      </c>
      <c r="BB99" s="125">
        <f t="shared" si="66"/>
        <v>18.68333333333333</v>
      </c>
      <c r="BC99" s="7">
        <v>12.19345238095238</v>
      </c>
      <c r="BD99" s="7">
        <v>18.115261904761915</v>
      </c>
      <c r="BE99" s="124"/>
      <c r="BF99" s="8">
        <f t="shared" si="67"/>
        <v>62</v>
      </c>
      <c r="BG99" s="21">
        <f t="shared" si="68"/>
        <v>13.7</v>
      </c>
      <c r="BH99" s="124">
        <f t="shared" si="69"/>
        <v>0</v>
      </c>
      <c r="BI99" s="124">
        <f t="shared" si="78"/>
        <v>1</v>
      </c>
      <c r="BJ99" s="144">
        <f t="shared" si="70"/>
        <v>0.26666666666666666</v>
      </c>
      <c r="BL99" s="99">
        <v>9</v>
      </c>
    </row>
    <row r="100" spans="1:64" ht="12.75" x14ac:dyDescent="0.2">
      <c r="A100" s="8">
        <f t="shared" si="34"/>
        <v>34</v>
      </c>
      <c r="B100" s="125">
        <f t="shared" si="35"/>
        <v>11.1</v>
      </c>
      <c r="C100" s="125">
        <f t="shared" si="36"/>
        <v>20.2</v>
      </c>
      <c r="D100" s="125">
        <f t="shared" si="71"/>
        <v>15.649999999999999</v>
      </c>
      <c r="E100" s="125">
        <f t="shared" si="37"/>
        <v>9.1</v>
      </c>
      <c r="F100" s="7">
        <v>10.776666666666662</v>
      </c>
      <c r="G100" s="7">
        <v>19.728571428571442</v>
      </c>
      <c r="H100" s="7">
        <f t="shared" si="72"/>
        <v>15.252619047619053</v>
      </c>
      <c r="I100" s="7">
        <f t="shared" si="73"/>
        <v>8.95190476190478</v>
      </c>
      <c r="K100" s="7">
        <f t="shared" si="38"/>
        <v>6</v>
      </c>
      <c r="L100" s="7">
        <f t="shared" si="39"/>
        <v>12.1</v>
      </c>
      <c r="M100" s="370">
        <f t="shared" si="40"/>
        <v>4.83</v>
      </c>
      <c r="N100" s="1">
        <f t="shared" si="41"/>
        <v>4.7333333333333334</v>
      </c>
      <c r="O100" s="7">
        <f t="shared" si="42"/>
        <v>66.5</v>
      </c>
      <c r="P100" s="7">
        <f t="shared" si="43"/>
        <v>10.25</v>
      </c>
      <c r="Q100" s="7">
        <f t="shared" si="44"/>
        <v>19.68</v>
      </c>
      <c r="R100" s="7">
        <f t="shared" si="45"/>
        <v>14.979999999999999</v>
      </c>
      <c r="S100" s="7">
        <f t="shared" si="46"/>
        <v>9.4300000000000015</v>
      </c>
      <c r="T100" s="1">
        <v>41</v>
      </c>
      <c r="U100" s="333">
        <f t="shared" si="47"/>
        <v>1.9666666666666666</v>
      </c>
      <c r="V100" s="4">
        <v>10</v>
      </c>
      <c r="W100" s="7">
        <f t="shared" si="48"/>
        <v>2.7300000000000004</v>
      </c>
      <c r="X100" s="7">
        <f t="shared" si="49"/>
        <v>11.193000000000001</v>
      </c>
      <c r="Y100" s="8">
        <f t="shared" si="50"/>
        <v>2</v>
      </c>
      <c r="Z100" s="7">
        <f>IF(ISBLANK(Z13),NA(),SUM($Z$4:Z13))</f>
        <v>29.5</v>
      </c>
      <c r="AA100" s="7">
        <f t="shared" si="74"/>
        <v>19.666666666666664</v>
      </c>
      <c r="AB100" s="26">
        <f>IF(ISBLANK(Z13),"",SUM($Z$4:Z13))</f>
        <v>29.5</v>
      </c>
      <c r="AC100" s="115">
        <f t="shared" si="75"/>
        <v>1.5000000000000002</v>
      </c>
      <c r="AD100" s="8">
        <f t="shared" si="51"/>
        <v>1017.00000005</v>
      </c>
      <c r="AE100" s="610">
        <f t="shared" si="52"/>
        <v>1.1032369409110576</v>
      </c>
      <c r="AF100" s="524" t="e">
        <f t="shared" si="53"/>
        <v>#N/A</v>
      </c>
      <c r="AG100" s="22">
        <f>IF(ISBLANK(AP13),NA(),SUM($AP$4:AP13))</f>
        <v>69.7</v>
      </c>
      <c r="AH100" s="7">
        <f>SUM($AS$91:AS100)</f>
        <v>63.177724943149073</v>
      </c>
      <c r="AI100" s="115">
        <f t="shared" si="54"/>
        <v>1.1032369409110576</v>
      </c>
      <c r="AJ100" s="124">
        <f t="shared" si="55"/>
        <v>1</v>
      </c>
      <c r="AK100" s="8">
        <f t="shared" si="56"/>
        <v>1014</v>
      </c>
      <c r="AL100" s="124">
        <f t="shared" si="57"/>
        <v>1</v>
      </c>
      <c r="AM100" s="524">
        <f t="shared" si="58"/>
        <v>0.4861111111111111</v>
      </c>
      <c r="AN100" s="150">
        <f>COUNTIF(E48:E66,"&lt;-0.5")</f>
        <v>4</v>
      </c>
      <c r="AO100" s="524">
        <f t="shared" si="59"/>
        <v>0.47916666666666669</v>
      </c>
      <c r="AP100" s="449" t="s">
        <v>111</v>
      </c>
      <c r="AQ100" s="448">
        <v>6.8000000000000005E-2</v>
      </c>
      <c r="AR100" s="524">
        <f t="shared" si="60"/>
        <v>0.20138888888888887</v>
      </c>
      <c r="AS100" s="7">
        <f t="shared" si="61"/>
        <v>6.3590801021332934</v>
      </c>
      <c r="AT100" s="7">
        <v>15.032151411612556</v>
      </c>
      <c r="AU100" s="4">
        <v>10</v>
      </c>
      <c r="AV100" s="127">
        <f t="shared" si="62"/>
        <v>0</v>
      </c>
      <c r="AW100" s="124">
        <f t="shared" si="76"/>
        <v>1</v>
      </c>
      <c r="AX100" s="124">
        <f t="shared" si="77"/>
        <v>0</v>
      </c>
      <c r="AY100" s="124">
        <f t="shared" si="63"/>
        <v>0</v>
      </c>
      <c r="AZ100" s="125">
        <f t="shared" si="64"/>
        <v>4.4000000000000004</v>
      </c>
      <c r="BA100" s="125">
        <f t="shared" si="65"/>
        <v>12.616666666666665</v>
      </c>
      <c r="BB100" s="125">
        <f t="shared" si="66"/>
        <v>18.68333333333333</v>
      </c>
      <c r="BC100" s="7">
        <v>12.268650793650792</v>
      </c>
      <c r="BD100" s="7">
        <v>18.236587301587313</v>
      </c>
      <c r="BE100" s="124"/>
      <c r="BF100" s="8">
        <f t="shared" si="67"/>
        <v>71</v>
      </c>
      <c r="BG100" s="21">
        <f t="shared" si="68"/>
        <v>11.6</v>
      </c>
      <c r="BH100" s="124">
        <f t="shared" si="69"/>
        <v>0</v>
      </c>
      <c r="BI100" s="124">
        <f t="shared" si="78"/>
        <v>1</v>
      </c>
      <c r="BJ100" s="144">
        <f t="shared" si="70"/>
        <v>4.7333333333333334</v>
      </c>
      <c r="BL100" s="99">
        <v>10</v>
      </c>
    </row>
    <row r="101" spans="1:64" ht="12.75" x14ac:dyDescent="0.2">
      <c r="A101" s="8">
        <f t="shared" si="34"/>
        <v>59</v>
      </c>
      <c r="B101" s="125">
        <f t="shared" si="35"/>
        <v>11.1</v>
      </c>
      <c r="C101" s="125">
        <f t="shared" si="36"/>
        <v>20.2</v>
      </c>
      <c r="D101" s="125">
        <f t="shared" si="71"/>
        <v>15.649999999999999</v>
      </c>
      <c r="E101" s="125">
        <f t="shared" si="37"/>
        <v>9.1</v>
      </c>
      <c r="F101" s="7">
        <v>10.840333333333328</v>
      </c>
      <c r="G101" s="7">
        <v>19.861428571428586</v>
      </c>
      <c r="H101" s="7">
        <f t="shared" si="72"/>
        <v>15.350880952380958</v>
      </c>
      <c r="I101" s="7">
        <f t="shared" si="73"/>
        <v>9.021095238095258</v>
      </c>
      <c r="K101" s="7">
        <f t="shared" si="38"/>
        <v>10.5</v>
      </c>
      <c r="L101" s="7">
        <f t="shared" si="39"/>
        <v>13.55</v>
      </c>
      <c r="M101" s="370">
        <f t="shared" si="40"/>
        <v>4.7363636363636354</v>
      </c>
      <c r="N101" s="1">
        <f t="shared" si="41"/>
        <v>1.0999999999999999</v>
      </c>
      <c r="O101" s="7">
        <f t="shared" si="42"/>
        <v>66.181818181818187</v>
      </c>
      <c r="P101" s="7">
        <f t="shared" si="43"/>
        <v>10.072727272727272</v>
      </c>
      <c r="Q101" s="7">
        <f t="shared" si="44"/>
        <v>19.600000000000001</v>
      </c>
      <c r="R101" s="7">
        <f t="shared" si="45"/>
        <v>14.790909090909089</v>
      </c>
      <c r="S101" s="7">
        <f t="shared" si="46"/>
        <v>9.5272727272727291</v>
      </c>
      <c r="T101" s="1">
        <v>42</v>
      </c>
      <c r="U101" s="333">
        <f t="shared" si="47"/>
        <v>1.9666666666666666</v>
      </c>
      <c r="V101" s="4">
        <v>11</v>
      </c>
      <c r="W101" s="7">
        <f t="shared" si="48"/>
        <v>3.0030000000000001</v>
      </c>
      <c r="X101" s="7">
        <f t="shared" si="49"/>
        <v>11.466000000000001</v>
      </c>
      <c r="Y101" s="8">
        <f t="shared" si="50"/>
        <v>4</v>
      </c>
      <c r="Z101" s="7">
        <f>IF(ISBLANK(Z14),NA(),SUM($Z$4:Z14))</f>
        <v>32.799999999999997</v>
      </c>
      <c r="AA101" s="7">
        <f t="shared" si="74"/>
        <v>21.633333333333333</v>
      </c>
      <c r="AB101" s="26">
        <f>IF(ISBLANK(Z14),"",SUM($Z$4:Z14))</f>
        <v>32.799999999999997</v>
      </c>
      <c r="AC101" s="115">
        <f t="shared" si="75"/>
        <v>1.5161787365177195</v>
      </c>
      <c r="AD101" s="8">
        <f t="shared" si="51"/>
        <v>1016.9090909545455</v>
      </c>
      <c r="AE101" s="610">
        <f t="shared" si="52"/>
        <v>1.0885220787199086</v>
      </c>
      <c r="AF101" s="524">
        <f t="shared" si="53"/>
        <v>0.28125</v>
      </c>
      <c r="AG101" s="22">
        <f>IF(ISBLANK(AP14),NA(),SUM($AP$4:AP14))</f>
        <v>75.7</v>
      </c>
      <c r="AH101" s="7">
        <f>SUM($AS$91:AS101)</f>
        <v>69.543835150337486</v>
      </c>
      <c r="AI101" s="115">
        <f t="shared" si="54"/>
        <v>1.0885220787199086</v>
      </c>
      <c r="AJ101" s="124">
        <f t="shared" si="55"/>
        <v>1</v>
      </c>
      <c r="AK101" s="8">
        <f t="shared" si="56"/>
        <v>1016</v>
      </c>
      <c r="AL101" s="124">
        <f t="shared" si="57"/>
        <v>1</v>
      </c>
      <c r="AM101" s="524">
        <f t="shared" si="58"/>
        <v>0.71180555555555547</v>
      </c>
      <c r="AN101" s="124">
        <f>COUNTIF(AU50:AU60, "&gt;0.5")</f>
        <v>5</v>
      </c>
      <c r="AO101" s="524">
        <f t="shared" si="59"/>
        <v>0.65625</v>
      </c>
      <c r="AP101" s="449" t="s">
        <v>210</v>
      </c>
      <c r="AQ101" s="448">
        <v>0.157</v>
      </c>
      <c r="AR101" s="524">
        <f t="shared" si="60"/>
        <v>0.23611111111111113</v>
      </c>
      <c r="AS101" s="7">
        <f t="shared" si="61"/>
        <v>6.3661102071884068</v>
      </c>
      <c r="AT101" s="7">
        <v>15.048769790675363</v>
      </c>
      <c r="AU101" s="4">
        <v>11</v>
      </c>
      <c r="AV101" s="127">
        <f t="shared" si="62"/>
        <v>1</v>
      </c>
      <c r="AW101" s="124">
        <f t="shared" si="76"/>
        <v>0</v>
      </c>
      <c r="AX101" s="124">
        <f t="shared" si="77"/>
        <v>0</v>
      </c>
      <c r="AY101" s="124">
        <f t="shared" si="63"/>
        <v>1</v>
      </c>
      <c r="AZ101" s="125">
        <f t="shared" si="64"/>
        <v>4.4000000000000004</v>
      </c>
      <c r="BA101" s="125">
        <f t="shared" si="65"/>
        <v>12.616666666666665</v>
      </c>
      <c r="BB101" s="125">
        <f t="shared" si="66"/>
        <v>18.68333333333333</v>
      </c>
      <c r="BC101" s="7">
        <v>12.343849206349205</v>
      </c>
      <c r="BD101" s="7">
        <v>18.357912698412711</v>
      </c>
      <c r="BE101" s="124"/>
      <c r="BF101" s="8">
        <f t="shared" si="67"/>
        <v>63</v>
      </c>
      <c r="BG101" s="21">
        <f t="shared" si="68"/>
        <v>12.9</v>
      </c>
      <c r="BH101" s="124">
        <f t="shared" si="69"/>
        <v>0</v>
      </c>
      <c r="BI101" s="124">
        <f t="shared" si="78"/>
        <v>1</v>
      </c>
      <c r="BJ101" s="144">
        <f t="shared" si="70"/>
        <v>1.0999999999999999</v>
      </c>
      <c r="BL101" s="99">
        <v>11</v>
      </c>
    </row>
    <row r="102" spans="1:64" ht="12.75" x14ac:dyDescent="0.2">
      <c r="A102" s="8">
        <f t="shared" si="34"/>
        <v>27</v>
      </c>
      <c r="B102" s="125">
        <f t="shared" si="35"/>
        <v>11.1</v>
      </c>
      <c r="C102" s="125">
        <f t="shared" si="36"/>
        <v>20.2</v>
      </c>
      <c r="D102" s="125">
        <f t="shared" si="71"/>
        <v>15.649999999999999</v>
      </c>
      <c r="E102" s="125">
        <f t="shared" si="37"/>
        <v>9.1</v>
      </c>
      <c r="F102" s="7">
        <v>10.903999999999995</v>
      </c>
      <c r="G102" s="7">
        <v>19.994285714285731</v>
      </c>
      <c r="H102" s="7">
        <f t="shared" si="72"/>
        <v>15.449142857142864</v>
      </c>
      <c r="I102" s="7">
        <f t="shared" si="73"/>
        <v>9.0902857142857361</v>
      </c>
      <c r="K102" s="7">
        <f t="shared" si="38"/>
        <v>5.9</v>
      </c>
      <c r="L102" s="7">
        <f t="shared" si="39"/>
        <v>11.45</v>
      </c>
      <c r="M102" s="370">
        <f t="shared" si="40"/>
        <v>4.8166666666666664</v>
      </c>
      <c r="N102" s="1">
        <f t="shared" si="41"/>
        <v>2.3666666666666667</v>
      </c>
      <c r="O102" s="7">
        <f t="shared" si="42"/>
        <v>67.333333333333329</v>
      </c>
      <c r="P102" s="7">
        <f t="shared" si="43"/>
        <v>9.9416666666666664</v>
      </c>
      <c r="Q102" s="7">
        <f t="shared" si="44"/>
        <v>19.166666666666668</v>
      </c>
      <c r="R102" s="7">
        <f t="shared" si="45"/>
        <v>14.549999999999999</v>
      </c>
      <c r="S102" s="7">
        <f t="shared" si="46"/>
        <v>9.2250000000000014</v>
      </c>
      <c r="T102" s="1">
        <v>43</v>
      </c>
      <c r="U102" s="333">
        <f t="shared" si="47"/>
        <v>1.9666666666666666</v>
      </c>
      <c r="V102" s="4">
        <v>12</v>
      </c>
      <c r="W102" s="7">
        <f t="shared" si="48"/>
        <v>3.2760000000000002</v>
      </c>
      <c r="X102" s="7">
        <f t="shared" si="49"/>
        <v>11.739000000000001</v>
      </c>
      <c r="Y102" s="8">
        <f t="shared" si="50"/>
        <v>10</v>
      </c>
      <c r="Z102" s="7">
        <f>IF(ISBLANK(Z15),NA(),SUM($Z$4:Z15))</f>
        <v>39.9</v>
      </c>
      <c r="AA102" s="7">
        <f t="shared" si="74"/>
        <v>23.599999999999998</v>
      </c>
      <c r="AB102" s="26">
        <f>IF(ISBLANK(Z15),"",SUM($Z$4:Z15))</f>
        <v>39.9</v>
      </c>
      <c r="AC102" s="115">
        <f t="shared" si="75"/>
        <v>1.6906779661016951</v>
      </c>
      <c r="AD102" s="8">
        <f t="shared" si="51"/>
        <v>1016.5833333750001</v>
      </c>
      <c r="AE102" s="610">
        <f t="shared" si="52"/>
        <v>1.0169085218922305</v>
      </c>
      <c r="AF102" s="524" t="e">
        <f t="shared" si="53"/>
        <v>#N/A</v>
      </c>
      <c r="AG102" s="22">
        <f>IF(ISBLANK(AP15),NA(),SUM($AP$4:AP15))</f>
        <v>77.2</v>
      </c>
      <c r="AH102" s="7">
        <f>SUM($AS$91:AS102)</f>
        <v>75.916366455803455</v>
      </c>
      <c r="AI102" s="115">
        <f t="shared" si="54"/>
        <v>1.0169085218922305</v>
      </c>
      <c r="AJ102" s="124">
        <f t="shared" si="55"/>
        <v>1</v>
      </c>
      <c r="AK102" s="8">
        <f t="shared" si="56"/>
        <v>1013</v>
      </c>
      <c r="AL102" s="124">
        <f t="shared" si="57"/>
        <v>1</v>
      </c>
      <c r="AM102" s="524" t="e">
        <f t="shared" si="58"/>
        <v>#N/A</v>
      </c>
      <c r="AN102" s="141">
        <f t="array" ref="AN102">MAX(FREQUENCY(IF(AJ91:AJ121=1,ROW(91:121)),IF(AJ91:AJ121&lt;&gt;1,ROW(91:121))))</f>
        <v>6</v>
      </c>
      <c r="AO102" s="524">
        <f t="shared" si="59"/>
        <v>0.68055555555555547</v>
      </c>
      <c r="AP102" s="451" t="s">
        <v>110</v>
      </c>
      <c r="AQ102" s="450">
        <v>0.152</v>
      </c>
      <c r="AR102" s="524">
        <f t="shared" si="60"/>
        <v>0.22222222222222221</v>
      </c>
      <c r="AS102" s="7">
        <f t="shared" si="61"/>
        <v>6.372531305465964</v>
      </c>
      <c r="AT102" s="7">
        <v>15.063948546090742</v>
      </c>
      <c r="AU102" s="4">
        <v>12</v>
      </c>
      <c r="AV102" s="127">
        <f t="shared" si="62"/>
        <v>0</v>
      </c>
      <c r="AW102" s="124">
        <f t="shared" si="76"/>
        <v>1</v>
      </c>
      <c r="AX102" s="124">
        <f t="shared" si="77"/>
        <v>0</v>
      </c>
      <c r="AY102" s="124">
        <f t="shared" si="63"/>
        <v>0</v>
      </c>
      <c r="AZ102" s="125">
        <f t="shared" si="64"/>
        <v>4.4000000000000004</v>
      </c>
      <c r="BA102" s="125">
        <f t="shared" si="65"/>
        <v>12.616666666666665</v>
      </c>
      <c r="BB102" s="125">
        <f t="shared" si="66"/>
        <v>18.68333333333333</v>
      </c>
      <c r="BC102" s="7">
        <v>12.419047619047618</v>
      </c>
      <c r="BD102" s="7">
        <v>18.479238095238109</v>
      </c>
      <c r="BE102" s="124"/>
      <c r="BF102" s="8">
        <f t="shared" si="67"/>
        <v>80</v>
      </c>
      <c r="BG102" s="21">
        <f t="shared" si="68"/>
        <v>11.9</v>
      </c>
      <c r="BH102" s="124">
        <f t="shared" si="69"/>
        <v>0</v>
      </c>
      <c r="BI102" s="124">
        <f t="shared" si="78"/>
        <v>1</v>
      </c>
      <c r="BJ102" s="144">
        <f t="shared" si="70"/>
        <v>2.3666666666666667</v>
      </c>
      <c r="BL102" s="99">
        <v>12</v>
      </c>
    </row>
    <row r="103" spans="1:64" ht="12.75" x14ac:dyDescent="0.2">
      <c r="A103" s="8">
        <f t="shared" si="34"/>
        <v>46</v>
      </c>
      <c r="B103" s="125">
        <f t="shared" si="35"/>
        <v>11.1</v>
      </c>
      <c r="C103" s="125">
        <f t="shared" si="36"/>
        <v>20.2</v>
      </c>
      <c r="D103" s="125">
        <f t="shared" si="71"/>
        <v>15.649999999999999</v>
      </c>
      <c r="E103" s="125">
        <f t="shared" si="37"/>
        <v>9.1</v>
      </c>
      <c r="F103" s="7">
        <v>10.967666666666661</v>
      </c>
      <c r="G103" s="7">
        <v>20.127142857142875</v>
      </c>
      <c r="H103" s="7">
        <f t="shared" si="72"/>
        <v>15.547404761904769</v>
      </c>
      <c r="I103" s="7">
        <f t="shared" si="73"/>
        <v>9.1594761904762141</v>
      </c>
      <c r="K103" s="7">
        <f t="shared" si="38"/>
        <v>7.5</v>
      </c>
      <c r="L103" s="7">
        <f t="shared" si="39"/>
        <v>17.55</v>
      </c>
      <c r="M103" s="370">
        <f t="shared" si="40"/>
        <v>4.9461538461538463</v>
      </c>
      <c r="N103" s="1">
        <f t="shared" si="41"/>
        <v>0.26666666666666666</v>
      </c>
      <c r="O103" s="7">
        <f t="shared" si="42"/>
        <v>67.92307692307692</v>
      </c>
      <c r="P103" s="7">
        <f t="shared" si="43"/>
        <v>10.238461538461538</v>
      </c>
      <c r="Q103" s="7">
        <f t="shared" si="44"/>
        <v>19.330769230769235</v>
      </c>
      <c r="R103" s="7">
        <f t="shared" si="45"/>
        <v>14.746153846153845</v>
      </c>
      <c r="S103" s="7">
        <f t="shared" si="46"/>
        <v>9.0923076923076938</v>
      </c>
      <c r="T103" s="1">
        <v>44</v>
      </c>
      <c r="U103" s="333">
        <f t="shared" si="47"/>
        <v>1.9666666666666666</v>
      </c>
      <c r="V103" s="4">
        <v>13</v>
      </c>
      <c r="W103" s="7">
        <f t="shared" si="48"/>
        <v>3.5490000000000004</v>
      </c>
      <c r="X103" s="7">
        <f t="shared" si="49"/>
        <v>12.012</v>
      </c>
      <c r="Y103" s="8">
        <f t="shared" si="50"/>
        <v>9</v>
      </c>
      <c r="Z103" s="7">
        <f>IF(ISBLANK(Z16),NA(),SUM($Z$4:Z16))</f>
        <v>40.699999999999996</v>
      </c>
      <c r="AA103" s="7">
        <f t="shared" si="74"/>
        <v>25.566666666666666</v>
      </c>
      <c r="AB103" s="26">
        <f>IF(ISBLANK(Z16),"",SUM($Z$4:Z16))</f>
        <v>40.699999999999996</v>
      </c>
      <c r="AC103" s="115">
        <f t="shared" si="75"/>
        <v>1.5919165580182528</v>
      </c>
      <c r="AD103" s="8">
        <f t="shared" si="51"/>
        <v>1016.2692308076923</v>
      </c>
      <c r="AE103" s="610">
        <f t="shared" si="52"/>
        <v>0.99884921473796284</v>
      </c>
      <c r="AF103" s="524">
        <f t="shared" si="53"/>
        <v>0.28472222222222221</v>
      </c>
      <c r="AG103" s="22">
        <f>IF(ISBLANK(AP16),NA(),SUM($AP$4:AP16))</f>
        <v>82.2</v>
      </c>
      <c r="AH103" s="7">
        <f>SUM($AS$91:AS103)</f>
        <v>82.29470353196831</v>
      </c>
      <c r="AI103" s="115">
        <f t="shared" si="54"/>
        <v>0.99884921473796284</v>
      </c>
      <c r="AJ103" s="124">
        <f t="shared" si="55"/>
        <v>1</v>
      </c>
      <c r="AK103" s="8">
        <f t="shared" si="56"/>
        <v>1012.5</v>
      </c>
      <c r="AL103" s="124">
        <f t="shared" si="57"/>
        <v>0</v>
      </c>
      <c r="AM103" s="524">
        <f t="shared" si="58"/>
        <v>0.73958333333333337</v>
      </c>
      <c r="AN103" s="7">
        <f>I39/-3</f>
        <v>-3.0333333333333332</v>
      </c>
      <c r="AO103" s="524">
        <f t="shared" si="59"/>
        <v>0.64236111111111105</v>
      </c>
      <c r="AP103" s="451" t="s">
        <v>211</v>
      </c>
      <c r="AQ103" s="450">
        <v>0.121</v>
      </c>
      <c r="AR103" s="524" t="e">
        <f t="shared" si="60"/>
        <v>#N/A</v>
      </c>
      <c r="AS103" s="7">
        <f t="shared" si="61"/>
        <v>6.3783370761648515</v>
      </c>
      <c r="AT103" s="7">
        <v>15.077672736194513</v>
      </c>
      <c r="AU103" s="4">
        <v>13</v>
      </c>
      <c r="AV103" s="127">
        <f t="shared" si="62"/>
        <v>1</v>
      </c>
      <c r="AW103" s="124">
        <f t="shared" si="76"/>
        <v>0</v>
      </c>
      <c r="AX103" s="124">
        <f t="shared" si="77"/>
        <v>0</v>
      </c>
      <c r="AY103" s="124">
        <f t="shared" si="63"/>
        <v>0</v>
      </c>
      <c r="AZ103" s="125">
        <f t="shared" si="64"/>
        <v>4.4000000000000004</v>
      </c>
      <c r="BA103" s="125">
        <f t="shared" si="65"/>
        <v>12.616666666666665</v>
      </c>
      <c r="BB103" s="125">
        <f t="shared" si="66"/>
        <v>18.68333333333333</v>
      </c>
      <c r="BC103" s="7">
        <v>12.49424603174603</v>
      </c>
      <c r="BD103" s="7">
        <v>18.600563492063507</v>
      </c>
      <c r="BE103" s="124"/>
      <c r="BF103" s="8">
        <f t="shared" si="67"/>
        <v>75</v>
      </c>
      <c r="BG103" s="21">
        <f t="shared" si="68"/>
        <v>17.100000000000001</v>
      </c>
      <c r="BH103" s="124">
        <f t="shared" si="69"/>
        <v>0</v>
      </c>
      <c r="BI103" s="124">
        <f t="shared" si="78"/>
        <v>1</v>
      </c>
      <c r="BJ103" s="144">
        <f t="shared" si="70"/>
        <v>0.26666666666666666</v>
      </c>
      <c r="BL103" s="99">
        <v>13</v>
      </c>
    </row>
    <row r="104" spans="1:64" ht="12.75" x14ac:dyDescent="0.2">
      <c r="A104" s="8">
        <f t="shared" si="34"/>
        <v>44</v>
      </c>
      <c r="B104" s="125">
        <f t="shared" si="35"/>
        <v>11.1</v>
      </c>
      <c r="C104" s="125">
        <f t="shared" si="36"/>
        <v>20.2</v>
      </c>
      <c r="D104" s="125">
        <f t="shared" si="71"/>
        <v>15.649999999999999</v>
      </c>
      <c r="E104" s="125">
        <f t="shared" si="37"/>
        <v>9.1</v>
      </c>
      <c r="F104" s="7">
        <v>11.031333333333327</v>
      </c>
      <c r="G104" s="7">
        <v>20.260000000000002</v>
      </c>
      <c r="H104" s="7">
        <f t="shared" si="72"/>
        <v>15.645666666666664</v>
      </c>
      <c r="I104" s="7">
        <f t="shared" si="73"/>
        <v>9.2286666666666743</v>
      </c>
      <c r="K104" s="7">
        <f t="shared" si="38"/>
        <v>12.799999999999999</v>
      </c>
      <c r="L104" s="7">
        <f t="shared" si="39"/>
        <v>17</v>
      </c>
      <c r="M104" s="370">
        <f t="shared" si="40"/>
        <v>4.8571428571428568</v>
      </c>
      <c r="N104" s="1">
        <f t="shared" si="41"/>
        <v>0</v>
      </c>
      <c r="O104" s="7">
        <f t="shared" si="42"/>
        <v>67.214285714285708</v>
      </c>
      <c r="P104" s="7">
        <f t="shared" si="43"/>
        <v>10.264285714285714</v>
      </c>
      <c r="Q104" s="7">
        <f t="shared" si="44"/>
        <v>19.621428571428574</v>
      </c>
      <c r="R104" s="7">
        <f t="shared" si="45"/>
        <v>14.942857142857141</v>
      </c>
      <c r="S104" s="7">
        <f t="shared" si="46"/>
        <v>9.3571428571428594</v>
      </c>
      <c r="T104" s="1">
        <v>45</v>
      </c>
      <c r="U104" s="333">
        <f t="shared" si="47"/>
        <v>1.9666666666666666</v>
      </c>
      <c r="V104" s="4">
        <v>14</v>
      </c>
      <c r="W104" s="7">
        <f t="shared" si="48"/>
        <v>3.8220000000000001</v>
      </c>
      <c r="X104" s="7">
        <f t="shared" si="49"/>
        <v>12.285</v>
      </c>
      <c r="Y104" s="8">
        <f t="shared" si="50"/>
        <v>3</v>
      </c>
      <c r="Z104" s="7">
        <f>IF(ISBLANK(Z17),NA(),SUM($Z$4:Z17))</f>
        <v>40.699999999999996</v>
      </c>
      <c r="AA104" s="7">
        <f t="shared" si="74"/>
        <v>27.533333333333331</v>
      </c>
      <c r="AB104" s="26">
        <f>IF(ISBLANK(Z17),"",SUM($Z$4:Z17))</f>
        <v>40.699999999999996</v>
      </c>
      <c r="AC104" s="115">
        <f t="shared" si="75"/>
        <v>1.4782082324455206</v>
      </c>
      <c r="AD104" s="8">
        <f t="shared" si="51"/>
        <v>1016.3571428928572</v>
      </c>
      <c r="AE104" s="610">
        <f t="shared" si="52"/>
        <v>1.0735442629422112</v>
      </c>
      <c r="AF104" s="524">
        <f t="shared" si="53"/>
        <v>0.24305555555555555</v>
      </c>
      <c r="AG104" s="22">
        <f>IF(ISBLANK(AP17),NA(),SUM($AP$4:AP17))</f>
        <v>95.2</v>
      </c>
      <c r="AH104" s="7">
        <f>SUM($AS$91:AS104)</f>
        <v>88.678225282570025</v>
      </c>
      <c r="AI104" s="115">
        <f t="shared" si="54"/>
        <v>1.0735442629422112</v>
      </c>
      <c r="AJ104" s="124">
        <f t="shared" si="55"/>
        <v>0</v>
      </c>
      <c r="AK104" s="8">
        <f t="shared" si="56"/>
        <v>1017.5</v>
      </c>
      <c r="AL104" s="124">
        <f t="shared" si="57"/>
        <v>0</v>
      </c>
      <c r="AM104" s="524">
        <f t="shared" si="58"/>
        <v>0.65972222222222221</v>
      </c>
      <c r="AN104" s="25">
        <f>AP39/E34</f>
        <v>6.3666666666666663</v>
      </c>
      <c r="AO104" s="524">
        <f t="shared" si="59"/>
        <v>0.73263888888888884</v>
      </c>
      <c r="AP104" s="451" t="s">
        <v>114</v>
      </c>
      <c r="AQ104" s="450">
        <v>9.1999999999999998E-2</v>
      </c>
      <c r="AR104" s="524">
        <f t="shared" si="60"/>
        <v>0.1875</v>
      </c>
      <c r="AS104" s="7">
        <f t="shared" si="61"/>
        <v>6.3835217506017159</v>
      </c>
      <c r="AT104" s="7">
        <v>15.08992872446689</v>
      </c>
      <c r="AU104" s="4">
        <v>14</v>
      </c>
      <c r="AV104" s="127">
        <f t="shared" si="62"/>
        <v>1</v>
      </c>
      <c r="AW104" s="124">
        <f t="shared" si="76"/>
        <v>0</v>
      </c>
      <c r="AX104" s="124">
        <f t="shared" si="77"/>
        <v>0</v>
      </c>
      <c r="AY104" s="124">
        <f t="shared" si="63"/>
        <v>1</v>
      </c>
      <c r="AZ104" s="125">
        <f t="shared" si="64"/>
        <v>4.4000000000000004</v>
      </c>
      <c r="BA104" s="125">
        <f t="shared" si="65"/>
        <v>12.616666666666665</v>
      </c>
      <c r="BB104" s="125">
        <f t="shared" si="66"/>
        <v>18.68333333333333</v>
      </c>
      <c r="BC104" s="7">
        <v>12.569444444444439</v>
      </c>
      <c r="BD104" s="7">
        <v>18.721888888888888</v>
      </c>
      <c r="BE104" s="124"/>
      <c r="BF104" s="8">
        <f t="shared" si="67"/>
        <v>58</v>
      </c>
      <c r="BG104" s="21">
        <f t="shared" si="68"/>
        <v>17.5</v>
      </c>
      <c r="BH104" s="124">
        <f t="shared" si="69"/>
        <v>0</v>
      </c>
      <c r="BI104" s="124">
        <f t="shared" si="78"/>
        <v>0</v>
      </c>
      <c r="BJ104" s="144">
        <f t="shared" si="70"/>
        <v>0</v>
      </c>
      <c r="BL104" s="99">
        <v>14</v>
      </c>
    </row>
    <row r="105" spans="1:64" ht="12.75" x14ac:dyDescent="0.2">
      <c r="A105" s="8">
        <f t="shared" si="34"/>
        <v>21</v>
      </c>
      <c r="B105" s="125">
        <f t="shared" si="35"/>
        <v>11.1</v>
      </c>
      <c r="C105" s="125">
        <f t="shared" si="36"/>
        <v>20.2</v>
      </c>
      <c r="D105" s="125">
        <f t="shared" si="71"/>
        <v>15.649999999999999</v>
      </c>
      <c r="E105" s="125">
        <f t="shared" si="37"/>
        <v>9.1</v>
      </c>
      <c r="F105" s="7">
        <v>11.095000000000001</v>
      </c>
      <c r="G105" s="7">
        <v>20.34375</v>
      </c>
      <c r="H105" s="7">
        <f t="shared" si="72"/>
        <v>15.719374999999999</v>
      </c>
      <c r="I105" s="7">
        <f t="shared" si="73"/>
        <v>9.2487499999999994</v>
      </c>
      <c r="K105" s="7">
        <f t="shared" si="38"/>
        <v>5.0999999999999996</v>
      </c>
      <c r="L105" s="7">
        <f t="shared" si="39"/>
        <v>17.45</v>
      </c>
      <c r="M105" s="370">
        <f t="shared" si="40"/>
        <v>4.9266666666666667</v>
      </c>
      <c r="N105" s="1">
        <f t="shared" si="41"/>
        <v>0</v>
      </c>
      <c r="O105" s="7">
        <f t="shared" si="42"/>
        <v>67.533333333333331</v>
      </c>
      <c r="P105" s="7">
        <f t="shared" si="43"/>
        <v>10.573333333333332</v>
      </c>
      <c r="Q105" s="7">
        <f t="shared" si="44"/>
        <v>19.646666666666668</v>
      </c>
      <c r="R105" s="7">
        <f t="shared" si="45"/>
        <v>15.093333333333332</v>
      </c>
      <c r="S105" s="7">
        <f t="shared" si="46"/>
        <v>9.0733333333333341</v>
      </c>
      <c r="T105" s="1">
        <v>46</v>
      </c>
      <c r="U105" s="333">
        <f t="shared" si="47"/>
        <v>1.9666666666666666</v>
      </c>
      <c r="V105" s="4">
        <v>15</v>
      </c>
      <c r="W105" s="7">
        <f t="shared" si="48"/>
        <v>4.0950000000000006</v>
      </c>
      <c r="X105" s="7">
        <f t="shared" si="49"/>
        <v>12.558000000000002</v>
      </c>
      <c r="Y105" s="8">
        <f t="shared" si="50"/>
        <v>4</v>
      </c>
      <c r="Z105" s="7">
        <f>IF(ISBLANK(Z18),NA(),SUM($Z$4:Z18))</f>
        <v>40.699999999999996</v>
      </c>
      <c r="AA105" s="7">
        <f t="shared" si="74"/>
        <v>29.5</v>
      </c>
      <c r="AB105" s="26">
        <f>IF(ISBLANK(Z18),"",SUM($Z$4:Z18))</f>
        <v>40.699999999999996</v>
      </c>
      <c r="AC105" s="115">
        <f t="shared" si="75"/>
        <v>1.3796610169491523</v>
      </c>
      <c r="AD105" s="8">
        <f t="shared" si="51"/>
        <v>1016.2000000333334</v>
      </c>
      <c r="AE105" s="610">
        <f t="shared" si="52"/>
        <v>1.0119253039094394</v>
      </c>
      <c r="AF105" s="524">
        <f t="shared" si="53"/>
        <v>0.28472222222222221</v>
      </c>
      <c r="AG105" s="22">
        <f>IF(ISBLANK(AP18),NA(),SUM($AP$4:AP18))</f>
        <v>96.2</v>
      </c>
      <c r="AH105" s="7">
        <f>SUM($AS$91:AS105)</f>
        <v>95.066305416362312</v>
      </c>
      <c r="AI105" s="115">
        <f t="shared" si="54"/>
        <v>1.0119253039094394</v>
      </c>
      <c r="AJ105" s="124">
        <f t="shared" si="55"/>
        <v>0</v>
      </c>
      <c r="AK105" s="8">
        <f t="shared" si="56"/>
        <v>1014</v>
      </c>
      <c r="AL105" s="124">
        <f t="shared" si="57"/>
        <v>0</v>
      </c>
      <c r="AM105" s="524">
        <f t="shared" si="58"/>
        <v>0.4861111111111111</v>
      </c>
      <c r="AN105" s="1">
        <f t="array" ref="AN105">MAX(IF(F4:F34=$F$85,E4:E34,0))</f>
        <v>1</v>
      </c>
      <c r="AO105" s="524">
        <f t="shared" si="59"/>
        <v>0.55555555555555558</v>
      </c>
      <c r="AP105" s="451" t="s">
        <v>212</v>
      </c>
      <c r="AQ105" s="452">
        <v>7.4999999999999997E-2</v>
      </c>
      <c r="AR105" s="524">
        <f t="shared" si="60"/>
        <v>0.20833333333333334</v>
      </c>
      <c r="AS105" s="7">
        <f t="shared" si="61"/>
        <v>6.3880801337922799</v>
      </c>
      <c r="AT105" s="7">
        <v>15.100704230548301</v>
      </c>
      <c r="AU105" s="4">
        <v>15</v>
      </c>
      <c r="AV105" s="127">
        <f t="shared" si="62"/>
        <v>0</v>
      </c>
      <c r="AW105" s="124">
        <f t="shared" si="76"/>
        <v>0</v>
      </c>
      <c r="AX105" s="124">
        <f t="shared" si="77"/>
        <v>0</v>
      </c>
      <c r="AY105" s="124">
        <f t="shared" si="63"/>
        <v>0</v>
      </c>
      <c r="AZ105" s="125">
        <f t="shared" si="64"/>
        <v>4.4000000000000004</v>
      </c>
      <c r="BA105" s="125">
        <f t="shared" si="65"/>
        <v>12.616666666666665</v>
      </c>
      <c r="BB105" s="125">
        <f t="shared" si="66"/>
        <v>18.68333333333333</v>
      </c>
      <c r="BC105" s="7">
        <v>12.636458333333328</v>
      </c>
      <c r="BD105" s="7">
        <v>18.802291666666662</v>
      </c>
      <c r="BE105" s="124"/>
      <c r="BF105" s="8">
        <f t="shared" si="67"/>
        <v>72</v>
      </c>
      <c r="BG105" s="21">
        <f t="shared" si="68"/>
        <v>17.2</v>
      </c>
      <c r="BH105" s="124">
        <f t="shared" si="69"/>
        <v>0</v>
      </c>
      <c r="BI105" s="124">
        <f t="shared" si="78"/>
        <v>0</v>
      </c>
      <c r="BJ105" s="144">
        <f t="shared" si="70"/>
        <v>0</v>
      </c>
      <c r="BL105" s="99">
        <v>15</v>
      </c>
    </row>
    <row r="106" spans="1:64" ht="12.75" x14ac:dyDescent="0.2">
      <c r="A106" s="8">
        <f t="shared" si="34"/>
        <v>38</v>
      </c>
      <c r="B106" s="125">
        <f t="shared" si="35"/>
        <v>11.1</v>
      </c>
      <c r="C106" s="125">
        <f t="shared" si="36"/>
        <v>20.2</v>
      </c>
      <c r="D106" s="125">
        <f t="shared" si="71"/>
        <v>15.649999999999999</v>
      </c>
      <c r="E106" s="125">
        <f t="shared" si="37"/>
        <v>9.1</v>
      </c>
      <c r="F106" s="7">
        <v>11.15866666666666</v>
      </c>
      <c r="G106" s="7">
        <v>20.427499999999998</v>
      </c>
      <c r="H106" s="7">
        <f t="shared" si="72"/>
        <v>15.793083333333328</v>
      </c>
      <c r="I106" s="7">
        <f t="shared" si="73"/>
        <v>9.2688333333333386</v>
      </c>
      <c r="K106" s="7">
        <f t="shared" si="38"/>
        <v>6.7000000000000011</v>
      </c>
      <c r="L106" s="7">
        <f t="shared" si="39"/>
        <v>13.95</v>
      </c>
      <c r="M106" s="370">
        <f t="shared" si="40"/>
        <v>4.9375</v>
      </c>
      <c r="N106" s="1">
        <f t="shared" si="41"/>
        <v>4.8999999999999995</v>
      </c>
      <c r="O106" s="7">
        <f t="shared" si="42"/>
        <v>68.1875</v>
      </c>
      <c r="P106" s="7">
        <f t="shared" si="43"/>
        <v>10.574999999999999</v>
      </c>
      <c r="Q106" s="7">
        <f t="shared" si="44"/>
        <v>19.500000000000004</v>
      </c>
      <c r="R106" s="7">
        <f t="shared" si="45"/>
        <v>15.037499999999998</v>
      </c>
      <c r="S106" s="7">
        <f t="shared" si="46"/>
        <v>8.9250000000000007</v>
      </c>
      <c r="T106" s="1">
        <v>47</v>
      </c>
      <c r="U106" s="333">
        <f t="shared" si="47"/>
        <v>1.9666666666666666</v>
      </c>
      <c r="V106" s="4">
        <v>16</v>
      </c>
      <c r="W106" s="7">
        <f t="shared" si="48"/>
        <v>4.3680000000000003</v>
      </c>
      <c r="X106" s="7">
        <f t="shared" si="49"/>
        <v>12.831000000000001</v>
      </c>
      <c r="Y106" s="8">
        <f t="shared" si="50"/>
        <v>4</v>
      </c>
      <c r="Z106" s="7">
        <f>IF(ISBLANK(Z19),NA(),SUM($Z$4:Z19))</f>
        <v>55.399999999999991</v>
      </c>
      <c r="AA106" s="7">
        <f t="shared" si="74"/>
        <v>31.466666666666665</v>
      </c>
      <c r="AB106" s="26">
        <f>IF(ISBLANK(Z19),"",SUM($Z$4:Z19))</f>
        <v>55.399999999999991</v>
      </c>
      <c r="AC106" s="115">
        <f t="shared" si="75"/>
        <v>1.7605932203389829</v>
      </c>
      <c r="AD106" s="8">
        <f t="shared" si="51"/>
        <v>1015.87500003125</v>
      </c>
      <c r="AE106" s="610">
        <f t="shared" si="52"/>
        <v>0.97774146865999489</v>
      </c>
      <c r="AF106" s="524" t="e">
        <f t="shared" si="53"/>
        <v>#N/A</v>
      </c>
      <c r="AG106" s="22">
        <f>IF(ISBLANK(AP19),NA(),SUM($AP$4:AP19))</f>
        <v>99.2</v>
      </c>
      <c r="AH106" s="7">
        <f>SUM($AS$91:AS106)</f>
        <v>101.45831304051639</v>
      </c>
      <c r="AI106" s="115">
        <f t="shared" si="54"/>
        <v>0.97774146865999489</v>
      </c>
      <c r="AJ106" s="124">
        <f t="shared" si="55"/>
        <v>1</v>
      </c>
      <c r="AK106" s="8">
        <f t="shared" si="56"/>
        <v>1011</v>
      </c>
      <c r="AL106" s="124">
        <f t="shared" si="57"/>
        <v>1</v>
      </c>
      <c r="AM106" s="524">
        <f t="shared" si="58"/>
        <v>0.76041666666666663</v>
      </c>
      <c r="AN106" s="1">
        <f t="array" ref="AN106">MAX(IF(G4:G34=$G$86,E4:E34,0))</f>
        <v>27</v>
      </c>
      <c r="AO106" s="524">
        <f t="shared" si="59"/>
        <v>0.65277777777777779</v>
      </c>
      <c r="AP106" s="451" t="s">
        <v>128</v>
      </c>
      <c r="AQ106" s="450">
        <v>4.7E-2</v>
      </c>
      <c r="AR106" s="524">
        <f t="shared" si="60"/>
        <v>0.22569444444444445</v>
      </c>
      <c r="AS106" s="7">
        <f t="shared" si="61"/>
        <v>6.392007624154072</v>
      </c>
      <c r="AT106" s="7">
        <v>15.10998837681441</v>
      </c>
      <c r="AU106" s="4">
        <v>16</v>
      </c>
      <c r="AV106" s="127">
        <f t="shared" si="62"/>
        <v>0</v>
      </c>
      <c r="AW106" s="124">
        <f t="shared" si="76"/>
        <v>0</v>
      </c>
      <c r="AX106" s="124">
        <f t="shared" si="77"/>
        <v>0</v>
      </c>
      <c r="AY106" s="124">
        <f t="shared" si="63"/>
        <v>0</v>
      </c>
      <c r="AZ106" s="125">
        <f t="shared" si="64"/>
        <v>4.4000000000000004</v>
      </c>
      <c r="BA106" s="125">
        <f t="shared" si="65"/>
        <v>12.616666666666665</v>
      </c>
      <c r="BB106" s="125">
        <f t="shared" si="66"/>
        <v>18.68333333333333</v>
      </c>
      <c r="BC106" s="7">
        <v>12.703472222222217</v>
      </c>
      <c r="BD106" s="7">
        <v>18.882694444444439</v>
      </c>
      <c r="BE106" s="124"/>
      <c r="BF106" s="8">
        <f t="shared" si="67"/>
        <v>78</v>
      </c>
      <c r="BG106" s="21">
        <f t="shared" si="68"/>
        <v>14.2</v>
      </c>
      <c r="BH106" s="124">
        <f t="shared" si="69"/>
        <v>0</v>
      </c>
      <c r="BI106" s="124">
        <f t="shared" si="78"/>
        <v>1</v>
      </c>
      <c r="BJ106" s="144">
        <f t="shared" si="70"/>
        <v>4.8999999999999995</v>
      </c>
      <c r="BL106" s="99">
        <v>16</v>
      </c>
    </row>
    <row r="107" spans="1:64" ht="12.75" x14ac:dyDescent="0.2">
      <c r="A107" s="8">
        <f t="shared" si="34"/>
        <v>23</v>
      </c>
      <c r="B107" s="125">
        <f t="shared" si="35"/>
        <v>11.1</v>
      </c>
      <c r="C107" s="125">
        <f t="shared" si="36"/>
        <v>20.2</v>
      </c>
      <c r="D107" s="125">
        <f t="shared" si="71"/>
        <v>15.649999999999999</v>
      </c>
      <c r="E107" s="125">
        <f t="shared" si="37"/>
        <v>9.1</v>
      </c>
      <c r="F107" s="7">
        <v>11.222333333333326</v>
      </c>
      <c r="G107" s="7">
        <v>20.51125</v>
      </c>
      <c r="H107" s="7">
        <f t="shared" si="72"/>
        <v>15.866791666666664</v>
      </c>
      <c r="I107" s="7">
        <f t="shared" si="73"/>
        <v>9.2889166666666743</v>
      </c>
      <c r="K107" s="7">
        <f t="shared" si="38"/>
        <v>4.9000000000000004</v>
      </c>
      <c r="L107" s="7">
        <f t="shared" si="39"/>
        <v>12.350000000000001</v>
      </c>
      <c r="M107" s="370">
        <f t="shared" si="40"/>
        <v>4.9411764705882355</v>
      </c>
      <c r="N107" s="1">
        <f t="shared" si="41"/>
        <v>2.5333333333333332</v>
      </c>
      <c r="O107" s="7">
        <f t="shared" si="42"/>
        <v>69.235294117647058</v>
      </c>
      <c r="P107" s="7">
        <f t="shared" si="43"/>
        <v>10.535294117647059</v>
      </c>
      <c r="Q107" s="7">
        <f t="shared" si="44"/>
        <v>19.223529411764709</v>
      </c>
      <c r="R107" s="7">
        <f t="shared" si="45"/>
        <v>14.888235294117646</v>
      </c>
      <c r="S107" s="7">
        <f t="shared" si="46"/>
        <v>8.6882352941176482</v>
      </c>
      <c r="T107" s="1">
        <v>48</v>
      </c>
      <c r="U107" s="333">
        <f t="shared" si="47"/>
        <v>1.9666666666666666</v>
      </c>
      <c r="V107" s="4">
        <v>17</v>
      </c>
      <c r="W107" s="7">
        <f t="shared" si="48"/>
        <v>4.641</v>
      </c>
      <c r="X107" s="7">
        <f t="shared" si="49"/>
        <v>13.104000000000001</v>
      </c>
      <c r="Y107" s="8">
        <f t="shared" si="50"/>
        <v>16</v>
      </c>
      <c r="Z107" s="7">
        <f>IF(ISBLANK(Z20),NA(),SUM($Z$4:Z20))</f>
        <v>62.999999999999993</v>
      </c>
      <c r="AA107" s="7">
        <f t="shared" si="74"/>
        <v>33.43333333333333</v>
      </c>
      <c r="AB107" s="26">
        <f>IF(ISBLANK(Z20),"",SUM($Z$4:Z20))</f>
        <v>62.999999999999993</v>
      </c>
      <c r="AC107" s="115">
        <f t="shared" si="75"/>
        <v>1.8843469591226321</v>
      </c>
      <c r="AD107" s="8">
        <f t="shared" si="51"/>
        <v>1015.1176470882353</v>
      </c>
      <c r="AE107" s="610">
        <f t="shared" si="52"/>
        <v>0.92254674629542288</v>
      </c>
      <c r="AF107" s="524" t="e">
        <f t="shared" si="53"/>
        <v>#N/A</v>
      </c>
      <c r="AG107" s="22">
        <f>IF(ISBLANK(AP20),NA(),SUM($AP$4:AP20))</f>
        <v>99.5</v>
      </c>
      <c r="AH107" s="7">
        <f>SUM($AS$91:AS107)</f>
        <v>107.85361327168735</v>
      </c>
      <c r="AI107" s="115">
        <f t="shared" si="54"/>
        <v>0.92254674629542288</v>
      </c>
      <c r="AJ107" s="124">
        <f t="shared" si="55"/>
        <v>1</v>
      </c>
      <c r="AK107" s="8">
        <f t="shared" si="56"/>
        <v>1003</v>
      </c>
      <c r="AL107" s="124">
        <f t="shared" si="57"/>
        <v>1</v>
      </c>
      <c r="AM107" s="524">
        <f t="shared" si="58"/>
        <v>0.5</v>
      </c>
      <c r="AN107" s="7">
        <f>C85-G39</f>
        <v>-6.7999999999999989</v>
      </c>
      <c r="AO107" s="524">
        <f t="shared" si="59"/>
        <v>0.47916666666666669</v>
      </c>
      <c r="AP107" s="449" t="s">
        <v>213</v>
      </c>
      <c r="AQ107" s="450">
        <v>0.04</v>
      </c>
      <c r="AR107" s="524">
        <f t="shared" si="60"/>
        <v>0.20138888888888887</v>
      </c>
      <c r="AS107" s="7">
        <f t="shared" si="61"/>
        <v>6.3953002311709612</v>
      </c>
      <c r="AT107" s="7">
        <v>15.117771730133109</v>
      </c>
      <c r="AU107" s="4">
        <v>17</v>
      </c>
      <c r="AV107" s="127">
        <f t="shared" si="62"/>
        <v>0</v>
      </c>
      <c r="AW107" s="124">
        <f t="shared" si="76"/>
        <v>1</v>
      </c>
      <c r="AX107" s="124">
        <f t="shared" si="77"/>
        <v>0</v>
      </c>
      <c r="AY107" s="124">
        <f t="shared" si="63"/>
        <v>0</v>
      </c>
      <c r="AZ107" s="125">
        <f t="shared" si="64"/>
        <v>4.4000000000000004</v>
      </c>
      <c r="BA107" s="125">
        <f t="shared" si="65"/>
        <v>12.616666666666665</v>
      </c>
      <c r="BB107" s="125">
        <f t="shared" si="66"/>
        <v>18.68333333333333</v>
      </c>
      <c r="BC107" s="7">
        <v>12.770486111111104</v>
      </c>
      <c r="BD107" s="7">
        <v>18.963097222222217</v>
      </c>
      <c r="BE107" s="124"/>
      <c r="BF107" s="8">
        <f t="shared" si="67"/>
        <v>86</v>
      </c>
      <c r="BG107" s="21">
        <f t="shared" si="68"/>
        <v>12.5</v>
      </c>
      <c r="BH107" s="124">
        <f t="shared" si="69"/>
        <v>1</v>
      </c>
      <c r="BI107" s="124">
        <f t="shared" si="78"/>
        <v>1</v>
      </c>
      <c r="BJ107" s="144">
        <f t="shared" si="70"/>
        <v>2.5333333333333332</v>
      </c>
      <c r="BL107" s="99">
        <v>17</v>
      </c>
    </row>
    <row r="108" spans="1:64" ht="12.75" x14ac:dyDescent="0.2">
      <c r="A108" s="8">
        <f t="shared" si="34"/>
        <v>41</v>
      </c>
      <c r="B108" s="125">
        <f t="shared" si="35"/>
        <v>11.1</v>
      </c>
      <c r="C108" s="125">
        <f t="shared" si="36"/>
        <v>20.2</v>
      </c>
      <c r="D108" s="125">
        <f t="shared" si="71"/>
        <v>15.649999999999999</v>
      </c>
      <c r="E108" s="125">
        <f t="shared" si="37"/>
        <v>9.1</v>
      </c>
      <c r="F108" s="7">
        <v>11.285999999999992</v>
      </c>
      <c r="G108" s="7">
        <v>20.594999999999999</v>
      </c>
      <c r="H108" s="7">
        <f t="shared" si="72"/>
        <v>15.940499999999997</v>
      </c>
      <c r="I108" s="7">
        <f t="shared" si="73"/>
        <v>9.3090000000000064</v>
      </c>
      <c r="K108" s="7">
        <f t="shared" si="38"/>
        <v>6.3000000000000007</v>
      </c>
      <c r="L108" s="7">
        <f t="shared" si="39"/>
        <v>14.35</v>
      </c>
      <c r="M108" s="370">
        <f t="shared" si="40"/>
        <v>5.0888888888888886</v>
      </c>
      <c r="N108" s="1">
        <f t="shared" si="41"/>
        <v>0.3666666666666667</v>
      </c>
      <c r="O108" s="7">
        <f t="shared" si="42"/>
        <v>69.611111111111114</v>
      </c>
      <c r="P108" s="7">
        <f t="shared" si="43"/>
        <v>10.572222222222221</v>
      </c>
      <c r="Q108" s="7">
        <f t="shared" si="44"/>
        <v>19.12777777777778</v>
      </c>
      <c r="R108" s="7">
        <f t="shared" si="45"/>
        <v>14.844444444444443</v>
      </c>
      <c r="S108" s="7">
        <f t="shared" si="46"/>
        <v>8.5555555555555571</v>
      </c>
      <c r="T108" s="1">
        <v>49</v>
      </c>
      <c r="U108" s="333">
        <f t="shared" si="47"/>
        <v>1.9666666666666666</v>
      </c>
      <c r="V108" s="4">
        <v>18</v>
      </c>
      <c r="W108" s="7">
        <f t="shared" si="48"/>
        <v>4.9140000000000006</v>
      </c>
      <c r="X108" s="7">
        <f t="shared" si="49"/>
        <v>13.377000000000001</v>
      </c>
      <c r="Y108" s="8">
        <f t="shared" si="50"/>
        <v>9</v>
      </c>
      <c r="Z108" s="7">
        <f>IF(ISBLANK(Z21),NA(),SUM($Z$4:Z21))</f>
        <v>64.099999999999994</v>
      </c>
      <c r="AA108" s="7">
        <f t="shared" si="74"/>
        <v>35.4</v>
      </c>
      <c r="AB108" s="26">
        <f>IF(ISBLANK(Z21),"",SUM($Z$4:Z21))</f>
        <v>64.099999999999994</v>
      </c>
      <c r="AC108" s="115">
        <f t="shared" si="75"/>
        <v>1.8107344632768361</v>
      </c>
      <c r="AD108" s="8">
        <f t="shared" si="51"/>
        <v>1014.3055555833333</v>
      </c>
      <c r="AE108" s="610">
        <f t="shared" si="52"/>
        <v>0.90151935703765396</v>
      </c>
      <c r="AF108" s="524">
        <f t="shared" si="53"/>
        <v>3.125E-2</v>
      </c>
      <c r="AG108" s="22">
        <f>IF(ISBLANK(AP21),NA(),SUM($AP$4:AP21))</f>
        <v>103</v>
      </c>
      <c r="AH108" s="7">
        <f>SUM($AS$91:AS108)</f>
        <v>114.25156786256113</v>
      </c>
      <c r="AI108" s="115">
        <f t="shared" si="54"/>
        <v>0.90151935703765396</v>
      </c>
      <c r="AJ108" s="124">
        <f t="shared" si="55"/>
        <v>1</v>
      </c>
      <c r="AK108" s="8">
        <f t="shared" si="56"/>
        <v>1000.5</v>
      </c>
      <c r="AL108" s="124">
        <f t="shared" si="57"/>
        <v>1</v>
      </c>
      <c r="AM108" s="524">
        <f t="shared" si="58"/>
        <v>0.66666666666666663</v>
      </c>
      <c r="AN108" s="124">
        <f t="array" ref="AN108">SUM(IF(Z4:Z34&gt;10,1,0))</f>
        <v>2</v>
      </c>
      <c r="AO108" s="524">
        <f t="shared" si="59"/>
        <v>0.65625</v>
      </c>
      <c r="AP108" s="303"/>
      <c r="AQ108" s="303"/>
      <c r="AR108" s="524">
        <f t="shared" si="60"/>
        <v>0.25</v>
      </c>
      <c r="AS108" s="7">
        <f t="shared" si="61"/>
        <v>6.3979545908737734</v>
      </c>
      <c r="AT108" s="7">
        <v>15.124046338458953</v>
      </c>
      <c r="AU108" s="4">
        <v>18</v>
      </c>
      <c r="AV108" s="127">
        <f t="shared" si="62"/>
        <v>0</v>
      </c>
      <c r="AW108" s="124">
        <f t="shared" si="76"/>
        <v>0</v>
      </c>
      <c r="AX108" s="124">
        <f t="shared" si="77"/>
        <v>0</v>
      </c>
      <c r="AY108" s="124">
        <f t="shared" si="63"/>
        <v>0</v>
      </c>
      <c r="AZ108" s="125">
        <f t="shared" si="64"/>
        <v>4.4000000000000004</v>
      </c>
      <c r="BA108" s="125">
        <f t="shared" si="65"/>
        <v>12.616666666666665</v>
      </c>
      <c r="BB108" s="125">
        <f t="shared" si="66"/>
        <v>18.68333333333333</v>
      </c>
      <c r="BC108" s="7">
        <v>12.8375</v>
      </c>
      <c r="BD108" s="7">
        <v>19.043499999999995</v>
      </c>
      <c r="BE108" s="124"/>
      <c r="BF108" s="8">
        <f t="shared" si="67"/>
        <v>76</v>
      </c>
      <c r="BG108" s="21">
        <f t="shared" si="68"/>
        <v>14.1</v>
      </c>
      <c r="BH108" s="124">
        <f t="shared" si="69"/>
        <v>1</v>
      </c>
      <c r="BI108" s="124">
        <f t="shared" si="78"/>
        <v>1</v>
      </c>
      <c r="BJ108" s="144">
        <f t="shared" si="70"/>
        <v>0.3666666666666667</v>
      </c>
      <c r="BL108" s="99">
        <v>18</v>
      </c>
    </row>
    <row r="109" spans="1:64" ht="12.75" x14ac:dyDescent="0.2">
      <c r="A109" s="8">
        <f t="shared" si="34"/>
        <v>41</v>
      </c>
      <c r="B109" s="125">
        <f t="shared" si="35"/>
        <v>11.1</v>
      </c>
      <c r="C109" s="125">
        <f t="shared" si="36"/>
        <v>20.2</v>
      </c>
      <c r="D109" s="125">
        <f t="shared" si="71"/>
        <v>15.649999999999999</v>
      </c>
      <c r="E109" s="125">
        <f t="shared" si="37"/>
        <v>9.1</v>
      </c>
      <c r="F109" s="7">
        <v>11.349666666666659</v>
      </c>
      <c r="G109" s="7">
        <v>20.678750000000001</v>
      </c>
      <c r="H109" s="7">
        <f t="shared" si="72"/>
        <v>16.014208333333329</v>
      </c>
      <c r="I109" s="7">
        <f t="shared" si="73"/>
        <v>9.3290833333333421</v>
      </c>
      <c r="K109" s="7">
        <f t="shared" si="38"/>
        <v>7.2999999999999989</v>
      </c>
      <c r="L109" s="7">
        <f t="shared" si="39"/>
        <v>14.75</v>
      </c>
      <c r="M109" s="370">
        <f t="shared" si="40"/>
        <v>5.1736842105263152</v>
      </c>
      <c r="N109" s="1">
        <f t="shared" si="41"/>
        <v>9.9999999999999992E-2</v>
      </c>
      <c r="O109" s="7">
        <f t="shared" si="42"/>
        <v>69.315789473684205</v>
      </c>
      <c r="P109" s="7">
        <f t="shared" si="43"/>
        <v>10.6</v>
      </c>
      <c r="Q109" s="7">
        <f t="shared" si="44"/>
        <v>19.089473684210528</v>
      </c>
      <c r="R109" s="7">
        <f t="shared" si="45"/>
        <v>14.86315789473684</v>
      </c>
      <c r="S109" s="7">
        <f t="shared" si="46"/>
        <v>8.4894736842105285</v>
      </c>
      <c r="T109" s="1">
        <v>50</v>
      </c>
      <c r="U109" s="333">
        <f t="shared" si="47"/>
        <v>1.9666666666666666</v>
      </c>
      <c r="V109" s="4">
        <v>19</v>
      </c>
      <c r="W109" s="7">
        <f t="shared" si="48"/>
        <v>5.1870000000000003</v>
      </c>
      <c r="X109" s="7">
        <f t="shared" si="49"/>
        <v>13.65</v>
      </c>
      <c r="Y109" s="8">
        <f t="shared" si="50"/>
        <v>9</v>
      </c>
      <c r="Z109" s="7">
        <f>IF(ISBLANK(Z22),NA(),SUM($Z$4:Z22))</f>
        <v>64.399999999999991</v>
      </c>
      <c r="AA109" s="7">
        <f t="shared" si="74"/>
        <v>37.366666666666667</v>
      </c>
      <c r="AB109" s="26">
        <f>IF(ISBLANK(Z22),"",SUM($Z$4:Z22))</f>
        <v>64.399999999999991</v>
      </c>
      <c r="AC109" s="115">
        <f t="shared" si="75"/>
        <v>1.7234611953612844</v>
      </c>
      <c r="AD109" s="8">
        <f t="shared" si="51"/>
        <v>1014.0526316052632</v>
      </c>
      <c r="AE109" s="610">
        <f t="shared" si="52"/>
        <v>0.89513986910053434</v>
      </c>
      <c r="AF109" s="524">
        <f t="shared" si="53"/>
        <v>0.23611111111111113</v>
      </c>
      <c r="AG109" s="22">
        <f>IF(ISBLANK(AP22),NA(),SUM($AP$4:AP22))</f>
        <v>108</v>
      </c>
      <c r="AH109" s="7">
        <f>SUM($AS$91:AS109)</f>
        <v>120.65153584156845</v>
      </c>
      <c r="AI109" s="115">
        <f t="shared" si="54"/>
        <v>0.89513986910053434</v>
      </c>
      <c r="AJ109" s="124">
        <f t="shared" si="55"/>
        <v>1</v>
      </c>
      <c r="AK109" s="8">
        <f t="shared" si="56"/>
        <v>1009.5</v>
      </c>
      <c r="AL109" s="124">
        <f t="shared" si="57"/>
        <v>0</v>
      </c>
      <c r="AM109" s="524">
        <f t="shared" si="58"/>
        <v>0.73958333333333337</v>
      </c>
      <c r="AO109" s="524">
        <f t="shared" si="59"/>
        <v>0.73611111111111116</v>
      </c>
      <c r="AP109" s="423" t="s">
        <v>129</v>
      </c>
      <c r="AQ109" s="453">
        <f>MAX(AQ92:AQ107)</f>
        <v>0.157</v>
      </c>
      <c r="AR109" s="524">
        <f t="shared" si="60"/>
        <v>0.21527777777777779</v>
      </c>
      <c r="AS109" s="7">
        <f t="shared" si="61"/>
        <v>6.3999679790073083</v>
      </c>
      <c r="AT109" s="7">
        <v>15.128805761958507</v>
      </c>
      <c r="AU109" s="4">
        <v>19</v>
      </c>
      <c r="AV109" s="127">
        <f t="shared" si="62"/>
        <v>1</v>
      </c>
      <c r="AW109" s="124">
        <f t="shared" si="76"/>
        <v>0</v>
      </c>
      <c r="AX109" s="124">
        <f t="shared" si="77"/>
        <v>0</v>
      </c>
      <c r="AY109" s="124">
        <f t="shared" si="63"/>
        <v>0</v>
      </c>
      <c r="AZ109" s="125">
        <f t="shared" si="64"/>
        <v>4.4000000000000004</v>
      </c>
      <c r="BA109" s="125">
        <f t="shared" si="65"/>
        <v>12.616666666666665</v>
      </c>
      <c r="BB109" s="125">
        <f t="shared" si="66"/>
        <v>18.68333333333333</v>
      </c>
      <c r="BC109" s="7">
        <v>12.904513888888882</v>
      </c>
      <c r="BD109" s="7">
        <v>19.123902777777769</v>
      </c>
      <c r="BE109" s="124"/>
      <c r="BF109" s="8">
        <f t="shared" si="67"/>
        <v>64</v>
      </c>
      <c r="BG109" s="21">
        <f t="shared" si="68"/>
        <v>15.2</v>
      </c>
      <c r="BH109" s="124">
        <f t="shared" si="69"/>
        <v>0</v>
      </c>
      <c r="BI109" s="124">
        <f t="shared" si="78"/>
        <v>0</v>
      </c>
      <c r="BJ109" s="144">
        <f t="shared" si="70"/>
        <v>9.9999999999999992E-2</v>
      </c>
      <c r="BL109" s="99">
        <v>19</v>
      </c>
    </row>
    <row r="110" spans="1:64" ht="12.75" x14ac:dyDescent="0.2">
      <c r="A110" s="8">
        <f t="shared" si="34"/>
        <v>36</v>
      </c>
      <c r="B110" s="125">
        <f t="shared" si="35"/>
        <v>11.1</v>
      </c>
      <c r="C110" s="125">
        <f t="shared" si="36"/>
        <v>20.2</v>
      </c>
      <c r="D110" s="125">
        <f t="shared" si="71"/>
        <v>15.649999999999999</v>
      </c>
      <c r="E110" s="125">
        <f t="shared" si="37"/>
        <v>9.1</v>
      </c>
      <c r="F110" s="7">
        <v>11.413333333333325</v>
      </c>
      <c r="G110" s="7">
        <v>20.762499999999999</v>
      </c>
      <c r="H110" s="7">
        <f t="shared" si="72"/>
        <v>16.087916666666661</v>
      </c>
      <c r="I110" s="7">
        <f t="shared" si="73"/>
        <v>9.3491666666666742</v>
      </c>
      <c r="K110" s="7">
        <f t="shared" si="38"/>
        <v>11</v>
      </c>
      <c r="L110" s="7">
        <f t="shared" si="39"/>
        <v>14.8</v>
      </c>
      <c r="M110" s="370">
        <f t="shared" si="40"/>
        <v>5.085</v>
      </c>
      <c r="N110" s="1">
        <f t="shared" si="41"/>
        <v>0.9</v>
      </c>
      <c r="O110" s="7">
        <f t="shared" si="42"/>
        <v>69.5</v>
      </c>
      <c r="P110" s="7">
        <f t="shared" si="43"/>
        <v>10.535</v>
      </c>
      <c r="Q110" s="7">
        <f t="shared" si="44"/>
        <v>19.150000000000002</v>
      </c>
      <c r="R110" s="7">
        <f t="shared" si="45"/>
        <v>14.879999999999999</v>
      </c>
      <c r="S110" s="7">
        <f t="shared" si="46"/>
        <v>8.615000000000002</v>
      </c>
      <c r="T110" s="1">
        <v>51</v>
      </c>
      <c r="U110" s="333">
        <f t="shared" si="47"/>
        <v>1.9666666666666666</v>
      </c>
      <c r="V110" s="4">
        <v>20</v>
      </c>
      <c r="W110" s="7">
        <f t="shared" si="48"/>
        <v>5.4600000000000009</v>
      </c>
      <c r="X110" s="7">
        <f t="shared" si="49"/>
        <v>13.923000000000002</v>
      </c>
      <c r="Y110" s="8">
        <f t="shared" si="50"/>
        <v>5</v>
      </c>
      <c r="Z110" s="7">
        <f>IF(ISBLANK(Z23),NA(),SUM($Z$4:Z23))</f>
        <v>67.099999999999994</v>
      </c>
      <c r="AA110" s="7">
        <f t="shared" si="74"/>
        <v>39.333333333333329</v>
      </c>
      <c r="AB110" s="26">
        <f>IF(ISBLANK(Z23),"",SUM($Z$4:Z23))</f>
        <v>67.099999999999994</v>
      </c>
      <c r="AC110" s="115">
        <f t="shared" si="75"/>
        <v>1.7059322033898305</v>
      </c>
      <c r="AD110" s="8">
        <f t="shared" si="51"/>
        <v>1013.925000025</v>
      </c>
      <c r="AE110" s="610">
        <f t="shared" si="52"/>
        <v>0.87758738819756676</v>
      </c>
      <c r="AF110" s="524" t="e">
        <f t="shared" si="53"/>
        <v>#N/A</v>
      </c>
      <c r="AG110" s="22">
        <f>IF(ISBLANK(AP23),NA(),SUM($AP$4:AP23))</f>
        <v>111.5</v>
      </c>
      <c r="AH110" s="7">
        <f>SUM($AS$91:AS110)</f>
        <v>127.05287416334039</v>
      </c>
      <c r="AI110" s="115">
        <f t="shared" si="54"/>
        <v>0.87758738819756676</v>
      </c>
      <c r="AJ110" s="124">
        <f t="shared" si="55"/>
        <v>1</v>
      </c>
      <c r="AK110" s="8">
        <f t="shared" si="56"/>
        <v>1011.5</v>
      </c>
      <c r="AL110" s="124">
        <f t="shared" si="57"/>
        <v>1</v>
      </c>
      <c r="AM110" s="524">
        <f t="shared" si="58"/>
        <v>0.6875</v>
      </c>
      <c r="AO110" s="524">
        <f t="shared" si="59"/>
        <v>0.66666666666666663</v>
      </c>
      <c r="AR110" s="524">
        <f t="shared" si="60"/>
        <v>0.17708333333333334</v>
      </c>
      <c r="AS110" s="7">
        <f t="shared" si="61"/>
        <v>6.4013383217719424</v>
      </c>
      <c r="AT110" s="7">
        <v>15.132045098402292</v>
      </c>
      <c r="AU110" s="4">
        <v>20</v>
      </c>
      <c r="AV110" s="127">
        <f t="shared" si="62"/>
        <v>0</v>
      </c>
      <c r="AW110" s="124">
        <f t="shared" si="76"/>
        <v>0</v>
      </c>
      <c r="AX110" s="124">
        <f t="shared" si="77"/>
        <v>0</v>
      </c>
      <c r="AY110" s="124">
        <f t="shared" si="63"/>
        <v>0</v>
      </c>
      <c r="AZ110" s="125">
        <f t="shared" si="64"/>
        <v>4.4000000000000004</v>
      </c>
      <c r="BA110" s="125">
        <f t="shared" si="65"/>
        <v>12.616666666666665</v>
      </c>
      <c r="BB110" s="125">
        <f t="shared" si="66"/>
        <v>18.68333333333333</v>
      </c>
      <c r="BC110" s="7">
        <v>12.971527777777769</v>
      </c>
      <c r="BD110" s="7">
        <v>19.204305555555546</v>
      </c>
      <c r="BE110" s="124"/>
      <c r="BF110" s="8">
        <f t="shared" si="67"/>
        <v>73</v>
      </c>
      <c r="BG110" s="21">
        <f t="shared" si="68"/>
        <v>15.2</v>
      </c>
      <c r="BH110" s="124">
        <f t="shared" si="69"/>
        <v>0</v>
      </c>
      <c r="BI110" s="124">
        <f t="shared" si="78"/>
        <v>1</v>
      </c>
      <c r="BJ110" s="144">
        <f t="shared" si="70"/>
        <v>0.9</v>
      </c>
      <c r="BL110" s="99">
        <v>20</v>
      </c>
    </row>
    <row r="111" spans="1:64" ht="12.75" x14ac:dyDescent="0.2">
      <c r="A111" s="8">
        <f t="shared" si="34"/>
        <v>46</v>
      </c>
      <c r="B111" s="125">
        <f t="shared" si="35"/>
        <v>11.1</v>
      </c>
      <c r="C111" s="125">
        <f t="shared" si="36"/>
        <v>20.2</v>
      </c>
      <c r="D111" s="125">
        <f t="shared" si="71"/>
        <v>15.649999999999999</v>
      </c>
      <c r="E111" s="125">
        <f t="shared" si="37"/>
        <v>9.1</v>
      </c>
      <c r="F111" s="7">
        <v>11.476999999999991</v>
      </c>
      <c r="G111" s="7">
        <v>20.846250000000001</v>
      </c>
      <c r="H111" s="7">
        <f t="shared" si="72"/>
        <v>16.161624999999997</v>
      </c>
      <c r="I111" s="7">
        <f t="shared" si="73"/>
        <v>9.3692500000000098</v>
      </c>
      <c r="K111" s="7">
        <f t="shared" si="38"/>
        <v>7.1999999999999993</v>
      </c>
      <c r="L111" s="7">
        <f t="shared" si="39"/>
        <v>17.600000000000001</v>
      </c>
      <c r="M111" s="370">
        <f t="shared" si="40"/>
        <v>5.2333333333333334</v>
      </c>
      <c r="N111" s="1">
        <f t="shared" si="41"/>
        <v>0</v>
      </c>
      <c r="O111" s="7">
        <f t="shared" si="42"/>
        <v>69.476190476190482</v>
      </c>
      <c r="P111" s="7">
        <f t="shared" si="43"/>
        <v>10.7</v>
      </c>
      <c r="Q111" s="7">
        <f t="shared" si="44"/>
        <v>19.24761904761905</v>
      </c>
      <c r="R111" s="7">
        <f t="shared" si="45"/>
        <v>14.990476190476189</v>
      </c>
      <c r="S111" s="7">
        <f t="shared" si="46"/>
        <v>8.5476190476190492</v>
      </c>
      <c r="T111" s="1">
        <v>52</v>
      </c>
      <c r="U111" s="333">
        <f t="shared" si="47"/>
        <v>1.9666666666666666</v>
      </c>
      <c r="V111" s="4">
        <v>21</v>
      </c>
      <c r="W111" s="7">
        <f t="shared" si="48"/>
        <v>5.7330000000000005</v>
      </c>
      <c r="X111" s="7">
        <f t="shared" si="49"/>
        <v>14.196000000000002</v>
      </c>
      <c r="Y111" s="8">
        <f t="shared" si="50"/>
        <v>2</v>
      </c>
      <c r="Z111" s="7">
        <f>IF(ISBLANK(Z24),NA(),SUM($Z$4:Z24))</f>
        <v>67.099999999999994</v>
      </c>
      <c r="AA111" s="7">
        <f t="shared" si="74"/>
        <v>41.3</v>
      </c>
      <c r="AB111" s="26">
        <f>IF(ISBLANK(Z24),"",SUM($Z$4:Z24))</f>
        <v>67.099999999999994</v>
      </c>
      <c r="AC111" s="115">
        <f t="shared" si="75"/>
        <v>1.6246973365617434</v>
      </c>
      <c r="AD111" s="8">
        <f t="shared" si="51"/>
        <v>1013.7380952619047</v>
      </c>
      <c r="AE111" s="610">
        <f t="shared" si="52"/>
        <v>0.88794016504493334</v>
      </c>
      <c r="AF111" s="524">
        <f t="shared" si="53"/>
        <v>0.25</v>
      </c>
      <c r="AG111" s="22">
        <f>IF(ISBLANK(AP24),NA(),SUM($AP$4:AP24))</f>
        <v>118.5</v>
      </c>
      <c r="AH111" s="7">
        <f>SUM($AS$91:AS111)</f>
        <v>133.45493836738811</v>
      </c>
      <c r="AI111" s="115">
        <f t="shared" si="54"/>
        <v>0.88794016504493334</v>
      </c>
      <c r="AJ111" s="124">
        <f t="shared" si="55"/>
        <v>0</v>
      </c>
      <c r="AK111" s="8">
        <f t="shared" si="56"/>
        <v>1010</v>
      </c>
      <c r="AL111" s="124">
        <f t="shared" si="57"/>
        <v>0</v>
      </c>
      <c r="AM111" s="524">
        <f t="shared" si="58"/>
        <v>0.8125</v>
      </c>
      <c r="AO111" s="524">
        <f t="shared" si="59"/>
        <v>0.67361111111111116</v>
      </c>
      <c r="AQ111" s="377"/>
      <c r="AR111" s="524">
        <f t="shared" si="60"/>
        <v>0.20833333333333334</v>
      </c>
      <c r="AS111" s="7">
        <f t="shared" si="61"/>
        <v>6.4020642040477052</v>
      </c>
      <c r="AT111" s="7">
        <v>15.133761002605578</v>
      </c>
      <c r="AU111" s="4">
        <v>21</v>
      </c>
      <c r="AV111" s="127">
        <f t="shared" si="62"/>
        <v>1</v>
      </c>
      <c r="AW111" s="124">
        <f t="shared" si="76"/>
        <v>0</v>
      </c>
      <c r="AX111" s="124">
        <f t="shared" si="77"/>
        <v>0</v>
      </c>
      <c r="AY111" s="124">
        <f t="shared" si="63"/>
        <v>0</v>
      </c>
      <c r="AZ111" s="125">
        <f t="shared" si="64"/>
        <v>4.4000000000000004</v>
      </c>
      <c r="BA111" s="125">
        <f t="shared" si="65"/>
        <v>12.616666666666665</v>
      </c>
      <c r="BB111" s="125">
        <f t="shared" si="66"/>
        <v>18.68333333333333</v>
      </c>
      <c r="BC111" s="7">
        <v>13.038541666666658</v>
      </c>
      <c r="BD111" s="7">
        <v>19.28470833333332</v>
      </c>
      <c r="BE111" s="124"/>
      <c r="BF111" s="8">
        <f t="shared" si="67"/>
        <v>69</v>
      </c>
      <c r="BG111" s="21">
        <f t="shared" si="68"/>
        <v>17.2</v>
      </c>
      <c r="BH111" s="124">
        <f t="shared" si="69"/>
        <v>1</v>
      </c>
      <c r="BI111" s="124">
        <f t="shared" si="78"/>
        <v>0</v>
      </c>
      <c r="BJ111" s="144">
        <f t="shared" si="70"/>
        <v>0</v>
      </c>
      <c r="BL111" s="99">
        <v>21</v>
      </c>
    </row>
    <row r="112" spans="1:64" ht="12.75" x14ac:dyDescent="0.2">
      <c r="A112" s="8">
        <f t="shared" si="34"/>
        <v>25</v>
      </c>
      <c r="B112" s="125">
        <f t="shared" si="35"/>
        <v>11.1</v>
      </c>
      <c r="C112" s="125">
        <f t="shared" si="36"/>
        <v>20.2</v>
      </c>
      <c r="D112" s="125">
        <f t="shared" si="71"/>
        <v>15.649999999999999</v>
      </c>
      <c r="E112" s="125">
        <f t="shared" si="37"/>
        <v>9.1</v>
      </c>
      <c r="F112" s="7">
        <v>11.540666666666658</v>
      </c>
      <c r="G112" s="7">
        <v>20.93</v>
      </c>
      <c r="H112" s="7">
        <f t="shared" si="72"/>
        <v>16.23533333333333</v>
      </c>
      <c r="I112" s="7">
        <f t="shared" si="73"/>
        <v>9.389333333333342</v>
      </c>
      <c r="K112" s="7">
        <f t="shared" si="38"/>
        <v>5.8000000000000007</v>
      </c>
      <c r="L112" s="7">
        <f t="shared" si="39"/>
        <v>15.200000000000001</v>
      </c>
      <c r="M112" s="370">
        <f t="shared" si="40"/>
        <v>5.3181818181818183</v>
      </c>
      <c r="N112" s="1">
        <f t="shared" si="41"/>
        <v>1.7333333333333334</v>
      </c>
      <c r="O112" s="7">
        <f t="shared" si="42"/>
        <v>69.63636363636364</v>
      </c>
      <c r="P112" s="7">
        <f t="shared" si="43"/>
        <v>10.772727272727273</v>
      </c>
      <c r="Q112" s="7">
        <f t="shared" si="44"/>
        <v>19.195454545454549</v>
      </c>
      <c r="R112" s="7">
        <f t="shared" si="45"/>
        <v>14.999999999999998</v>
      </c>
      <c r="S112" s="7">
        <f t="shared" si="46"/>
        <v>8.4227272727272737</v>
      </c>
      <c r="T112" s="1">
        <v>53</v>
      </c>
      <c r="U112" s="333">
        <f t="shared" si="47"/>
        <v>1.9666666666666666</v>
      </c>
      <c r="V112" s="4">
        <v>22</v>
      </c>
      <c r="W112" s="7">
        <f t="shared" si="48"/>
        <v>6.0060000000000002</v>
      </c>
      <c r="X112" s="7">
        <f t="shared" si="49"/>
        <v>14.469000000000001</v>
      </c>
      <c r="Y112" s="8">
        <f t="shared" si="50"/>
        <v>4</v>
      </c>
      <c r="Z112" s="7">
        <f>IF(ISBLANK(Z25),NA(),SUM($Z$4:Z25))</f>
        <v>72.3</v>
      </c>
      <c r="AA112" s="7">
        <f t="shared" si="74"/>
        <v>43.266666666666666</v>
      </c>
      <c r="AB112" s="26">
        <f>IF(ISBLANK(Z25),"",SUM($Z$4:Z25))</f>
        <v>72.3</v>
      </c>
      <c r="AC112" s="115">
        <f t="shared" si="75"/>
        <v>1.6710323574730355</v>
      </c>
      <c r="AD112" s="8">
        <f t="shared" si="51"/>
        <v>1013.5227272954545</v>
      </c>
      <c r="AE112" s="610">
        <f t="shared" si="52"/>
        <v>0.87589414250594444</v>
      </c>
      <c r="AF112" s="524" t="e">
        <f t="shared" si="53"/>
        <v>#N/A</v>
      </c>
      <c r="AG112" s="22">
        <f>IF(ISBLANK(AP25),NA(),SUM($AP$4:AP25))</f>
        <v>122.5</v>
      </c>
      <c r="AH112" s="7">
        <f>SUM($AS$91:AS112)</f>
        <v>139.85708324241776</v>
      </c>
      <c r="AI112" s="115">
        <f t="shared" si="54"/>
        <v>0.87589414250594444</v>
      </c>
      <c r="AJ112" s="124">
        <f t="shared" si="55"/>
        <v>1</v>
      </c>
      <c r="AK112" s="8">
        <f t="shared" si="56"/>
        <v>1009</v>
      </c>
      <c r="AL112" s="124">
        <f t="shared" si="57"/>
        <v>1</v>
      </c>
      <c r="AM112" s="524" t="e">
        <f t="shared" si="58"/>
        <v>#N/A</v>
      </c>
      <c r="AO112" s="524">
        <f t="shared" si="59"/>
        <v>0.78125</v>
      </c>
      <c r="AR112" s="524">
        <f t="shared" si="60"/>
        <v>0.20138888888888887</v>
      </c>
      <c r="AS112" s="7">
        <f t="shared" si="61"/>
        <v>6.402144875029653</v>
      </c>
      <c r="AT112" s="7">
        <v>15.133951699749769</v>
      </c>
      <c r="AU112" s="4">
        <v>22</v>
      </c>
      <c r="AV112" s="127">
        <f t="shared" si="62"/>
        <v>1</v>
      </c>
      <c r="AW112" s="124">
        <f t="shared" si="76"/>
        <v>0</v>
      </c>
      <c r="AX112" s="124">
        <f t="shared" si="77"/>
        <v>0</v>
      </c>
      <c r="AY112" s="124">
        <f t="shared" si="63"/>
        <v>0</v>
      </c>
      <c r="AZ112" s="125">
        <f t="shared" si="64"/>
        <v>4.4000000000000004</v>
      </c>
      <c r="BA112" s="125">
        <f t="shared" si="65"/>
        <v>12.616666666666665</v>
      </c>
      <c r="BB112" s="125">
        <f t="shared" si="66"/>
        <v>18.68333333333333</v>
      </c>
      <c r="BC112" s="7">
        <v>13.105555555555547</v>
      </c>
      <c r="BD112" s="7">
        <v>19.365111111111098</v>
      </c>
      <c r="BE112" s="124"/>
      <c r="BF112" s="8">
        <f t="shared" si="67"/>
        <v>73</v>
      </c>
      <c r="BG112" s="21">
        <f t="shared" si="68"/>
        <v>15.2</v>
      </c>
      <c r="BH112" s="124">
        <f t="shared" si="69"/>
        <v>1</v>
      </c>
      <c r="BI112" s="124">
        <f t="shared" si="78"/>
        <v>1</v>
      </c>
      <c r="BJ112" s="144">
        <f t="shared" si="70"/>
        <v>1.7333333333333334</v>
      </c>
      <c r="BL112" s="99">
        <v>22</v>
      </c>
    </row>
    <row r="113" spans="1:64" ht="12.75" x14ac:dyDescent="0.2">
      <c r="A113" s="8">
        <f t="shared" si="34"/>
        <v>40</v>
      </c>
      <c r="B113" s="125">
        <f t="shared" si="35"/>
        <v>11.1</v>
      </c>
      <c r="C113" s="125">
        <f t="shared" si="36"/>
        <v>20.2</v>
      </c>
      <c r="D113" s="125">
        <f t="shared" si="71"/>
        <v>15.649999999999999</v>
      </c>
      <c r="E113" s="125">
        <f t="shared" si="37"/>
        <v>9.1</v>
      </c>
      <c r="F113" s="7">
        <v>11.604333333333324</v>
      </c>
      <c r="G113" s="7">
        <v>21.013750000000002</v>
      </c>
      <c r="H113" s="7">
        <f t="shared" si="72"/>
        <v>16.309041666666662</v>
      </c>
      <c r="I113" s="7">
        <f t="shared" si="73"/>
        <v>9.4094166666666776</v>
      </c>
      <c r="K113" s="7">
        <f t="shared" si="38"/>
        <v>8</v>
      </c>
      <c r="L113" s="7">
        <f t="shared" si="39"/>
        <v>15.2</v>
      </c>
      <c r="M113" s="370">
        <f t="shared" si="40"/>
        <v>5.3608695652173912</v>
      </c>
      <c r="N113" s="1">
        <f t="shared" si="41"/>
        <v>3.3333333333333333E-2</v>
      </c>
      <c r="O113" s="7">
        <f t="shared" si="42"/>
        <v>69.391304347826093</v>
      </c>
      <c r="P113" s="7">
        <f t="shared" si="43"/>
        <v>10.791304347826086</v>
      </c>
      <c r="Q113" s="7">
        <f t="shared" si="44"/>
        <v>19.195652173913047</v>
      </c>
      <c r="R113" s="7">
        <f t="shared" si="45"/>
        <v>15.013043478260867</v>
      </c>
      <c r="S113" s="7">
        <f t="shared" si="46"/>
        <v>8.4043478260869584</v>
      </c>
      <c r="T113" s="1">
        <v>54</v>
      </c>
      <c r="U113" s="333">
        <f t="shared" si="47"/>
        <v>1.9666666666666666</v>
      </c>
      <c r="V113" s="4">
        <v>23</v>
      </c>
      <c r="W113" s="7">
        <f t="shared" si="48"/>
        <v>6.2790000000000008</v>
      </c>
      <c r="X113" s="7">
        <f t="shared" si="49"/>
        <v>14.742000000000001</v>
      </c>
      <c r="Y113" s="8">
        <f t="shared" si="50"/>
        <v>7</v>
      </c>
      <c r="Z113" s="7">
        <f>IF(ISBLANK(Z26),NA(),SUM($Z$4:Z26))</f>
        <v>72.399999999999991</v>
      </c>
      <c r="AA113" s="7">
        <f t="shared" si="74"/>
        <v>45.233333333333334</v>
      </c>
      <c r="AB113" s="26">
        <f>IF(ISBLANK(Z26),"",SUM($Z$4:Z26))</f>
        <v>72.399999999999991</v>
      </c>
      <c r="AC113" s="115">
        <f t="shared" si="75"/>
        <v>1.6005895357406041</v>
      </c>
      <c r="AD113" s="8">
        <f t="shared" si="51"/>
        <v>1013.6086956739131</v>
      </c>
      <c r="AE113" s="610">
        <f t="shared" si="52"/>
        <v>0.87858043366836125</v>
      </c>
      <c r="AF113" s="524">
        <f t="shared" si="53"/>
        <v>0.23958333333333334</v>
      </c>
      <c r="AG113" s="22">
        <f>IF(ISBLANK(AP26),NA(),SUM($AP$4:AP26))</f>
        <v>128.5</v>
      </c>
      <c r="AH113" s="7">
        <f>SUM($AS$91:AS113)</f>
        <v>146.25866349364324</v>
      </c>
      <c r="AI113" s="115">
        <f t="shared" si="54"/>
        <v>0.87858043366836125</v>
      </c>
      <c r="AJ113" s="124">
        <f t="shared" si="55"/>
        <v>0</v>
      </c>
      <c r="AK113" s="8">
        <f t="shared" si="56"/>
        <v>1015.5</v>
      </c>
      <c r="AL113" s="124">
        <f t="shared" si="57"/>
        <v>0</v>
      </c>
      <c r="AM113" s="524">
        <f t="shared" si="58"/>
        <v>0.60416666666666663</v>
      </c>
      <c r="AO113" s="524">
        <f t="shared" si="59"/>
        <v>0.52777777777777779</v>
      </c>
      <c r="AR113" s="524">
        <f t="shared" si="60"/>
        <v>0.20833333333333334</v>
      </c>
      <c r="AS113" s="7">
        <f t="shared" si="61"/>
        <v>6.4015802512254849</v>
      </c>
      <c r="AT113" s="7">
        <v>15.132616992468442</v>
      </c>
      <c r="AU113" s="4">
        <v>23</v>
      </c>
      <c r="AV113" s="127">
        <f t="shared" si="62"/>
        <v>1</v>
      </c>
      <c r="AW113" s="124">
        <f t="shared" si="76"/>
        <v>0</v>
      </c>
      <c r="AX113" s="124">
        <f t="shared" si="77"/>
        <v>0</v>
      </c>
      <c r="AY113" s="124">
        <f t="shared" si="63"/>
        <v>0</v>
      </c>
      <c r="AZ113" s="125">
        <f t="shared" si="64"/>
        <v>4.4000000000000004</v>
      </c>
      <c r="BA113" s="125">
        <f t="shared" si="65"/>
        <v>12.616666666666665</v>
      </c>
      <c r="BB113" s="125">
        <f t="shared" si="66"/>
        <v>18.68333333333333</v>
      </c>
      <c r="BC113" s="7">
        <v>13.172569444444434</v>
      </c>
      <c r="BD113" s="7">
        <v>19.445513888888875</v>
      </c>
      <c r="BE113" s="124"/>
      <c r="BF113" s="8">
        <f t="shared" si="67"/>
        <v>64</v>
      </c>
      <c r="BG113" s="21">
        <f t="shared" si="68"/>
        <v>15.3</v>
      </c>
      <c r="BH113" s="124">
        <f t="shared" si="69"/>
        <v>0</v>
      </c>
      <c r="BI113" s="124">
        <f t="shared" si="78"/>
        <v>0</v>
      </c>
      <c r="BJ113" s="144">
        <f t="shared" si="70"/>
        <v>3.3333333333333333E-2</v>
      </c>
      <c r="BL113" s="99">
        <v>23</v>
      </c>
    </row>
    <row r="114" spans="1:64" ht="12.75" x14ac:dyDescent="0.2">
      <c r="A114" s="8">
        <f t="shared" si="34"/>
        <v>46</v>
      </c>
      <c r="B114" s="125">
        <f t="shared" si="35"/>
        <v>11.1</v>
      </c>
      <c r="C114" s="125">
        <f t="shared" si="36"/>
        <v>20.2</v>
      </c>
      <c r="D114" s="125">
        <f t="shared" si="71"/>
        <v>15.649999999999999</v>
      </c>
      <c r="E114" s="125">
        <f t="shared" si="37"/>
        <v>9.1</v>
      </c>
      <c r="F114" s="7">
        <v>11.66799999999999</v>
      </c>
      <c r="G114" s="7">
        <v>21.0975</v>
      </c>
      <c r="H114" s="7">
        <f t="shared" si="72"/>
        <v>16.382749999999994</v>
      </c>
      <c r="I114" s="7">
        <f t="shared" si="73"/>
        <v>9.4295000000000098</v>
      </c>
      <c r="K114" s="7">
        <f t="shared" si="38"/>
        <v>9.3999999999999986</v>
      </c>
      <c r="L114" s="7">
        <f t="shared" si="39"/>
        <v>15.2</v>
      </c>
      <c r="M114" s="370">
        <f t="shared" si="40"/>
        <v>5.3458333333333341</v>
      </c>
      <c r="N114" s="1">
        <f t="shared" si="41"/>
        <v>1.0999999999999999</v>
      </c>
      <c r="O114" s="7">
        <f t="shared" si="42"/>
        <v>69.083333333333329</v>
      </c>
      <c r="P114" s="7">
        <f t="shared" si="43"/>
        <v>10.779166666666667</v>
      </c>
      <c r="Q114" s="7">
        <f t="shared" si="44"/>
        <v>19.225000000000001</v>
      </c>
      <c r="R114" s="7">
        <f t="shared" si="45"/>
        <v>15.024999999999999</v>
      </c>
      <c r="S114" s="7">
        <f t="shared" si="46"/>
        <v>8.4458333333333346</v>
      </c>
      <c r="T114" s="1">
        <v>55</v>
      </c>
      <c r="U114" s="333">
        <f t="shared" si="47"/>
        <v>1.9666666666666666</v>
      </c>
      <c r="V114" s="4">
        <v>24</v>
      </c>
      <c r="W114" s="7">
        <f t="shared" si="48"/>
        <v>6.5520000000000005</v>
      </c>
      <c r="X114" s="7">
        <f t="shared" si="49"/>
        <v>15.015000000000001</v>
      </c>
      <c r="Y114" s="8">
        <f t="shared" si="50"/>
        <v>4</v>
      </c>
      <c r="Z114" s="7">
        <f>IF(ISBLANK(Z27),NA(),SUM($Z$4:Z27))</f>
        <v>75.699999999999989</v>
      </c>
      <c r="AA114" s="7">
        <f t="shared" si="74"/>
        <v>47.199999999999996</v>
      </c>
      <c r="AB114" s="26">
        <f>IF(ISBLANK(Z27),"",SUM($Z$4:Z27))</f>
        <v>75.699999999999989</v>
      </c>
      <c r="AC114" s="115">
        <f t="shared" si="75"/>
        <v>1.6038135593220337</v>
      </c>
      <c r="AD114" s="8">
        <f t="shared" si="51"/>
        <v>1013.9583333541667</v>
      </c>
      <c r="AE114" s="610">
        <f t="shared" si="52"/>
        <v>0.89414950466024834</v>
      </c>
      <c r="AF114" s="524">
        <f t="shared" si="53"/>
        <v>0.25</v>
      </c>
      <c r="AG114" s="22">
        <f>IF(ISBLANK(AP27),NA(),SUM($AP$4:AP27))</f>
        <v>136.5</v>
      </c>
      <c r="AH114" s="7">
        <f>SUM($AS$91:AS114)</f>
        <v>152.65903441043247</v>
      </c>
      <c r="AI114" s="115">
        <f t="shared" si="54"/>
        <v>0.89414950466024834</v>
      </c>
      <c r="AJ114" s="124">
        <f t="shared" si="55"/>
        <v>1</v>
      </c>
      <c r="AK114" s="8">
        <f t="shared" si="56"/>
        <v>1022</v>
      </c>
      <c r="AL114" s="124">
        <f t="shared" si="57"/>
        <v>1</v>
      </c>
      <c r="AM114" s="524">
        <f t="shared" si="58"/>
        <v>0.59375</v>
      </c>
      <c r="AO114" s="524">
        <f t="shared" si="59"/>
        <v>0.57638888888888895</v>
      </c>
      <c r="AR114" s="524">
        <f t="shared" si="60"/>
        <v>0.22222222222222221</v>
      </c>
      <c r="AS114" s="7">
        <f t="shared" si="61"/>
        <v>6.4003709167892167</v>
      </c>
      <c r="AT114" s="7">
        <v>15.129758261636107</v>
      </c>
      <c r="AU114" s="4">
        <v>24</v>
      </c>
      <c r="AV114" s="127">
        <f t="shared" si="62"/>
        <v>1</v>
      </c>
      <c r="AW114" s="124">
        <f t="shared" si="76"/>
        <v>0</v>
      </c>
      <c r="AX114" s="124">
        <f t="shared" si="77"/>
        <v>0</v>
      </c>
      <c r="AY114" s="124">
        <f t="shared" si="63"/>
        <v>1</v>
      </c>
      <c r="AZ114" s="125">
        <f t="shared" si="64"/>
        <v>4.4000000000000004</v>
      </c>
      <c r="BA114" s="125">
        <f t="shared" si="65"/>
        <v>12.616666666666665</v>
      </c>
      <c r="BB114" s="125">
        <f t="shared" si="66"/>
        <v>18.68333333333333</v>
      </c>
      <c r="BC114" s="7">
        <v>13.239583333333323</v>
      </c>
      <c r="BD114" s="7">
        <v>19.525916666666653</v>
      </c>
      <c r="BE114" s="124"/>
      <c r="BF114" s="8">
        <f t="shared" si="67"/>
        <v>62</v>
      </c>
      <c r="BG114" s="21">
        <f t="shared" si="68"/>
        <v>15.3</v>
      </c>
      <c r="BH114" s="124">
        <f t="shared" si="69"/>
        <v>0</v>
      </c>
      <c r="BI114" s="124">
        <f t="shared" si="78"/>
        <v>1</v>
      </c>
      <c r="BJ114" s="144">
        <f t="shared" si="70"/>
        <v>1.0999999999999999</v>
      </c>
      <c r="BL114" s="99">
        <v>24</v>
      </c>
    </row>
    <row r="115" spans="1:64" ht="12.75" x14ac:dyDescent="0.2">
      <c r="A115" s="8">
        <f t="shared" si="34"/>
        <v>37</v>
      </c>
      <c r="B115" s="125">
        <f t="shared" si="35"/>
        <v>11.1</v>
      </c>
      <c r="C115" s="125">
        <f t="shared" si="36"/>
        <v>20.2</v>
      </c>
      <c r="D115" s="125">
        <f t="shared" si="71"/>
        <v>15.649999999999999</v>
      </c>
      <c r="E115" s="125">
        <f t="shared" si="37"/>
        <v>9.1</v>
      </c>
      <c r="F115" s="7">
        <v>11.731666666666657</v>
      </c>
      <c r="G115" s="7">
        <v>21.181249999999999</v>
      </c>
      <c r="H115" s="7">
        <f t="shared" si="72"/>
        <v>16.456458333333327</v>
      </c>
      <c r="I115" s="7">
        <f t="shared" si="73"/>
        <v>9.4495833333333419</v>
      </c>
      <c r="K115" s="7">
        <f t="shared" si="38"/>
        <v>11.7</v>
      </c>
      <c r="L115" s="7">
        <f t="shared" si="39"/>
        <v>17.549999999999997</v>
      </c>
      <c r="M115" s="370">
        <f t="shared" si="40"/>
        <v>5.4</v>
      </c>
      <c r="N115" s="1">
        <f t="shared" si="41"/>
        <v>1.0999999999999999</v>
      </c>
      <c r="O115" s="7">
        <f t="shared" si="42"/>
        <v>69.52</v>
      </c>
      <c r="P115" s="7">
        <f t="shared" si="43"/>
        <v>10.815999999999999</v>
      </c>
      <c r="Q115" s="7">
        <f t="shared" si="44"/>
        <v>19.391999999999999</v>
      </c>
      <c r="R115" s="7">
        <f t="shared" si="45"/>
        <v>15.111999999999998</v>
      </c>
      <c r="S115" s="7">
        <f t="shared" si="46"/>
        <v>8.5760000000000005</v>
      </c>
      <c r="T115" s="1">
        <v>56</v>
      </c>
      <c r="U115" s="333">
        <f t="shared" si="47"/>
        <v>1.9666666666666666</v>
      </c>
      <c r="V115" s="4">
        <v>25</v>
      </c>
      <c r="W115" s="7">
        <f t="shared" si="48"/>
        <v>6.8250000000000002</v>
      </c>
      <c r="X115" s="7">
        <f t="shared" si="49"/>
        <v>15.288</v>
      </c>
      <c r="Y115" s="8">
        <f t="shared" si="50"/>
        <v>4</v>
      </c>
      <c r="Z115" s="7">
        <f>IF(ISBLANK(Z28),NA(),SUM($Z$4:Z28))</f>
        <v>78.999999999999986</v>
      </c>
      <c r="AA115" s="7">
        <f t="shared" si="74"/>
        <v>49.166666666666664</v>
      </c>
      <c r="AB115" s="26">
        <f>IF(ISBLANK(Z28),"",SUM($Z$4:Z28))</f>
        <v>78.999999999999986</v>
      </c>
      <c r="AC115" s="115">
        <f t="shared" si="75"/>
        <v>1.6067796610169489</v>
      </c>
      <c r="AD115" s="8">
        <f t="shared" si="51"/>
        <v>1014.24000002</v>
      </c>
      <c r="AE115" s="610">
        <f t="shared" si="52"/>
        <v>0.88961509684911033</v>
      </c>
      <c r="AF115" s="524">
        <f t="shared" si="53"/>
        <v>0.36805555555555558</v>
      </c>
      <c r="AG115" s="22">
        <f>IF(ISBLANK(AP28),NA(),SUM($AP$4:AP28))</f>
        <v>141.5</v>
      </c>
      <c r="AH115" s="7">
        <f>SUM($AS$91:AS115)</f>
        <v>159.05755253162047</v>
      </c>
      <c r="AI115" s="115">
        <f t="shared" si="54"/>
        <v>0.88961509684911033</v>
      </c>
      <c r="AJ115" s="124">
        <f t="shared" si="55"/>
        <v>1</v>
      </c>
      <c r="AK115" s="8">
        <f t="shared" si="56"/>
        <v>1021</v>
      </c>
      <c r="AL115" s="124">
        <f t="shared" si="57"/>
        <v>1</v>
      </c>
      <c r="AM115" s="524">
        <f t="shared" si="58"/>
        <v>0.75347222222222221</v>
      </c>
      <c r="AO115" s="524">
        <f t="shared" si="59"/>
        <v>0.75694444444444453</v>
      </c>
      <c r="AR115" s="524">
        <f t="shared" si="60"/>
        <v>0.125</v>
      </c>
      <c r="AS115" s="7">
        <f t="shared" si="61"/>
        <v>6.3985181211880127</v>
      </c>
      <c r="AT115" s="7">
        <v>15.125378460852858</v>
      </c>
      <c r="AU115" s="4">
        <v>25</v>
      </c>
      <c r="AV115" s="127">
        <f t="shared" si="62"/>
        <v>1</v>
      </c>
      <c r="AW115" s="124">
        <f t="shared" si="76"/>
        <v>0</v>
      </c>
      <c r="AX115" s="124">
        <f t="shared" si="77"/>
        <v>0</v>
      </c>
      <c r="AY115" s="124">
        <f t="shared" si="63"/>
        <v>1</v>
      </c>
      <c r="AZ115" s="125">
        <f t="shared" si="64"/>
        <v>4.4000000000000004</v>
      </c>
      <c r="BA115" s="125">
        <f t="shared" si="65"/>
        <v>12.616666666666665</v>
      </c>
      <c r="BB115" s="125">
        <f t="shared" si="66"/>
        <v>18.68333333333333</v>
      </c>
      <c r="BC115" s="7">
        <v>13.306597222222212</v>
      </c>
      <c r="BD115" s="7">
        <v>19.606319444444427</v>
      </c>
      <c r="BF115" s="8">
        <f t="shared" si="67"/>
        <v>80</v>
      </c>
      <c r="BG115" s="21">
        <f t="shared" si="68"/>
        <v>17.2</v>
      </c>
      <c r="BH115" s="124">
        <f t="shared" si="69"/>
        <v>0</v>
      </c>
      <c r="BI115" s="124">
        <f t="shared" si="78"/>
        <v>1</v>
      </c>
      <c r="BJ115" s="144">
        <f t="shared" si="70"/>
        <v>1.0999999999999999</v>
      </c>
      <c r="BL115" s="99">
        <v>25</v>
      </c>
    </row>
    <row r="116" spans="1:64" ht="12.75" x14ac:dyDescent="0.2">
      <c r="A116" s="8">
        <f t="shared" si="34"/>
        <v>46</v>
      </c>
      <c r="B116" s="125">
        <f t="shared" si="35"/>
        <v>11.1</v>
      </c>
      <c r="C116" s="125">
        <f t="shared" si="36"/>
        <v>20.2</v>
      </c>
      <c r="D116" s="125">
        <f t="shared" si="71"/>
        <v>15.649999999999999</v>
      </c>
      <c r="E116" s="125">
        <f t="shared" si="37"/>
        <v>9.1</v>
      </c>
      <c r="F116" s="7">
        <v>11.795333333333323</v>
      </c>
      <c r="G116" s="7">
        <v>21.265000000000001</v>
      </c>
      <c r="H116" s="7">
        <f t="shared" si="72"/>
        <v>16.530166666666663</v>
      </c>
      <c r="I116" s="7">
        <f t="shared" si="73"/>
        <v>9.4696666666666776</v>
      </c>
      <c r="K116" s="7">
        <f t="shared" si="38"/>
        <v>13.499999999999998</v>
      </c>
      <c r="L116" s="7">
        <f t="shared" si="39"/>
        <v>22.65</v>
      </c>
      <c r="M116" s="370">
        <f t="shared" si="40"/>
        <v>5.3538461538461535</v>
      </c>
      <c r="N116" s="1">
        <f t="shared" si="41"/>
        <v>0</v>
      </c>
      <c r="O116" s="7">
        <f t="shared" si="42"/>
        <v>69.384615384615387</v>
      </c>
      <c r="P116" s="7">
        <f t="shared" si="43"/>
        <v>11.011538461538461</v>
      </c>
      <c r="Q116" s="7">
        <f t="shared" si="44"/>
        <v>19.776923076923079</v>
      </c>
      <c r="R116" s="7">
        <f t="shared" si="45"/>
        <v>15.384615384615383</v>
      </c>
      <c r="S116" s="7">
        <f t="shared" si="46"/>
        <v>8.7653846153846171</v>
      </c>
      <c r="T116" s="1">
        <v>57</v>
      </c>
      <c r="U116" s="333">
        <f t="shared" si="47"/>
        <v>1.9666666666666666</v>
      </c>
      <c r="V116" s="4">
        <v>26</v>
      </c>
      <c r="W116" s="7">
        <f t="shared" si="48"/>
        <v>7.0980000000000008</v>
      </c>
      <c r="X116" s="7">
        <f t="shared" si="49"/>
        <v>15.561000000000002</v>
      </c>
      <c r="Y116" s="8">
        <f t="shared" si="50"/>
        <v>6</v>
      </c>
      <c r="Z116" s="7">
        <f>IF(ISBLANK(Z29),NA(),SUM($Z$4:Z29))</f>
        <v>78.999999999999986</v>
      </c>
      <c r="AA116" s="7">
        <f t="shared" si="74"/>
        <v>51.133333333333333</v>
      </c>
      <c r="AB116" s="26">
        <f>IF(ISBLANK(Z29),"",SUM($Z$4:Z29))</f>
        <v>78.999999999999986</v>
      </c>
      <c r="AC116" s="115">
        <f t="shared" si="75"/>
        <v>1.5449804432855279</v>
      </c>
      <c r="AD116" s="8">
        <f t="shared" si="51"/>
        <v>1014.4615384807693</v>
      </c>
      <c r="AE116" s="610">
        <f t="shared" si="52"/>
        <v>0.92775268705134162</v>
      </c>
      <c r="AF116" s="524">
        <f t="shared" si="53"/>
        <v>0.25</v>
      </c>
      <c r="AG116" s="22">
        <f>IF(ISBLANK(AP29),NA(),SUM($AP$4:AP29))</f>
        <v>153.5</v>
      </c>
      <c r="AH116" s="7">
        <f>SUM($AS$91:AS116)</f>
        <v>165.45357630584297</v>
      </c>
      <c r="AI116" s="115">
        <f t="shared" si="54"/>
        <v>0.92775268705134162</v>
      </c>
      <c r="AJ116" s="124">
        <f t="shared" si="55"/>
        <v>0</v>
      </c>
      <c r="AK116" s="8">
        <f t="shared" si="56"/>
        <v>1020</v>
      </c>
      <c r="AL116" s="124">
        <f t="shared" si="57"/>
        <v>0</v>
      </c>
      <c r="AM116" s="524">
        <f t="shared" si="58"/>
        <v>0.76388888888888884</v>
      </c>
      <c r="AO116" s="524">
        <f t="shared" si="59"/>
        <v>0.71875</v>
      </c>
      <c r="AR116" s="524">
        <f t="shared" si="60"/>
        <v>0.22916666666666666</v>
      </c>
      <c r="AS116" s="7">
        <f t="shared" si="61"/>
        <v>6.3960237742225097</v>
      </c>
      <c r="AT116" s="7">
        <v>15.119482104672981</v>
      </c>
      <c r="AU116" s="4">
        <v>26</v>
      </c>
      <c r="AV116" s="127">
        <f t="shared" si="62"/>
        <v>1</v>
      </c>
      <c r="AW116" s="124">
        <f t="shared" si="76"/>
        <v>0</v>
      </c>
      <c r="AX116" s="124">
        <f t="shared" si="77"/>
        <v>1</v>
      </c>
      <c r="AY116" s="124">
        <f t="shared" si="63"/>
        <v>1</v>
      </c>
      <c r="AZ116" s="125">
        <f t="shared" si="64"/>
        <v>4.4000000000000004</v>
      </c>
      <c r="BA116" s="125">
        <f t="shared" si="65"/>
        <v>12.616666666666665</v>
      </c>
      <c r="BB116" s="125">
        <f t="shared" si="66"/>
        <v>18.68333333333333</v>
      </c>
      <c r="BC116" s="7">
        <v>13.373611111111099</v>
      </c>
      <c r="BD116" s="7">
        <v>19.686722222222205</v>
      </c>
      <c r="BF116" s="8">
        <f t="shared" si="67"/>
        <v>66</v>
      </c>
      <c r="BG116" s="21">
        <f t="shared" si="68"/>
        <v>22.2</v>
      </c>
      <c r="BH116" s="124">
        <f t="shared" si="69"/>
        <v>0</v>
      </c>
      <c r="BI116" s="124">
        <f t="shared" si="78"/>
        <v>0</v>
      </c>
      <c r="BJ116" s="144">
        <f t="shared" si="70"/>
        <v>0</v>
      </c>
      <c r="BL116" s="99">
        <v>26</v>
      </c>
    </row>
    <row r="117" spans="1:64" ht="12.75" x14ac:dyDescent="0.2">
      <c r="A117" s="8">
        <f t="shared" si="34"/>
        <v>54</v>
      </c>
      <c r="B117" s="125">
        <f t="shared" si="35"/>
        <v>11.1</v>
      </c>
      <c r="C117" s="125">
        <f t="shared" si="36"/>
        <v>20.2</v>
      </c>
      <c r="D117" s="125">
        <f t="shared" si="71"/>
        <v>15.649999999999999</v>
      </c>
      <c r="E117" s="125">
        <f t="shared" si="37"/>
        <v>9.1</v>
      </c>
      <c r="F117" s="7">
        <v>11.858999999999989</v>
      </c>
      <c r="G117" s="7">
        <v>21.348749999999999</v>
      </c>
      <c r="H117" s="7">
        <f t="shared" si="72"/>
        <v>16.603874999999995</v>
      </c>
      <c r="I117" s="7">
        <f t="shared" si="73"/>
        <v>9.4897500000000097</v>
      </c>
      <c r="K117" s="7">
        <f t="shared" si="38"/>
        <v>13.7</v>
      </c>
      <c r="L117" s="7">
        <f t="shared" si="39"/>
        <v>25.049999999999997</v>
      </c>
      <c r="M117" s="370">
        <f t="shared" si="40"/>
        <v>5.2962962962962967</v>
      </c>
      <c r="N117" s="1">
        <f t="shared" si="41"/>
        <v>0</v>
      </c>
      <c r="O117" s="7">
        <f t="shared" si="42"/>
        <v>68.925925925925924</v>
      </c>
      <c r="P117" s="7">
        <f t="shared" si="43"/>
        <v>11.277777777777775</v>
      </c>
      <c r="Q117" s="7">
        <f t="shared" si="44"/>
        <v>20.225925925925928</v>
      </c>
      <c r="R117" s="7">
        <f t="shared" si="45"/>
        <v>15.755555555555553</v>
      </c>
      <c r="S117" s="7">
        <f t="shared" si="46"/>
        <v>8.9481481481481495</v>
      </c>
      <c r="T117" s="1">
        <v>58</v>
      </c>
      <c r="U117" s="333">
        <f t="shared" si="47"/>
        <v>1.9666666666666666</v>
      </c>
      <c r="V117" s="4">
        <v>27</v>
      </c>
      <c r="W117" s="7">
        <f t="shared" si="48"/>
        <v>7.3710000000000004</v>
      </c>
      <c r="X117" s="7">
        <f t="shared" si="49"/>
        <v>15.834000000000001</v>
      </c>
      <c r="Y117" s="8">
        <f t="shared" si="50"/>
        <v>5</v>
      </c>
      <c r="Z117" s="7">
        <f>IF(ISBLANK(Z30),NA(),SUM($Z$4:Z30))</f>
        <v>78.999999999999986</v>
      </c>
      <c r="AA117" s="7">
        <f t="shared" si="74"/>
        <v>53.099999999999994</v>
      </c>
      <c r="AB117" s="26">
        <f>IF(ISBLANK(Z30),"",SUM($Z$4:Z30))</f>
        <v>78.999999999999986</v>
      </c>
      <c r="AC117" s="115">
        <f t="shared" si="75"/>
        <v>1.487758945386064</v>
      </c>
      <c r="AD117" s="8">
        <f t="shared" si="51"/>
        <v>1014.4629629814815</v>
      </c>
      <c r="AE117" s="610">
        <f t="shared" si="52"/>
        <v>0.951430675867739</v>
      </c>
      <c r="AF117" s="524">
        <f t="shared" si="53"/>
        <v>0.22916666666666666</v>
      </c>
      <c r="AG117" s="22">
        <f>IF(ISBLANK(AP30),NA(),SUM($AP$4:AP30))</f>
        <v>163.5</v>
      </c>
      <c r="AH117" s="7">
        <f>SUM($AS$91:AS117)</f>
        <v>171.84646674428708</v>
      </c>
      <c r="AI117" s="115">
        <f t="shared" si="54"/>
        <v>0.951430675867739</v>
      </c>
      <c r="AJ117" s="124">
        <f t="shared" si="55"/>
        <v>0</v>
      </c>
      <c r="AK117" s="8">
        <f t="shared" si="56"/>
        <v>1014.5</v>
      </c>
      <c r="AL117" s="124">
        <f t="shared" si="57"/>
        <v>0</v>
      </c>
      <c r="AM117" s="524">
        <f t="shared" si="58"/>
        <v>0.64583333333333337</v>
      </c>
      <c r="AO117" s="524">
        <f t="shared" si="59"/>
        <v>0.61111111111111105</v>
      </c>
      <c r="AR117" s="524">
        <f t="shared" si="60"/>
        <v>0.21180555555555555</v>
      </c>
      <c r="AS117" s="7">
        <f t="shared" si="61"/>
        <v>6.3928904384441259</v>
      </c>
      <c r="AT117" s="7">
        <v>15.112075250680329</v>
      </c>
      <c r="AU117" s="4">
        <v>27</v>
      </c>
      <c r="AV117" s="127">
        <f t="shared" si="62"/>
        <v>1</v>
      </c>
      <c r="AW117" s="124">
        <f t="shared" si="76"/>
        <v>0</v>
      </c>
      <c r="AX117" s="124">
        <f t="shared" si="77"/>
        <v>1</v>
      </c>
      <c r="AY117" s="124">
        <f t="shared" si="63"/>
        <v>0</v>
      </c>
      <c r="AZ117" s="125">
        <f t="shared" si="64"/>
        <v>4.4000000000000004</v>
      </c>
      <c r="BA117" s="125">
        <f t="shared" si="65"/>
        <v>12.616666666666665</v>
      </c>
      <c r="BB117" s="125">
        <f t="shared" si="66"/>
        <v>18.68333333333333</v>
      </c>
      <c r="BC117" s="7">
        <v>13.440625000000001</v>
      </c>
      <c r="BD117" s="7">
        <v>19.767124999999979</v>
      </c>
      <c r="BF117" s="8">
        <f t="shared" si="67"/>
        <v>57</v>
      </c>
      <c r="BG117" s="21">
        <f t="shared" si="68"/>
        <v>25.4</v>
      </c>
      <c r="BH117" s="124">
        <f t="shared" si="69"/>
        <v>0</v>
      </c>
      <c r="BI117" s="124">
        <f t="shared" si="78"/>
        <v>0</v>
      </c>
      <c r="BJ117" s="144">
        <f t="shared" si="70"/>
        <v>0</v>
      </c>
      <c r="BL117" s="99">
        <v>27</v>
      </c>
    </row>
    <row r="118" spans="1:64" ht="12.75" x14ac:dyDescent="0.2">
      <c r="A118" s="8">
        <f t="shared" si="34"/>
        <v>24</v>
      </c>
      <c r="B118" s="125">
        <f t="shared" si="35"/>
        <v>11.1</v>
      </c>
      <c r="C118" s="125">
        <f t="shared" si="36"/>
        <v>20.2</v>
      </c>
      <c r="D118" s="125">
        <f t="shared" si="71"/>
        <v>15.649999999999999</v>
      </c>
      <c r="E118" s="125">
        <f t="shared" si="37"/>
        <v>9.1</v>
      </c>
      <c r="F118" s="7">
        <v>11.922666666666656</v>
      </c>
      <c r="G118" s="7">
        <v>21.432500000000001</v>
      </c>
      <c r="H118" s="7">
        <f t="shared" si="72"/>
        <v>16.677583333333327</v>
      </c>
      <c r="I118" s="7">
        <f t="shared" si="73"/>
        <v>9.5098333333333454</v>
      </c>
      <c r="K118" s="7">
        <f t="shared" si="38"/>
        <v>6.1000000000000014</v>
      </c>
      <c r="L118" s="7">
        <f t="shared" si="39"/>
        <v>17.55</v>
      </c>
      <c r="M118" s="370">
        <f t="shared" si="40"/>
        <v>5.2178571428571425</v>
      </c>
      <c r="N118" s="1">
        <f t="shared" si="41"/>
        <v>2.8333333333333335</v>
      </c>
      <c r="O118" s="7">
        <f t="shared" si="42"/>
        <v>69.392857142857139</v>
      </c>
      <c r="P118" s="7">
        <f t="shared" si="43"/>
        <v>11.392857142857141</v>
      </c>
      <c r="Q118" s="7">
        <f t="shared" si="44"/>
        <v>20.239285714285717</v>
      </c>
      <c r="R118" s="7">
        <f t="shared" si="45"/>
        <v>15.839285714285712</v>
      </c>
      <c r="S118" s="7">
        <f t="shared" si="46"/>
        <v>8.8464285714285715</v>
      </c>
      <c r="T118" s="1">
        <v>59</v>
      </c>
      <c r="U118" s="333">
        <f t="shared" si="47"/>
        <v>1.9666666666666666</v>
      </c>
      <c r="V118" s="4">
        <v>28</v>
      </c>
      <c r="W118" s="7">
        <f t="shared" si="48"/>
        <v>7.6440000000000001</v>
      </c>
      <c r="X118" s="7">
        <f t="shared" si="49"/>
        <v>16.107000000000003</v>
      </c>
      <c r="Y118" s="8">
        <f t="shared" si="50"/>
        <v>5</v>
      </c>
      <c r="Z118" s="7">
        <f>IF(ISBLANK(Z31),NA(),SUM($Z$4:Z31))</f>
        <v>87.499999999999986</v>
      </c>
      <c r="AA118" s="7">
        <f t="shared" si="74"/>
        <v>55.066666666666663</v>
      </c>
      <c r="AB118" s="26">
        <f>IF(ISBLANK(Z31),"",SUM($Z$4:Z31))</f>
        <v>87.499999999999986</v>
      </c>
      <c r="AC118" s="115">
        <f t="shared" si="75"/>
        <v>1.5889830508474574</v>
      </c>
      <c r="AD118" s="8">
        <f t="shared" si="51"/>
        <v>1014.5000000178571</v>
      </c>
      <c r="AE118" s="610">
        <f t="shared" si="52"/>
        <v>0.92013049572196248</v>
      </c>
      <c r="AF118" s="524" t="e">
        <f t="shared" si="53"/>
        <v>#N/A</v>
      </c>
      <c r="AG118" s="22">
        <f>IF(ISBLANK(AP31),NA(),SUM($AP$4:AP31))</f>
        <v>164</v>
      </c>
      <c r="AH118" s="7">
        <f>SUM($AS$91:AS118)</f>
        <v>178.23558806332204</v>
      </c>
      <c r="AI118" s="115">
        <f t="shared" si="54"/>
        <v>0.92013049572196248</v>
      </c>
      <c r="AJ118" s="124">
        <f t="shared" si="55"/>
        <v>1</v>
      </c>
      <c r="AK118" s="8">
        <f t="shared" si="56"/>
        <v>1015.5</v>
      </c>
      <c r="AL118" s="124">
        <f t="shared" si="57"/>
        <v>1</v>
      </c>
      <c r="AM118" s="524" t="e">
        <f t="shared" si="58"/>
        <v>#N/A</v>
      </c>
      <c r="AO118" s="524">
        <f t="shared" si="59"/>
        <v>0.52777777777777779</v>
      </c>
      <c r="AR118" s="524">
        <f t="shared" si="60"/>
        <v>0.3125</v>
      </c>
      <c r="AS118" s="7">
        <f t="shared" si="61"/>
        <v>6.3891213190349667</v>
      </c>
      <c r="AT118" s="7">
        <v>15.103165475565541</v>
      </c>
      <c r="AU118" s="4">
        <v>28</v>
      </c>
      <c r="AV118" s="127">
        <f t="shared" si="62"/>
        <v>0</v>
      </c>
      <c r="AW118" s="124">
        <f t="shared" si="76"/>
        <v>0</v>
      </c>
      <c r="AX118" s="124">
        <f t="shared" si="77"/>
        <v>0</v>
      </c>
      <c r="AY118" s="124">
        <f t="shared" si="63"/>
        <v>0</v>
      </c>
      <c r="AZ118" s="125">
        <f t="shared" si="64"/>
        <v>4.4000000000000004</v>
      </c>
      <c r="BA118" s="125">
        <f t="shared" si="65"/>
        <v>12.616666666666665</v>
      </c>
      <c r="BB118" s="125">
        <f t="shared" si="66"/>
        <v>18.68333333333333</v>
      </c>
      <c r="BC118" s="7">
        <v>13.507638888888877</v>
      </c>
      <c r="BD118" s="7">
        <v>19.847527777777756</v>
      </c>
      <c r="BF118" s="8">
        <f t="shared" si="67"/>
        <v>82</v>
      </c>
      <c r="BG118" s="21">
        <f t="shared" si="68"/>
        <v>18.100000000000001</v>
      </c>
      <c r="BH118" s="124">
        <f t="shared" si="69"/>
        <v>0</v>
      </c>
      <c r="BI118" s="124">
        <f t="shared" si="78"/>
        <v>1</v>
      </c>
      <c r="BJ118" s="144">
        <f t="shared" si="70"/>
        <v>2.8333333333333335</v>
      </c>
      <c r="BL118" s="99">
        <v>28</v>
      </c>
    </row>
    <row r="119" spans="1:64" ht="12.75" x14ac:dyDescent="0.2">
      <c r="A119" s="8">
        <f t="shared" si="34"/>
        <v>41</v>
      </c>
      <c r="B119" s="125">
        <f t="shared" si="35"/>
        <v>11.1</v>
      </c>
      <c r="C119" s="125">
        <f t="shared" si="36"/>
        <v>20.2</v>
      </c>
      <c r="D119" s="125">
        <f t="shared" si="71"/>
        <v>15.649999999999999</v>
      </c>
      <c r="E119" s="125">
        <f t="shared" si="37"/>
        <v>9.1</v>
      </c>
      <c r="F119" s="7">
        <v>11.986333333333322</v>
      </c>
      <c r="G119" s="7">
        <v>21.516249999999999</v>
      </c>
      <c r="H119" s="7">
        <f t="shared" si="72"/>
        <v>16.75129166666666</v>
      </c>
      <c r="I119" s="7">
        <f t="shared" si="73"/>
        <v>9.5299166666666775</v>
      </c>
      <c r="K119" s="7">
        <f t="shared" si="38"/>
        <v>10.4</v>
      </c>
      <c r="L119" s="7">
        <f t="shared" si="39"/>
        <v>15.600000000000001</v>
      </c>
      <c r="M119" s="370">
        <f t="shared" si="40"/>
        <v>5.1862068965517247</v>
      </c>
      <c r="N119" s="1">
        <f t="shared" si="41"/>
        <v>0</v>
      </c>
      <c r="O119" s="7">
        <f t="shared" si="42"/>
        <v>68.862068965517238</v>
      </c>
      <c r="P119" s="7">
        <f t="shared" si="43"/>
        <v>11.35862068965517</v>
      </c>
      <c r="Q119" s="7">
        <f t="shared" si="44"/>
        <v>20.258620689655171</v>
      </c>
      <c r="R119" s="7">
        <f t="shared" si="45"/>
        <v>15.855172413793102</v>
      </c>
      <c r="S119" s="7">
        <f t="shared" si="46"/>
        <v>8.9</v>
      </c>
      <c r="T119" s="1">
        <v>60</v>
      </c>
      <c r="U119" s="333">
        <f t="shared" si="47"/>
        <v>1.9666666666666666</v>
      </c>
      <c r="V119" s="4">
        <v>29</v>
      </c>
      <c r="W119" s="7">
        <f t="shared" si="48"/>
        <v>7.9170000000000007</v>
      </c>
      <c r="X119" s="7">
        <f t="shared" si="49"/>
        <v>16.380000000000003</v>
      </c>
      <c r="Y119" s="8">
        <f t="shared" si="50"/>
        <v>6</v>
      </c>
      <c r="Z119" s="7">
        <f>IF(ISBLANK(Z32),NA(),SUM($Z$4:Z32))</f>
        <v>87.499999999999986</v>
      </c>
      <c r="AA119" s="7">
        <f t="shared" si="74"/>
        <v>57.033333333333331</v>
      </c>
      <c r="AB119" s="26">
        <f>IF(ISBLANK(Z32),"",SUM($Z$4:Z32))</f>
        <v>87.499999999999986</v>
      </c>
      <c r="AC119" s="115">
        <f t="shared" si="75"/>
        <v>1.5341905318527176</v>
      </c>
      <c r="AD119" s="8">
        <f t="shared" si="51"/>
        <v>1014.7241379482758</v>
      </c>
      <c r="AE119" s="610">
        <f t="shared" si="52"/>
        <v>0.94518312526422443</v>
      </c>
      <c r="AF119" s="524">
        <f t="shared" si="53"/>
        <v>0</v>
      </c>
      <c r="AG119" s="22">
        <f>IF(ISBLANK(AP32),NA(),SUM($AP$4:AP32))</f>
        <v>174.5</v>
      </c>
      <c r="AH119" s="7">
        <f>SUM($AS$91:AS119)</f>
        <v>184.62030831455948</v>
      </c>
      <c r="AI119" s="115">
        <f t="shared" si="54"/>
        <v>0.94518312526422443</v>
      </c>
      <c r="AJ119" s="124">
        <f t="shared" si="55"/>
        <v>0</v>
      </c>
      <c r="AK119" s="8">
        <f t="shared" si="56"/>
        <v>1021</v>
      </c>
      <c r="AL119" s="124">
        <f t="shared" si="57"/>
        <v>0</v>
      </c>
      <c r="AM119" s="524">
        <f t="shared" si="58"/>
        <v>0.70833333333333337</v>
      </c>
      <c r="AO119" s="524">
        <f t="shared" si="59"/>
        <v>0.70138888888888884</v>
      </c>
      <c r="AR119" s="524">
        <f t="shared" si="60"/>
        <v>0.21875</v>
      </c>
      <c r="AS119" s="7">
        <f t="shared" si="61"/>
        <v>6.3847202512374377</v>
      </c>
      <c r="AT119" s="7">
        <v>15.092761845411074</v>
      </c>
      <c r="AU119" s="4">
        <v>29</v>
      </c>
      <c r="AV119" s="127">
        <f t="shared" si="62"/>
        <v>1</v>
      </c>
      <c r="AW119" s="124">
        <f t="shared" si="76"/>
        <v>0</v>
      </c>
      <c r="AX119" s="124">
        <f t="shared" si="77"/>
        <v>0</v>
      </c>
      <c r="AY119" s="124">
        <f t="shared" si="63"/>
        <v>1</v>
      </c>
      <c r="AZ119" s="125">
        <f t="shared" si="64"/>
        <v>4.4000000000000004</v>
      </c>
      <c r="BA119" s="125">
        <f t="shared" si="65"/>
        <v>12.616666666666665</v>
      </c>
      <c r="BB119" s="125">
        <f t="shared" si="66"/>
        <v>18.68333333333333</v>
      </c>
      <c r="BC119" s="7">
        <v>13.574652777777764</v>
      </c>
      <c r="BD119" s="7">
        <v>19.927930555555534</v>
      </c>
      <c r="BF119" s="8">
        <f t="shared" si="67"/>
        <v>54</v>
      </c>
      <c r="BG119" s="21">
        <f t="shared" si="68"/>
        <v>16.3</v>
      </c>
      <c r="BH119" s="124">
        <f t="shared" si="69"/>
        <v>0</v>
      </c>
      <c r="BI119" s="124">
        <f t="shared" si="78"/>
        <v>0</v>
      </c>
      <c r="BJ119" s="144">
        <f t="shared" si="70"/>
        <v>0</v>
      </c>
      <c r="BL119" s="99">
        <v>29</v>
      </c>
    </row>
    <row r="120" spans="1:64" ht="12.75" x14ac:dyDescent="0.2">
      <c r="A120" s="8">
        <f t="shared" si="34"/>
        <v>40</v>
      </c>
      <c r="B120" s="125">
        <f t="shared" si="35"/>
        <v>11.1</v>
      </c>
      <c r="C120" s="125">
        <f t="shared" si="36"/>
        <v>20.2</v>
      </c>
      <c r="D120" s="125">
        <f t="shared" si="71"/>
        <v>15.649999999999999</v>
      </c>
      <c r="E120" s="125">
        <f t="shared" si="37"/>
        <v>9.1</v>
      </c>
      <c r="F120" s="7">
        <v>12.05</v>
      </c>
      <c r="G120" s="7">
        <v>21.6</v>
      </c>
      <c r="H120" s="7">
        <f t="shared" si="72"/>
        <v>16.825000000000003</v>
      </c>
      <c r="I120" s="7">
        <f t="shared" si="73"/>
        <v>9.5500000000000007</v>
      </c>
      <c r="K120" s="7">
        <f t="shared" si="38"/>
        <v>11.2</v>
      </c>
      <c r="L120" s="7">
        <f t="shared" si="39"/>
        <v>14.9</v>
      </c>
      <c r="M120" s="370">
        <f t="shared" si="40"/>
        <v>5.1100000000000003</v>
      </c>
      <c r="N120" s="1">
        <f t="shared" si="41"/>
        <v>3.3333333333333333E-2</v>
      </c>
      <c r="O120" s="7">
        <f t="shared" si="42"/>
        <v>68.433333333333337</v>
      </c>
      <c r="P120" s="7">
        <f t="shared" si="43"/>
        <v>11.289999999999997</v>
      </c>
      <c r="Q120" s="7">
        <f t="shared" si="44"/>
        <v>20.266666666666666</v>
      </c>
      <c r="R120" s="7">
        <f t="shared" si="45"/>
        <v>15.856666666666664</v>
      </c>
      <c r="S120" s="7">
        <f t="shared" si="46"/>
        <v>8.9766666666666666</v>
      </c>
      <c r="T120" s="1">
        <v>61</v>
      </c>
      <c r="U120" s="333">
        <f t="shared" si="47"/>
        <v>1.9666666666666666</v>
      </c>
      <c r="V120" s="4">
        <v>30</v>
      </c>
      <c r="W120" s="7">
        <f t="shared" si="48"/>
        <v>8.1900000000000013</v>
      </c>
      <c r="X120" s="7">
        <f t="shared" si="49"/>
        <v>16.653000000000002</v>
      </c>
      <c r="Y120" s="8">
        <f t="shared" si="50"/>
        <v>2</v>
      </c>
      <c r="Z120" s="7">
        <f>IF(ISBLANK(Z33),NA(),SUM($Z$4:Z33))</f>
        <v>87.59999999999998</v>
      </c>
      <c r="AA120" s="7">
        <f t="shared" si="74"/>
        <v>59</v>
      </c>
      <c r="AB120" s="26">
        <f>IF(ISBLANK(Z33),"",SUM($Z$4:Z33))</f>
        <v>87.59999999999998</v>
      </c>
      <c r="AC120" s="115">
        <f t="shared" si="75"/>
        <v>1.4847457627118641</v>
      </c>
      <c r="AD120" s="8">
        <f t="shared" si="51"/>
        <v>1015.0666666833333</v>
      </c>
      <c r="AE120" s="610">
        <f t="shared" si="52"/>
        <v>0.95549738219895275</v>
      </c>
      <c r="AF120" s="524">
        <f t="shared" si="53"/>
        <v>0.22916666666666666</v>
      </c>
      <c r="AG120" s="22">
        <f>IF(ISBLANK(AP33),NA(),SUM($AP$4:AP33))</f>
        <v>182.5</v>
      </c>
      <c r="AH120" s="7">
        <f>SUM($AS$91:AS120)</f>
        <v>191.00000000000003</v>
      </c>
      <c r="AI120" s="115">
        <f t="shared" si="54"/>
        <v>0.95549738219895275</v>
      </c>
      <c r="AJ120" s="124">
        <f t="shared" si="55"/>
        <v>0</v>
      </c>
      <c r="AK120" s="8">
        <f t="shared" si="56"/>
        <v>1025</v>
      </c>
      <c r="AL120" s="124">
        <f t="shared" si="57"/>
        <v>0</v>
      </c>
      <c r="AM120" s="524">
        <f t="shared" si="58"/>
        <v>0.63194444444444442</v>
      </c>
      <c r="AO120" s="524">
        <f t="shared" si="59"/>
        <v>0.62847222222222221</v>
      </c>
      <c r="AR120" s="524">
        <f t="shared" si="60"/>
        <v>0.21527777777777779</v>
      </c>
      <c r="AS120" s="7">
        <f t="shared" si="61"/>
        <v>6.3796916854405472</v>
      </c>
      <c r="AT120" s="7">
        <v>15.080874880436886</v>
      </c>
      <c r="AU120" s="4">
        <v>30</v>
      </c>
      <c r="AV120" s="127">
        <f t="shared" si="62"/>
        <v>1</v>
      </c>
      <c r="AW120" s="124">
        <f t="shared" si="76"/>
        <v>0</v>
      </c>
      <c r="AX120" s="124">
        <f t="shared" si="77"/>
        <v>0</v>
      </c>
      <c r="AY120" s="124">
        <f t="shared" si="63"/>
        <v>1</v>
      </c>
      <c r="AZ120" s="125">
        <f t="shared" si="64"/>
        <v>4.4000000000000004</v>
      </c>
      <c r="BA120" s="125">
        <f t="shared" si="65"/>
        <v>12.616666666666665</v>
      </c>
      <c r="BB120" s="125">
        <f t="shared" si="66"/>
        <v>18.68333333333333</v>
      </c>
      <c r="BC120" s="7">
        <v>13.641666666666667</v>
      </c>
      <c r="BD120" s="7">
        <v>20.008333333333333</v>
      </c>
      <c r="BF120" s="8">
        <f t="shared" si="67"/>
        <v>56</v>
      </c>
      <c r="BG120" s="21">
        <f t="shared" si="68"/>
        <v>15.9</v>
      </c>
      <c r="BH120" s="124">
        <f t="shared" si="69"/>
        <v>0</v>
      </c>
      <c r="BI120" s="124">
        <f t="shared" si="78"/>
        <v>0</v>
      </c>
      <c r="BJ120" s="144">
        <f t="shared" si="70"/>
        <v>3.3333333333333333E-2</v>
      </c>
      <c r="BL120" s="99">
        <v>30</v>
      </c>
    </row>
    <row r="121" spans="1:64" ht="12.75" customHeight="1" x14ac:dyDescent="0.2">
      <c r="A121" s="8" t="e">
        <f t="shared" si="34"/>
        <v>#N/A</v>
      </c>
      <c r="B121" s="125">
        <f t="shared" si="35"/>
        <v>11.1</v>
      </c>
      <c r="C121" s="125">
        <f t="shared" si="36"/>
        <v>20.2</v>
      </c>
      <c r="D121" s="125">
        <f t="shared" si="71"/>
        <v>15.649999999999999</v>
      </c>
      <c r="E121" s="125">
        <f t="shared" si="37"/>
        <v>9.1</v>
      </c>
      <c r="F121" s="7"/>
      <c r="G121" s="7"/>
      <c r="H121" s="7"/>
      <c r="I121" s="7"/>
      <c r="K121" s="7" t="e">
        <f t="shared" si="38"/>
        <v>#N/A</v>
      </c>
      <c r="L121" s="7" t="e">
        <f t="shared" si="39"/>
        <v>#N/A</v>
      </c>
      <c r="M121" s="370" t="e">
        <f t="shared" si="40"/>
        <v>#N/A</v>
      </c>
      <c r="N121" s="1" t="e">
        <f t="shared" si="41"/>
        <v>#N/A</v>
      </c>
      <c r="O121" s="7" t="e">
        <f t="shared" si="42"/>
        <v>#N/A</v>
      </c>
      <c r="P121" s="7" t="e">
        <f t="shared" si="43"/>
        <v>#N/A</v>
      </c>
      <c r="Q121" s="7" t="e">
        <f t="shared" si="44"/>
        <v>#N/A</v>
      </c>
      <c r="R121" s="7" t="e">
        <f t="shared" si="45"/>
        <v>#N/A</v>
      </c>
      <c r="S121" s="7" t="e">
        <f t="shared" si="46"/>
        <v>#N/A</v>
      </c>
      <c r="T121" s="1">
        <v>62</v>
      </c>
      <c r="U121" s="333">
        <f t="shared" si="47"/>
        <v>1.9666666666666666</v>
      </c>
      <c r="V121" s="4">
        <v>31</v>
      </c>
      <c r="W121" s="7">
        <f t="shared" si="48"/>
        <v>8.463000000000001</v>
      </c>
      <c r="X121" s="7">
        <f t="shared" si="49"/>
        <v>16.926000000000002</v>
      </c>
      <c r="Y121" s="8" t="e">
        <f t="shared" si="50"/>
        <v>#N/A</v>
      </c>
      <c r="Z121" s="7" t="e">
        <f>IF(ISBLANK(Z34),NA(),SUM($Z$4:Z34))</f>
        <v>#N/A</v>
      </c>
      <c r="AA121" s="7">
        <f t="shared" si="74"/>
        <v>59</v>
      </c>
      <c r="AB121" s="26">
        <f>IF(ISBLANK(Z6),"",SUM($Z$4:Z34))</f>
        <v>87.59999999999998</v>
      </c>
      <c r="AC121" s="115" t="e">
        <f t="shared" si="75"/>
        <v>#N/A</v>
      </c>
      <c r="AD121" s="8" t="e">
        <f t="shared" si="51"/>
        <v>#N/A</v>
      </c>
      <c r="AE121" s="610" t="str">
        <f t="shared" si="52"/>
        <v/>
      </c>
      <c r="AF121" s="524" t="e">
        <f t="shared" si="53"/>
        <v>#N/A</v>
      </c>
      <c r="AG121" s="22" t="e">
        <f>IF(ISBLANK(AP34),NA(),SUM($AP$4:AP34))</f>
        <v>#N/A</v>
      </c>
      <c r="AH121" s="7">
        <f>SUM($AS$91:AS121)</f>
        <v>191.00000000000003</v>
      </c>
      <c r="AI121" s="115" t="e">
        <f t="shared" si="54"/>
        <v>#N/A</v>
      </c>
      <c r="AJ121" s="124" t="str">
        <f t="shared" si="55"/>
        <v/>
      </c>
      <c r="AK121" s="8" t="e">
        <f t="shared" si="56"/>
        <v>#N/A</v>
      </c>
      <c r="AL121" s="124" t="str">
        <f t="shared" si="57"/>
        <v/>
      </c>
      <c r="AM121" s="524" t="e">
        <f t="shared" si="58"/>
        <v>#N/A</v>
      </c>
      <c r="AO121" s="524" t="e">
        <f t="shared" si="59"/>
        <v>#N/A</v>
      </c>
      <c r="AR121" s="524" t="e">
        <f t="shared" si="60"/>
        <v>#N/A</v>
      </c>
      <c r="AS121" s="7">
        <f t="shared" si="61"/>
        <v>0</v>
      </c>
      <c r="AT121" s="7"/>
      <c r="AU121" s="4">
        <v>31</v>
      </c>
      <c r="AV121" s="127" t="str">
        <f t="shared" si="62"/>
        <v/>
      </c>
      <c r="AW121" s="124" t="str">
        <f t="shared" si="76"/>
        <v/>
      </c>
      <c r="AX121" s="124" t="str">
        <f t="shared" si="77"/>
        <v/>
      </c>
      <c r="AY121" s="124" t="str">
        <f t="shared" si="63"/>
        <v/>
      </c>
      <c r="AZ121" s="125">
        <f t="shared" si="64"/>
        <v>4.4000000000000004</v>
      </c>
      <c r="BA121" s="125">
        <f t="shared" si="65"/>
        <v>12.616666666666665</v>
      </c>
      <c r="BB121" s="125">
        <f t="shared" si="66"/>
        <v>18.68333333333333</v>
      </c>
      <c r="BF121" s="8" t="e">
        <f t="shared" si="67"/>
        <v>#N/A</v>
      </c>
      <c r="BG121" s="21" t="e">
        <f t="shared" si="68"/>
        <v>#N/A</v>
      </c>
      <c r="BH121" s="124" t="str">
        <f t="shared" si="69"/>
        <v/>
      </c>
      <c r="BI121" s="124" t="str">
        <f t="shared" si="78"/>
        <v/>
      </c>
      <c r="BJ121" s="144" t="str">
        <f t="shared" si="70"/>
        <v/>
      </c>
      <c r="BL121" s="99"/>
    </row>
    <row r="122" spans="1:64" ht="6" customHeight="1" x14ac:dyDescent="0.2">
      <c r="C122" s="1"/>
      <c r="D122" s="125"/>
      <c r="E122" s="125"/>
      <c r="F122" s="125"/>
      <c r="G122" s="125"/>
      <c r="H122" s="21"/>
      <c r="I122" s="7"/>
      <c r="K122" s="7"/>
      <c r="M122" s="8"/>
      <c r="N122" s="8"/>
      <c r="P122" s="125"/>
      <c r="R122" s="8"/>
      <c r="S122" s="8"/>
      <c r="U122" s="333"/>
      <c r="V122" s="4"/>
      <c r="W122" s="7"/>
      <c r="Z122" s="7"/>
      <c r="AA122" s="7"/>
      <c r="AB122" s="127"/>
      <c r="AC122" s="7"/>
      <c r="AD122" s="115"/>
      <c r="AE122" s="115"/>
      <c r="AG122" s="22"/>
      <c r="AH122" s="8"/>
      <c r="AI122" s="115"/>
      <c r="AJ122" s="124"/>
      <c r="AK122" s="67"/>
      <c r="AL122" s="124"/>
      <c r="AQ122" s="7"/>
      <c r="AS122" s="7"/>
      <c r="AT122" s="7"/>
      <c r="AU122" s="8"/>
      <c r="AV122" s="127"/>
      <c r="AW122" s="124"/>
      <c r="AX122" s="124"/>
      <c r="AY122" s="124"/>
      <c r="AZ122" s="127"/>
      <c r="BA122" s="125"/>
      <c r="BG122" s="127"/>
      <c r="BH122" s="124"/>
      <c r="BI122" s="124"/>
      <c r="BJ122" s="144"/>
      <c r="BL122" s="99"/>
    </row>
    <row r="123" spans="1:64" ht="12.75" x14ac:dyDescent="0.2">
      <c r="C123" s="1"/>
      <c r="R123" s="8"/>
      <c r="S123" s="8"/>
      <c r="V123" s="11" t="s">
        <v>4</v>
      </c>
      <c r="W123" s="7">
        <f>IF(Z38&lt;1,"",AVERAGE(AB4:AB33))</f>
        <v>0.97692307692307701</v>
      </c>
      <c r="X123" s="7">
        <f>MAX(AB4:AB34)</f>
        <v>3</v>
      </c>
      <c r="AH123" s="115">
        <f>MIN(AE95:AE121)</f>
        <v>0.87589414250594444</v>
      </c>
      <c r="AI123" s="115">
        <f>MAX(AE95:AE121)</f>
        <v>1.4365370591885747</v>
      </c>
      <c r="AJ123" s="117"/>
      <c r="AK123" s="240"/>
      <c r="AL123" s="117"/>
      <c r="AS123" s="7">
        <f>SUM(AS91:AS121)</f>
        <v>191.00000000000003</v>
      </c>
      <c r="AT123" s="7">
        <f>SUM(AT91:AT121)</f>
        <v>451.50255595220619</v>
      </c>
      <c r="AV123" s="124"/>
      <c r="AW123" s="124"/>
      <c r="AX123" s="124"/>
      <c r="AY123" s="124"/>
      <c r="AZ123" s="124"/>
      <c r="BA123" s="124"/>
      <c r="BE123" s="124"/>
      <c r="BG123" s="7"/>
      <c r="BH123" s="124"/>
      <c r="BL123" s="4"/>
    </row>
    <row r="124" spans="1:64" s="95" customFormat="1" ht="18.75" customHeight="1" x14ac:dyDescent="0.2">
      <c r="C124" s="116"/>
      <c r="R124" s="325"/>
      <c r="S124" s="325"/>
      <c r="AY124" s="326"/>
      <c r="AZ124" s="326"/>
      <c r="BA124" s="326"/>
      <c r="BB124" s="326"/>
      <c r="BC124" s="326"/>
      <c r="BD124" s="326"/>
      <c r="BE124" s="326"/>
      <c r="BF124" s="326"/>
      <c r="BH124" s="326"/>
      <c r="BL124" s="81"/>
    </row>
    <row r="125" spans="1:64" ht="12.75" hidden="1" x14ac:dyDescent="0.2">
      <c r="AY125" s="124"/>
      <c r="AZ125" s="124"/>
      <c r="BA125" s="124"/>
      <c r="BB125" s="124"/>
      <c r="BC125" s="124"/>
      <c r="BD125" s="124"/>
      <c r="BE125" s="124"/>
      <c r="BF125" s="124"/>
      <c r="BG125" s="124"/>
      <c r="BH125" s="124"/>
    </row>
    <row r="126" spans="1:64" ht="12.75" hidden="1" x14ac:dyDescent="0.2">
      <c r="AY126" s="124"/>
      <c r="AZ126" s="124"/>
      <c r="BA126" s="124"/>
      <c r="BB126" s="124"/>
      <c r="BC126" s="124"/>
      <c r="BD126" s="124"/>
      <c r="BE126" s="124"/>
      <c r="BF126" s="124"/>
      <c r="BG126" s="124"/>
      <c r="BH126" s="124"/>
    </row>
    <row r="127" spans="1:64" ht="12.75" hidden="1" x14ac:dyDescent="0.2">
      <c r="AY127" s="124"/>
      <c r="AZ127" s="124"/>
      <c r="BA127" s="124"/>
      <c r="BB127" s="124"/>
      <c r="BC127" s="124"/>
      <c r="BD127" s="124"/>
      <c r="BE127" s="124"/>
      <c r="BF127" s="124"/>
      <c r="BG127" s="124"/>
      <c r="BH127" s="124"/>
    </row>
    <row r="128" spans="1:64" ht="12.75" hidden="1" x14ac:dyDescent="0.2">
      <c r="AY128" s="124"/>
      <c r="AZ128" s="124"/>
      <c r="BA128" s="124"/>
      <c r="BB128" s="124"/>
      <c r="BC128" s="124"/>
      <c r="BD128" s="124"/>
      <c r="BE128" s="124"/>
      <c r="BF128" s="124"/>
      <c r="BG128" s="124"/>
      <c r="BH128" s="124"/>
    </row>
    <row r="129" spans="13:60" ht="12.75" hidden="1" x14ac:dyDescent="0.2">
      <c r="AY129" s="124"/>
      <c r="AZ129" s="124"/>
      <c r="BA129" s="124"/>
      <c r="BB129" s="124"/>
      <c r="BC129" s="124"/>
      <c r="BD129" s="124"/>
      <c r="BE129" s="124"/>
      <c r="BF129" s="124"/>
      <c r="BG129" s="124"/>
      <c r="BH129" s="124"/>
    </row>
    <row r="130" spans="13:60" ht="12.75" hidden="1" x14ac:dyDescent="0.2"/>
    <row r="131" spans="13:60" ht="12.75" hidden="1" x14ac:dyDescent="0.2"/>
    <row r="132" spans="13:60" ht="12.75" hidden="1" x14ac:dyDescent="0.2"/>
    <row r="133" spans="13:60" ht="12.75" hidden="1" x14ac:dyDescent="0.2"/>
    <row r="134" spans="13:60" ht="12.75" hidden="1" x14ac:dyDescent="0.2">
      <c r="M134" s="10"/>
    </row>
  </sheetData>
  <sheetCalcPr fullCalcOnLoad="1"/>
  <mergeCells count="171">
    <mergeCell ref="AC57:AE57"/>
    <mergeCell ref="W90:X90"/>
    <mergeCell ref="Q75:AB75"/>
    <mergeCell ref="Q74:AB74"/>
    <mergeCell ref="Q81:AB81"/>
    <mergeCell ref="Q80:AB80"/>
    <mergeCell ref="AD73:AE73"/>
    <mergeCell ref="Q76:AB76"/>
    <mergeCell ref="Q77:AB77"/>
    <mergeCell ref="Q73:AB73"/>
    <mergeCell ref="AS51:AT51"/>
    <mergeCell ref="AA50:AA51"/>
    <mergeCell ref="AC50:AD50"/>
    <mergeCell ref="Q50:R50"/>
    <mergeCell ref="Z50:Z51"/>
    <mergeCell ref="AA46:AA47"/>
    <mergeCell ref="AS46:AX46"/>
    <mergeCell ref="BF84:BJ84"/>
    <mergeCell ref="BB81:BC81"/>
    <mergeCell ref="AG66:AJ66"/>
    <mergeCell ref="AP73:AQ75"/>
    <mergeCell ref="AH75:AI75"/>
    <mergeCell ref="AG74:AJ74"/>
    <mergeCell ref="AP76:AQ78"/>
    <mergeCell ref="AG73:AJ73"/>
    <mergeCell ref="AP82:AQ84"/>
    <mergeCell ref="AP79:AQ81"/>
    <mergeCell ref="B83:D83"/>
    <mergeCell ref="Q83:AB83"/>
    <mergeCell ref="Q82:AB82"/>
    <mergeCell ref="B82:D82"/>
    <mergeCell ref="H82:H83"/>
    <mergeCell ref="B78:D78"/>
    <mergeCell ref="H78:H79"/>
    <mergeCell ref="B79:D79"/>
    <mergeCell ref="Q79:AB79"/>
    <mergeCell ref="Q78:AB78"/>
    <mergeCell ref="B80:D80"/>
    <mergeCell ref="H80:H81"/>
    <mergeCell ref="B81:D81"/>
    <mergeCell ref="B76:D76"/>
    <mergeCell ref="B77:D77"/>
    <mergeCell ref="H76:H77"/>
    <mergeCell ref="B73:D73"/>
    <mergeCell ref="B74:D74"/>
    <mergeCell ref="H74:H75"/>
    <mergeCell ref="B75:D75"/>
    <mergeCell ref="B68:D68"/>
    <mergeCell ref="H68:I68"/>
    <mergeCell ref="AP69:AQ72"/>
    <mergeCell ref="H70:I70"/>
    <mergeCell ref="B71:D71"/>
    <mergeCell ref="H71:I71"/>
    <mergeCell ref="B64:D64"/>
    <mergeCell ref="H64:I64"/>
    <mergeCell ref="AG64:AJ64"/>
    <mergeCell ref="AG71:AJ71"/>
    <mergeCell ref="B72:D72"/>
    <mergeCell ref="AH72:AI72"/>
    <mergeCell ref="AH68:AI68"/>
    <mergeCell ref="B69:D69"/>
    <mergeCell ref="H69:I69"/>
    <mergeCell ref="B63:D63"/>
    <mergeCell ref="H63:I63"/>
    <mergeCell ref="AS63:AT63"/>
    <mergeCell ref="AP63:AQ68"/>
    <mergeCell ref="B65:D65"/>
    <mergeCell ref="B66:D66"/>
    <mergeCell ref="H66:I66"/>
    <mergeCell ref="B67:D67"/>
    <mergeCell ref="H67:I67"/>
    <mergeCell ref="AG67:AJ67"/>
    <mergeCell ref="B62:D62"/>
    <mergeCell ref="H62:I62"/>
    <mergeCell ref="AS62:AT62"/>
    <mergeCell ref="AP60:AQ62"/>
    <mergeCell ref="B60:D60"/>
    <mergeCell ref="H60:I60"/>
    <mergeCell ref="AS59:AT59"/>
    <mergeCell ref="AP59:AQ59"/>
    <mergeCell ref="AS60:AT60"/>
    <mergeCell ref="B61:D61"/>
    <mergeCell ref="B59:D59"/>
    <mergeCell ref="H59:I59"/>
    <mergeCell ref="AG59:AJ59"/>
    <mergeCell ref="AH60:AI60"/>
    <mergeCell ref="B57:D57"/>
    <mergeCell ref="H57:I58"/>
    <mergeCell ref="K57:N57"/>
    <mergeCell ref="Z57:AB57"/>
    <mergeCell ref="B58:D58"/>
    <mergeCell ref="U57:U58"/>
    <mergeCell ref="V57:V58"/>
    <mergeCell ref="W57:W58"/>
    <mergeCell ref="P57:S57"/>
    <mergeCell ref="X57:X58"/>
    <mergeCell ref="AS55:AT55"/>
    <mergeCell ref="AS57:AT57"/>
    <mergeCell ref="AP53:AQ53"/>
    <mergeCell ref="AH53:AI53"/>
    <mergeCell ref="B54:D54"/>
    <mergeCell ref="B56:D56"/>
    <mergeCell ref="B55:D55"/>
    <mergeCell ref="AG56:AJ56"/>
    <mergeCell ref="Z54:Z55"/>
    <mergeCell ref="AA54:AA55"/>
    <mergeCell ref="H51:I51"/>
    <mergeCell ref="AC51:AC52"/>
    <mergeCell ref="AD51:AD52"/>
    <mergeCell ref="Q52:R52"/>
    <mergeCell ref="Z52:Z53"/>
    <mergeCell ref="B52:D52"/>
    <mergeCell ref="B53:D53"/>
    <mergeCell ref="Q51:R51"/>
    <mergeCell ref="AS48:AU48"/>
    <mergeCell ref="Z49:AA49"/>
    <mergeCell ref="AG49:AJ49"/>
    <mergeCell ref="B49:D49"/>
    <mergeCell ref="K48:N48"/>
    <mergeCell ref="H50:I50"/>
    <mergeCell ref="AS50:AT50"/>
    <mergeCell ref="BF46:BJ46"/>
    <mergeCell ref="BF47:BJ47"/>
    <mergeCell ref="AY47:BD47"/>
    <mergeCell ref="B38:C38"/>
    <mergeCell ref="BA38:BB38"/>
    <mergeCell ref="B42:C42"/>
    <mergeCell ref="B46:E46"/>
    <mergeCell ref="B47:D47"/>
    <mergeCell ref="Z46:Z47"/>
    <mergeCell ref="AL38:AL43"/>
    <mergeCell ref="BA36:BB36"/>
    <mergeCell ref="BF1:BJ1"/>
    <mergeCell ref="D4:D43"/>
    <mergeCell ref="BA37:BB37"/>
    <mergeCell ref="BA39:BB39"/>
    <mergeCell ref="BA40:BB40"/>
    <mergeCell ref="AL1:AL2"/>
    <mergeCell ref="AN1:AN2"/>
    <mergeCell ref="AP1:AP2"/>
    <mergeCell ref="AS1:AY1"/>
    <mergeCell ref="B1:B2"/>
    <mergeCell ref="C1:C2"/>
    <mergeCell ref="F1:I1"/>
    <mergeCell ref="K1:N1"/>
    <mergeCell ref="AH65:AI65"/>
    <mergeCell ref="AG58:AJ58"/>
    <mergeCell ref="B36:C36"/>
    <mergeCell ref="B50:D50"/>
    <mergeCell ref="B51:D51"/>
    <mergeCell ref="B48:D48"/>
    <mergeCell ref="AS49:AT49"/>
    <mergeCell ref="AG51:AJ51"/>
    <mergeCell ref="AH50:AI50"/>
    <mergeCell ref="AG52:AJ52"/>
    <mergeCell ref="AS58:AT58"/>
    <mergeCell ref="AS52:AT52"/>
    <mergeCell ref="AS53:AT53"/>
    <mergeCell ref="AP52:AQ52"/>
    <mergeCell ref="AS56:AT56"/>
    <mergeCell ref="AS54:AT54"/>
    <mergeCell ref="BA1:BD1"/>
    <mergeCell ref="AH57:AI57"/>
    <mergeCell ref="AQ1:AQ2"/>
    <mergeCell ref="P1:S1"/>
    <mergeCell ref="U1:X1"/>
    <mergeCell ref="AG1:AJ1"/>
    <mergeCell ref="AD1:AE1"/>
    <mergeCell ref="Z1:AC1"/>
    <mergeCell ref="Q53:R53"/>
    <mergeCell ref="AA52:AA53"/>
  </mergeCells>
  <phoneticPr fontId="4" type="noConversion"/>
  <conditionalFormatting sqref="C4:C34">
    <cfRule type="cellIs" dxfId="955" priority="1" stopIfTrue="1" operator="notEqual">
      <formula>G4</formula>
    </cfRule>
  </conditionalFormatting>
  <conditionalFormatting sqref="AC4:AC34">
    <cfRule type="cellIs" dxfId="954" priority="2" stopIfTrue="1" operator="equal">
      <formula>$AC$86</formula>
    </cfRule>
    <cfRule type="cellIs" dxfId="953" priority="3" stopIfTrue="1" operator="equal">
      <formula>0</formula>
    </cfRule>
    <cfRule type="expression" dxfId="952" priority="4" stopIfTrue="1">
      <formula>Z4=0.1</formula>
    </cfRule>
  </conditionalFormatting>
  <conditionalFormatting sqref="W46:W53">
    <cfRule type="expression" dxfId="951" priority="5" stopIfTrue="1">
      <formula>X46=$X$55</formula>
    </cfRule>
  </conditionalFormatting>
  <conditionalFormatting sqref="B4:B34">
    <cfRule type="cellIs" dxfId="950" priority="6" stopIfTrue="1" operator="notEqual">
      <formula>F4</formula>
    </cfRule>
  </conditionalFormatting>
  <conditionalFormatting sqref="AP92:AP107">
    <cfRule type="expression" dxfId="949" priority="7" stopIfTrue="1">
      <formula>AQ92=$AQ$109</formula>
    </cfRule>
  </conditionalFormatting>
  <conditionalFormatting sqref="BG49:BG79">
    <cfRule type="expression" dxfId="948" priority="8" stopIfTrue="1">
      <formula>IF(J4=1,1,0)</formula>
    </cfRule>
  </conditionalFormatting>
  <conditionalFormatting sqref="B72:D80 B48:C66 D48 D51:D52 D54:D66">
    <cfRule type="expression" dxfId="947" priority="9" stopIfTrue="1">
      <formula>IF(F48&gt;0.5,1,0)</formula>
    </cfRule>
    <cfRule type="expression" dxfId="946" priority="10" stopIfTrue="1">
      <formula>IF(F48&lt;0.2,1,0)</formula>
    </cfRule>
  </conditionalFormatting>
  <conditionalFormatting sqref="AS50:AT60">
    <cfRule type="expression" dxfId="945" priority="11" stopIfTrue="1">
      <formula>IF(AV50&gt;0.5,1,0)</formula>
    </cfRule>
    <cfRule type="expression" dxfId="944" priority="12" stopIfTrue="1">
      <formula>IF(AV50&lt;0.2,1,0)</formula>
    </cfRule>
  </conditionalFormatting>
  <conditionalFormatting sqref="BD35">
    <cfRule type="cellIs" dxfId="943" priority="13" stopIfTrue="1" operator="equal">
      <formula>#REF!</formula>
    </cfRule>
    <cfRule type="expression" dxfId="942" priority="14" stopIfTrue="1">
      <formula>AY123=1</formula>
    </cfRule>
    <cfRule type="expression" dxfId="941" priority="15" stopIfTrue="1">
      <formula>BH123=1</formula>
    </cfRule>
  </conditionalFormatting>
  <conditionalFormatting sqref="F4:F34">
    <cfRule type="cellIs" dxfId="940" priority="16" stopIfTrue="1" operator="equal">
      <formula>$F$85</formula>
    </cfRule>
    <cfRule type="cellIs" dxfId="939" priority="17" stopIfTrue="1" operator="equal">
      <formula>$F$86</formula>
    </cfRule>
    <cfRule type="expression" dxfId="938" priority="18" stopIfTrue="1">
      <formula>IF(B4&lt;0,1,0)</formula>
    </cfRule>
  </conditionalFormatting>
  <conditionalFormatting sqref="BF49:BF79">
    <cfRule type="cellIs" dxfId="937" priority="19" stopIfTrue="1" operator="greaterThan">
      <formula>0.9</formula>
    </cfRule>
    <cfRule type="expression" dxfId="936" priority="20" stopIfTrue="1">
      <formula>IF(O4=1,1,0)</formula>
    </cfRule>
  </conditionalFormatting>
  <conditionalFormatting sqref="D53">
    <cfRule type="expression" dxfId="935" priority="21" stopIfTrue="1">
      <formula>IF(H50&gt;0.5,1,0)</formula>
    </cfRule>
    <cfRule type="expression" dxfId="934" priority="22" stopIfTrue="1">
      <formula>IF(H50&lt;0.2,1,0)</formula>
    </cfRule>
  </conditionalFormatting>
  <conditionalFormatting sqref="D49:D50">
    <cfRule type="expression" dxfId="933" priority="23" stopIfTrue="1">
      <formula>IF(L53&gt;0.5,1,0)</formula>
    </cfRule>
    <cfRule type="expression" dxfId="932" priority="24" stopIfTrue="1">
      <formula>IF(L53&lt;0.2,1,0)</formula>
    </cfRule>
  </conditionalFormatting>
  <conditionalFormatting sqref="BA49:BA79">
    <cfRule type="cellIs" dxfId="931" priority="25" stopIfTrue="1" operator="equal">
      <formula>$BB$86</formula>
    </cfRule>
    <cfRule type="expression" dxfId="930" priority="26" stopIfTrue="1">
      <formula>IF(AX91=1,1,0)</formula>
    </cfRule>
    <cfRule type="expression" dxfId="929" priority="27" stopIfTrue="1">
      <formula>IF(AW91=1,1,0)</formula>
    </cfRule>
  </conditionalFormatting>
  <conditionalFormatting sqref="AQ92:AQ107">
    <cfRule type="cellIs" dxfId="928" priority="28" stopIfTrue="1" operator="equal">
      <formula>$AQ$109</formula>
    </cfRule>
  </conditionalFormatting>
  <conditionalFormatting sqref="AB91:AB121">
    <cfRule type="cellIs" dxfId="927" priority="29" stopIfTrue="1" operator="equal">
      <formula>0</formula>
    </cfRule>
  </conditionalFormatting>
  <conditionalFormatting sqref="AE4:AE34">
    <cfRule type="cellIs" dxfId="926" priority="30" stopIfTrue="1" operator="equal">
      <formula>$AD$86</formula>
    </cfRule>
    <cfRule type="cellIs" dxfId="925" priority="31" stopIfTrue="1" operator="equal">
      <formula>0</formula>
    </cfRule>
  </conditionalFormatting>
  <conditionalFormatting sqref="AY49:AZ79">
    <cfRule type="cellIs" dxfId="924" priority="32" stopIfTrue="1" operator="equal">
      <formula>$BA$84</formula>
    </cfRule>
    <cfRule type="cellIs" dxfId="923" priority="33" stopIfTrue="1" operator="equal">
      <formula>$BB$84</formula>
    </cfRule>
  </conditionalFormatting>
  <conditionalFormatting sqref="AW4:AW34 BI35">
    <cfRule type="cellIs" dxfId="922" priority="34" stopIfTrue="1" operator="equal">
      <formula>$AW$85</formula>
    </cfRule>
    <cfRule type="cellIs" dxfId="921" priority="35" stopIfTrue="1" operator="equal">
      <formula>$AW$86</formula>
    </cfRule>
  </conditionalFormatting>
  <conditionalFormatting sqref="BC35 BD4:BD34">
    <cfRule type="cellIs" dxfId="920" priority="36" stopIfTrue="1" operator="equal">
      <formula>$BD$85</formula>
    </cfRule>
    <cfRule type="cellIs" dxfId="919" priority="37" stopIfTrue="1" operator="equal">
      <formula>$BD$86</formula>
    </cfRule>
  </conditionalFormatting>
  <conditionalFormatting sqref="BC49:BC80">
    <cfRule type="cellIs" dxfId="918" priority="38" stopIfTrue="1" operator="equal">
      <formula>$AU$85</formula>
    </cfRule>
    <cfRule type="cellIs" dxfId="917" priority="39" stopIfTrue="1" operator="equal">
      <formula>$AU$86</formula>
    </cfRule>
  </conditionalFormatting>
  <conditionalFormatting sqref="BD49:BD80">
    <cfRule type="cellIs" dxfId="916" priority="40" stopIfTrue="1" operator="equal">
      <formula>#REF!</formula>
    </cfRule>
    <cfRule type="cellIs" dxfId="915" priority="41" stopIfTrue="1" operator="equal">
      <formula>#REF!</formula>
    </cfRule>
  </conditionalFormatting>
  <conditionalFormatting sqref="BF35 BF4:BG34">
    <cfRule type="cellIs" dxfId="914" priority="42" stopIfTrue="1" operator="equal">
      <formula>$BF$85</formula>
    </cfRule>
    <cfRule type="cellIs" dxfId="913" priority="43" stopIfTrue="1" operator="equal">
      <formula>$BF$86</formula>
    </cfRule>
  </conditionalFormatting>
  <conditionalFormatting sqref="BG35">
    <cfRule type="cellIs" dxfId="912" priority="44" stopIfTrue="1" operator="equal">
      <formula>$BG$85</formula>
    </cfRule>
    <cfRule type="cellIs" dxfId="911" priority="45" stopIfTrue="1" operator="equal">
      <formula>$BG$86</formula>
    </cfRule>
  </conditionalFormatting>
  <conditionalFormatting sqref="BH4:BH35">
    <cfRule type="cellIs" dxfId="910" priority="46" stopIfTrue="1" operator="equal">
      <formula>$BH$85</formula>
    </cfRule>
    <cfRule type="cellIs" dxfId="909" priority="47" stopIfTrue="1" operator="equal">
      <formula>$BH$86</formula>
    </cfRule>
  </conditionalFormatting>
  <conditionalFormatting sqref="BA4:BA35 BB4:BB34">
    <cfRule type="cellIs" dxfId="908" priority="48" stopIfTrue="1" operator="equal">
      <formula>$BA$85</formula>
    </cfRule>
    <cfRule type="cellIs" dxfId="907" priority="49" stopIfTrue="1" operator="equal">
      <formula>$BA$86</formula>
    </cfRule>
  </conditionalFormatting>
  <conditionalFormatting sqref="BF80">
    <cfRule type="cellIs" dxfId="906" priority="50" stopIfTrue="1" operator="greaterThan">
      <formula>0.9</formula>
    </cfRule>
  </conditionalFormatting>
  <conditionalFormatting sqref="BG80">
    <cfRule type="cellIs" dxfId="905" priority="51" stopIfTrue="1" operator="lessThan">
      <formula>0.3</formula>
    </cfRule>
  </conditionalFormatting>
  <conditionalFormatting sqref="BJ8:BJ35">
    <cfRule type="cellIs" dxfId="904" priority="52" stopIfTrue="1" operator="equal">
      <formula>$BJ$85</formula>
    </cfRule>
    <cfRule type="cellIs" dxfId="903" priority="53" stopIfTrue="1" operator="equal">
      <formula>$BJ$86</formula>
    </cfRule>
  </conditionalFormatting>
  <conditionalFormatting sqref="BI4:BI34">
    <cfRule type="cellIs" dxfId="902" priority="54" stopIfTrue="1" operator="equal">
      <formula>$BI$86</formula>
    </cfRule>
    <cfRule type="cellIs" dxfId="901" priority="55" stopIfTrue="1" operator="equal">
      <formula>$BI$85</formula>
    </cfRule>
  </conditionalFormatting>
  <conditionalFormatting sqref="AY35:AZ35">
    <cfRule type="cellIs" dxfId="900" priority="56" stopIfTrue="1" operator="equal">
      <formula>$AY$85</formula>
    </cfRule>
    <cfRule type="cellIs" dxfId="899" priority="57" stopIfTrue="1" operator="equal">
      <formula>$AY$86</formula>
    </cfRule>
  </conditionalFormatting>
  <conditionalFormatting sqref="AY4:AY34">
    <cfRule type="cellIs" dxfId="898" priority="58" stopIfTrue="1" operator="equal">
      <formula>$AY$85</formula>
    </cfRule>
    <cfRule type="cellIs" dxfId="897" priority="59" stopIfTrue="1" operator="equal">
      <formula>$AY$86</formula>
    </cfRule>
  </conditionalFormatting>
  <conditionalFormatting sqref="AM4:AM34 X4:X23 X33:X34">
    <cfRule type="cellIs" dxfId="896" priority="60" stopIfTrue="1" operator="equal">
      <formula>10</formula>
    </cfRule>
    <cfRule type="cellIs" priority="61" stopIfTrue="1" operator="equal">
      <formula>0</formula>
    </cfRule>
  </conditionalFormatting>
  <conditionalFormatting sqref="AK4:AK34">
    <cfRule type="cellIs" dxfId="895" priority="62" stopIfTrue="1" operator="equal">
      <formula>$AH$86</formula>
    </cfRule>
    <cfRule type="cellIs" dxfId="894" priority="63" stopIfTrue="1" operator="equal">
      <formula>$AH$85</formula>
    </cfRule>
  </conditionalFormatting>
  <conditionalFormatting sqref="AR4:AR34">
    <cfRule type="cellIs" dxfId="893" priority="64" stopIfTrue="1" operator="equal">
      <formula>$M$92</formula>
    </cfRule>
  </conditionalFormatting>
  <conditionalFormatting sqref="AV50:AV60 F72:F80 F48:F66">
    <cfRule type="cellIs" dxfId="892" priority="65" stopIfTrue="1" operator="between">
      <formula>0.45</formula>
      <formula>0.55</formula>
    </cfRule>
  </conditionalFormatting>
  <conditionalFormatting sqref="AS8:AS34">
    <cfRule type="cellIs" dxfId="891" priority="66" stopIfTrue="1" operator="equal">
      <formula>$AS$85</formula>
    </cfRule>
    <cfRule type="cellIs" dxfId="890" priority="67" stopIfTrue="1" operator="equal">
      <formula>$AS$86</formula>
    </cfRule>
  </conditionalFormatting>
  <conditionalFormatting sqref="AI4:AI35">
    <cfRule type="cellIs" dxfId="889" priority="68" stopIfTrue="1" operator="equal">
      <formula>$AI$85</formula>
    </cfRule>
    <cfRule type="cellIs" dxfId="888" priority="69" stopIfTrue="1" operator="equal">
      <formula>$AI$86</formula>
    </cfRule>
  </conditionalFormatting>
  <conditionalFormatting sqref="AJ4:AJ35">
    <cfRule type="cellIs" dxfId="887" priority="70" stopIfTrue="1" operator="equal">
      <formula>$AJ$85</formula>
    </cfRule>
    <cfRule type="cellIs" dxfId="886" priority="71" stopIfTrue="1" operator="equal">
      <formula>$AJ$86</formula>
    </cfRule>
  </conditionalFormatting>
  <conditionalFormatting sqref="AT4:AT35">
    <cfRule type="cellIs" dxfId="885" priority="72" stopIfTrue="1" operator="equal">
      <formula>$AT$85</formula>
    </cfRule>
    <cfRule type="cellIs" dxfId="884" priority="73" stopIfTrue="1" operator="equal">
      <formula>$AT$86</formula>
    </cfRule>
  </conditionalFormatting>
  <conditionalFormatting sqref="AU4:AU35">
    <cfRule type="cellIs" dxfId="883" priority="74" stopIfTrue="1" operator="equal">
      <formula>$AU$85</formula>
    </cfRule>
    <cfRule type="cellIs" dxfId="882" priority="75" stopIfTrue="1" operator="equal">
      <formula>$AU$86</formula>
    </cfRule>
  </conditionalFormatting>
  <conditionalFormatting sqref="AV35:AW35 AV4:AV34">
    <cfRule type="cellIs" dxfId="881" priority="76" stopIfTrue="1" operator="equal">
      <formula>$AV$85</formula>
    </cfRule>
    <cfRule type="cellIs" dxfId="880" priority="77" stopIfTrue="1" operator="equal">
      <formula>$AV$86</formula>
    </cfRule>
  </conditionalFormatting>
  <conditionalFormatting sqref="AX4:AX35">
    <cfRule type="cellIs" dxfId="879" priority="78" stopIfTrue="1" operator="equal">
      <formula>$AX$85</formula>
    </cfRule>
    <cfRule type="cellIs" dxfId="878" priority="79" stopIfTrue="1" operator="equal">
      <formula>$AX$86</formula>
    </cfRule>
  </conditionalFormatting>
  <conditionalFormatting sqref="AG4:AG34">
    <cfRule type="cellIs" dxfId="877" priority="80" stopIfTrue="1" operator="equal">
      <formula>$AG$85</formula>
    </cfRule>
    <cfRule type="cellIs" dxfId="876" priority="81" stopIfTrue="1" operator="equal">
      <formula>$AG$86</formula>
    </cfRule>
  </conditionalFormatting>
  <conditionalFormatting sqref="AH4:AH35">
    <cfRule type="cellIs" dxfId="875" priority="82" stopIfTrue="1" operator="equal">
      <formula>$AH$85</formula>
    </cfRule>
    <cfRule type="cellIs" dxfId="874" priority="83" stopIfTrue="1" operator="equal">
      <formula>$AH$86</formula>
    </cfRule>
  </conditionalFormatting>
  <conditionalFormatting sqref="AP4:AP34">
    <cfRule type="cellIs" dxfId="873" priority="84" stopIfTrue="1" operator="equal">
      <formula>$AP$86</formula>
    </cfRule>
    <cfRule type="cellIs" dxfId="872" priority="85" stopIfTrue="1" operator="equal">
      <formula>0.001</formula>
    </cfRule>
  </conditionalFormatting>
  <conditionalFormatting sqref="AN7 AN26 AN30:AN31">
    <cfRule type="expression" dxfId="871" priority="86" stopIfTrue="1">
      <formula>$AS$36</formula>
    </cfRule>
  </conditionalFormatting>
  <conditionalFormatting sqref="BH49:BH79">
    <cfRule type="cellIs" dxfId="870" priority="87" stopIfTrue="1" operator="greaterThan">
      <formula>0.9</formula>
    </cfRule>
  </conditionalFormatting>
  <conditionalFormatting sqref="BI49:BI79">
    <cfRule type="cellIs" dxfId="869" priority="88" stopIfTrue="1" operator="greaterThan">
      <formula>0.5</formula>
    </cfRule>
  </conditionalFormatting>
  <conditionalFormatting sqref="X46:X53">
    <cfRule type="cellIs" dxfId="868" priority="89" stopIfTrue="1" operator="equal">
      <formula>$X$55</formula>
    </cfRule>
  </conditionalFormatting>
  <conditionalFormatting sqref="L4:L34">
    <cfRule type="cellIs" dxfId="867" priority="90" stopIfTrue="1" operator="equal">
      <formula>98</formula>
    </cfRule>
    <cfRule type="cellIs" dxfId="866" priority="91" stopIfTrue="1" operator="equal">
      <formula>$L$85</formula>
    </cfRule>
    <cfRule type="cellIs" dxfId="865" priority="92" stopIfTrue="1" operator="equal">
      <formula>$L$86</formula>
    </cfRule>
  </conditionalFormatting>
  <conditionalFormatting sqref="K4:K34">
    <cfRule type="cellIs" dxfId="864" priority="93" stopIfTrue="1" operator="equal">
      <formula>$K$85</formula>
    </cfRule>
    <cfRule type="cellIs" dxfId="863" priority="94" stopIfTrue="1" operator="equal">
      <formula>$K$86</formula>
    </cfRule>
  </conditionalFormatting>
  <conditionalFormatting sqref="I4:I34">
    <cfRule type="cellIs" dxfId="862" priority="95" stopIfTrue="1" operator="equal">
      <formula>$I$85</formula>
    </cfRule>
    <cfRule type="cellIs" dxfId="861" priority="96" stopIfTrue="1" operator="equal">
      <formula>$I$86</formula>
    </cfRule>
  </conditionalFormatting>
  <conditionalFormatting sqref="N4:N34">
    <cfRule type="cellIs" dxfId="860" priority="97" stopIfTrue="1" operator="equal">
      <formula>$N$85</formula>
    </cfRule>
    <cfRule type="cellIs" dxfId="859" priority="98" stopIfTrue="1" operator="equal">
      <formula>$N$86</formula>
    </cfRule>
  </conditionalFormatting>
  <conditionalFormatting sqref="AA34:AB34 AA4:AA33">
    <cfRule type="cellIs" dxfId="858" priority="99" stopIfTrue="1" operator="equal">
      <formula>$AA$86</formula>
    </cfRule>
  </conditionalFormatting>
  <conditionalFormatting sqref="P4:P34">
    <cfRule type="cellIs" dxfId="857" priority="100" stopIfTrue="1" operator="equal">
      <formula>$P$85</formula>
    </cfRule>
    <cfRule type="cellIs" dxfId="856" priority="101" stopIfTrue="1" operator="equal">
      <formula>$P$86</formula>
    </cfRule>
  </conditionalFormatting>
  <conditionalFormatting sqref="S4:S34">
    <cfRule type="cellIs" dxfId="855" priority="102" stopIfTrue="1" operator="equal">
      <formula>$S$85</formula>
    </cfRule>
    <cfRule type="cellIs" dxfId="854" priority="103" stopIfTrue="1" operator="equal">
      <formula>$S$86</formula>
    </cfRule>
  </conditionalFormatting>
  <conditionalFormatting sqref="R4:R34">
    <cfRule type="cellIs" dxfId="853" priority="104" stopIfTrue="1" operator="equal">
      <formula>$R$85</formula>
    </cfRule>
    <cfRule type="cellIs" dxfId="852" priority="105" stopIfTrue="1" operator="equal">
      <formula>$R$86</formula>
    </cfRule>
  </conditionalFormatting>
  <conditionalFormatting sqref="Q4:Q34">
    <cfRule type="cellIs" dxfId="851" priority="106" stopIfTrue="1" operator="equal">
      <formula>$Q$85</formula>
    </cfRule>
    <cfRule type="cellIs" dxfId="850" priority="107" stopIfTrue="1" operator="equal">
      <formula>$Q$86</formula>
    </cfRule>
  </conditionalFormatting>
  <conditionalFormatting sqref="U49:U50 U47 U53:U56">
    <cfRule type="cellIs" dxfId="849" priority="108" stopIfTrue="1" operator="equal">
      <formula>$W$86</formula>
    </cfRule>
    <cfRule type="cellIs" dxfId="848" priority="109" stopIfTrue="1" operator="equal">
      <formula>$W$85</formula>
    </cfRule>
  </conditionalFormatting>
  <conditionalFormatting sqref="H4:H35">
    <cfRule type="cellIs" dxfId="847" priority="110" stopIfTrue="1" operator="equal">
      <formula>$H$85</formula>
    </cfRule>
    <cfRule type="cellIs" dxfId="846" priority="111" stopIfTrue="1" operator="equal">
      <formula>$H$86</formula>
    </cfRule>
  </conditionalFormatting>
  <conditionalFormatting sqref="M4:M34">
    <cfRule type="cellIs" dxfId="845" priority="112" stopIfTrue="1" operator="equal">
      <formula>$M$85</formula>
    </cfRule>
    <cfRule type="cellIs" dxfId="844" priority="113" stopIfTrue="1" operator="equal">
      <formula>$M$86</formula>
    </cfRule>
  </conditionalFormatting>
  <conditionalFormatting sqref="AB4:AB33">
    <cfRule type="cellIs" dxfId="843" priority="114" stopIfTrue="1" operator="equal">
      <formula>$X$123</formula>
    </cfRule>
  </conditionalFormatting>
  <conditionalFormatting sqref="G4:G34">
    <cfRule type="cellIs" dxfId="842" priority="115" stopIfTrue="1" operator="equal">
      <formula>$G$86</formula>
    </cfRule>
    <cfRule type="cellIs" dxfId="841" priority="116" stopIfTrue="1" operator="equal">
      <formula>$G$85</formula>
    </cfRule>
    <cfRule type="cellIs" dxfId="840" priority="117" stopIfTrue="1" operator="greaterThan">
      <formula>25</formula>
    </cfRule>
  </conditionalFormatting>
  <conditionalFormatting sqref="AD4:AD34">
    <cfRule type="cellIs" dxfId="839" priority="118" stopIfTrue="1" operator="equal">
      <formula>$AE$86</formula>
    </cfRule>
    <cfRule type="cellIs" dxfId="838" priority="119" stopIfTrue="1" operator="equal">
      <formula>$AE$85</formula>
    </cfRule>
  </conditionalFormatting>
  <conditionalFormatting sqref="AQ4:AQ34">
    <cfRule type="cellIs" dxfId="837" priority="120" stopIfTrue="1" operator="equal">
      <formula>0</formula>
    </cfRule>
    <cfRule type="cellIs" dxfId="836" priority="121" stopIfTrue="1" operator="equal">
      <formula>$AQ$86</formula>
    </cfRule>
    <cfRule type="cellIs" dxfId="835" priority="122" stopIfTrue="1" operator="between">
      <formula>0.1</formula>
      <formula>0.4</formula>
    </cfRule>
  </conditionalFormatting>
  <conditionalFormatting sqref="U4:U34">
    <cfRule type="cellIs" dxfId="834" priority="123" stopIfTrue="1" operator="equal">
      <formula>$U$86</formula>
    </cfRule>
    <cfRule type="cellIs" dxfId="833" priority="124" stopIfTrue="1" operator="equal">
      <formula>$U$85</formula>
    </cfRule>
  </conditionalFormatting>
  <conditionalFormatting sqref="V4:V34">
    <cfRule type="cellIs" dxfId="832" priority="125" stopIfTrue="1" operator="equal">
      <formula>$V$86</formula>
    </cfRule>
    <cfRule type="cellIs" dxfId="831" priority="126" stopIfTrue="1" operator="equal">
      <formula>$V$85</formula>
    </cfRule>
  </conditionalFormatting>
  <conditionalFormatting sqref="W4:W34">
    <cfRule type="cellIs" dxfId="830" priority="127" stopIfTrue="1" operator="equal">
      <formula>$W$86</formula>
    </cfRule>
    <cfRule type="cellIs" dxfId="829" priority="128" stopIfTrue="1" operator="equal">
      <formula>$W$85</formula>
    </cfRule>
  </conditionalFormatting>
  <conditionalFormatting sqref="Z4:Z34">
    <cfRule type="cellIs" dxfId="828" priority="129" stopIfTrue="1" operator="equal">
      <formula>0</formula>
    </cfRule>
    <cfRule type="cellIs" dxfId="827" priority="130" stopIfTrue="1" operator="equal">
      <formula>$Z$86</formula>
    </cfRule>
    <cfRule type="cellIs" dxfId="826" priority="131" stopIfTrue="1" operator="lessThan">
      <formula>0.2</formula>
    </cfRule>
  </conditionalFormatting>
  <conditionalFormatting sqref="E48:E66 AU50:AU60">
    <cfRule type="cellIs" dxfId="825" priority="132" stopIfTrue="1" operator="notBetween">
      <formula>-0.5</formula>
      <formula>0.5</formula>
    </cfRule>
    <cfRule type="cellIs" dxfId="824" priority="133" stopIfTrue="1" operator="between">
      <formula>-0.2</formula>
      <formula>0.2</formula>
    </cfRule>
  </conditionalFormatting>
  <conditionalFormatting sqref="E72:E80">
    <cfRule type="cellIs" dxfId="823" priority="134" stopIfTrue="1" operator="notBetween">
      <formula>-0.5</formula>
      <formula>0.5</formula>
    </cfRule>
    <cfRule type="cellIs" dxfId="822" priority="135" stopIfTrue="1" operator="between">
      <formula>-0.2</formula>
      <formula>0.2</formula>
    </cfRule>
  </conditionalFormatting>
  <conditionalFormatting sqref="BC4:BC34">
    <cfRule type="cellIs" dxfId="821" priority="136" stopIfTrue="1" operator="equal">
      <formula>$BC$85</formula>
    </cfRule>
    <cfRule type="cellIs" dxfId="820" priority="137" stopIfTrue="1" operator="equal">
      <formula>$BC$86</formula>
    </cfRule>
  </conditionalFormatting>
  <pageMargins left="0.75" right="0.75" top="1" bottom="1" header="0.5" footer="0.5"/>
  <pageSetup paperSize="9" orientation="portrait" horizontalDpi="4294967293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tabColor indexed="51"/>
  </sheetPr>
  <dimension ref="AA3"/>
  <sheetViews>
    <sheetView zoomScale="75" workbookViewId="0">
      <selection activeCell="AA3" sqref="AA3"/>
    </sheetView>
  </sheetViews>
  <sheetFormatPr defaultRowHeight="12.75" x14ac:dyDescent="0.2"/>
  <sheetData>
    <row r="3" spans="27:27" ht="15.75" x14ac:dyDescent="0.25">
      <c r="AA3" s="614" t="s">
        <v>504</v>
      </c>
    </row>
  </sheetData>
  <phoneticPr fontId="4" type="noConversion"/>
  <pageMargins left="0.75" right="0.75" top="1" bottom="1" header="0.5" footer="0.5"/>
  <headerFooter alignWithMargins="0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tabColor indexed="52"/>
  </sheetPr>
  <dimension ref="A1:CK134"/>
  <sheetViews>
    <sheetView zoomScale="90" workbookViewId="0">
      <pane xSplit="1" topLeftCell="B1" activePane="topRight" state="frozen"/>
      <selection activeCell="AN72" sqref="AN72"/>
      <selection pane="topRight"/>
    </sheetView>
  </sheetViews>
  <sheetFormatPr defaultRowHeight="0" customHeight="1" zeroHeight="1" x14ac:dyDescent="0.2"/>
  <cols>
    <col min="1" max="1" width="2.85546875" style="1" customWidth="1"/>
    <col min="2" max="2" width="5.140625" style="1" customWidth="1"/>
    <col min="3" max="3" width="5.140625" style="7" customWidth="1"/>
    <col min="4" max="4" width="10.5703125" style="1" customWidth="1"/>
    <col min="5" max="5" width="8.85546875" style="1" customWidth="1"/>
    <col min="6" max="9" width="9.28515625" style="1" customWidth="1"/>
    <col min="10" max="10" width="0.7109375" style="1" customWidth="1"/>
    <col min="11" max="13" width="8.5703125" style="1" customWidth="1"/>
    <col min="14" max="14" width="7.85546875" style="1" customWidth="1"/>
    <col min="15" max="15" width="1" style="1" customWidth="1"/>
    <col min="16" max="17" width="7.28515625" style="1" customWidth="1"/>
    <col min="18" max="18" width="8.5703125" style="1" customWidth="1"/>
    <col min="19" max="19" width="7.140625" style="1" customWidth="1"/>
    <col min="20" max="20" width="0.7109375" style="1" customWidth="1"/>
    <col min="21" max="22" width="9.28515625" style="1" customWidth="1"/>
    <col min="23" max="23" width="9.7109375" style="1" customWidth="1"/>
    <col min="24" max="24" width="9.28515625" style="1" customWidth="1"/>
    <col min="25" max="25" width="0.85546875" style="1" customWidth="1"/>
    <col min="26" max="26" width="10.42578125" style="1" customWidth="1"/>
    <col min="27" max="27" width="9.42578125" style="1" customWidth="1"/>
    <col min="28" max="28" width="10.5703125" style="1" customWidth="1"/>
    <col min="29" max="29" width="9.28515625" style="1" customWidth="1"/>
    <col min="30" max="30" width="9.85546875" style="1" customWidth="1"/>
    <col min="31" max="31" width="10.140625" style="1" customWidth="1"/>
    <col min="32" max="32" width="0.85546875" style="1" customWidth="1"/>
    <col min="33" max="34" width="8.42578125" style="1" customWidth="1"/>
    <col min="35" max="35" width="8.85546875" style="1" customWidth="1"/>
    <col min="36" max="36" width="8.42578125" style="1" customWidth="1"/>
    <col min="37" max="37" width="0.5703125" style="1" customWidth="1"/>
    <col min="38" max="38" width="8.140625" style="1" customWidth="1"/>
    <col min="39" max="39" width="0.42578125" style="1" customWidth="1"/>
    <col min="40" max="40" width="43.42578125" style="1" customWidth="1"/>
    <col min="41" max="41" width="0.7109375" style="1" customWidth="1"/>
    <col min="42" max="43" width="7.85546875" style="1" customWidth="1"/>
    <col min="44" max="44" width="0.7109375" style="1" customWidth="1"/>
    <col min="45" max="48" width="8.85546875" style="1" customWidth="1"/>
    <col min="49" max="49" width="8.5703125" style="1" customWidth="1"/>
    <col min="50" max="51" width="9.140625" style="1" customWidth="1"/>
    <col min="52" max="52" width="0.5703125" style="1" customWidth="1"/>
    <col min="53" max="53" width="8.28515625" style="1" customWidth="1"/>
    <col min="54" max="54" width="7.7109375" style="1" customWidth="1"/>
    <col min="55" max="55" width="8.5703125" style="1" customWidth="1"/>
    <col min="56" max="56" width="8.85546875" style="1" customWidth="1"/>
    <col min="57" max="57" width="0.5703125" style="1" customWidth="1"/>
    <col min="58" max="62" width="8.85546875" style="1" customWidth="1"/>
    <col min="63" max="63" width="1" style="1" customWidth="1"/>
    <col min="64" max="64" width="2.140625" style="1" customWidth="1"/>
    <col min="65" max="89" width="1.140625" style="1" hidden="1" customWidth="1"/>
    <col min="90" max="91" width="0" style="1" hidden="1" customWidth="1"/>
    <col min="92" max="16384" width="9.140625" style="1"/>
  </cols>
  <sheetData>
    <row r="1" spans="1:64" ht="13.5" customHeight="1" x14ac:dyDescent="0.2">
      <c r="A1" s="88">
        <v>1</v>
      </c>
      <c r="B1" s="676" t="s">
        <v>100</v>
      </c>
      <c r="C1" s="677" t="s">
        <v>99</v>
      </c>
      <c r="D1" s="109">
        <f ca="1">D2/E1</f>
        <v>77.206672641315151</v>
      </c>
      <c r="E1" s="98">
        <f ca="1">COUNT(A3:BL88)</f>
        <v>2554</v>
      </c>
      <c r="F1" s="678" t="s">
        <v>186</v>
      </c>
      <c r="G1" s="678"/>
      <c r="H1" s="678"/>
      <c r="I1" s="678"/>
      <c r="J1" s="6"/>
      <c r="K1" s="679" t="s">
        <v>147</v>
      </c>
      <c r="L1" s="679"/>
      <c r="M1" s="679"/>
      <c r="N1" s="680"/>
      <c r="O1" s="2"/>
      <c r="P1" s="664" t="s">
        <v>0</v>
      </c>
      <c r="Q1" s="664"/>
      <c r="R1" s="664"/>
      <c r="S1" s="665"/>
      <c r="T1" s="3"/>
      <c r="U1" s="666" t="s">
        <v>139</v>
      </c>
      <c r="V1" s="666"/>
      <c r="W1" s="666"/>
      <c r="X1" s="666"/>
      <c r="Y1" s="86"/>
      <c r="Z1" s="674" t="s">
        <v>107</v>
      </c>
      <c r="AA1" s="674"/>
      <c r="AB1" s="674"/>
      <c r="AC1" s="675"/>
      <c r="AD1" s="673" t="s">
        <v>198</v>
      </c>
      <c r="AE1" s="673"/>
      <c r="AF1" s="137"/>
      <c r="AG1" s="672" t="s">
        <v>157</v>
      </c>
      <c r="AH1" s="672"/>
      <c r="AI1" s="672"/>
      <c r="AJ1" s="672"/>
      <c r="AK1" s="6"/>
      <c r="AL1" s="690" t="s">
        <v>252</v>
      </c>
      <c r="AM1" s="86"/>
      <c r="AN1" s="667" t="s">
        <v>1</v>
      </c>
      <c r="AO1" s="399"/>
      <c r="AP1" s="691" t="s">
        <v>122</v>
      </c>
      <c r="AQ1" s="671" t="s">
        <v>192</v>
      </c>
      <c r="AR1" s="86"/>
      <c r="AS1" s="670" t="s">
        <v>12</v>
      </c>
      <c r="AT1" s="670"/>
      <c r="AU1" s="670"/>
      <c r="AV1" s="670"/>
      <c r="AW1" s="670"/>
      <c r="AX1" s="670"/>
      <c r="AY1" s="670"/>
      <c r="AZ1" s="6"/>
      <c r="BA1" s="667" t="s">
        <v>366</v>
      </c>
      <c r="BB1" s="667"/>
      <c r="BC1" s="667"/>
      <c r="BD1" s="667"/>
      <c r="BE1" s="67"/>
      <c r="BF1" s="667" t="s">
        <v>20</v>
      </c>
      <c r="BG1" s="667"/>
      <c r="BH1" s="667"/>
      <c r="BI1" s="667"/>
      <c r="BJ1" s="667"/>
      <c r="BK1" s="88"/>
      <c r="BL1" s="78"/>
    </row>
    <row r="2" spans="1:64" ht="12.75" customHeight="1" x14ac:dyDescent="0.2">
      <c r="A2" s="526"/>
      <c r="B2" s="676"/>
      <c r="C2" s="677"/>
      <c r="D2" s="104">
        <f ca="1">SUM(A3:BL88)</f>
        <v>197185.84192591891</v>
      </c>
      <c r="E2" s="292" t="s">
        <v>150</v>
      </c>
      <c r="F2" s="468" t="s">
        <v>101</v>
      </c>
      <c r="G2" s="469" t="s">
        <v>102</v>
      </c>
      <c r="H2" s="470" t="s">
        <v>156</v>
      </c>
      <c r="I2" s="471" t="s">
        <v>5</v>
      </c>
      <c r="J2" s="6"/>
      <c r="K2" s="212" t="s">
        <v>2</v>
      </c>
      <c r="L2" s="213" t="s">
        <v>3</v>
      </c>
      <c r="M2" s="395" t="s">
        <v>156</v>
      </c>
      <c r="N2" s="398" t="s">
        <v>5</v>
      </c>
      <c r="O2" s="20"/>
      <c r="P2" s="264" t="s">
        <v>2</v>
      </c>
      <c r="Q2" s="258" t="s">
        <v>3</v>
      </c>
      <c r="R2" s="265" t="s">
        <v>4</v>
      </c>
      <c r="S2" s="4" t="s">
        <v>5</v>
      </c>
      <c r="T2" s="67"/>
      <c r="U2" s="217" t="s">
        <v>156</v>
      </c>
      <c r="V2" s="97" t="s">
        <v>3</v>
      </c>
      <c r="W2" s="97" t="s">
        <v>154</v>
      </c>
      <c r="X2" s="217" t="s">
        <v>104</v>
      </c>
      <c r="Y2" s="133"/>
      <c r="Z2" s="424" t="s">
        <v>152</v>
      </c>
      <c r="AA2" s="458" t="s">
        <v>108</v>
      </c>
      <c r="AB2" s="458" t="s">
        <v>197</v>
      </c>
      <c r="AC2" s="508" t="s">
        <v>141</v>
      </c>
      <c r="AD2" s="179" t="s">
        <v>4</v>
      </c>
      <c r="AE2" s="179" t="s">
        <v>3</v>
      </c>
      <c r="AF2" s="68"/>
      <c r="AG2" s="299" t="s">
        <v>2</v>
      </c>
      <c r="AH2" s="309" t="s">
        <v>3</v>
      </c>
      <c r="AI2" s="308" t="s">
        <v>156</v>
      </c>
      <c r="AJ2" s="99" t="s">
        <v>5</v>
      </c>
      <c r="AK2" s="310"/>
      <c r="AL2" s="690"/>
      <c r="AM2" s="86"/>
      <c r="AN2" s="667"/>
      <c r="AO2" s="399"/>
      <c r="AP2" s="692"/>
      <c r="AQ2" s="671"/>
      <c r="AR2" s="86"/>
      <c r="AS2" s="181" t="s">
        <v>21</v>
      </c>
      <c r="AT2" s="294" t="s">
        <v>22</v>
      </c>
      <c r="AU2" s="295" t="s">
        <v>23</v>
      </c>
      <c r="AV2" s="365" t="s">
        <v>24</v>
      </c>
      <c r="AW2" s="263" t="s">
        <v>187</v>
      </c>
      <c r="AX2" s="374" t="s">
        <v>188</v>
      </c>
      <c r="AY2" s="371" t="s">
        <v>124</v>
      </c>
      <c r="AZ2" s="6"/>
      <c r="BA2" s="181" t="s">
        <v>21</v>
      </c>
      <c r="BB2" s="294" t="s">
        <v>22</v>
      </c>
      <c r="BC2" s="295" t="s">
        <v>23</v>
      </c>
      <c r="BD2" s="365" t="s">
        <v>24</v>
      </c>
      <c r="BE2" s="67"/>
      <c r="BF2" s="181" t="s">
        <v>21</v>
      </c>
      <c r="BG2" s="294" t="s">
        <v>25</v>
      </c>
      <c r="BH2" s="365" t="s">
        <v>24</v>
      </c>
      <c r="BI2" s="179" t="s">
        <v>7</v>
      </c>
      <c r="BJ2" s="419" t="s">
        <v>196</v>
      </c>
      <c r="BK2" s="88"/>
      <c r="BL2" s="78"/>
    </row>
    <row r="3" spans="1:64" ht="1.5" customHeight="1" x14ac:dyDescent="0.2">
      <c r="A3" s="67"/>
      <c r="B3" s="128"/>
      <c r="C3" s="283"/>
      <c r="D3" s="67"/>
      <c r="E3" s="68"/>
      <c r="F3" s="68"/>
      <c r="G3" s="68"/>
      <c r="H3" s="68"/>
      <c r="I3" s="68"/>
      <c r="J3" s="6"/>
      <c r="K3" s="68"/>
      <c r="L3" s="68"/>
      <c r="M3" s="68"/>
      <c r="N3" s="84"/>
      <c r="O3" s="20"/>
      <c r="P3" s="257"/>
      <c r="Q3" s="68"/>
      <c r="R3" s="68"/>
      <c r="S3" s="68"/>
      <c r="T3" s="67"/>
      <c r="U3" s="63"/>
      <c r="V3" s="63"/>
      <c r="W3" s="63"/>
      <c r="X3" s="63"/>
      <c r="Y3" s="67"/>
      <c r="Z3" s="425"/>
      <c r="AA3" s="500"/>
      <c r="AB3" s="500"/>
      <c r="AC3" s="509"/>
      <c r="AD3" s="63"/>
      <c r="AE3" s="63"/>
      <c r="AF3" s="67"/>
      <c r="AG3" s="63"/>
      <c r="AH3" s="63"/>
      <c r="AI3" s="63"/>
      <c r="AJ3" s="63"/>
      <c r="AK3" s="67"/>
      <c r="AL3" s="132"/>
      <c r="AM3" s="6"/>
      <c r="AN3" s="67"/>
      <c r="AO3" s="88"/>
      <c r="AP3" s="63"/>
      <c r="AQ3" s="63"/>
      <c r="AR3" s="67"/>
      <c r="AS3" s="67"/>
      <c r="AT3" s="67"/>
      <c r="AU3" s="67"/>
      <c r="AV3" s="366"/>
      <c r="AW3" s="67"/>
      <c r="AX3" s="375"/>
      <c r="AY3" s="372"/>
      <c r="AZ3" s="6"/>
      <c r="BA3" s="67"/>
      <c r="BB3" s="67"/>
      <c r="BC3" s="6"/>
      <c r="BD3" s="366"/>
      <c r="BE3" s="67"/>
      <c r="BF3" s="67"/>
      <c r="BG3" s="67"/>
      <c r="BH3" s="366"/>
      <c r="BI3" s="6"/>
      <c r="BJ3" s="87"/>
      <c r="BK3" s="88"/>
      <c r="BL3" s="78"/>
    </row>
    <row r="4" spans="1:64" ht="12.75" customHeight="1" x14ac:dyDescent="0.2">
      <c r="A4" s="433">
        <v>1</v>
      </c>
      <c r="B4" s="131">
        <f>IF(ISBLANK(F4),"",F4)</f>
        <v>10.3</v>
      </c>
      <c r="C4" s="282">
        <f>IF(ISBLANK(G4),"",G4)</f>
        <v>20.399999999999999</v>
      </c>
      <c r="D4" s="685" t="s">
        <v>224</v>
      </c>
      <c r="E4" s="121">
        <v>1</v>
      </c>
      <c r="F4" s="23">
        <v>10.3</v>
      </c>
      <c r="G4" s="23">
        <v>20.399999999999999</v>
      </c>
      <c r="H4" s="553">
        <v>16.2</v>
      </c>
      <c r="I4" s="23">
        <f t="shared" ref="I4:I22" si="0">IF(ISBLANK(G4),"",G4-F4)</f>
        <v>10.099999999999998</v>
      </c>
      <c r="J4" s="6">
        <f t="shared" ref="J4:J22" si="1">IF(C4=G4,0,1)</f>
        <v>0</v>
      </c>
      <c r="K4" s="24">
        <v>37</v>
      </c>
      <c r="L4" s="24">
        <v>73</v>
      </c>
      <c r="M4" s="554">
        <v>52</v>
      </c>
      <c r="N4" s="24">
        <f t="shared" ref="N4:N22" si="2">IF(ISBLANK(K4),"",L4-K4)</f>
        <v>36</v>
      </c>
      <c r="O4" s="50">
        <f t="shared" ref="O4:O22" si="3">IF(B4=F4,0,1)</f>
        <v>0</v>
      </c>
      <c r="P4" s="24">
        <v>1023</v>
      </c>
      <c r="Q4" s="24">
        <v>1027</v>
      </c>
      <c r="R4" s="24">
        <f>IF(ISBLANK(P4),"",AVERAGE(P4:Q4))</f>
        <v>1025</v>
      </c>
      <c r="S4" s="24">
        <f t="shared" ref="S4:S22" si="4">IF(ISBLANK(P4),"",Q4-P4)</f>
        <v>4</v>
      </c>
      <c r="T4" s="50">
        <v>0</v>
      </c>
      <c r="U4" s="553">
        <v>3.1</v>
      </c>
      <c r="V4" s="553">
        <v>8.5</v>
      </c>
      <c r="W4" s="553">
        <v>12.1</v>
      </c>
      <c r="X4" s="485" t="s">
        <v>113</v>
      </c>
      <c r="Y4" s="72">
        <f>IF(ISBLANK(Z4),"",IF(AQ4&lt;0.5,0,IF(Z4=0,0,IF(Z4&lt;1,1,2))))</f>
        <v>0</v>
      </c>
      <c r="Z4" s="539">
        <v>0</v>
      </c>
      <c r="AA4" s="23"/>
      <c r="AB4" s="23"/>
      <c r="AC4" s="510" t="str">
        <f t="shared" ref="AC4:AC22" si="5">IF(Z4=0,"",Z4/$Z$38)</f>
        <v/>
      </c>
      <c r="AD4" s="7" t="str">
        <f t="shared" ref="AD4:AD22" si="6">IF(Z4&lt;0.3,"",Z4/AQ4)</f>
        <v/>
      </c>
      <c r="AE4" s="485"/>
      <c r="AF4" s="54"/>
      <c r="AG4" s="553">
        <v>4.3</v>
      </c>
      <c r="AH4" s="553">
        <v>8.4</v>
      </c>
      <c r="AI4" s="553">
        <v>5.8</v>
      </c>
      <c r="AJ4" s="7">
        <f t="shared" ref="AJ4:AJ22" si="7">IF(ISBLANK(AH4),"",AH4-AG4)</f>
        <v>4.1000000000000005</v>
      </c>
      <c r="AK4" s="6"/>
      <c r="AL4" s="554" t="s">
        <v>584</v>
      </c>
      <c r="AM4" s="54"/>
      <c r="AN4" s="23" t="s">
        <v>8</v>
      </c>
      <c r="AO4" s="400"/>
      <c r="AP4" s="485">
        <v>11</v>
      </c>
      <c r="AQ4" s="485">
        <v>0</v>
      </c>
      <c r="AR4" s="134"/>
      <c r="AS4" s="26">
        <f>IF(ISBLANK(F4),"",(AVERAGE($F$4:F4)))</f>
        <v>10.3</v>
      </c>
      <c r="AT4" s="25">
        <f>IF(ISBLANK(G4),"",(AVERAGE($G$4:G4)))</f>
        <v>20.399999999999999</v>
      </c>
      <c r="AU4" s="25">
        <f>IF(ISBLANK(H4),"",(AVERAGE($H$4:H4)))</f>
        <v>16.2</v>
      </c>
      <c r="AV4" s="367">
        <f>IF(ISBLANK(G4),"",(AVERAGE($I$4:I4)))</f>
        <v>10.099999999999998</v>
      </c>
      <c r="AW4" s="22">
        <f>IF(ISBLANK(M4),"",AVERAGE($M$4:M4))</f>
        <v>52</v>
      </c>
      <c r="AX4" s="376">
        <f>IF(ISBLANK(P4),"",(AVERAGE($R$4:R4)))</f>
        <v>1025</v>
      </c>
      <c r="AY4" s="368">
        <f>IF(ISBLANK(U4),"",(AVERAGE($U$4:U4)))</f>
        <v>3.1</v>
      </c>
      <c r="AZ4" s="6"/>
      <c r="BA4" s="25">
        <f>IF(ISBLANK(F4),"",F4-F91)</f>
        <v>-1.8535714285714278</v>
      </c>
      <c r="BB4" s="25">
        <f>IF(ISBLANK(G4),"",G4-G91)</f>
        <v>-1.2800000000000011</v>
      </c>
      <c r="BC4" s="25">
        <f>IF(ISBLANK(G4),"",AVERAGE(BA4:BB4))</f>
        <v>-1.5667857142857144</v>
      </c>
      <c r="BD4" s="367">
        <f>IF(ISBLANK(G4),"",BB4-BA4)</f>
        <v>0.57357142857142662</v>
      </c>
      <c r="BE4" s="67"/>
      <c r="BF4" s="25">
        <f>IF(ISBLANK(F4),"",AS4-AVERAGE($F$91:F91))</f>
        <v>-1.8535714285714278</v>
      </c>
      <c r="BG4" s="25">
        <f>IF(ISBLANK(G4),"",AT4-AVERAGE($G$91:G91))</f>
        <v>-1.2800000000000011</v>
      </c>
      <c r="BH4" s="367">
        <f>IF(ISBLANK(G4),"",BG4-BF4)</f>
        <v>0.57357142857142662</v>
      </c>
      <c r="BI4" s="115">
        <f t="shared" ref="BI4:BI33" si="8">IF(ISBLANK(Z4),"",AB91/AA91)</f>
        <v>0</v>
      </c>
      <c r="BJ4" s="115">
        <f t="shared" ref="BJ4:BJ34" si="9">IF(ISBLANK(AP4),"",AG91/AH91)</f>
        <v>1.7930386907752935</v>
      </c>
      <c r="BK4" s="402"/>
      <c r="BL4" s="572">
        <v>1</v>
      </c>
    </row>
    <row r="5" spans="1:64" ht="12.75" customHeight="1" x14ac:dyDescent="0.2">
      <c r="A5" s="394">
        <f t="shared" ref="A5:A33" si="10">SUM(A4+1)</f>
        <v>2</v>
      </c>
      <c r="B5" s="131">
        <f t="shared" ref="B5:C34" si="11">IF(ISBLANK(F5),"",F5)</f>
        <v>12.8</v>
      </c>
      <c r="C5" s="282">
        <f t="shared" si="11"/>
        <v>21.2</v>
      </c>
      <c r="D5" s="685"/>
      <c r="E5" s="97">
        <f t="shared" ref="E5:E33" si="12">SUM(E4+1)</f>
        <v>2</v>
      </c>
      <c r="F5" s="23">
        <v>12.8</v>
      </c>
      <c r="G5" s="23">
        <v>21.2</v>
      </c>
      <c r="H5" s="553">
        <v>17.8</v>
      </c>
      <c r="I5" s="23">
        <f t="shared" si="0"/>
        <v>8.3999999999999986</v>
      </c>
      <c r="J5" s="6">
        <f t="shared" si="1"/>
        <v>0</v>
      </c>
      <c r="K5" s="24">
        <v>40</v>
      </c>
      <c r="L5" s="24">
        <v>76</v>
      </c>
      <c r="M5" s="554">
        <v>55</v>
      </c>
      <c r="N5" s="24">
        <f t="shared" si="2"/>
        <v>36</v>
      </c>
      <c r="O5" s="50">
        <f t="shared" si="3"/>
        <v>0</v>
      </c>
      <c r="P5" s="24">
        <v>1018</v>
      </c>
      <c r="Q5" s="24">
        <v>1023</v>
      </c>
      <c r="R5" s="24">
        <f t="shared" ref="R5:R22" si="13">IF(ISBLANK(P5),"",AVERAGE(P5:Q5))</f>
        <v>1020.5</v>
      </c>
      <c r="S5" s="24">
        <f t="shared" si="4"/>
        <v>5</v>
      </c>
      <c r="T5" s="50">
        <v>0</v>
      </c>
      <c r="U5" s="553">
        <v>2.5</v>
      </c>
      <c r="V5" s="553">
        <v>8.1</v>
      </c>
      <c r="W5" s="553">
        <v>11.4</v>
      </c>
      <c r="X5" s="591" t="s">
        <v>111</v>
      </c>
      <c r="Y5" s="72">
        <f t="shared" ref="Y5:Y22" si="14">IF(ISBLANK(Z5),"",IF(AQ5&lt;0.5,0,IF(Z5=0,0,IF(Z5&lt;1,1,2))))</f>
        <v>0</v>
      </c>
      <c r="Z5" s="539">
        <v>0</v>
      </c>
      <c r="AA5" s="23"/>
      <c r="AB5" s="23"/>
      <c r="AC5" s="510" t="str">
        <f t="shared" si="5"/>
        <v/>
      </c>
      <c r="AD5" s="7" t="str">
        <f t="shared" si="6"/>
        <v/>
      </c>
      <c r="AE5" s="485"/>
      <c r="AF5" s="72"/>
      <c r="AG5" s="553">
        <v>5.6</v>
      </c>
      <c r="AH5" s="553">
        <v>11.7</v>
      </c>
      <c r="AI5" s="553">
        <v>8.3000000000000007</v>
      </c>
      <c r="AJ5" s="7">
        <f t="shared" si="7"/>
        <v>6.1</v>
      </c>
      <c r="AK5" s="6"/>
      <c r="AL5" s="485" t="s">
        <v>586</v>
      </c>
      <c r="AM5" s="54"/>
      <c r="AN5" s="23" t="s">
        <v>8</v>
      </c>
      <c r="AO5" s="400"/>
      <c r="AP5" s="485">
        <v>7</v>
      </c>
      <c r="AQ5" s="485">
        <v>0</v>
      </c>
      <c r="AR5" s="134"/>
      <c r="AS5" s="26">
        <f>IF(ISBLANK(F5),"",(AVERAGE($F$4:F5)))</f>
        <v>11.55</v>
      </c>
      <c r="AT5" s="26">
        <f>IF(ISBLANK(G5),"",(AVERAGE($G$4:G5)))</f>
        <v>20.799999999999997</v>
      </c>
      <c r="AU5" s="25">
        <f>IF(ISBLANK(H5),"",(AVERAGE($H$4:H5)))</f>
        <v>17</v>
      </c>
      <c r="AV5" s="368">
        <f>IF(ISBLANK(G5),"",(AVERAGE($I$4:I5)))</f>
        <v>9.2499999999999982</v>
      </c>
      <c r="AW5" s="22">
        <f>IF(ISBLANK(M5),"",AVERAGE($M$4:M5))</f>
        <v>53.5</v>
      </c>
      <c r="AX5" s="376">
        <f>IF(ISBLANK(P5),"",(AVERAGE($R$4:R5)))</f>
        <v>1022.75</v>
      </c>
      <c r="AY5" s="368">
        <f>IF(ISBLANK(U5),"",(AVERAGE($U$4:U5)))</f>
        <v>2.8</v>
      </c>
      <c r="AZ5" s="6"/>
      <c r="BA5" s="25">
        <f t="shared" ref="BA5:BA34" si="15">IF(ISBLANK(F5),"",F5-F92)</f>
        <v>0.54285714285714448</v>
      </c>
      <c r="BB5" s="25">
        <f t="shared" ref="BB5:BB34" si="16">IF(ISBLANK(G5),"",G5-G92)</f>
        <v>-0.56000000000000227</v>
      </c>
      <c r="BC5" s="25">
        <f>IF(ISBLANK(G5),"",AVERAGE(BA5:BB5))</f>
        <v>-8.5714285714288962E-3</v>
      </c>
      <c r="BD5" s="367">
        <f>IF(ISBLANK(G5),"",BB5-BA5)</f>
        <v>-1.1028571428571468</v>
      </c>
      <c r="BE5" s="72"/>
      <c r="BF5" s="25">
        <f>IF(ISBLANK(F5),"",AS5-AVERAGE($F$91:F92))</f>
        <v>-0.65535714285714164</v>
      </c>
      <c r="BG5" s="25">
        <f>IF(ISBLANK(G5),"",AT5-AVERAGE($G$91:G92))</f>
        <v>-0.92000000000000171</v>
      </c>
      <c r="BH5" s="367">
        <f t="shared" ref="BH5:BH10" si="17">IF(ISBLANK(G5),"",BG5-BF5)</f>
        <v>-0.26464285714286007</v>
      </c>
      <c r="BI5" s="115">
        <f t="shared" si="8"/>
        <v>0</v>
      </c>
      <c r="BJ5" s="115">
        <f t="shared" si="9"/>
        <v>1.467753305046579</v>
      </c>
      <c r="BK5" s="420"/>
      <c r="BL5" s="572">
        <v>2</v>
      </c>
    </row>
    <row r="6" spans="1:64" ht="12.75" customHeight="1" x14ac:dyDescent="0.2">
      <c r="A6" s="394">
        <f t="shared" si="10"/>
        <v>3</v>
      </c>
      <c r="B6" s="131">
        <f t="shared" si="11"/>
        <v>13</v>
      </c>
      <c r="C6" s="282">
        <f t="shared" si="11"/>
        <v>23.7</v>
      </c>
      <c r="D6" s="685"/>
      <c r="E6" s="97">
        <f t="shared" si="12"/>
        <v>3</v>
      </c>
      <c r="F6" s="23">
        <v>13</v>
      </c>
      <c r="G6" s="23">
        <v>23.7</v>
      </c>
      <c r="H6" s="553">
        <v>18.8</v>
      </c>
      <c r="I6" s="23">
        <f t="shared" si="0"/>
        <v>10.7</v>
      </c>
      <c r="J6" s="6">
        <f t="shared" si="1"/>
        <v>0</v>
      </c>
      <c r="K6" s="24">
        <v>39</v>
      </c>
      <c r="L6" s="24">
        <v>66</v>
      </c>
      <c r="M6" s="554">
        <v>51</v>
      </c>
      <c r="N6" s="24">
        <f t="shared" si="2"/>
        <v>27</v>
      </c>
      <c r="O6" s="50">
        <f t="shared" si="3"/>
        <v>0</v>
      </c>
      <c r="P6" s="24">
        <v>1016</v>
      </c>
      <c r="Q6" s="24">
        <v>1018</v>
      </c>
      <c r="R6" s="24">
        <f t="shared" si="13"/>
        <v>1017</v>
      </c>
      <c r="S6" s="24">
        <f t="shared" si="4"/>
        <v>2</v>
      </c>
      <c r="T6" s="50">
        <v>0</v>
      </c>
      <c r="U6" s="553">
        <v>2.7</v>
      </c>
      <c r="V6" s="553">
        <v>7.4</v>
      </c>
      <c r="W6" s="553">
        <v>9.8000000000000007</v>
      </c>
      <c r="X6" s="562" t="s">
        <v>114</v>
      </c>
      <c r="Y6" s="72">
        <f t="shared" si="14"/>
        <v>0</v>
      </c>
      <c r="Z6" s="539">
        <v>0</v>
      </c>
      <c r="AA6" s="23"/>
      <c r="AB6" s="23"/>
      <c r="AC6" s="510" t="str">
        <f t="shared" si="5"/>
        <v/>
      </c>
      <c r="AD6" s="7" t="str">
        <f t="shared" si="6"/>
        <v/>
      </c>
      <c r="AE6" s="485"/>
      <c r="AF6" s="72"/>
      <c r="AG6" s="553">
        <v>5.0999999999999996</v>
      </c>
      <c r="AH6" s="553">
        <v>10.199999999999999</v>
      </c>
      <c r="AI6" s="553">
        <v>8.1999999999999993</v>
      </c>
      <c r="AJ6" s="7">
        <f t="shared" si="7"/>
        <v>5.0999999999999996</v>
      </c>
      <c r="AK6" s="6"/>
      <c r="AL6" s="485" t="s">
        <v>587</v>
      </c>
      <c r="AM6" s="54"/>
      <c r="AN6" s="23" t="s">
        <v>8</v>
      </c>
      <c r="AO6" s="400"/>
      <c r="AP6" s="485">
        <v>8</v>
      </c>
      <c r="AQ6" s="485">
        <v>0</v>
      </c>
      <c r="AR6" s="134"/>
      <c r="AS6" s="26">
        <f>IF(ISBLANK(F6),"",(AVERAGE($F$4:F6)))</f>
        <v>12.033333333333333</v>
      </c>
      <c r="AT6" s="26">
        <f>IF(ISBLANK(G6),"",(AVERAGE($G$4:G6)))</f>
        <v>21.766666666666666</v>
      </c>
      <c r="AU6" s="25">
        <f>IF(ISBLANK(H6),"",(AVERAGE($H$4:H6)))</f>
        <v>17.599999999999998</v>
      </c>
      <c r="AV6" s="368">
        <f>IF(ISBLANK(G6),"",(AVERAGE($I$4:I6)))</f>
        <v>9.7333333333333325</v>
      </c>
      <c r="AW6" s="22">
        <f>IF(ISBLANK(M6),"",AVERAGE($M$4:M6))</f>
        <v>52.666666666666664</v>
      </c>
      <c r="AX6" s="376">
        <f>IF(ISBLANK(P6),"",(AVERAGE($R$4:R6)))</f>
        <v>1020.8333333333334</v>
      </c>
      <c r="AY6" s="368">
        <f>IF(ISBLANK(U6),"",(AVERAGE($U$4:U6)))</f>
        <v>2.7666666666666671</v>
      </c>
      <c r="AZ6" s="6"/>
      <c r="BA6" s="25">
        <f t="shared" si="15"/>
        <v>0.63928571428571601</v>
      </c>
      <c r="BB6" s="25">
        <f t="shared" si="16"/>
        <v>1.8599999999999994</v>
      </c>
      <c r="BC6" s="25">
        <f>IF(ISBLANK(G6),"",AVERAGE(BA6:BB6))</f>
        <v>1.2496428571428577</v>
      </c>
      <c r="BD6" s="367">
        <f t="shared" ref="BD6:BD34" si="18">IF(ISBLANK(G6),"",BB6-BA6)</f>
        <v>1.2207142857142834</v>
      </c>
      <c r="BE6" s="72"/>
      <c r="BF6" s="25">
        <f>IF(ISBLANK(F6),"",AS6-AVERAGE($F$91:F93))</f>
        <v>-0.22380952380952479</v>
      </c>
      <c r="BG6" s="25">
        <f>IF(ISBLANK(G6),"",AT6-AVERAGE($G$91:G93))</f>
        <v>6.6666666666641561E-3</v>
      </c>
      <c r="BH6" s="367">
        <f t="shared" si="17"/>
        <v>0.23047619047618895</v>
      </c>
      <c r="BI6" s="115">
        <f t="shared" si="8"/>
        <v>0</v>
      </c>
      <c r="BJ6" s="115">
        <f t="shared" si="9"/>
        <v>1.414132879511425</v>
      </c>
      <c r="BK6" s="402"/>
      <c r="BL6" s="572">
        <v>3</v>
      </c>
    </row>
    <row r="7" spans="1:64" ht="12.75" customHeight="1" x14ac:dyDescent="0.2">
      <c r="A7" s="394">
        <f t="shared" si="10"/>
        <v>4</v>
      </c>
      <c r="B7" s="131">
        <f t="shared" si="11"/>
        <v>14.3</v>
      </c>
      <c r="C7" s="282">
        <f t="shared" si="11"/>
        <v>24.9</v>
      </c>
      <c r="D7" s="685"/>
      <c r="E7" s="97">
        <f t="shared" si="12"/>
        <v>4</v>
      </c>
      <c r="F7" s="23">
        <v>14.3</v>
      </c>
      <c r="G7" s="23">
        <v>24.9</v>
      </c>
      <c r="H7" s="553">
        <v>20.100000000000001</v>
      </c>
      <c r="I7" s="23">
        <f t="shared" si="0"/>
        <v>10.599999999999998</v>
      </c>
      <c r="J7" s="6">
        <f t="shared" si="1"/>
        <v>0</v>
      </c>
      <c r="K7" s="24">
        <v>34</v>
      </c>
      <c r="L7" s="24">
        <v>66</v>
      </c>
      <c r="M7" s="554">
        <v>47</v>
      </c>
      <c r="N7" s="24">
        <f t="shared" si="2"/>
        <v>32</v>
      </c>
      <c r="O7" s="50">
        <f t="shared" si="3"/>
        <v>0</v>
      </c>
      <c r="P7" s="24">
        <v>1016</v>
      </c>
      <c r="Q7" s="24">
        <v>1018</v>
      </c>
      <c r="R7" s="24">
        <f t="shared" si="13"/>
        <v>1017</v>
      </c>
      <c r="S7" s="24">
        <f t="shared" si="4"/>
        <v>2</v>
      </c>
      <c r="T7" s="50">
        <v>0</v>
      </c>
      <c r="U7" s="553">
        <v>2.8</v>
      </c>
      <c r="V7" s="553">
        <v>9.1999999999999993</v>
      </c>
      <c r="W7" s="553">
        <v>12.5</v>
      </c>
      <c r="X7" s="562" t="s">
        <v>112</v>
      </c>
      <c r="Y7" s="72">
        <f t="shared" si="14"/>
        <v>0</v>
      </c>
      <c r="Z7" s="539">
        <v>0</v>
      </c>
      <c r="AA7" s="23"/>
      <c r="AB7" s="23"/>
      <c r="AC7" s="510" t="str">
        <f t="shared" si="5"/>
        <v/>
      </c>
      <c r="AD7" s="7" t="str">
        <f t="shared" si="6"/>
        <v/>
      </c>
      <c r="AE7" s="485"/>
      <c r="AF7" s="72"/>
      <c r="AG7" s="553">
        <v>6.2</v>
      </c>
      <c r="AH7" s="553">
        <v>9.8000000000000007</v>
      </c>
      <c r="AI7" s="553">
        <v>8.1</v>
      </c>
      <c r="AJ7" s="7">
        <f t="shared" si="7"/>
        <v>3.6000000000000005</v>
      </c>
      <c r="AK7" s="6"/>
      <c r="AL7" s="485" t="s">
        <v>588</v>
      </c>
      <c r="AM7" s="54"/>
      <c r="AN7" s="23" t="s">
        <v>8</v>
      </c>
      <c r="AO7" s="400"/>
      <c r="AP7" s="485">
        <v>9</v>
      </c>
      <c r="AQ7" s="485">
        <v>0</v>
      </c>
      <c r="AR7" s="134"/>
      <c r="AS7" s="26">
        <f>IF(ISBLANK(F7),"",(AVERAGE($F$4:F7)))</f>
        <v>12.600000000000001</v>
      </c>
      <c r="AT7" s="26">
        <f>IF(ISBLANK(G7),"",(AVERAGE($G$4:G7)))</f>
        <v>22.549999999999997</v>
      </c>
      <c r="AU7" s="25">
        <f>IF(ISBLANK(H7),"",(AVERAGE($H$4:H7)))</f>
        <v>18.225000000000001</v>
      </c>
      <c r="AV7" s="368">
        <f>IF(ISBLANK(G7),"",(AVERAGE($I$4:I7)))</f>
        <v>9.9499999999999993</v>
      </c>
      <c r="AW7" s="22">
        <f>IF(ISBLANK(M7),"",AVERAGE($M$4:M7))</f>
        <v>51.25</v>
      </c>
      <c r="AX7" s="376">
        <f>IF(ISBLANK(P7),"",(AVERAGE($R$4:R7)))</f>
        <v>1019.875</v>
      </c>
      <c r="AY7" s="368">
        <f>IF(ISBLANK(U7),"",(AVERAGE($U$4:U7)))</f>
        <v>2.7750000000000004</v>
      </c>
      <c r="AZ7" s="6"/>
      <c r="BA7" s="25">
        <f t="shared" si="15"/>
        <v>1.835714285714289</v>
      </c>
      <c r="BB7" s="25">
        <f t="shared" si="16"/>
        <v>2.9799999999999969</v>
      </c>
      <c r="BC7" s="25">
        <f t="shared" ref="BC7:BC34" si="19">IF(ISBLANK(G7),"",AVERAGE(BA7:BB7))</f>
        <v>2.4078571428571429</v>
      </c>
      <c r="BD7" s="367">
        <f t="shared" si="18"/>
        <v>1.1442857142857079</v>
      </c>
      <c r="BE7" s="72"/>
      <c r="BF7" s="25">
        <f>IF(ISBLANK(F7),"",AS7-AVERAGE($F$91:F94))</f>
        <v>0.29107142857143131</v>
      </c>
      <c r="BG7" s="25">
        <f>IF(ISBLANK(G7),"",AT7-AVERAGE($G$91:G94))</f>
        <v>0.74999999999999645</v>
      </c>
      <c r="BH7" s="367">
        <f t="shared" si="17"/>
        <v>0.45892857142856514</v>
      </c>
      <c r="BI7" s="115">
        <f t="shared" si="8"/>
        <v>0</v>
      </c>
      <c r="BJ7" s="115">
        <f t="shared" si="9"/>
        <v>1.4285243377313894</v>
      </c>
      <c r="BK7" s="402"/>
      <c r="BL7" s="572">
        <v>4</v>
      </c>
    </row>
    <row r="8" spans="1:64" ht="12.75" customHeight="1" x14ac:dyDescent="0.2">
      <c r="A8" s="394">
        <f t="shared" si="10"/>
        <v>5</v>
      </c>
      <c r="B8" s="131">
        <f t="shared" si="11"/>
        <v>13.1</v>
      </c>
      <c r="C8" s="282">
        <f t="shared" si="11"/>
        <v>26.4</v>
      </c>
      <c r="D8" s="685"/>
      <c r="E8" s="97">
        <f t="shared" si="12"/>
        <v>5</v>
      </c>
      <c r="F8" s="23">
        <v>13.1</v>
      </c>
      <c r="G8" s="23">
        <v>26.4</v>
      </c>
      <c r="H8" s="553">
        <v>19</v>
      </c>
      <c r="I8" s="23">
        <f t="shared" si="0"/>
        <v>13.299999999999999</v>
      </c>
      <c r="J8" s="6">
        <f t="shared" si="1"/>
        <v>0</v>
      </c>
      <c r="K8" s="24">
        <v>34</v>
      </c>
      <c r="L8" s="24">
        <v>87</v>
      </c>
      <c r="M8" s="554">
        <v>58</v>
      </c>
      <c r="N8" s="24">
        <f t="shared" si="2"/>
        <v>53</v>
      </c>
      <c r="O8" s="50">
        <f t="shared" si="3"/>
        <v>0</v>
      </c>
      <c r="P8" s="24">
        <v>1007</v>
      </c>
      <c r="Q8" s="24">
        <v>1016</v>
      </c>
      <c r="R8" s="24">
        <f t="shared" si="13"/>
        <v>1011.5</v>
      </c>
      <c r="S8" s="24">
        <f t="shared" si="4"/>
        <v>9</v>
      </c>
      <c r="T8" s="50">
        <v>0</v>
      </c>
      <c r="U8" s="553">
        <v>4</v>
      </c>
      <c r="V8" s="553">
        <v>13</v>
      </c>
      <c r="W8" s="553">
        <v>17.5</v>
      </c>
      <c r="X8" s="562" t="s">
        <v>111</v>
      </c>
      <c r="Y8" s="72">
        <f t="shared" si="14"/>
        <v>2</v>
      </c>
      <c r="Z8" s="539">
        <v>4.5999999999999996</v>
      </c>
      <c r="AA8" s="23">
        <v>1.6</v>
      </c>
      <c r="AB8" s="23">
        <v>1.1000000000000001</v>
      </c>
      <c r="AC8" s="510">
        <f t="shared" si="5"/>
        <v>8.7286527514231493E-2</v>
      </c>
      <c r="AD8" s="7">
        <f t="shared" si="6"/>
        <v>1.5333333333333332</v>
      </c>
      <c r="AE8" s="485">
        <v>30</v>
      </c>
      <c r="AF8" s="72"/>
      <c r="AG8" s="553">
        <v>6.5</v>
      </c>
      <c r="AH8" s="553">
        <v>13.3</v>
      </c>
      <c r="AI8" s="553">
        <v>10.1</v>
      </c>
      <c r="AJ8" s="7">
        <f t="shared" si="7"/>
        <v>6.8000000000000007</v>
      </c>
      <c r="AK8" s="6"/>
      <c r="AL8" s="485" t="s">
        <v>589</v>
      </c>
      <c r="AM8" s="54"/>
      <c r="AN8" s="47" t="s">
        <v>590</v>
      </c>
      <c r="AO8" s="400"/>
      <c r="AP8" s="485">
        <v>9</v>
      </c>
      <c r="AQ8" s="485">
        <v>3</v>
      </c>
      <c r="AR8" s="134"/>
      <c r="AS8" s="26">
        <f>IF(ISBLANK(F8),"",(AVERAGE($F$4:F8)))</f>
        <v>12.700000000000001</v>
      </c>
      <c r="AT8" s="26">
        <f>IF(ISBLANK(G8),"",(AVERAGE($G$4:G8)))</f>
        <v>23.32</v>
      </c>
      <c r="AU8" s="25">
        <f>IF(ISBLANK(H8),"",(AVERAGE($H$4:H8)))</f>
        <v>18.380000000000003</v>
      </c>
      <c r="AV8" s="368">
        <f>IF(ISBLANK(G8),"",(AVERAGE($I$4:I8)))</f>
        <v>10.62</v>
      </c>
      <c r="AW8" s="22">
        <f>IF(ISBLANK(M8),"",AVERAGE($M$4:M8))</f>
        <v>52.6</v>
      </c>
      <c r="AX8" s="376">
        <f>IF(ISBLANK(P8),"",(AVERAGE($R$4:R8)))</f>
        <v>1018.2</v>
      </c>
      <c r="AY8" s="368">
        <f>IF(ISBLANK(U8),"",(AVERAGE($U$4:U8)))</f>
        <v>3.0200000000000005</v>
      </c>
      <c r="AZ8" s="6"/>
      <c r="BA8" s="25">
        <f t="shared" si="15"/>
        <v>0.53214285714286014</v>
      </c>
      <c r="BB8" s="25">
        <f t="shared" si="16"/>
        <v>4.3999999999999986</v>
      </c>
      <c r="BC8" s="25">
        <f t="shared" si="19"/>
        <v>2.4660714285714294</v>
      </c>
      <c r="BD8" s="367">
        <f t="shared" si="18"/>
        <v>3.8678571428571384</v>
      </c>
      <c r="BE8" s="72"/>
      <c r="BF8" s="25">
        <f>IF(ISBLANK(F8),"",AS8-AVERAGE($F$91:F95))</f>
        <v>0.33928571428571708</v>
      </c>
      <c r="BG8" s="25">
        <f>IF(ISBLANK(G8),"",AT8-AVERAGE($G$91:G95))</f>
        <v>1.4800000000000004</v>
      </c>
      <c r="BH8" s="367">
        <f t="shared" si="17"/>
        <v>1.1407142857142833</v>
      </c>
      <c r="BI8" s="115">
        <f t="shared" si="8"/>
        <v>0.60680851063829788</v>
      </c>
      <c r="BJ8" s="115">
        <f t="shared" si="9"/>
        <v>1.4375320075468374</v>
      </c>
      <c r="BK8" s="420"/>
      <c r="BL8" s="572">
        <v>5</v>
      </c>
    </row>
    <row r="9" spans="1:64" ht="12.75" customHeight="1" x14ac:dyDescent="0.2">
      <c r="A9" s="394">
        <f t="shared" si="10"/>
        <v>6</v>
      </c>
      <c r="B9" s="131">
        <f t="shared" si="11"/>
        <v>13.6</v>
      </c>
      <c r="C9" s="282">
        <f t="shared" si="11"/>
        <v>20</v>
      </c>
      <c r="D9" s="685"/>
      <c r="E9" s="97">
        <f t="shared" si="12"/>
        <v>6</v>
      </c>
      <c r="F9" s="23">
        <v>13.6</v>
      </c>
      <c r="G9" s="23">
        <v>20</v>
      </c>
      <c r="H9" s="553">
        <v>16.7</v>
      </c>
      <c r="I9" s="23">
        <f t="shared" si="0"/>
        <v>6.4</v>
      </c>
      <c r="J9" s="6">
        <f t="shared" si="1"/>
        <v>0</v>
      </c>
      <c r="K9" s="24">
        <v>44</v>
      </c>
      <c r="L9" s="24">
        <v>89</v>
      </c>
      <c r="M9" s="554">
        <v>66</v>
      </c>
      <c r="N9" s="24">
        <f t="shared" si="2"/>
        <v>45</v>
      </c>
      <c r="O9" s="50">
        <f t="shared" si="3"/>
        <v>0</v>
      </c>
      <c r="P9" s="24">
        <v>1004</v>
      </c>
      <c r="Q9" s="24">
        <v>1007</v>
      </c>
      <c r="R9" s="24">
        <f t="shared" si="13"/>
        <v>1005.5</v>
      </c>
      <c r="S9" s="24">
        <f t="shared" si="4"/>
        <v>3</v>
      </c>
      <c r="T9" s="50">
        <v>0</v>
      </c>
      <c r="U9" s="553">
        <v>8.3000000000000007</v>
      </c>
      <c r="V9" s="553">
        <v>19.399999999999999</v>
      </c>
      <c r="W9" s="553">
        <v>27</v>
      </c>
      <c r="X9" s="485" t="s">
        <v>110</v>
      </c>
      <c r="Y9" s="72">
        <f t="shared" si="14"/>
        <v>1</v>
      </c>
      <c r="Z9" s="539">
        <v>0.8</v>
      </c>
      <c r="AA9" s="23">
        <v>0.8</v>
      </c>
      <c r="AB9" s="23">
        <v>0.3</v>
      </c>
      <c r="AC9" s="510">
        <f t="shared" si="5"/>
        <v>1.5180265654648958E-2</v>
      </c>
      <c r="AD9" s="7">
        <f t="shared" si="6"/>
        <v>0.8</v>
      </c>
      <c r="AE9" s="553">
        <v>1</v>
      </c>
      <c r="AF9" s="72"/>
      <c r="AG9" s="553">
        <v>5.9</v>
      </c>
      <c r="AH9" s="553">
        <v>13.3</v>
      </c>
      <c r="AI9" s="553">
        <v>9.8000000000000007</v>
      </c>
      <c r="AJ9" s="7">
        <f t="shared" si="7"/>
        <v>7.4</v>
      </c>
      <c r="AK9" s="6"/>
      <c r="AL9" s="485" t="s">
        <v>393</v>
      </c>
      <c r="AM9" s="54"/>
      <c r="AN9" s="391" t="s">
        <v>591</v>
      </c>
      <c r="AO9" s="400"/>
      <c r="AP9" s="485">
        <v>7</v>
      </c>
      <c r="AQ9" s="485">
        <v>1</v>
      </c>
      <c r="AR9" s="134"/>
      <c r="AS9" s="26">
        <f>IF(ISBLANK(F9),"",(AVERAGE($F$4:F9)))</f>
        <v>12.850000000000001</v>
      </c>
      <c r="AT9" s="26">
        <f>IF(ISBLANK(G9),"",(AVERAGE($G$4:G9)))</f>
        <v>22.766666666666666</v>
      </c>
      <c r="AU9" s="25">
        <f>IF(ISBLANK(H9),"",(AVERAGE($H$4:H9)))</f>
        <v>18.100000000000001</v>
      </c>
      <c r="AV9" s="368">
        <f>IF(ISBLANK(G9),"",(AVERAGE($I$4:I9)))</f>
        <v>9.9166666666666661</v>
      </c>
      <c r="AW9" s="22">
        <f>IF(ISBLANK(M9),"",AVERAGE($M$4:M9))</f>
        <v>54.833333333333336</v>
      </c>
      <c r="AX9" s="376">
        <f>IF(ISBLANK(P9),"",(AVERAGE($R$4:R9)))</f>
        <v>1016.0833333333334</v>
      </c>
      <c r="AY9" s="368">
        <f>IF(ISBLANK(U9),"",(AVERAGE($U$4:U9)))</f>
        <v>3.9000000000000004</v>
      </c>
      <c r="AZ9" s="6"/>
      <c r="BA9" s="25">
        <f t="shared" si="15"/>
        <v>0.92857142857143238</v>
      </c>
      <c r="BB9" s="25">
        <f t="shared" si="16"/>
        <v>-2.0799999999999983</v>
      </c>
      <c r="BC9" s="25">
        <f t="shared" si="19"/>
        <v>-0.57571428571428296</v>
      </c>
      <c r="BD9" s="367">
        <f t="shared" si="18"/>
        <v>-3.0085714285714307</v>
      </c>
      <c r="BE9" s="72"/>
      <c r="BF9" s="25">
        <f>IF(ISBLANK(F9),"",AS9-AVERAGE($F$91:F96))</f>
        <v>0.43750000000000533</v>
      </c>
      <c r="BG9" s="25">
        <f>IF(ISBLANK(G9),"",AT9-AVERAGE($G$91:G96))</f>
        <v>0.88666666666666671</v>
      </c>
      <c r="BH9" s="367">
        <f t="shared" si="17"/>
        <v>0.44916666666666138</v>
      </c>
      <c r="BI9" s="115">
        <f t="shared" si="8"/>
        <v>0.59361702127659566</v>
      </c>
      <c r="BJ9" s="115">
        <f t="shared" si="9"/>
        <v>1.3893853949392792</v>
      </c>
      <c r="BK9" s="402"/>
      <c r="BL9" s="572">
        <v>6</v>
      </c>
    </row>
    <row r="10" spans="1:64" ht="12.75" customHeight="1" x14ac:dyDescent="0.2">
      <c r="A10" s="394">
        <f t="shared" si="10"/>
        <v>7</v>
      </c>
      <c r="B10" s="131">
        <v>14.6</v>
      </c>
      <c r="C10" s="282">
        <f t="shared" si="11"/>
        <v>18.600000000000001</v>
      </c>
      <c r="D10" s="685"/>
      <c r="E10" s="97">
        <f t="shared" si="12"/>
        <v>7</v>
      </c>
      <c r="F10" s="23">
        <v>14.1</v>
      </c>
      <c r="G10" s="23">
        <v>18.600000000000001</v>
      </c>
      <c r="H10" s="553">
        <v>15.9</v>
      </c>
      <c r="I10" s="23">
        <f t="shared" si="0"/>
        <v>4.5000000000000018</v>
      </c>
      <c r="J10" s="6">
        <f t="shared" si="1"/>
        <v>0</v>
      </c>
      <c r="K10" s="24">
        <v>60</v>
      </c>
      <c r="L10" s="24">
        <v>85</v>
      </c>
      <c r="M10" s="554">
        <v>74</v>
      </c>
      <c r="N10" s="24">
        <f t="shared" si="2"/>
        <v>25</v>
      </c>
      <c r="O10" s="50">
        <f t="shared" si="3"/>
        <v>1</v>
      </c>
      <c r="P10" s="24">
        <v>1003</v>
      </c>
      <c r="Q10" s="24">
        <v>1005</v>
      </c>
      <c r="R10" s="24">
        <f t="shared" si="13"/>
        <v>1004</v>
      </c>
      <c r="S10" s="24">
        <f t="shared" si="4"/>
        <v>2</v>
      </c>
      <c r="T10" s="50">
        <v>0</v>
      </c>
      <c r="U10" s="553">
        <v>7.7</v>
      </c>
      <c r="V10" s="553">
        <v>17.3</v>
      </c>
      <c r="W10" s="553">
        <v>25.1</v>
      </c>
      <c r="X10" s="485" t="s">
        <v>111</v>
      </c>
      <c r="Y10" s="72">
        <f t="shared" si="14"/>
        <v>2</v>
      </c>
      <c r="Z10" s="539">
        <v>3.5</v>
      </c>
      <c r="AA10" s="23">
        <v>1.9</v>
      </c>
      <c r="AB10" s="23">
        <v>1.4</v>
      </c>
      <c r="AC10" s="510">
        <f t="shared" si="5"/>
        <v>6.6413662239089191E-2</v>
      </c>
      <c r="AD10" s="7">
        <f t="shared" si="6"/>
        <v>1.75</v>
      </c>
      <c r="AE10" s="485">
        <v>20</v>
      </c>
      <c r="AF10" s="72"/>
      <c r="AG10" s="553">
        <v>9.6</v>
      </c>
      <c r="AH10" s="553">
        <v>14</v>
      </c>
      <c r="AI10" s="553">
        <v>11.1</v>
      </c>
      <c r="AJ10" s="7">
        <f t="shared" si="7"/>
        <v>4.4000000000000004</v>
      </c>
      <c r="AK10" s="6"/>
      <c r="AL10" s="485" t="s">
        <v>592</v>
      </c>
      <c r="AM10" s="54"/>
      <c r="AN10" s="23" t="s">
        <v>593</v>
      </c>
      <c r="AO10" s="400"/>
      <c r="AP10" s="485">
        <v>2</v>
      </c>
      <c r="AQ10" s="485">
        <v>2</v>
      </c>
      <c r="AR10" s="134"/>
      <c r="AS10" s="26">
        <f>IF(ISBLANK(F10),"",(AVERAGE($F$4:F10)))</f>
        <v>13.028571428571428</v>
      </c>
      <c r="AT10" s="26">
        <f>IF(ISBLANK(G10),"",(AVERAGE($G$4:G10)))</f>
        <v>22.171428571428571</v>
      </c>
      <c r="AU10" s="25">
        <f>IF(ISBLANK(H10),"",(AVERAGE($H$4:H10)))</f>
        <v>17.785714285714288</v>
      </c>
      <c r="AV10" s="368">
        <f>IF(ISBLANK(G10),"",(AVERAGE($I$4:I10)))</f>
        <v>9.1428571428571423</v>
      </c>
      <c r="AW10" s="22">
        <f>IF(ISBLANK(M10),"",AVERAGE($M$4:M10))</f>
        <v>57.571428571428569</v>
      </c>
      <c r="AX10" s="376">
        <f>IF(ISBLANK(P10),"",(AVERAGE($R$4:R10)))</f>
        <v>1014.3571428571429</v>
      </c>
      <c r="AY10" s="368">
        <f>IF(ISBLANK(U10),"",(AVERAGE($U$4:U10)))</f>
        <v>4.4428571428571431</v>
      </c>
      <c r="AZ10" s="6"/>
      <c r="BA10" s="25">
        <f t="shared" si="15"/>
        <v>1.3249999999999993</v>
      </c>
      <c r="BB10" s="25">
        <f t="shared" si="16"/>
        <v>-3.5599999999999987</v>
      </c>
      <c r="BC10" s="25">
        <f t="shared" si="19"/>
        <v>-1.1174999999999997</v>
      </c>
      <c r="BD10" s="367">
        <f t="shared" si="18"/>
        <v>-4.884999999999998</v>
      </c>
      <c r="BE10" s="72"/>
      <c r="BF10" s="25">
        <f>IF(ISBLANK(F10),"",AS10-AVERAGE($F$91:F97))</f>
        <v>0.56428571428571672</v>
      </c>
      <c r="BG10" s="25">
        <f>IF(ISBLANK(G10),"",AT10-AVERAGE($G$91:G97))</f>
        <v>0.25142857142857267</v>
      </c>
      <c r="BH10" s="367">
        <f t="shared" si="17"/>
        <v>-0.31285714285714405</v>
      </c>
      <c r="BI10" s="115">
        <f t="shared" si="8"/>
        <v>0.83860182370820657</v>
      </c>
      <c r="BJ10" s="115">
        <f t="shared" si="9"/>
        <v>1.2384091957530039</v>
      </c>
      <c r="BK10" s="402"/>
      <c r="BL10" s="572">
        <v>7</v>
      </c>
    </row>
    <row r="11" spans="1:64" ht="12.75" customHeight="1" x14ac:dyDescent="0.2">
      <c r="A11" s="394">
        <f t="shared" si="10"/>
        <v>8</v>
      </c>
      <c r="B11" s="131">
        <f t="shared" si="11"/>
        <v>13.6</v>
      </c>
      <c r="C11" s="282">
        <f t="shared" si="11"/>
        <v>18.100000000000001</v>
      </c>
      <c r="D11" s="685"/>
      <c r="E11" s="97">
        <f t="shared" si="12"/>
        <v>8</v>
      </c>
      <c r="F11" s="23">
        <v>13.6</v>
      </c>
      <c r="G11" s="23">
        <v>18.100000000000001</v>
      </c>
      <c r="H11" s="553">
        <v>15.5</v>
      </c>
      <c r="I11" s="23">
        <f t="shared" si="0"/>
        <v>4.5000000000000018</v>
      </c>
      <c r="J11" s="6">
        <f t="shared" si="1"/>
        <v>0</v>
      </c>
      <c r="K11" s="24">
        <v>61</v>
      </c>
      <c r="L11" s="24">
        <v>90</v>
      </c>
      <c r="M11" s="554">
        <v>77</v>
      </c>
      <c r="N11" s="24">
        <f t="shared" si="2"/>
        <v>29</v>
      </c>
      <c r="O11" s="50">
        <f t="shared" si="3"/>
        <v>0</v>
      </c>
      <c r="P11" s="24">
        <v>1003</v>
      </c>
      <c r="Q11" s="24">
        <v>1007</v>
      </c>
      <c r="R11" s="24">
        <f t="shared" si="13"/>
        <v>1005</v>
      </c>
      <c r="S11" s="24">
        <f t="shared" si="4"/>
        <v>4</v>
      </c>
      <c r="T11" s="50">
        <v>0</v>
      </c>
      <c r="U11" s="553">
        <v>7.7</v>
      </c>
      <c r="V11" s="553">
        <v>20.100000000000001</v>
      </c>
      <c r="W11" s="553">
        <v>28</v>
      </c>
      <c r="X11" s="485" t="s">
        <v>110</v>
      </c>
      <c r="Y11" s="72">
        <f t="shared" si="14"/>
        <v>2</v>
      </c>
      <c r="Z11" s="539">
        <v>3.3</v>
      </c>
      <c r="AA11" s="23">
        <v>1.9</v>
      </c>
      <c r="AB11" s="23">
        <v>1.4</v>
      </c>
      <c r="AC11" s="510">
        <f t="shared" si="5"/>
        <v>6.2618595825426948E-2</v>
      </c>
      <c r="AD11" s="7">
        <f t="shared" si="6"/>
        <v>1.65</v>
      </c>
      <c r="AE11" s="485">
        <v>40</v>
      </c>
      <c r="AF11" s="72"/>
      <c r="AG11" s="553">
        <v>9.5</v>
      </c>
      <c r="AH11" s="553">
        <v>13.6</v>
      </c>
      <c r="AI11" s="553">
        <v>11.3</v>
      </c>
      <c r="AJ11" s="7">
        <f t="shared" si="7"/>
        <v>4.0999999999999996</v>
      </c>
      <c r="AK11" s="6"/>
      <c r="AL11" s="485" t="s">
        <v>594</v>
      </c>
      <c r="AM11" s="54"/>
      <c r="AN11" s="23" t="s">
        <v>595</v>
      </c>
      <c r="AO11" s="400"/>
      <c r="AP11" s="485">
        <v>2.5</v>
      </c>
      <c r="AQ11" s="485">
        <v>2</v>
      </c>
      <c r="AR11" s="134"/>
      <c r="AS11" s="26">
        <f>IF(ISBLANK(F11),"",(AVERAGE($F$4:F11)))</f>
        <v>13.1</v>
      </c>
      <c r="AT11" s="26">
        <f>IF(ISBLANK(G11),"",(AVERAGE($G$4:G11)))</f>
        <v>21.662499999999998</v>
      </c>
      <c r="AU11" s="25">
        <f>IF(ISBLANK(H11),"",(AVERAGE($H$4:H11)))</f>
        <v>17.5</v>
      </c>
      <c r="AV11" s="368">
        <f>IF(ISBLANK(G11),"",(AVERAGE($I$4:I11)))</f>
        <v>8.5625</v>
      </c>
      <c r="AW11" s="22">
        <f>IF(ISBLANK(M11),"",AVERAGE($M$4:M11))</f>
        <v>60</v>
      </c>
      <c r="AX11" s="376">
        <f>IF(ISBLANK(P11),"",(AVERAGE($R$4:R11)))</f>
        <v>1013.1875</v>
      </c>
      <c r="AY11" s="368">
        <f>IF(ISBLANK(U11),"",(AVERAGE($U$4:U11)))</f>
        <v>4.8500000000000005</v>
      </c>
      <c r="AZ11" s="6"/>
      <c r="BA11" s="25">
        <f t="shared" si="15"/>
        <v>0.72142857142857686</v>
      </c>
      <c r="BB11" s="25">
        <f t="shared" si="16"/>
        <v>-4.139999999999997</v>
      </c>
      <c r="BC11" s="25">
        <f t="shared" si="19"/>
        <v>-1.7092857142857101</v>
      </c>
      <c r="BD11" s="367">
        <f t="shared" si="18"/>
        <v>-4.8614285714285739</v>
      </c>
      <c r="BE11" s="72"/>
      <c r="BF11" s="25">
        <f>IF(ISBLANK(F11),"",AS11-AVERAGE($F$91:F98))</f>
        <v>0.58392857142857402</v>
      </c>
      <c r="BG11" s="25">
        <f>IF(ISBLANK(G11),"",AT11-AVERAGE($G$91:G98))</f>
        <v>-0.29750000000000298</v>
      </c>
      <c r="BH11" s="367">
        <f t="shared" ref="BH11:BH20" si="20">IF(ISBLANK(G11),"",BG11-BF11)</f>
        <v>-0.881428571428577</v>
      </c>
      <c r="BI11" s="115">
        <f t="shared" si="8"/>
        <v>1.0058510638297873</v>
      </c>
      <c r="BJ11" s="115">
        <f t="shared" si="9"/>
        <v>1.1354952914256904</v>
      </c>
      <c r="BK11" s="420"/>
      <c r="BL11" s="572">
        <v>8</v>
      </c>
    </row>
    <row r="12" spans="1:64" ht="12.75" customHeight="1" x14ac:dyDescent="0.2">
      <c r="A12" s="394">
        <f t="shared" si="10"/>
        <v>9</v>
      </c>
      <c r="B12" s="131">
        <f t="shared" si="11"/>
        <v>13.7</v>
      </c>
      <c r="C12" s="282">
        <f t="shared" si="11"/>
        <v>21.6</v>
      </c>
      <c r="D12" s="685"/>
      <c r="E12" s="97">
        <f t="shared" si="12"/>
        <v>9</v>
      </c>
      <c r="F12" s="23">
        <v>13.7</v>
      </c>
      <c r="G12" s="23">
        <v>21.6</v>
      </c>
      <c r="H12" s="553">
        <v>17.3</v>
      </c>
      <c r="I12" s="23">
        <f t="shared" si="0"/>
        <v>7.9000000000000021</v>
      </c>
      <c r="J12" s="6">
        <f t="shared" si="1"/>
        <v>0</v>
      </c>
      <c r="K12" s="24">
        <v>50</v>
      </c>
      <c r="L12" s="24">
        <v>85</v>
      </c>
      <c r="M12" s="554">
        <v>68</v>
      </c>
      <c r="N12" s="24">
        <f t="shared" si="2"/>
        <v>35</v>
      </c>
      <c r="O12" s="50">
        <f t="shared" si="3"/>
        <v>0</v>
      </c>
      <c r="P12" s="24">
        <v>1007</v>
      </c>
      <c r="Q12" s="24">
        <v>1016</v>
      </c>
      <c r="R12" s="24">
        <f t="shared" si="13"/>
        <v>1011.5</v>
      </c>
      <c r="S12" s="24">
        <f t="shared" si="4"/>
        <v>9</v>
      </c>
      <c r="T12" s="50">
        <v>0</v>
      </c>
      <c r="U12" s="553">
        <v>6.6</v>
      </c>
      <c r="V12" s="553">
        <v>15.2</v>
      </c>
      <c r="W12" s="553">
        <v>19.7</v>
      </c>
      <c r="X12" s="485" t="s">
        <v>110</v>
      </c>
      <c r="Y12" s="72">
        <f t="shared" si="14"/>
        <v>0</v>
      </c>
      <c r="Z12" s="539">
        <v>0</v>
      </c>
      <c r="AA12" s="23"/>
      <c r="AB12" s="23"/>
      <c r="AC12" s="510" t="str">
        <f t="shared" si="5"/>
        <v/>
      </c>
      <c r="AD12" s="7" t="str">
        <f t="shared" si="6"/>
        <v/>
      </c>
      <c r="AE12" s="485"/>
      <c r="AF12" s="72"/>
      <c r="AG12" s="553">
        <v>10.1</v>
      </c>
      <c r="AH12" s="553">
        <v>12.2</v>
      </c>
      <c r="AI12" s="553">
        <v>11.1</v>
      </c>
      <c r="AJ12" s="7">
        <f t="shared" si="7"/>
        <v>2.0999999999999996</v>
      </c>
      <c r="AK12" s="6"/>
      <c r="AL12" s="485" t="s">
        <v>429</v>
      </c>
      <c r="AM12" s="54"/>
      <c r="AN12" s="555" t="s">
        <v>8</v>
      </c>
      <c r="AO12" s="400"/>
      <c r="AP12" s="485">
        <v>7</v>
      </c>
      <c r="AQ12" s="485">
        <v>0</v>
      </c>
      <c r="AR12" s="134"/>
      <c r="AS12" s="26">
        <f>IF(ISBLANK(F12),"",(AVERAGE($F$4:F12)))</f>
        <v>13.166666666666666</v>
      </c>
      <c r="AT12" s="26">
        <f>IF(ISBLANK(G12),"",(AVERAGE($G$4:G12)))</f>
        <v>21.655555555555551</v>
      </c>
      <c r="AU12" s="25">
        <f>IF(ISBLANK(H12),"",(AVERAGE($H$4:H12)))</f>
        <v>17.477777777777778</v>
      </c>
      <c r="AV12" s="368">
        <f>IF(ISBLANK(G12),"",(AVERAGE($I$4:I12)))</f>
        <v>8.4888888888888889</v>
      </c>
      <c r="AW12" s="22">
        <f>IF(ISBLANK(M12),"",AVERAGE($M$4:M12))</f>
        <v>60.888888888888886</v>
      </c>
      <c r="AX12" s="376">
        <f>IF(ISBLANK(P12),"",(AVERAGE($R$4:R12)))</f>
        <v>1013</v>
      </c>
      <c r="AY12" s="368">
        <f>IF(ISBLANK(U12),"",(AVERAGE($U$4:U12)))</f>
        <v>5.0444444444444452</v>
      </c>
      <c r="AZ12" s="6"/>
      <c r="BA12" s="25">
        <f t="shared" si="15"/>
        <v>0.71785714285714874</v>
      </c>
      <c r="BB12" s="25">
        <f t="shared" si="16"/>
        <v>-0.71999999999999886</v>
      </c>
      <c r="BC12" s="25">
        <f t="shared" si="19"/>
        <v>-1.0714285714250593E-3</v>
      </c>
      <c r="BD12" s="367">
        <f t="shared" si="18"/>
        <v>-1.4378571428571476</v>
      </c>
      <c r="BE12" s="72"/>
      <c r="BF12" s="25">
        <f>IF(ISBLANK(F12),"",AS12-AVERAGE($F$91:F99))</f>
        <v>0.59880952380952657</v>
      </c>
      <c r="BG12" s="25">
        <f>IF(ISBLANK(G12),"",AT12-AVERAGE($G$91:G99))</f>
        <v>-0.34444444444444855</v>
      </c>
      <c r="BH12" s="367">
        <f t="shared" si="20"/>
        <v>-0.94325396825397512</v>
      </c>
      <c r="BI12" s="115">
        <f t="shared" si="8"/>
        <v>0.89408983451536639</v>
      </c>
      <c r="BJ12" s="115">
        <f t="shared" si="9"/>
        <v>1.1374418436820457</v>
      </c>
      <c r="BK12" s="402"/>
      <c r="BL12" s="572">
        <v>9</v>
      </c>
    </row>
    <row r="13" spans="1:64" ht="12.75" customHeight="1" x14ac:dyDescent="0.2">
      <c r="A13" s="394">
        <f t="shared" si="10"/>
        <v>10</v>
      </c>
      <c r="B13" s="131">
        <f t="shared" si="11"/>
        <v>13</v>
      </c>
      <c r="C13" s="282">
        <f t="shared" si="11"/>
        <v>21.9</v>
      </c>
      <c r="D13" s="685"/>
      <c r="E13" s="97">
        <f t="shared" si="12"/>
        <v>10</v>
      </c>
      <c r="F13" s="23">
        <v>13</v>
      </c>
      <c r="G13" s="23">
        <v>21.9</v>
      </c>
      <c r="H13" s="553">
        <v>17.5</v>
      </c>
      <c r="I13" s="23">
        <f t="shared" si="0"/>
        <v>8.8999999999999986</v>
      </c>
      <c r="J13" s="6">
        <f t="shared" si="1"/>
        <v>0</v>
      </c>
      <c r="K13" s="24">
        <v>49</v>
      </c>
      <c r="L13" s="24">
        <v>88</v>
      </c>
      <c r="M13" s="554">
        <v>69</v>
      </c>
      <c r="N13" s="24">
        <f t="shared" si="2"/>
        <v>39</v>
      </c>
      <c r="O13" s="50">
        <f t="shared" si="3"/>
        <v>0</v>
      </c>
      <c r="P13" s="24">
        <v>1017</v>
      </c>
      <c r="Q13" s="24">
        <v>1019</v>
      </c>
      <c r="R13" s="24">
        <f t="shared" si="13"/>
        <v>1018</v>
      </c>
      <c r="S13" s="24">
        <f t="shared" si="4"/>
        <v>2</v>
      </c>
      <c r="T13" s="50">
        <v>0</v>
      </c>
      <c r="U13" s="553">
        <v>3.7</v>
      </c>
      <c r="V13" s="553">
        <v>8.6999999999999993</v>
      </c>
      <c r="W13" s="553">
        <v>10.5</v>
      </c>
      <c r="X13" s="485" t="s">
        <v>110</v>
      </c>
      <c r="Y13" s="72">
        <f t="shared" si="14"/>
        <v>2</v>
      </c>
      <c r="Z13" s="539">
        <v>1.9</v>
      </c>
      <c r="AA13" s="23">
        <v>1.9</v>
      </c>
      <c r="AB13" s="23">
        <v>0.5</v>
      </c>
      <c r="AC13" s="510">
        <f t="shared" si="5"/>
        <v>3.6053130929791274E-2</v>
      </c>
      <c r="AD13" s="7">
        <f t="shared" si="6"/>
        <v>1.9</v>
      </c>
      <c r="AE13" s="485">
        <v>5</v>
      </c>
      <c r="AF13" s="72"/>
      <c r="AG13" s="553">
        <v>10.1</v>
      </c>
      <c r="AH13" s="553">
        <v>13.6</v>
      </c>
      <c r="AI13" s="553">
        <v>11.5</v>
      </c>
      <c r="AJ13" s="7">
        <f t="shared" si="7"/>
        <v>3.5</v>
      </c>
      <c r="AK13" s="6"/>
      <c r="AL13" s="485" t="s">
        <v>596</v>
      </c>
      <c r="AM13" s="54"/>
      <c r="AN13" s="555" t="s">
        <v>597</v>
      </c>
      <c r="AO13" s="400"/>
      <c r="AP13" s="485">
        <v>3.5</v>
      </c>
      <c r="AQ13" s="485">
        <v>1</v>
      </c>
      <c r="AR13" s="134"/>
      <c r="AS13" s="26">
        <f>IF(ISBLANK(F13),"",(AVERAGE($F$4:F13)))</f>
        <v>13.15</v>
      </c>
      <c r="AT13" s="26">
        <f>IF(ISBLANK(G13),"",(AVERAGE($G$4:G13)))</f>
        <v>21.68</v>
      </c>
      <c r="AU13" s="25">
        <f>IF(ISBLANK(H13),"",(AVERAGE($H$4:H13)))</f>
        <v>17.48</v>
      </c>
      <c r="AV13" s="368">
        <f>IF(ISBLANK(G13),"",(AVERAGE($I$4:I13)))</f>
        <v>8.5300000000000011</v>
      </c>
      <c r="AW13" s="22">
        <f>IF(ISBLANK(M13),"",AVERAGE($M$4:M13))</f>
        <v>61.7</v>
      </c>
      <c r="AX13" s="376">
        <f>IF(ISBLANK(P13),"",(AVERAGE($R$4:R13)))</f>
        <v>1013.5</v>
      </c>
      <c r="AY13" s="368">
        <f>IF(ISBLANK(U13),"",(AVERAGE($U$4:U13)))</f>
        <v>4.910000000000001</v>
      </c>
      <c r="AZ13" s="6"/>
      <c r="BA13" s="25">
        <f t="shared" si="15"/>
        <v>-8.5714285714278304E-2</v>
      </c>
      <c r="BB13" s="25">
        <f t="shared" si="16"/>
        <v>-0.5</v>
      </c>
      <c r="BC13" s="25">
        <f t="shared" si="19"/>
        <v>-0.29285714285713915</v>
      </c>
      <c r="BD13" s="367">
        <f t="shared" si="18"/>
        <v>-0.4142857142857217</v>
      </c>
      <c r="BE13" s="72"/>
      <c r="BF13" s="25">
        <f>IF(ISBLANK(F13),"",AS13-AVERAGE($F$91:F100))</f>
        <v>0.53035714285714697</v>
      </c>
      <c r="BG13" s="25">
        <f>IF(ISBLANK(G13),"",AT13-AVERAGE($G$91:G100))</f>
        <v>-0.35999999999999943</v>
      </c>
      <c r="BH13" s="367">
        <f t="shared" si="20"/>
        <v>-0.8903571428571464</v>
      </c>
      <c r="BI13" s="115">
        <f t="shared" si="8"/>
        <v>0.93</v>
      </c>
      <c r="BJ13" s="115">
        <f t="shared" si="9"/>
        <v>1.0818279665865658</v>
      </c>
      <c r="BK13" s="402"/>
      <c r="BL13" s="572">
        <v>10</v>
      </c>
    </row>
    <row r="14" spans="1:64" ht="12.75" customHeight="1" x14ac:dyDescent="0.2">
      <c r="A14" s="394">
        <f t="shared" si="10"/>
        <v>11</v>
      </c>
      <c r="B14" s="131">
        <f t="shared" si="11"/>
        <v>12.2</v>
      </c>
      <c r="C14" s="282">
        <f t="shared" si="11"/>
        <v>23.7</v>
      </c>
      <c r="D14" s="685"/>
      <c r="E14" s="97">
        <f t="shared" si="12"/>
        <v>11</v>
      </c>
      <c r="F14" s="23">
        <v>12.2</v>
      </c>
      <c r="G14" s="23">
        <v>23.7</v>
      </c>
      <c r="H14" s="553">
        <v>18.7</v>
      </c>
      <c r="I14" s="23">
        <f t="shared" si="0"/>
        <v>11.5</v>
      </c>
      <c r="J14" s="6">
        <f t="shared" si="1"/>
        <v>0</v>
      </c>
      <c r="K14" s="24">
        <v>40</v>
      </c>
      <c r="L14" s="24">
        <v>92</v>
      </c>
      <c r="M14" s="554">
        <v>64</v>
      </c>
      <c r="N14" s="24">
        <f t="shared" si="2"/>
        <v>52</v>
      </c>
      <c r="O14" s="50">
        <f t="shared" si="3"/>
        <v>0</v>
      </c>
      <c r="P14" s="24">
        <v>1018</v>
      </c>
      <c r="Q14" s="24">
        <v>1020</v>
      </c>
      <c r="R14" s="24">
        <f t="shared" si="13"/>
        <v>1019</v>
      </c>
      <c r="S14" s="24">
        <f t="shared" si="4"/>
        <v>2</v>
      </c>
      <c r="T14" s="50">
        <v>0</v>
      </c>
      <c r="U14" s="553">
        <v>2.2000000000000002</v>
      </c>
      <c r="V14" s="553">
        <v>8.5</v>
      </c>
      <c r="W14" s="553">
        <v>12.3</v>
      </c>
      <c r="X14" s="485" t="s">
        <v>113</v>
      </c>
      <c r="Y14" s="72">
        <f t="shared" si="14"/>
        <v>0</v>
      </c>
      <c r="Z14" s="539">
        <v>0</v>
      </c>
      <c r="AA14" s="23"/>
      <c r="AB14" s="23"/>
      <c r="AC14" s="510" t="str">
        <f t="shared" si="5"/>
        <v/>
      </c>
      <c r="AD14" s="7" t="str">
        <f t="shared" si="6"/>
        <v/>
      </c>
      <c r="AE14" s="485"/>
      <c r="AF14" s="72"/>
      <c r="AG14" s="553">
        <v>7.9</v>
      </c>
      <c r="AH14" s="553">
        <v>14.3</v>
      </c>
      <c r="AI14" s="553">
        <v>11</v>
      </c>
      <c r="AJ14" s="7">
        <f t="shared" si="7"/>
        <v>6.4</v>
      </c>
      <c r="AK14" s="6"/>
      <c r="AL14" s="485" t="s">
        <v>598</v>
      </c>
      <c r="AM14" s="54"/>
      <c r="AN14" s="23" t="s">
        <v>8</v>
      </c>
      <c r="AO14" s="400"/>
      <c r="AP14" s="485">
        <v>9</v>
      </c>
      <c r="AQ14" s="485">
        <v>0</v>
      </c>
      <c r="AR14" s="134"/>
      <c r="AS14" s="26">
        <f>IF(ISBLANK(F14),"",(AVERAGE($F$4:F14)))</f>
        <v>13.063636363636363</v>
      </c>
      <c r="AT14" s="26">
        <f>IF(ISBLANK(G14),"",(AVERAGE($G$4:G14)))</f>
        <v>21.86363636363636</v>
      </c>
      <c r="AU14" s="25">
        <f>IF(ISBLANK(H14),"",(AVERAGE($H$4:H14)))</f>
        <v>17.59090909090909</v>
      </c>
      <c r="AV14" s="368">
        <f>IF(ISBLANK(G14),"",(AVERAGE($I$4:I14)))</f>
        <v>8.8000000000000007</v>
      </c>
      <c r="AW14" s="22">
        <f>IF(ISBLANK(M14),"",AVERAGE($M$4:M14))</f>
        <v>61.909090909090907</v>
      </c>
      <c r="AX14" s="376">
        <f>IF(ISBLANK(P14),"",(AVERAGE($R$4:R14)))</f>
        <v>1014</v>
      </c>
      <c r="AY14" s="368">
        <f>IF(ISBLANK(U14),"",(AVERAGE($U$4:U14)))</f>
        <v>4.6636363636363649</v>
      </c>
      <c r="AZ14" s="6"/>
      <c r="BA14" s="25">
        <f t="shared" si="15"/>
        <v>-0.98928571428570677</v>
      </c>
      <c r="BB14" s="25">
        <f t="shared" si="16"/>
        <v>1.259999999999998</v>
      </c>
      <c r="BC14" s="25">
        <f t="shared" si="19"/>
        <v>0.13535714285714562</v>
      </c>
      <c r="BD14" s="367">
        <f t="shared" si="18"/>
        <v>2.2492857142857048</v>
      </c>
      <c r="BE14" s="72"/>
      <c r="BF14" s="25">
        <f>IF(ISBLANK(F14),"",AS14-AVERAGE($F$91:F101))</f>
        <v>0.39220779220779534</v>
      </c>
      <c r="BG14" s="25">
        <f>IF(ISBLANK(G14),"",AT14-AVERAGE($G$91:G101))</f>
        <v>-0.2127272727272782</v>
      </c>
      <c r="BH14" s="367">
        <f t="shared" si="20"/>
        <v>-0.60493506493507354</v>
      </c>
      <c r="BI14" s="115">
        <f t="shared" si="8"/>
        <v>0.84545454545454546</v>
      </c>
      <c r="BJ14" s="115">
        <f t="shared" si="9"/>
        <v>1.1184550092653673</v>
      </c>
      <c r="BK14" s="402"/>
      <c r="BL14" s="572">
        <v>11</v>
      </c>
    </row>
    <row r="15" spans="1:64" ht="12.75" customHeight="1" x14ac:dyDescent="0.2">
      <c r="A15" s="278">
        <f t="shared" si="10"/>
        <v>12</v>
      </c>
      <c r="B15" s="131">
        <f t="shared" si="11"/>
        <v>14.3</v>
      </c>
      <c r="C15" s="282">
        <f t="shared" si="11"/>
        <v>18.8</v>
      </c>
      <c r="D15" s="685"/>
      <c r="E15" s="99">
        <f t="shared" si="12"/>
        <v>12</v>
      </c>
      <c r="F15" s="23">
        <v>14.3</v>
      </c>
      <c r="G15" s="23">
        <v>18.8</v>
      </c>
      <c r="H15" s="553">
        <v>16.7</v>
      </c>
      <c r="I15" s="23">
        <f t="shared" si="0"/>
        <v>4.5</v>
      </c>
      <c r="J15" s="6">
        <f t="shared" si="1"/>
        <v>0</v>
      </c>
      <c r="K15" s="24">
        <v>60</v>
      </c>
      <c r="L15" s="24">
        <v>81</v>
      </c>
      <c r="M15" s="554">
        <v>69</v>
      </c>
      <c r="N15" s="24">
        <f t="shared" si="2"/>
        <v>21</v>
      </c>
      <c r="O15" s="50">
        <f t="shared" si="3"/>
        <v>0</v>
      </c>
      <c r="P15" s="24">
        <v>1017</v>
      </c>
      <c r="Q15" s="24">
        <v>1020</v>
      </c>
      <c r="R15" s="24">
        <f t="shared" si="13"/>
        <v>1018.5</v>
      </c>
      <c r="S15" s="24">
        <f t="shared" si="4"/>
        <v>3</v>
      </c>
      <c r="T15" s="50">
        <v>0</v>
      </c>
      <c r="U15" s="553">
        <v>5.2</v>
      </c>
      <c r="V15" s="553">
        <v>11.2</v>
      </c>
      <c r="W15" s="553">
        <v>17</v>
      </c>
      <c r="X15" s="485" t="s">
        <v>105</v>
      </c>
      <c r="Y15" s="72">
        <f t="shared" si="14"/>
        <v>0</v>
      </c>
      <c r="Z15" s="539">
        <v>0</v>
      </c>
      <c r="AA15" s="23"/>
      <c r="AB15" s="23"/>
      <c r="AC15" s="510" t="str">
        <f t="shared" si="5"/>
        <v/>
      </c>
      <c r="AD15" s="7" t="str">
        <f t="shared" si="6"/>
        <v/>
      </c>
      <c r="AE15" s="485"/>
      <c r="AF15" s="72"/>
      <c r="AG15" s="553">
        <v>9.3000000000000007</v>
      </c>
      <c r="AH15" s="553">
        <v>12.5</v>
      </c>
      <c r="AI15" s="553">
        <v>11</v>
      </c>
      <c r="AJ15" s="7">
        <f t="shared" si="7"/>
        <v>3.1999999999999993</v>
      </c>
      <c r="AK15" s="6"/>
      <c r="AL15" s="485" t="s">
        <v>364</v>
      </c>
      <c r="AM15" s="54"/>
      <c r="AN15" s="555" t="str">
        <f>IF(ISBLANK(G15),"",IF(G15&gt;25,"Heat","-"))</f>
        <v>-</v>
      </c>
      <c r="AO15" s="400"/>
      <c r="AP15" s="485">
        <v>0.7</v>
      </c>
      <c r="AQ15" s="485">
        <v>0</v>
      </c>
      <c r="AR15" s="134"/>
      <c r="AS15" s="26">
        <f>IF(ISBLANK(F15),"",(AVERAGE($F$4:F15)))</f>
        <v>13.166666666666666</v>
      </c>
      <c r="AT15" s="26">
        <f>IF(ISBLANK(G15),"",(AVERAGE($G$4:G15)))</f>
        <v>21.608333333333331</v>
      </c>
      <c r="AU15" s="25">
        <f>IF(ISBLANK(H15),"",(AVERAGE($H$4:H15)))</f>
        <v>17.516666666666666</v>
      </c>
      <c r="AV15" s="368">
        <f>IF(ISBLANK(G15),"",(AVERAGE($I$4:I15)))</f>
        <v>8.4416666666666682</v>
      </c>
      <c r="AW15" s="22">
        <f>IF(ISBLANK(M15),"",AVERAGE($M$4:M15))</f>
        <v>62.5</v>
      </c>
      <c r="AX15" s="376">
        <f>IF(ISBLANK(P15),"",(AVERAGE($R$4:R15)))</f>
        <v>1014.375</v>
      </c>
      <c r="AY15" s="368">
        <f>IF(ISBLANK(U15),"",(AVERAGE($U$4:U15)))</f>
        <v>4.7083333333333348</v>
      </c>
      <c r="AZ15" s="6"/>
      <c r="BA15" s="25">
        <f t="shared" si="15"/>
        <v>1.0071428571428669</v>
      </c>
      <c r="BB15" s="25">
        <f t="shared" si="16"/>
        <v>-3.6799999999999997</v>
      </c>
      <c r="BC15" s="25">
        <f t="shared" si="19"/>
        <v>-1.3364285714285664</v>
      </c>
      <c r="BD15" s="367">
        <f t="shared" si="18"/>
        <v>-4.6871428571428666</v>
      </c>
      <c r="BE15" s="72"/>
      <c r="BF15" s="25">
        <f>IF(ISBLANK(F15),"",AS15-AVERAGE($F$91:F102))</f>
        <v>0.44345238095238315</v>
      </c>
      <c r="BG15" s="25">
        <f>IF(ISBLANK(G15),"",AT15-AVERAGE($G$91:G102))</f>
        <v>-0.5016666666666687</v>
      </c>
      <c r="BH15" s="367">
        <f t="shared" si="20"/>
        <v>-0.94511904761905186</v>
      </c>
      <c r="BI15" s="115">
        <f t="shared" si="8"/>
        <v>0.77499999999999991</v>
      </c>
      <c r="BJ15" s="115">
        <f t="shared" si="9"/>
        <v>1.0356504779732778</v>
      </c>
      <c r="BK15" s="402"/>
      <c r="BL15" s="572">
        <v>12</v>
      </c>
    </row>
    <row r="16" spans="1:64" ht="12.75" customHeight="1" x14ac:dyDescent="0.2">
      <c r="A16" s="278">
        <f t="shared" si="10"/>
        <v>13</v>
      </c>
      <c r="B16" s="131">
        <f t="shared" si="11"/>
        <v>12.2</v>
      </c>
      <c r="C16" s="282">
        <f t="shared" si="11"/>
        <v>17.2</v>
      </c>
      <c r="D16" s="685"/>
      <c r="E16" s="99">
        <f t="shared" si="12"/>
        <v>13</v>
      </c>
      <c r="F16" s="23">
        <v>12.2</v>
      </c>
      <c r="G16" s="23">
        <v>17.2</v>
      </c>
      <c r="H16" s="553">
        <v>14.6</v>
      </c>
      <c r="I16" s="23">
        <f t="shared" si="0"/>
        <v>5</v>
      </c>
      <c r="J16" s="6">
        <f t="shared" si="1"/>
        <v>0</v>
      </c>
      <c r="K16" s="24">
        <v>48</v>
      </c>
      <c r="L16" s="24">
        <v>79</v>
      </c>
      <c r="M16" s="554">
        <v>65</v>
      </c>
      <c r="N16" s="24">
        <f t="shared" si="2"/>
        <v>31</v>
      </c>
      <c r="O16" s="50">
        <f t="shared" si="3"/>
        <v>0</v>
      </c>
      <c r="P16" s="24">
        <v>1018</v>
      </c>
      <c r="Q16" s="24">
        <v>1020</v>
      </c>
      <c r="R16" s="24">
        <f t="shared" si="13"/>
        <v>1019</v>
      </c>
      <c r="S16" s="24">
        <f t="shared" si="4"/>
        <v>2</v>
      </c>
      <c r="T16" s="50">
        <v>0</v>
      </c>
      <c r="U16" s="553">
        <v>4.3</v>
      </c>
      <c r="V16" s="553">
        <v>9.8000000000000007</v>
      </c>
      <c r="W16" s="553">
        <v>14.7</v>
      </c>
      <c r="X16" s="485" t="s">
        <v>113</v>
      </c>
      <c r="Y16" s="72">
        <f t="shared" si="14"/>
        <v>0</v>
      </c>
      <c r="Z16" s="539">
        <v>0</v>
      </c>
      <c r="AA16" s="23"/>
      <c r="AB16" s="23"/>
      <c r="AC16" s="510" t="str">
        <f t="shared" si="5"/>
        <v/>
      </c>
      <c r="AD16" s="7" t="str">
        <f t="shared" si="6"/>
        <v/>
      </c>
      <c r="AE16" s="485"/>
      <c r="AF16" s="72"/>
      <c r="AG16" s="553">
        <v>5.0999999999999996</v>
      </c>
      <c r="AH16" s="553">
        <v>10.1</v>
      </c>
      <c r="AI16" s="553">
        <v>7.8</v>
      </c>
      <c r="AJ16" s="7">
        <f t="shared" si="7"/>
        <v>5</v>
      </c>
      <c r="AK16" s="6"/>
      <c r="AL16" s="485" t="s">
        <v>395</v>
      </c>
      <c r="AM16" s="54"/>
      <c r="AN16" s="555" t="s">
        <v>8</v>
      </c>
      <c r="AO16" s="400"/>
      <c r="AP16" s="485">
        <v>1</v>
      </c>
      <c r="AQ16" s="485">
        <v>0</v>
      </c>
      <c r="AR16" s="134"/>
      <c r="AS16" s="26">
        <f>IF(ISBLANK(F16),"",(AVERAGE($F$4:F16)))</f>
        <v>13.092307692307692</v>
      </c>
      <c r="AT16" s="26">
        <f>IF(ISBLANK(G16),"",(AVERAGE($G$4:G16)))</f>
        <v>21.269230769230766</v>
      </c>
      <c r="AU16" s="25">
        <f>IF(ISBLANK(H16),"",(AVERAGE($H$4:H16)))</f>
        <v>17.292307692307691</v>
      </c>
      <c r="AV16" s="368">
        <f>IF(ISBLANK(G16),"",(AVERAGE($I$4:I16)))</f>
        <v>8.1769230769230781</v>
      </c>
      <c r="AW16" s="22">
        <f>IF(ISBLANK(M16),"",AVERAGE($M$4:M16))</f>
        <v>62.692307692307693</v>
      </c>
      <c r="AX16" s="376">
        <f>IF(ISBLANK(P16),"",(AVERAGE($R$4:R16)))</f>
        <v>1014.7307692307693</v>
      </c>
      <c r="AY16" s="368">
        <f>IF(ISBLANK(U16),"",(AVERAGE($U$4:U16)))</f>
        <v>4.6769230769230781</v>
      </c>
      <c r="AZ16" s="6"/>
      <c r="BA16" s="25">
        <f t="shared" si="15"/>
        <v>-1.1964285714285623</v>
      </c>
      <c r="BB16" s="25">
        <f t="shared" si="16"/>
        <v>-5.3000000000000007</v>
      </c>
      <c r="BC16" s="25">
        <f t="shared" si="19"/>
        <v>-3.2482142857142815</v>
      </c>
      <c r="BD16" s="367">
        <f t="shared" si="18"/>
        <v>-4.1035714285714384</v>
      </c>
      <c r="BE16" s="72"/>
      <c r="BF16" s="25">
        <f>IF(ISBLANK(F16),"",AS16-AVERAGE($F$91:F103))</f>
        <v>0.31730769230769518</v>
      </c>
      <c r="BG16" s="25">
        <f>IF(ISBLANK(G16),"",AT16-AVERAGE($G$91:G103))</f>
        <v>-0.87076923076923407</v>
      </c>
      <c r="BH16" s="367">
        <f t="shared" si="20"/>
        <v>-1.1880769230769292</v>
      </c>
      <c r="BI16" s="115">
        <f t="shared" si="8"/>
        <v>0.71538461538461529</v>
      </c>
      <c r="BJ16" s="115">
        <f t="shared" si="9"/>
        <v>0.9694201704678258</v>
      </c>
      <c r="BK16" s="402"/>
      <c r="BL16" s="572">
        <v>13</v>
      </c>
    </row>
    <row r="17" spans="1:64" ht="12.75" customHeight="1" x14ac:dyDescent="0.2">
      <c r="A17" s="278">
        <f t="shared" si="10"/>
        <v>14</v>
      </c>
      <c r="B17" s="131">
        <f t="shared" si="11"/>
        <v>11.7</v>
      </c>
      <c r="C17" s="282">
        <f t="shared" si="11"/>
        <v>22.7</v>
      </c>
      <c r="D17" s="685"/>
      <c r="E17" s="99">
        <f t="shared" si="12"/>
        <v>14</v>
      </c>
      <c r="F17" s="23">
        <v>11.7</v>
      </c>
      <c r="G17" s="23">
        <v>22.7</v>
      </c>
      <c r="H17" s="553">
        <v>16.8</v>
      </c>
      <c r="I17" s="23">
        <f t="shared" si="0"/>
        <v>11</v>
      </c>
      <c r="J17" s="6">
        <f t="shared" si="1"/>
        <v>0</v>
      </c>
      <c r="K17" s="24">
        <v>34</v>
      </c>
      <c r="L17" s="24">
        <v>72</v>
      </c>
      <c r="M17" s="554">
        <v>56</v>
      </c>
      <c r="N17" s="24">
        <f t="shared" si="2"/>
        <v>38</v>
      </c>
      <c r="O17" s="50">
        <f t="shared" si="3"/>
        <v>0</v>
      </c>
      <c r="P17" s="24">
        <v>1017</v>
      </c>
      <c r="Q17" s="24">
        <v>1020</v>
      </c>
      <c r="R17" s="24">
        <f t="shared" si="13"/>
        <v>1018.5</v>
      </c>
      <c r="S17" s="24">
        <f t="shared" si="4"/>
        <v>3</v>
      </c>
      <c r="T17" s="50">
        <v>0</v>
      </c>
      <c r="U17" s="553">
        <v>3.6</v>
      </c>
      <c r="V17" s="553">
        <v>9.8000000000000007</v>
      </c>
      <c r="W17" s="553">
        <v>13.2</v>
      </c>
      <c r="X17" s="485" t="s">
        <v>128</v>
      </c>
      <c r="Y17" s="72">
        <f t="shared" si="14"/>
        <v>0</v>
      </c>
      <c r="Z17" s="539">
        <v>0</v>
      </c>
      <c r="AA17" s="23"/>
      <c r="AB17" s="23"/>
      <c r="AC17" s="510" t="str">
        <f t="shared" si="5"/>
        <v/>
      </c>
      <c r="AD17" s="7" t="str">
        <f t="shared" si="6"/>
        <v/>
      </c>
      <c r="AE17" s="485"/>
      <c r="AF17" s="72"/>
      <c r="AG17" s="553">
        <v>5.3</v>
      </c>
      <c r="AH17" s="553">
        <v>10</v>
      </c>
      <c r="AI17" s="553">
        <v>7.5</v>
      </c>
      <c r="AJ17" s="26">
        <f t="shared" si="7"/>
        <v>4.7</v>
      </c>
      <c r="AK17" s="6"/>
      <c r="AL17" s="485" t="s">
        <v>599</v>
      </c>
      <c r="AM17" s="54">
        <v>1013.25</v>
      </c>
      <c r="AN17" s="555" t="str">
        <f>IF(ISBLANK(G17),"",IF(G17&gt;25,"Heat","-"))</f>
        <v>-</v>
      </c>
      <c r="AO17" s="400"/>
      <c r="AP17" s="485">
        <v>3.5</v>
      </c>
      <c r="AQ17" s="485">
        <v>0</v>
      </c>
      <c r="AR17" s="134"/>
      <c r="AS17" s="26">
        <f>IF(ISBLANK(F17),"",(AVERAGE($F$4:F17)))</f>
        <v>12.992857142857142</v>
      </c>
      <c r="AT17" s="26">
        <f>IF(ISBLANK(G17),"",(AVERAGE($G$4:G17)))</f>
        <v>21.371428571428567</v>
      </c>
      <c r="AU17" s="25">
        <f>IF(ISBLANK(H17),"",(AVERAGE($H$4:H17)))</f>
        <v>17.257142857142856</v>
      </c>
      <c r="AV17" s="368">
        <f>IF(ISBLANK(G17),"",(AVERAGE($I$4:I17)))</f>
        <v>8.3785714285714299</v>
      </c>
      <c r="AW17" s="22">
        <f>IF(ISBLANK(M17),"",AVERAGE($M$4:M17))</f>
        <v>62.214285714285715</v>
      </c>
      <c r="AX17" s="376">
        <f>IF(ISBLANK(P17),"",(AVERAGE($R$4:R17)))</f>
        <v>1015</v>
      </c>
      <c r="AY17" s="368">
        <f>IF(ISBLANK(U17),"",(AVERAGE($U$4:U17)))</f>
        <v>4.6000000000000005</v>
      </c>
      <c r="AZ17" s="6"/>
      <c r="BA17" s="25">
        <f t="shared" si="15"/>
        <v>-1.8000000000000007</v>
      </c>
      <c r="BB17" s="25">
        <f t="shared" si="16"/>
        <v>0.17999999999999972</v>
      </c>
      <c r="BC17" s="25">
        <f t="shared" si="19"/>
        <v>-0.8100000000000005</v>
      </c>
      <c r="BD17" s="367">
        <f t="shared" si="18"/>
        <v>1.9800000000000004</v>
      </c>
      <c r="BE17" s="72"/>
      <c r="BF17" s="25">
        <f>IF(ISBLANK(F17),"",AS17-AVERAGE($F$91:F104))</f>
        <v>0.16607142857143131</v>
      </c>
      <c r="BG17" s="25">
        <f>IF(ISBLANK(G17),"",AT17-AVERAGE($G$91:G104))</f>
        <v>-0.79571428571428982</v>
      </c>
      <c r="BH17" s="367">
        <f t="shared" si="20"/>
        <v>-0.96178571428572113</v>
      </c>
      <c r="BI17" s="115">
        <f t="shared" si="8"/>
        <v>0.66428571428571426</v>
      </c>
      <c r="BJ17" s="115">
        <f t="shared" si="9"/>
        <v>0.94206425306696395</v>
      </c>
      <c r="BK17" s="402"/>
      <c r="BL17" s="572">
        <v>14</v>
      </c>
    </row>
    <row r="18" spans="1:64" ht="12.75" customHeight="1" x14ac:dyDescent="0.2">
      <c r="A18" s="278">
        <f t="shared" si="10"/>
        <v>15</v>
      </c>
      <c r="B18" s="131">
        <f t="shared" si="11"/>
        <v>11.8</v>
      </c>
      <c r="C18" s="282">
        <f t="shared" si="11"/>
        <v>24</v>
      </c>
      <c r="D18" s="685"/>
      <c r="E18" s="99">
        <f t="shared" si="12"/>
        <v>15</v>
      </c>
      <c r="F18" s="23">
        <v>11.8</v>
      </c>
      <c r="G18" s="23">
        <v>24</v>
      </c>
      <c r="H18" s="553">
        <v>18.7</v>
      </c>
      <c r="I18" s="23">
        <f t="shared" si="0"/>
        <v>12.2</v>
      </c>
      <c r="J18" s="6">
        <f t="shared" si="1"/>
        <v>0</v>
      </c>
      <c r="K18" s="24">
        <v>34</v>
      </c>
      <c r="L18" s="24">
        <v>78</v>
      </c>
      <c r="M18" s="554">
        <v>54</v>
      </c>
      <c r="N18" s="24">
        <f t="shared" si="2"/>
        <v>44</v>
      </c>
      <c r="O18" s="50">
        <f t="shared" si="3"/>
        <v>0</v>
      </c>
      <c r="P18" s="24">
        <v>1012</v>
      </c>
      <c r="Q18" s="24">
        <v>1018</v>
      </c>
      <c r="R18" s="24">
        <f t="shared" si="13"/>
        <v>1015</v>
      </c>
      <c r="S18" s="24">
        <f t="shared" si="4"/>
        <v>6</v>
      </c>
      <c r="T18" s="50">
        <v>0</v>
      </c>
      <c r="U18" s="553">
        <v>5</v>
      </c>
      <c r="V18" s="553">
        <v>14</v>
      </c>
      <c r="W18" s="553">
        <v>20.8</v>
      </c>
      <c r="X18" s="485" t="s">
        <v>110</v>
      </c>
      <c r="Y18" s="72">
        <f t="shared" si="14"/>
        <v>0</v>
      </c>
      <c r="Z18" s="539">
        <v>0</v>
      </c>
      <c r="AA18" s="23"/>
      <c r="AB18" s="23"/>
      <c r="AC18" s="510" t="str">
        <f t="shared" si="5"/>
        <v/>
      </c>
      <c r="AD18" s="7" t="str">
        <f t="shared" si="6"/>
        <v/>
      </c>
      <c r="AE18" s="485"/>
      <c r="AF18" s="72"/>
      <c r="AG18" s="553">
        <v>4.9000000000000004</v>
      </c>
      <c r="AH18" s="553">
        <v>11.9</v>
      </c>
      <c r="AI18" s="553">
        <v>8.5</v>
      </c>
      <c r="AJ18" s="26">
        <f t="shared" si="7"/>
        <v>7</v>
      </c>
      <c r="AK18" s="6"/>
      <c r="AL18" s="485" t="s">
        <v>585</v>
      </c>
      <c r="AM18" s="54">
        <v>1013.25</v>
      </c>
      <c r="AN18" s="555" t="str">
        <f>IF(ISBLANK(G18),"",IF(G18&gt;25,"Heat","-"))</f>
        <v>-</v>
      </c>
      <c r="AO18" s="400"/>
      <c r="AP18" s="485">
        <v>9</v>
      </c>
      <c r="AQ18" s="485">
        <v>0</v>
      </c>
      <c r="AR18" s="134"/>
      <c r="AS18" s="26">
        <f>IF(ISBLANK(F18),"",(AVERAGE($F$4:F18)))</f>
        <v>12.913333333333332</v>
      </c>
      <c r="AT18" s="26">
        <f>IF(ISBLANK(G18),"",(AVERAGE($G$4:G18)))</f>
        <v>21.546666666666663</v>
      </c>
      <c r="AU18" s="25">
        <f>IF(ISBLANK(H18),"",(AVERAGE($H$4:H18)))</f>
        <v>17.353333333333335</v>
      </c>
      <c r="AV18" s="368">
        <f>IF(ISBLANK(G18),"",(AVERAGE($I$4:I18)))</f>
        <v>8.6333333333333329</v>
      </c>
      <c r="AW18" s="22">
        <f>IF(ISBLANK(M18),"",AVERAGE($M$4:M18))</f>
        <v>61.666666666666664</v>
      </c>
      <c r="AX18" s="376">
        <f>IF(ISBLANK(P18),"",(AVERAGE($R$4:R18)))</f>
        <v>1015</v>
      </c>
      <c r="AY18" s="368">
        <f>IF(ISBLANK(U18),"",(AVERAGE($U$4:U18)))</f>
        <v>4.6266666666666669</v>
      </c>
      <c r="AZ18" s="6"/>
      <c r="BA18" s="25">
        <f t="shared" si="15"/>
        <v>-1.75</v>
      </c>
      <c r="BB18" s="25">
        <f t="shared" si="16"/>
        <v>1.4600000000000009</v>
      </c>
      <c r="BC18" s="25">
        <f t="shared" si="19"/>
        <v>-0.14499999999999957</v>
      </c>
      <c r="BD18" s="367">
        <f t="shared" si="18"/>
        <v>3.2100000000000009</v>
      </c>
      <c r="BE18" s="72"/>
      <c r="BF18" s="25">
        <f>IF(ISBLANK(F18),"",AS18-AVERAGE($F$91:F105))</f>
        <v>3.8333333333333997E-2</v>
      </c>
      <c r="BG18" s="25">
        <f>IF(ISBLANK(G18),"",AT18-AVERAGE($G$91:G105))</f>
        <v>-0.64533333333333687</v>
      </c>
      <c r="BH18" s="367">
        <f t="shared" si="20"/>
        <v>-0.68366666666667086</v>
      </c>
      <c r="BI18" s="115">
        <f t="shared" si="8"/>
        <v>0.62</v>
      </c>
      <c r="BJ18" s="115">
        <f t="shared" si="9"/>
        <v>0.978801182003741</v>
      </c>
      <c r="BK18" s="402"/>
      <c r="BL18" s="572">
        <v>15</v>
      </c>
    </row>
    <row r="19" spans="1:64" ht="12.75" customHeight="1" x14ac:dyDescent="0.2">
      <c r="A19" s="278">
        <f t="shared" si="10"/>
        <v>16</v>
      </c>
      <c r="B19" s="131">
        <v>15</v>
      </c>
      <c r="C19" s="282">
        <f t="shared" si="11"/>
        <v>19</v>
      </c>
      <c r="D19" s="685"/>
      <c r="E19" s="99">
        <f t="shared" si="12"/>
        <v>16</v>
      </c>
      <c r="F19" s="23">
        <v>13.2</v>
      </c>
      <c r="G19" s="23">
        <v>19</v>
      </c>
      <c r="H19" s="553">
        <v>16</v>
      </c>
      <c r="I19" s="23">
        <f t="shared" si="0"/>
        <v>5.8000000000000007</v>
      </c>
      <c r="J19" s="6">
        <f t="shared" si="1"/>
        <v>0</v>
      </c>
      <c r="K19" s="24">
        <v>70</v>
      </c>
      <c r="L19" s="24">
        <v>93</v>
      </c>
      <c r="M19" s="554">
        <v>82</v>
      </c>
      <c r="N19" s="24">
        <f t="shared" si="2"/>
        <v>23</v>
      </c>
      <c r="O19" s="50">
        <f t="shared" si="3"/>
        <v>1</v>
      </c>
      <c r="P19" s="24">
        <v>995</v>
      </c>
      <c r="Q19" s="24">
        <v>1012</v>
      </c>
      <c r="R19" s="24">
        <f t="shared" si="13"/>
        <v>1003.5</v>
      </c>
      <c r="S19" s="24">
        <f t="shared" si="4"/>
        <v>17</v>
      </c>
      <c r="T19" s="50">
        <v>0</v>
      </c>
      <c r="U19" s="553">
        <v>6.8</v>
      </c>
      <c r="V19" s="553">
        <v>14.7</v>
      </c>
      <c r="W19" s="553">
        <v>25.3</v>
      </c>
      <c r="X19" s="485" t="s">
        <v>110</v>
      </c>
      <c r="Y19" s="72">
        <f t="shared" si="14"/>
        <v>2</v>
      </c>
      <c r="Z19" s="539">
        <v>13.7</v>
      </c>
      <c r="AA19" s="23">
        <v>4.5</v>
      </c>
      <c r="AB19" s="23">
        <v>3</v>
      </c>
      <c r="AC19" s="510">
        <f t="shared" si="5"/>
        <v>0.25996204933586337</v>
      </c>
      <c r="AD19" s="7">
        <f t="shared" si="6"/>
        <v>2.2833333333333332</v>
      </c>
      <c r="AE19" s="485">
        <v>60</v>
      </c>
      <c r="AF19" s="72"/>
      <c r="AG19" s="553">
        <v>8.9</v>
      </c>
      <c r="AH19" s="553">
        <v>16.399999999999999</v>
      </c>
      <c r="AI19" s="553">
        <v>12.9</v>
      </c>
      <c r="AJ19" s="26">
        <f t="shared" si="7"/>
        <v>7.4999999999999982</v>
      </c>
      <c r="AK19" s="6"/>
      <c r="AL19" s="485" t="s">
        <v>335</v>
      </c>
      <c r="AM19" s="54">
        <v>1013.25</v>
      </c>
      <c r="AN19" s="555" t="s">
        <v>600</v>
      </c>
      <c r="AO19" s="400"/>
      <c r="AP19" s="485">
        <v>2</v>
      </c>
      <c r="AQ19" s="485">
        <v>6</v>
      </c>
      <c r="AR19" s="134"/>
      <c r="AS19" s="26">
        <f>IF(ISBLANK(F19),"",(AVERAGE($F$4:F19)))</f>
        <v>12.931249999999999</v>
      </c>
      <c r="AT19" s="26">
        <f>IF(ISBLANK(G19),"",(AVERAGE($G$4:G19)))</f>
        <v>21.387499999999996</v>
      </c>
      <c r="AU19" s="25">
        <f>IF(ISBLANK(H19),"",(AVERAGE($H$4:H19)))</f>
        <v>17.268750000000001</v>
      </c>
      <c r="AV19" s="368">
        <f>IF(ISBLANK(G19),"",(AVERAGE($I$4:I19)))</f>
        <v>8.4562500000000007</v>
      </c>
      <c r="AW19" s="22">
        <f>IF(ISBLANK(M19),"",AVERAGE($M$4:M19))</f>
        <v>62.9375</v>
      </c>
      <c r="AX19" s="376">
        <f>IF(ISBLANK(P19),"",(AVERAGE($R$4:R19)))</f>
        <v>1014.28125</v>
      </c>
      <c r="AY19" s="368">
        <f>IF(ISBLANK(U19),"",(AVERAGE($U$4:U19)))</f>
        <v>4.7625000000000002</v>
      </c>
      <c r="AZ19" s="6"/>
      <c r="BA19" s="25">
        <f t="shared" si="15"/>
        <v>-0.40000000000000036</v>
      </c>
      <c r="BB19" s="25">
        <f t="shared" si="16"/>
        <v>-3.5700000000000003</v>
      </c>
      <c r="BC19" s="25">
        <f t="shared" si="19"/>
        <v>-1.9850000000000003</v>
      </c>
      <c r="BD19" s="367">
        <f t="shared" si="18"/>
        <v>-3.17</v>
      </c>
      <c r="BE19" s="72"/>
      <c r="BF19" s="25">
        <f>IF(ISBLANK(F19),"",AS19-AVERAGE($F$91:F106))</f>
        <v>1.0937500000000711E-2</v>
      </c>
      <c r="BG19" s="25">
        <f>IF(ISBLANK(G19),"",AT19-AVERAGE($G$91:G106))</f>
        <v>-0.82812500000000355</v>
      </c>
      <c r="BH19" s="367">
        <f t="shared" si="20"/>
        <v>-0.83906250000000426</v>
      </c>
      <c r="BI19" s="115">
        <f t="shared" si="8"/>
        <v>1.1460106382978723</v>
      </c>
      <c r="BJ19" s="115">
        <f t="shared" si="9"/>
        <v>0.93906324723266654</v>
      </c>
      <c r="BK19" s="402"/>
      <c r="BL19" s="572">
        <v>16</v>
      </c>
    </row>
    <row r="20" spans="1:64" ht="12.75" customHeight="1" x14ac:dyDescent="0.2">
      <c r="A20" s="278">
        <f t="shared" si="10"/>
        <v>17</v>
      </c>
      <c r="B20" s="131">
        <f t="shared" si="11"/>
        <v>12.8</v>
      </c>
      <c r="C20" s="282">
        <f t="shared" si="11"/>
        <v>18.899999999999999</v>
      </c>
      <c r="D20" s="685"/>
      <c r="E20" s="99">
        <f t="shared" si="12"/>
        <v>17</v>
      </c>
      <c r="F20" s="23">
        <v>12.8</v>
      </c>
      <c r="G20" s="23">
        <v>18.899999999999999</v>
      </c>
      <c r="H20" s="553">
        <v>15.6</v>
      </c>
      <c r="I20" s="23">
        <f t="shared" si="0"/>
        <v>6.0999999999999979</v>
      </c>
      <c r="J20" s="6">
        <f t="shared" si="1"/>
        <v>0</v>
      </c>
      <c r="K20" s="24">
        <v>64</v>
      </c>
      <c r="L20" s="24">
        <v>85</v>
      </c>
      <c r="M20" s="554">
        <v>77</v>
      </c>
      <c r="N20" s="24">
        <f t="shared" si="2"/>
        <v>21</v>
      </c>
      <c r="O20" s="50">
        <f t="shared" si="3"/>
        <v>0</v>
      </c>
      <c r="P20" s="24">
        <v>993</v>
      </c>
      <c r="Q20" s="24">
        <v>996</v>
      </c>
      <c r="R20" s="24">
        <f t="shared" si="13"/>
        <v>994.5</v>
      </c>
      <c r="S20" s="24">
        <f t="shared" si="4"/>
        <v>3</v>
      </c>
      <c r="T20" s="50">
        <v>0</v>
      </c>
      <c r="U20" s="553">
        <v>7.1</v>
      </c>
      <c r="V20" s="553">
        <v>15.9</v>
      </c>
      <c r="W20" s="553">
        <v>22.8</v>
      </c>
      <c r="X20" s="485" t="s">
        <v>110</v>
      </c>
      <c r="Y20" s="72">
        <f t="shared" si="14"/>
        <v>2</v>
      </c>
      <c r="Z20" s="539">
        <v>3.3</v>
      </c>
      <c r="AA20" s="23">
        <v>1.6</v>
      </c>
      <c r="AB20" s="23">
        <v>1.1000000000000001</v>
      </c>
      <c r="AC20" s="510">
        <f t="shared" si="5"/>
        <v>6.2618595825426948E-2</v>
      </c>
      <c r="AD20" s="7">
        <f t="shared" si="6"/>
        <v>2.1999999999999997</v>
      </c>
      <c r="AE20" s="485">
        <v>50</v>
      </c>
      <c r="AF20" s="72"/>
      <c r="AG20" s="553">
        <v>8.9</v>
      </c>
      <c r="AH20" s="553">
        <v>14.6</v>
      </c>
      <c r="AI20" s="553">
        <v>11.4</v>
      </c>
      <c r="AJ20" s="26">
        <f t="shared" si="7"/>
        <v>5.6999999999999993</v>
      </c>
      <c r="AK20" s="6"/>
      <c r="AL20" s="485" t="s">
        <v>395</v>
      </c>
      <c r="AM20" s="54">
        <v>1013.25</v>
      </c>
      <c r="AN20" s="555" t="s">
        <v>601</v>
      </c>
      <c r="AO20" s="400"/>
      <c r="AP20" s="485">
        <v>2</v>
      </c>
      <c r="AQ20" s="485">
        <v>1.5</v>
      </c>
      <c r="AR20" s="134"/>
      <c r="AS20" s="26">
        <f>IF(ISBLANK(F20),"",(AVERAGE($F$4:F20)))</f>
        <v>12.923529411764704</v>
      </c>
      <c r="AT20" s="26">
        <f>IF(ISBLANK(G20),"",(AVERAGE($G$4:G20)))</f>
        <v>21.241176470588229</v>
      </c>
      <c r="AU20" s="25">
        <f>IF(ISBLANK(H20),"",(AVERAGE($H$4:H20)))</f>
        <v>17.170588235294119</v>
      </c>
      <c r="AV20" s="368">
        <f>IF(ISBLANK(G20),"",(AVERAGE($I$4:I20)))</f>
        <v>8.3176470588235301</v>
      </c>
      <c r="AW20" s="22">
        <f>IF(ISBLANK(M20),"",AVERAGE($M$4:M20))</f>
        <v>63.764705882352942</v>
      </c>
      <c r="AX20" s="376">
        <f>IF(ISBLANK(P20),"",(AVERAGE($R$4:R20)))</f>
        <v>1013.1176470588235</v>
      </c>
      <c r="AY20" s="368">
        <f>IF(ISBLANK(U20),"",(AVERAGE($U$4:U20)))</f>
        <v>4.8999999999999995</v>
      </c>
      <c r="AZ20" s="6"/>
      <c r="BA20" s="25">
        <f t="shared" si="15"/>
        <v>-0.84999999999999964</v>
      </c>
      <c r="BB20" s="25">
        <f t="shared" si="16"/>
        <v>-3.6900000000000013</v>
      </c>
      <c r="BC20" s="25">
        <f t="shared" si="19"/>
        <v>-2.2700000000000005</v>
      </c>
      <c r="BD20" s="367">
        <f t="shared" si="18"/>
        <v>-2.8400000000000016</v>
      </c>
      <c r="BE20" s="72"/>
      <c r="BF20" s="25">
        <f>IF(ISBLANK(F20),"",AS20-AVERAGE($F$91:F107))</f>
        <v>-3.9705882352940591E-2</v>
      </c>
      <c r="BG20" s="25">
        <f>IF(ISBLANK(G20),"",AT20-AVERAGE($G$91:G107))</f>
        <v>-0.99647058823529733</v>
      </c>
      <c r="BH20" s="367">
        <f t="shared" si="20"/>
        <v>-0.95676470588235674</v>
      </c>
      <c r="BI20" s="115">
        <f t="shared" si="8"/>
        <v>1.2066332916145182</v>
      </c>
      <c r="BJ20" s="115">
        <f t="shared" si="9"/>
        <v>0.90406223772624328</v>
      </c>
      <c r="BK20" s="402"/>
      <c r="BL20" s="572">
        <v>17</v>
      </c>
    </row>
    <row r="21" spans="1:64" ht="12.75" customHeight="1" x14ac:dyDescent="0.2">
      <c r="A21" s="278">
        <f t="shared" si="10"/>
        <v>18</v>
      </c>
      <c r="B21" s="131">
        <v>13.9</v>
      </c>
      <c r="C21" s="282">
        <f t="shared" si="11"/>
        <v>18.399999999999999</v>
      </c>
      <c r="D21" s="685"/>
      <c r="E21" s="99">
        <f t="shared" si="12"/>
        <v>18</v>
      </c>
      <c r="F21" s="23">
        <v>13.2</v>
      </c>
      <c r="G21" s="23">
        <v>18.399999999999999</v>
      </c>
      <c r="H21" s="553">
        <v>15.1</v>
      </c>
      <c r="I21" s="23">
        <f t="shared" si="0"/>
        <v>5.1999999999999993</v>
      </c>
      <c r="J21" s="6">
        <f t="shared" si="1"/>
        <v>0</v>
      </c>
      <c r="K21" s="24">
        <v>65</v>
      </c>
      <c r="L21" s="24">
        <v>91</v>
      </c>
      <c r="M21" s="554">
        <v>79</v>
      </c>
      <c r="N21" s="24">
        <f t="shared" si="2"/>
        <v>26</v>
      </c>
      <c r="O21" s="50">
        <f t="shared" si="3"/>
        <v>1</v>
      </c>
      <c r="P21" s="24">
        <v>995</v>
      </c>
      <c r="Q21" s="24">
        <v>1000</v>
      </c>
      <c r="R21" s="24">
        <f t="shared" si="13"/>
        <v>997.5</v>
      </c>
      <c r="S21" s="24">
        <f t="shared" si="4"/>
        <v>5</v>
      </c>
      <c r="T21" s="50">
        <v>0</v>
      </c>
      <c r="U21" s="553">
        <v>7.2</v>
      </c>
      <c r="V21" s="553">
        <v>16.600000000000001</v>
      </c>
      <c r="W21" s="553">
        <v>21.9</v>
      </c>
      <c r="X21" s="485" t="s">
        <v>110</v>
      </c>
      <c r="Y21" s="72">
        <f t="shared" si="14"/>
        <v>2</v>
      </c>
      <c r="Z21" s="539">
        <v>7.1</v>
      </c>
      <c r="AA21" s="23">
        <v>4.5999999999999996</v>
      </c>
      <c r="AB21" s="23">
        <v>2.5</v>
      </c>
      <c r="AC21" s="510">
        <f t="shared" si="5"/>
        <v>0.1347248576850095</v>
      </c>
      <c r="AD21" s="7">
        <f t="shared" si="6"/>
        <v>2.3666666666666667</v>
      </c>
      <c r="AE21" s="485">
        <v>40</v>
      </c>
      <c r="AF21" s="72"/>
      <c r="AG21" s="553">
        <v>10.4</v>
      </c>
      <c r="AH21" s="553">
        <v>12.5</v>
      </c>
      <c r="AI21" s="553">
        <v>11.5</v>
      </c>
      <c r="AJ21" s="26">
        <f t="shared" si="7"/>
        <v>2.0999999999999996</v>
      </c>
      <c r="AK21" s="6"/>
      <c r="AL21" s="485" t="s">
        <v>602</v>
      </c>
      <c r="AM21" s="54">
        <v>1013.25</v>
      </c>
      <c r="AN21" s="555" t="s">
        <v>603</v>
      </c>
      <c r="AO21" s="400"/>
      <c r="AP21" s="485">
        <v>0.8</v>
      </c>
      <c r="AQ21" s="485">
        <v>3</v>
      </c>
      <c r="AR21" s="134"/>
      <c r="AS21" s="26">
        <f>IF(ISBLANK(F21),"",(AVERAGE($F$4:F21)))</f>
        <v>12.938888888888888</v>
      </c>
      <c r="AT21" s="26">
        <f>IF(ISBLANK(G21),"",(AVERAGE($G$4:G21)))</f>
        <v>21.083333333333329</v>
      </c>
      <c r="AU21" s="25">
        <f>IF(ISBLANK(H21),"",(AVERAGE($H$4:H21)))</f>
        <v>17.055555555555557</v>
      </c>
      <c r="AV21" s="368">
        <f>IF(ISBLANK(G21),"",(AVERAGE($I$4:I21)))</f>
        <v>8.1444444444444439</v>
      </c>
      <c r="AW21" s="22">
        <f>IF(ISBLANK(M21),"",AVERAGE($M$4:M21))</f>
        <v>64.611111111111114</v>
      </c>
      <c r="AX21" s="376">
        <f>IF(ISBLANK(P21),"",(AVERAGE($R$4:R21)))</f>
        <v>1012.25</v>
      </c>
      <c r="AY21" s="368">
        <f>IF(ISBLANK(U21),"",(AVERAGE($U$4:U21)))</f>
        <v>5.0277777777777777</v>
      </c>
      <c r="AZ21" s="6"/>
      <c r="BA21" s="25">
        <f t="shared" si="15"/>
        <v>-0.5</v>
      </c>
      <c r="BB21" s="25">
        <f t="shared" si="16"/>
        <v>-4.2300000000000004</v>
      </c>
      <c r="BC21" s="25">
        <f t="shared" si="19"/>
        <v>-2.3650000000000002</v>
      </c>
      <c r="BD21" s="367">
        <f t="shared" si="18"/>
        <v>-3.7300000000000004</v>
      </c>
      <c r="BE21" s="72"/>
      <c r="BF21" s="25">
        <f>IF(ISBLANK(F21),"",AS21-AVERAGE($F$91:F108))</f>
        <v>-6.5277777777776436E-2</v>
      </c>
      <c r="BG21" s="25">
        <f>IF(ISBLANK(G21),"",AT21-AVERAGE($G$91:G108))</f>
        <v>-1.176111111111112</v>
      </c>
      <c r="BH21" s="367">
        <f t="shared" ref="BH21:BH29" si="21">IF(ISBLANK(G21),"",BG21-BF21)</f>
        <v>-1.1108333333333356</v>
      </c>
      <c r="BI21" s="115">
        <f t="shared" si="8"/>
        <v>1.3997635933806145</v>
      </c>
      <c r="BJ21" s="115">
        <f t="shared" si="9"/>
        <v>0.86200570337041682</v>
      </c>
      <c r="BK21" s="402"/>
      <c r="BL21" s="572">
        <v>18</v>
      </c>
    </row>
    <row r="22" spans="1:64" ht="12.75" customHeight="1" x14ac:dyDescent="0.2">
      <c r="A22" s="278">
        <f t="shared" si="10"/>
        <v>19</v>
      </c>
      <c r="B22" s="131">
        <f t="shared" si="11"/>
        <v>11.9</v>
      </c>
      <c r="C22" s="282">
        <f t="shared" si="11"/>
        <v>19.899999999999999</v>
      </c>
      <c r="D22" s="685"/>
      <c r="E22" s="99">
        <f t="shared" si="12"/>
        <v>19</v>
      </c>
      <c r="F22" s="23">
        <v>11.9</v>
      </c>
      <c r="G22" s="23">
        <v>19.899999999999999</v>
      </c>
      <c r="H22" s="553">
        <v>15.3</v>
      </c>
      <c r="I22" s="23">
        <f t="shared" si="0"/>
        <v>7.9999999999999982</v>
      </c>
      <c r="J22" s="6">
        <f t="shared" si="1"/>
        <v>0</v>
      </c>
      <c r="K22" s="24">
        <v>62</v>
      </c>
      <c r="L22" s="24">
        <v>94</v>
      </c>
      <c r="M22" s="554">
        <v>84</v>
      </c>
      <c r="N22" s="24">
        <f t="shared" si="2"/>
        <v>32</v>
      </c>
      <c r="O22" s="50">
        <f t="shared" si="3"/>
        <v>0</v>
      </c>
      <c r="P22" s="24">
        <v>1000</v>
      </c>
      <c r="Q22" s="24">
        <v>1008</v>
      </c>
      <c r="R22" s="24">
        <f t="shared" si="13"/>
        <v>1004</v>
      </c>
      <c r="S22" s="24">
        <f t="shared" si="4"/>
        <v>8</v>
      </c>
      <c r="T22" s="50">
        <v>0</v>
      </c>
      <c r="U22" s="553">
        <v>3.3</v>
      </c>
      <c r="V22" s="553">
        <v>8.5</v>
      </c>
      <c r="W22" s="553">
        <v>12.5</v>
      </c>
      <c r="X22" s="485" t="s">
        <v>114</v>
      </c>
      <c r="Y22" s="72">
        <f t="shared" si="14"/>
        <v>2</v>
      </c>
      <c r="Z22" s="539">
        <v>3</v>
      </c>
      <c r="AA22" s="23">
        <v>1.4</v>
      </c>
      <c r="AB22" s="23">
        <v>1.1000000000000001</v>
      </c>
      <c r="AC22" s="510">
        <f t="shared" si="5"/>
        <v>5.692599620493359E-2</v>
      </c>
      <c r="AD22" s="7">
        <f t="shared" si="6"/>
        <v>1.5</v>
      </c>
      <c r="AE22" s="485">
        <v>20</v>
      </c>
      <c r="AF22" s="72"/>
      <c r="AG22" s="553">
        <v>10.8</v>
      </c>
      <c r="AH22" s="553">
        <v>14.9</v>
      </c>
      <c r="AI22" s="553">
        <v>12.6</v>
      </c>
      <c r="AJ22" s="26">
        <f t="shared" si="7"/>
        <v>4.0999999999999996</v>
      </c>
      <c r="AK22" s="6"/>
      <c r="AL22" s="485" t="s">
        <v>594</v>
      </c>
      <c r="AM22" s="54">
        <v>1013.25</v>
      </c>
      <c r="AN22" s="555" t="s">
        <v>604</v>
      </c>
      <c r="AO22" s="400"/>
      <c r="AP22" s="485">
        <v>3</v>
      </c>
      <c r="AQ22" s="485">
        <v>2</v>
      </c>
      <c r="AR22" s="134"/>
      <c r="AS22" s="26">
        <f>IF(ISBLANK(F22),"",(AVERAGE($F$4:F22)))</f>
        <v>12.884210526315789</v>
      </c>
      <c r="AT22" s="26">
        <f>IF(ISBLANK(G22),"",(AVERAGE($G$4:G22)))</f>
        <v>21.021052631578939</v>
      </c>
      <c r="AU22" s="25">
        <f>IF(ISBLANK(H22),"",(AVERAGE($H$4:H22)))</f>
        <v>16.963157894736845</v>
      </c>
      <c r="AV22" s="368">
        <f>IF(ISBLANK(G22),"",(AVERAGE($I$4:I22)))</f>
        <v>8.1368421052631579</v>
      </c>
      <c r="AW22" s="22">
        <f>IF(ISBLANK(M22),"",AVERAGE($M$4:M22))</f>
        <v>65.631578947368425</v>
      </c>
      <c r="AX22" s="376">
        <f>IF(ISBLANK(P22),"",(AVERAGE($R$4:R22)))</f>
        <v>1011.8157894736842</v>
      </c>
      <c r="AY22" s="368">
        <f>IF(ISBLANK(U22),"",(AVERAGE($U$4:U22)))</f>
        <v>4.9368421052631577</v>
      </c>
      <c r="AZ22" s="6"/>
      <c r="BA22" s="25">
        <f t="shared" si="15"/>
        <v>-1.8499999999999996</v>
      </c>
      <c r="BB22" s="25">
        <f t="shared" si="16"/>
        <v>-2.75</v>
      </c>
      <c r="BC22" s="25">
        <f t="shared" si="19"/>
        <v>-2.2999999999999998</v>
      </c>
      <c r="BD22" s="367">
        <f t="shared" si="18"/>
        <v>-0.90000000000000036</v>
      </c>
      <c r="BE22" s="72"/>
      <c r="BF22" s="25">
        <f>IF(ISBLANK(F22),"",AS22-AVERAGE($F$91:F109))</f>
        <v>-0.15921052631578902</v>
      </c>
      <c r="BG22" s="25">
        <f>IF(ISBLANK(G22),"",AT22-AVERAGE($G$91:G109))</f>
        <v>-1.2589473684210581</v>
      </c>
      <c r="BH22" s="367">
        <f t="shared" si="21"/>
        <v>-1.0997368421052691</v>
      </c>
      <c r="BI22" s="115">
        <f t="shared" si="8"/>
        <v>1.4302351623740202</v>
      </c>
      <c r="BJ22" s="115">
        <f t="shared" si="9"/>
        <v>0.84354513724229341</v>
      </c>
      <c r="BK22" s="402"/>
      <c r="BL22" s="572">
        <v>19</v>
      </c>
    </row>
    <row r="23" spans="1:64" ht="12.75" customHeight="1" x14ac:dyDescent="0.2">
      <c r="A23" s="278">
        <f t="shared" si="10"/>
        <v>20</v>
      </c>
      <c r="B23" s="131">
        <f t="shared" si="11"/>
        <v>12.6</v>
      </c>
      <c r="C23" s="282">
        <f t="shared" si="11"/>
        <v>19.100000000000001</v>
      </c>
      <c r="D23" s="685"/>
      <c r="E23" s="99">
        <f t="shared" si="12"/>
        <v>20</v>
      </c>
      <c r="F23" s="23">
        <v>12.6</v>
      </c>
      <c r="G23" s="23">
        <v>19.100000000000001</v>
      </c>
      <c r="H23" s="553">
        <v>15.3</v>
      </c>
      <c r="I23" s="23">
        <v>6.5</v>
      </c>
      <c r="J23" s="6">
        <v>0</v>
      </c>
      <c r="K23" s="24">
        <v>54</v>
      </c>
      <c r="L23" s="24">
        <v>91</v>
      </c>
      <c r="M23" s="554">
        <v>78</v>
      </c>
      <c r="N23" s="24">
        <v>37</v>
      </c>
      <c r="O23" s="50">
        <v>0</v>
      </c>
      <c r="P23" s="24">
        <v>1008</v>
      </c>
      <c r="Q23" s="24">
        <v>1010</v>
      </c>
      <c r="R23" s="24">
        <v>1009</v>
      </c>
      <c r="S23" s="24">
        <v>2</v>
      </c>
      <c r="T23" s="50">
        <v>0</v>
      </c>
      <c r="U23" s="553">
        <v>2.4</v>
      </c>
      <c r="V23" s="553">
        <v>8.6999999999999993</v>
      </c>
      <c r="W23" s="553">
        <v>10.7</v>
      </c>
      <c r="X23" s="555" t="s">
        <v>114</v>
      </c>
      <c r="Y23" s="72">
        <v>2</v>
      </c>
      <c r="Z23" s="539">
        <v>5.5</v>
      </c>
      <c r="AA23" s="23">
        <v>4.5999999999999996</v>
      </c>
      <c r="AB23" s="23">
        <v>3</v>
      </c>
      <c r="AC23" s="510">
        <v>0.10436432637571158</v>
      </c>
      <c r="AD23" s="7">
        <v>1.375</v>
      </c>
      <c r="AE23" s="485">
        <v>20</v>
      </c>
      <c r="AF23" s="72"/>
      <c r="AG23" s="553">
        <v>9.1999999999999993</v>
      </c>
      <c r="AH23" s="553">
        <v>12.3</v>
      </c>
      <c r="AI23" s="553">
        <v>11.3</v>
      </c>
      <c r="AJ23" s="26">
        <v>3.1</v>
      </c>
      <c r="AK23" s="6"/>
      <c r="AL23" s="485" t="s">
        <v>266</v>
      </c>
      <c r="AM23" s="54">
        <v>1013.25</v>
      </c>
      <c r="AN23" s="555" t="s">
        <v>607</v>
      </c>
      <c r="AO23" s="400"/>
      <c r="AP23" s="485">
        <v>0.5</v>
      </c>
      <c r="AQ23" s="485">
        <v>4</v>
      </c>
      <c r="AR23" s="134"/>
      <c r="AS23" s="26">
        <f>IF(ISBLANK(F23),"",(AVERAGE($F$4:F23)))</f>
        <v>12.87</v>
      </c>
      <c r="AT23" s="26">
        <f>IF(ISBLANK(G23),"",(AVERAGE($G$4:G23)))</f>
        <v>20.924999999999994</v>
      </c>
      <c r="AU23" s="25">
        <f>IF(ISBLANK(H23),"",(AVERAGE($H$4:H23)))</f>
        <v>16.880000000000003</v>
      </c>
      <c r="AV23" s="368">
        <f>IF(ISBLANK(G23),"",(AVERAGE($I$4:I23)))</f>
        <v>8.0549999999999997</v>
      </c>
      <c r="AW23" s="22">
        <f>IF(ISBLANK(M23),"",AVERAGE($M$4:M23))</f>
        <v>66.25</v>
      </c>
      <c r="AX23" s="376">
        <f>IF(ISBLANK(P23),"",(AVERAGE($R$4:R23)))</f>
        <v>1011.675</v>
      </c>
      <c r="AY23" s="368">
        <f>IF(ISBLANK(U23),"",(AVERAGE($U$4:U23)))</f>
        <v>4.8100000000000005</v>
      </c>
      <c r="AZ23" s="6"/>
      <c r="BA23" s="25">
        <f t="shared" si="15"/>
        <v>-1.2000000000000011</v>
      </c>
      <c r="BB23" s="25">
        <f t="shared" si="16"/>
        <v>-3.5599999999999987</v>
      </c>
      <c r="BC23" s="25">
        <f t="shared" si="19"/>
        <v>-2.38</v>
      </c>
      <c r="BD23" s="367">
        <f t="shared" si="18"/>
        <v>-2.3599999999999977</v>
      </c>
      <c r="BE23" s="72"/>
      <c r="BF23" s="25">
        <f>IF(ISBLANK(F23),"",AS23-AVERAGE($F$91:F110))</f>
        <v>-0.21124999999999794</v>
      </c>
      <c r="BG23" s="25">
        <f>IF(ISBLANK(G23),"",AT23-AVERAGE($G$91:G110))</f>
        <v>-1.3740000000000059</v>
      </c>
      <c r="BH23" s="367">
        <f t="shared" si="21"/>
        <v>-1.1627500000000079</v>
      </c>
      <c r="BI23" s="115">
        <f t="shared" si="8"/>
        <v>1.5401063829787234</v>
      </c>
      <c r="BJ23" s="115">
        <f t="shared" si="9"/>
        <v>0.8063285002884194</v>
      </c>
      <c r="BK23" s="88"/>
      <c r="BL23" s="572">
        <v>20</v>
      </c>
    </row>
    <row r="24" spans="1:64" ht="12.75" customHeight="1" x14ac:dyDescent="0.2">
      <c r="A24" s="278">
        <f t="shared" si="10"/>
        <v>21</v>
      </c>
      <c r="B24" s="131">
        <f t="shared" si="11"/>
        <v>13.1</v>
      </c>
      <c r="C24" s="282">
        <f t="shared" si="11"/>
        <v>19.3</v>
      </c>
      <c r="D24" s="685"/>
      <c r="E24" s="99">
        <f t="shared" si="12"/>
        <v>21</v>
      </c>
      <c r="F24" s="23">
        <v>13.1</v>
      </c>
      <c r="G24" s="23">
        <v>19.3</v>
      </c>
      <c r="H24" s="553">
        <v>14.9</v>
      </c>
      <c r="I24" s="23">
        <v>6.2</v>
      </c>
      <c r="J24" s="6">
        <v>0</v>
      </c>
      <c r="K24" s="24">
        <v>67</v>
      </c>
      <c r="L24" s="24">
        <v>94</v>
      </c>
      <c r="M24" s="554">
        <v>88</v>
      </c>
      <c r="N24" s="24">
        <v>27</v>
      </c>
      <c r="O24" s="50">
        <v>0</v>
      </c>
      <c r="P24" s="24">
        <v>1010</v>
      </c>
      <c r="Q24" s="24">
        <v>1016</v>
      </c>
      <c r="R24" s="24">
        <v>1013</v>
      </c>
      <c r="S24" s="24">
        <v>6</v>
      </c>
      <c r="T24" s="50">
        <v>0</v>
      </c>
      <c r="U24" s="553">
        <v>2.4</v>
      </c>
      <c r="V24" s="553">
        <v>7.8</v>
      </c>
      <c r="W24" s="553">
        <v>11.2</v>
      </c>
      <c r="X24" s="555" t="s">
        <v>105</v>
      </c>
      <c r="Y24" s="72">
        <v>2</v>
      </c>
      <c r="Z24" s="539">
        <v>3.8</v>
      </c>
      <c r="AA24" s="23">
        <v>3.6</v>
      </c>
      <c r="AB24" s="23">
        <v>1.6</v>
      </c>
      <c r="AC24" s="510">
        <v>7.2106261859582549E-2</v>
      </c>
      <c r="AD24" s="7">
        <v>1.2666666666666666</v>
      </c>
      <c r="AE24" s="485">
        <v>30</v>
      </c>
      <c r="AF24" s="72"/>
      <c r="AG24" s="553">
        <v>11</v>
      </c>
      <c r="AH24" s="553">
        <v>14.7</v>
      </c>
      <c r="AI24" s="553">
        <v>12.8</v>
      </c>
      <c r="AJ24" s="26">
        <v>3.7</v>
      </c>
      <c r="AK24" s="6"/>
      <c r="AL24" s="485" t="s">
        <v>505</v>
      </c>
      <c r="AM24" s="54">
        <v>1013.25</v>
      </c>
      <c r="AN24" s="555" t="s">
        <v>608</v>
      </c>
      <c r="AO24" s="400"/>
      <c r="AP24" s="485">
        <v>0.2</v>
      </c>
      <c r="AQ24" s="485">
        <v>3</v>
      </c>
      <c r="AR24" s="134"/>
      <c r="AS24" s="26">
        <f>IF(ISBLANK(F24),"",(AVERAGE($F$4:F24)))</f>
        <v>12.880952380952381</v>
      </c>
      <c r="AT24" s="26">
        <f>IF(ISBLANK(G24),"",(AVERAGE($G$4:G24)))</f>
        <v>20.847619047619041</v>
      </c>
      <c r="AU24" s="25">
        <f>IF(ISBLANK(H24),"",(AVERAGE($H$4:H24)))</f>
        <v>16.785714285714288</v>
      </c>
      <c r="AV24" s="368">
        <f>IF(ISBLANK(G24),"",(AVERAGE($I$4:I24)))</f>
        <v>7.9666666666666659</v>
      </c>
      <c r="AW24" s="22">
        <f>IF(ISBLANK(M24),"",AVERAGE($M$4:M24))</f>
        <v>67.285714285714292</v>
      </c>
      <c r="AX24" s="376">
        <f>IF(ISBLANK(P24),"",(AVERAGE($R$4:R24)))</f>
        <v>1011.7380952380952</v>
      </c>
      <c r="AY24" s="368">
        <f>IF(ISBLANK(U24),"",(AVERAGE($U$4:U24)))</f>
        <v>4.6952380952380954</v>
      </c>
      <c r="AZ24" s="6"/>
      <c r="BA24" s="25">
        <f t="shared" si="15"/>
        <v>-0.75</v>
      </c>
      <c r="BB24" s="25">
        <f t="shared" si="16"/>
        <v>-3.370000000000001</v>
      </c>
      <c r="BC24" s="25">
        <f t="shared" si="19"/>
        <v>-2.0600000000000005</v>
      </c>
      <c r="BD24" s="367">
        <f t="shared" si="18"/>
        <v>-2.620000000000001</v>
      </c>
      <c r="BE24" s="72"/>
      <c r="BF24" s="25">
        <f>IF(ISBLANK(F24),"",AS24-AVERAGE($F$91:F111))</f>
        <v>-0.23690476190476062</v>
      </c>
      <c r="BG24" s="25">
        <f>IF(ISBLANK(G24),"",AT24-AVERAGE($G$91:G111))</f>
        <v>-1.4690476190476254</v>
      </c>
      <c r="BH24" s="367">
        <f t="shared" si="21"/>
        <v>-1.2321428571428648</v>
      </c>
      <c r="BI24" s="115">
        <f t="shared" si="8"/>
        <v>1.5861195542046602</v>
      </c>
      <c r="BJ24" s="115">
        <f t="shared" si="9"/>
        <v>0.77032057344225058</v>
      </c>
      <c r="BK24" s="88"/>
      <c r="BL24" s="572">
        <v>21</v>
      </c>
    </row>
    <row r="25" spans="1:64" ht="12.75" customHeight="1" x14ac:dyDescent="0.2">
      <c r="A25" s="278">
        <f t="shared" si="10"/>
        <v>22</v>
      </c>
      <c r="B25" s="131">
        <f t="shared" si="11"/>
        <v>10.5</v>
      </c>
      <c r="C25" s="282">
        <f t="shared" si="11"/>
        <v>20.2</v>
      </c>
      <c r="D25" s="685"/>
      <c r="E25" s="99">
        <f t="shared" si="12"/>
        <v>22</v>
      </c>
      <c r="F25" s="23">
        <v>10.5</v>
      </c>
      <c r="G25" s="23">
        <v>20.2</v>
      </c>
      <c r="H25" s="553">
        <v>15.7</v>
      </c>
      <c r="I25" s="23">
        <v>9.6999999999999993</v>
      </c>
      <c r="J25" s="6">
        <v>0</v>
      </c>
      <c r="K25" s="24">
        <v>43</v>
      </c>
      <c r="L25" s="24">
        <v>92</v>
      </c>
      <c r="M25" s="554">
        <v>69</v>
      </c>
      <c r="N25" s="24">
        <v>49</v>
      </c>
      <c r="O25" s="50">
        <v>0</v>
      </c>
      <c r="P25" s="24">
        <v>1015</v>
      </c>
      <c r="Q25" s="24">
        <v>1017</v>
      </c>
      <c r="R25" s="24">
        <v>1016</v>
      </c>
      <c r="S25" s="24">
        <v>2</v>
      </c>
      <c r="T25" s="50">
        <v>0</v>
      </c>
      <c r="U25" s="553">
        <v>3.5</v>
      </c>
      <c r="V25" s="553">
        <v>9.1999999999999993</v>
      </c>
      <c r="W25" s="553">
        <v>12.8</v>
      </c>
      <c r="X25" s="555" t="s">
        <v>113</v>
      </c>
      <c r="Y25" s="72">
        <v>2</v>
      </c>
      <c r="Z25" s="539">
        <v>1.1000000000000001</v>
      </c>
      <c r="AA25" s="23">
        <v>1.1000000000000001</v>
      </c>
      <c r="AB25" s="23">
        <v>0.3</v>
      </c>
      <c r="AC25" s="510">
        <v>2.087286527514232E-2</v>
      </c>
      <c r="AD25" s="7">
        <v>0.73333333333333339</v>
      </c>
      <c r="AE25" s="485">
        <v>1.7</v>
      </c>
      <c r="AF25" s="72"/>
      <c r="AG25" s="553">
        <v>6.3</v>
      </c>
      <c r="AH25" s="553">
        <v>11.7</v>
      </c>
      <c r="AI25" s="553">
        <v>9.4</v>
      </c>
      <c r="AJ25" s="26">
        <v>5.4</v>
      </c>
      <c r="AK25" s="6"/>
      <c r="AL25" s="485" t="s">
        <v>609</v>
      </c>
      <c r="AM25" s="54">
        <v>1013.25</v>
      </c>
      <c r="AN25" s="555" t="s">
        <v>610</v>
      </c>
      <c r="AO25" s="400"/>
      <c r="AP25" s="485">
        <v>8</v>
      </c>
      <c r="AQ25" s="485">
        <v>1.5</v>
      </c>
      <c r="AR25" s="134"/>
      <c r="AS25" s="26">
        <f>IF(ISBLANK(F25),"",(AVERAGE($F$4:F25)))</f>
        <v>12.772727272727273</v>
      </c>
      <c r="AT25" s="26">
        <f>IF(ISBLANK(G25),"",(AVERAGE($G$4:G25)))</f>
        <v>20.818181818181813</v>
      </c>
      <c r="AU25" s="25">
        <f>IF(ISBLANK(H25),"",(AVERAGE($H$4:H25)))</f>
        <v>16.736363636363638</v>
      </c>
      <c r="AV25" s="368">
        <f>IF(ISBLANK(G25),"",(AVERAGE($I$4:I25)))</f>
        <v>8.045454545454545</v>
      </c>
      <c r="AW25" s="22">
        <f>IF(ISBLANK(M25),"",AVERAGE($M$4:M25))</f>
        <v>67.36363636363636</v>
      </c>
      <c r="AX25" s="376">
        <f>IF(ISBLANK(P25),"",(AVERAGE($R$4:R25)))</f>
        <v>1011.9318181818181</v>
      </c>
      <c r="AY25" s="368">
        <f>IF(ISBLANK(U25),"",(AVERAGE($U$4:U25)))</f>
        <v>4.6409090909090915</v>
      </c>
      <c r="AZ25" s="6"/>
      <c r="BA25" s="25">
        <f t="shared" si="15"/>
        <v>-3.4000000000000004</v>
      </c>
      <c r="BB25" s="25">
        <f t="shared" si="16"/>
        <v>-2.4700000000000024</v>
      </c>
      <c r="BC25" s="25">
        <f t="shared" si="19"/>
        <v>-2.9350000000000014</v>
      </c>
      <c r="BD25" s="367">
        <f t="shared" si="18"/>
        <v>0.92999999999999794</v>
      </c>
      <c r="BE25" s="72"/>
      <c r="BF25" s="25">
        <f>IF(ISBLANK(F25),"",AS25-AVERAGE($F$91:F112))</f>
        <v>-0.38068181818181479</v>
      </c>
      <c r="BG25" s="25">
        <f>IF(ISBLANK(G25),"",AT25-AVERAGE($G$91:G112))</f>
        <v>-1.5145454545454591</v>
      </c>
      <c r="BH25" s="367">
        <f t="shared" si="21"/>
        <v>-1.1338636363636443</v>
      </c>
      <c r="BI25" s="115">
        <f t="shared" si="8"/>
        <v>1.5470019342359767</v>
      </c>
      <c r="BJ25" s="115">
        <f t="shared" si="9"/>
        <v>0.79637726818859345</v>
      </c>
      <c r="BK25" s="88"/>
      <c r="BL25" s="572">
        <v>22</v>
      </c>
    </row>
    <row r="26" spans="1:64" ht="12.75" customHeight="1" x14ac:dyDescent="0.2">
      <c r="A26" s="278">
        <f t="shared" si="10"/>
        <v>23</v>
      </c>
      <c r="B26" s="131">
        <f t="shared" si="11"/>
        <v>10.9</v>
      </c>
      <c r="C26" s="282">
        <f t="shared" si="11"/>
        <v>18</v>
      </c>
      <c r="D26" s="685"/>
      <c r="E26" s="99">
        <f t="shared" si="12"/>
        <v>23</v>
      </c>
      <c r="F26" s="23">
        <v>10.9</v>
      </c>
      <c r="G26" s="23">
        <v>18</v>
      </c>
      <c r="H26" s="553">
        <v>14.9</v>
      </c>
      <c r="I26" s="23">
        <v>7.1</v>
      </c>
      <c r="J26" s="6">
        <v>0</v>
      </c>
      <c r="K26" s="24">
        <v>44</v>
      </c>
      <c r="L26" s="24">
        <v>89</v>
      </c>
      <c r="M26" s="554">
        <v>64</v>
      </c>
      <c r="N26" s="24">
        <v>45</v>
      </c>
      <c r="O26" s="50">
        <v>0</v>
      </c>
      <c r="P26" s="24">
        <v>1012</v>
      </c>
      <c r="Q26" s="24">
        <v>1015</v>
      </c>
      <c r="R26" s="24">
        <v>1013.5</v>
      </c>
      <c r="S26" s="24">
        <v>3</v>
      </c>
      <c r="T26" s="50">
        <v>0</v>
      </c>
      <c r="U26" s="553">
        <v>3.4</v>
      </c>
      <c r="V26" s="553">
        <v>10.7</v>
      </c>
      <c r="W26" s="553">
        <v>13.2</v>
      </c>
      <c r="X26" s="555" t="s">
        <v>128</v>
      </c>
      <c r="Y26" s="72">
        <v>2</v>
      </c>
      <c r="Z26" s="539">
        <v>1.1000000000000001</v>
      </c>
      <c r="AA26" s="23">
        <v>0.8</v>
      </c>
      <c r="AB26" s="23">
        <v>0.5</v>
      </c>
      <c r="AC26" s="510">
        <v>2.087286527514232E-2</v>
      </c>
      <c r="AD26" s="7">
        <v>2.2000000000000002</v>
      </c>
      <c r="AE26" s="485">
        <v>6</v>
      </c>
      <c r="AF26" s="72"/>
      <c r="AG26" s="553">
        <v>3.5</v>
      </c>
      <c r="AH26" s="553">
        <v>11.2</v>
      </c>
      <c r="AI26" s="553">
        <v>7.8</v>
      </c>
      <c r="AJ26" s="26">
        <v>7.7</v>
      </c>
      <c r="AK26" s="6"/>
      <c r="AL26" s="485" t="s">
        <v>611</v>
      </c>
      <c r="AM26" s="54">
        <v>1013.25</v>
      </c>
      <c r="AN26" s="555" t="s">
        <v>612</v>
      </c>
      <c r="AO26" s="400"/>
      <c r="AP26" s="485">
        <v>4</v>
      </c>
      <c r="AQ26" s="485">
        <v>0.5</v>
      </c>
      <c r="AR26" s="134"/>
      <c r="AS26" s="26">
        <f>IF(ISBLANK(F26),"",(AVERAGE($F$4:F26)))</f>
        <v>12.691304347826087</v>
      </c>
      <c r="AT26" s="26">
        <f>IF(ISBLANK(G26),"",(AVERAGE($G$4:G26)))</f>
        <v>20.695652173913039</v>
      </c>
      <c r="AU26" s="25">
        <f>IF(ISBLANK(H26),"",(AVERAGE($H$4:H26)))</f>
        <v>16.656521739130437</v>
      </c>
      <c r="AV26" s="368">
        <f>IF(ISBLANK(G26),"",(AVERAGE($I$4:I26)))</f>
        <v>8.0043478260869545</v>
      </c>
      <c r="AW26" s="22">
        <f>IF(ISBLANK(M26),"",AVERAGE($M$4:M26))</f>
        <v>67.217391304347828</v>
      </c>
      <c r="AX26" s="376">
        <f>IF(ISBLANK(P26),"",(AVERAGE($R$4:R26)))</f>
        <v>1012</v>
      </c>
      <c r="AY26" s="368">
        <f>IF(ISBLANK(U26),"",(AVERAGE($U$4:U26)))</f>
        <v>4.5869565217391308</v>
      </c>
      <c r="AZ26" s="6"/>
      <c r="BA26" s="25">
        <f t="shared" si="15"/>
        <v>-3.0499999999999989</v>
      </c>
      <c r="BB26" s="25">
        <f t="shared" si="16"/>
        <v>-4.6700000000000017</v>
      </c>
      <c r="BC26" s="25">
        <f t="shared" si="19"/>
        <v>-3.8600000000000003</v>
      </c>
      <c r="BD26" s="367">
        <f t="shared" si="18"/>
        <v>-1.6200000000000028</v>
      </c>
      <c r="BE26" s="72"/>
      <c r="BF26" s="25">
        <f>IF(ISBLANK(F26),"",AS26-AVERAGE($F$91:F113))</f>
        <v>-0.49673913043477924</v>
      </c>
      <c r="BG26" s="25">
        <f>IF(ISBLANK(G26),"",AT26-AVERAGE($G$91:G113))</f>
        <v>-1.6517391304347875</v>
      </c>
      <c r="BH26" s="367">
        <f t="shared" si="21"/>
        <v>-1.1550000000000082</v>
      </c>
      <c r="BI26" s="115">
        <f t="shared" si="8"/>
        <v>1.5112858464384828</v>
      </c>
      <c r="BJ26" s="115">
        <f t="shared" si="9"/>
        <v>0.79145638257636275</v>
      </c>
      <c r="BK26" s="88"/>
      <c r="BL26" s="572">
        <v>23</v>
      </c>
    </row>
    <row r="27" spans="1:64" ht="12.75" customHeight="1" x14ac:dyDescent="0.2">
      <c r="A27" s="278">
        <f t="shared" si="10"/>
        <v>24</v>
      </c>
      <c r="B27" s="131">
        <f t="shared" si="11"/>
        <v>10.6</v>
      </c>
      <c r="C27" s="282">
        <f t="shared" si="11"/>
        <v>23.2</v>
      </c>
      <c r="D27" s="685"/>
      <c r="E27" s="99">
        <f t="shared" si="12"/>
        <v>24</v>
      </c>
      <c r="F27" s="23">
        <v>10.6</v>
      </c>
      <c r="G27" s="23">
        <v>23.2</v>
      </c>
      <c r="H27" s="553">
        <v>16.899999999999999</v>
      </c>
      <c r="I27" s="23">
        <v>12.6</v>
      </c>
      <c r="J27" s="6">
        <v>0</v>
      </c>
      <c r="K27" s="24">
        <v>33</v>
      </c>
      <c r="L27" s="24">
        <v>81</v>
      </c>
      <c r="M27" s="555">
        <v>54</v>
      </c>
      <c r="N27" s="24">
        <v>48</v>
      </c>
      <c r="O27" s="50">
        <v>0</v>
      </c>
      <c r="P27" s="24">
        <v>1008</v>
      </c>
      <c r="Q27" s="24">
        <v>1012</v>
      </c>
      <c r="R27" s="24">
        <v>1010</v>
      </c>
      <c r="S27" s="24">
        <v>4</v>
      </c>
      <c r="T27" s="50">
        <v>0</v>
      </c>
      <c r="U27" s="553">
        <v>4.0999999999999996</v>
      </c>
      <c r="V27" s="553">
        <v>11.4</v>
      </c>
      <c r="W27" s="553">
        <v>14.7</v>
      </c>
      <c r="X27" s="555" t="s">
        <v>128</v>
      </c>
      <c r="Y27" s="72">
        <v>0</v>
      </c>
      <c r="Z27" s="539">
        <v>0</v>
      </c>
      <c r="AA27" s="23"/>
      <c r="AB27" s="23"/>
      <c r="AC27" s="510" t="s">
        <v>619</v>
      </c>
      <c r="AD27" s="7" t="s">
        <v>619</v>
      </c>
      <c r="AE27" s="485"/>
      <c r="AF27" s="72"/>
      <c r="AG27" s="553">
        <v>3.4</v>
      </c>
      <c r="AH27" s="553">
        <v>10</v>
      </c>
      <c r="AI27" s="553">
        <v>6.8</v>
      </c>
      <c r="AJ27" s="26">
        <v>6.6</v>
      </c>
      <c r="AK27" s="6"/>
      <c r="AL27" s="485" t="s">
        <v>613</v>
      </c>
      <c r="AM27" s="54">
        <v>1013.25</v>
      </c>
      <c r="AN27" s="555" t="s">
        <v>8</v>
      </c>
      <c r="AO27" s="400"/>
      <c r="AP27" s="485">
        <v>13</v>
      </c>
      <c r="AQ27" s="485">
        <v>0</v>
      </c>
      <c r="AR27" s="134"/>
      <c r="AS27" s="26">
        <f>IF(ISBLANK(F27),"",(AVERAGE($F$4:F27)))</f>
        <v>12.604166666666666</v>
      </c>
      <c r="AT27" s="26">
        <f>IF(ISBLANK(G27),"",(AVERAGE($G$4:G27)))</f>
        <v>20.799999999999994</v>
      </c>
      <c r="AU27" s="25">
        <f>IF(ISBLANK(H27),"",(AVERAGE($H$4:H27)))</f>
        <v>16.666666666666668</v>
      </c>
      <c r="AV27" s="368">
        <f>IF(ISBLANK(G27),"",(AVERAGE($I$4:I27)))</f>
        <v>8.1958333333333311</v>
      </c>
      <c r="AW27" s="22">
        <f>IF(ISBLANK(M27),"",AVERAGE($M$4:M27))</f>
        <v>66.666666666666671</v>
      </c>
      <c r="AX27" s="376">
        <f>IF(ISBLANK(P27),"",(AVERAGE($R$4:R27)))</f>
        <v>1011.9166666666666</v>
      </c>
      <c r="AY27" s="368">
        <f>IF(ISBLANK(U27),"",(AVERAGE($U$4:U27)))</f>
        <v>4.5666666666666673</v>
      </c>
      <c r="AZ27" s="6"/>
      <c r="BA27" s="25">
        <f t="shared" si="15"/>
        <v>-3.3499999999999996</v>
      </c>
      <c r="BB27" s="25">
        <f t="shared" si="16"/>
        <v>0.52999999999999758</v>
      </c>
      <c r="BC27" s="25">
        <f t="shared" si="19"/>
        <v>-1.410000000000001</v>
      </c>
      <c r="BD27" s="367">
        <f t="shared" si="18"/>
        <v>3.8799999999999972</v>
      </c>
      <c r="BE27" s="72"/>
      <c r="BF27" s="25">
        <f>IF(ISBLANK(F27),"",AS27-AVERAGE($F$91:F114))</f>
        <v>-0.61562499999999787</v>
      </c>
      <c r="BG27" s="25">
        <f>IF(ISBLANK(G27),"",AT27-AVERAGE($G$91:G114))</f>
        <v>-1.5608333333333384</v>
      </c>
      <c r="BH27" s="367">
        <f t="shared" si="21"/>
        <v>-0.94520833333334053</v>
      </c>
      <c r="BI27" s="115">
        <f t="shared" si="8"/>
        <v>1.4483156028368791</v>
      </c>
      <c r="BJ27" s="115">
        <f t="shared" si="9"/>
        <v>0.849325820461869</v>
      </c>
      <c r="BK27" s="88"/>
      <c r="BL27" s="572">
        <v>24</v>
      </c>
    </row>
    <row r="28" spans="1:64" ht="12.75" customHeight="1" x14ac:dyDescent="0.2">
      <c r="A28" s="278">
        <f t="shared" si="10"/>
        <v>25</v>
      </c>
      <c r="B28" s="131">
        <f t="shared" si="11"/>
        <v>10.4</v>
      </c>
      <c r="C28" s="282">
        <f t="shared" si="11"/>
        <v>23</v>
      </c>
      <c r="D28" s="685"/>
      <c r="E28" s="99">
        <f t="shared" si="12"/>
        <v>25</v>
      </c>
      <c r="F28" s="23">
        <v>10.4</v>
      </c>
      <c r="G28" s="23">
        <v>23</v>
      </c>
      <c r="H28" s="553">
        <v>17.100000000000001</v>
      </c>
      <c r="I28" s="23">
        <v>12.6</v>
      </c>
      <c r="J28" s="6">
        <v>0</v>
      </c>
      <c r="K28" s="24">
        <v>40</v>
      </c>
      <c r="L28" s="24">
        <v>70</v>
      </c>
      <c r="M28" s="555">
        <v>54</v>
      </c>
      <c r="N28" s="24">
        <v>30</v>
      </c>
      <c r="O28" s="50">
        <v>0</v>
      </c>
      <c r="P28" s="24">
        <v>1008</v>
      </c>
      <c r="Q28" s="24">
        <v>1012</v>
      </c>
      <c r="R28" s="24">
        <v>1010</v>
      </c>
      <c r="S28" s="24">
        <v>4</v>
      </c>
      <c r="T28" s="50">
        <v>0</v>
      </c>
      <c r="U28" s="553">
        <v>3.2</v>
      </c>
      <c r="V28" s="553">
        <v>8.6999999999999993</v>
      </c>
      <c r="W28" s="553">
        <v>10.7</v>
      </c>
      <c r="X28" s="555" t="s">
        <v>113</v>
      </c>
      <c r="Y28" s="72">
        <v>0</v>
      </c>
      <c r="Z28" s="539">
        <v>0</v>
      </c>
      <c r="AA28" s="23"/>
      <c r="AB28" s="23"/>
      <c r="AC28" s="510" t="s">
        <v>619</v>
      </c>
      <c r="AD28" s="7" t="s">
        <v>619</v>
      </c>
      <c r="AE28" s="485"/>
      <c r="AF28" s="72"/>
      <c r="AG28" s="553">
        <v>4.3</v>
      </c>
      <c r="AH28" s="553">
        <v>11</v>
      </c>
      <c r="AI28" s="553">
        <v>7.5</v>
      </c>
      <c r="AJ28" s="26">
        <v>6.7</v>
      </c>
      <c r="AK28" s="6"/>
      <c r="AL28" s="485" t="s">
        <v>614</v>
      </c>
      <c r="AM28" s="54">
        <v>1013.25</v>
      </c>
      <c r="AN28" s="555" t="s">
        <v>8</v>
      </c>
      <c r="AO28" s="400"/>
      <c r="AP28" s="485">
        <v>8</v>
      </c>
      <c r="AQ28" s="485">
        <v>0</v>
      </c>
      <c r="AR28" s="134"/>
      <c r="AS28" s="26">
        <f>IF(ISBLANK(F28),"",(AVERAGE($F$4:F28)))</f>
        <v>12.515999999999998</v>
      </c>
      <c r="AT28" s="26">
        <f>IF(ISBLANK(G28),"",(AVERAGE($G$4:G28)))</f>
        <v>20.887999999999991</v>
      </c>
      <c r="AU28" s="25">
        <f>IF(ISBLANK(H28),"",(AVERAGE($H$4:H28)))</f>
        <v>16.684000000000001</v>
      </c>
      <c r="AV28" s="368">
        <f>IF(ISBLANK(G28),"",(AVERAGE($I$4:I28)))</f>
        <v>8.3719999999999981</v>
      </c>
      <c r="AW28" s="22">
        <f>IF(ISBLANK(M28),"",AVERAGE($M$4:M28))</f>
        <v>66.16</v>
      </c>
      <c r="AX28" s="376">
        <f>IF(ISBLANK(P28),"",(AVERAGE($R$4:R28)))</f>
        <v>1011.84</v>
      </c>
      <c r="AY28" s="368">
        <f>IF(ISBLANK(U28),"",(AVERAGE($U$4:U28)))</f>
        <v>4.5120000000000005</v>
      </c>
      <c r="AZ28" s="6"/>
      <c r="BA28" s="25">
        <f t="shared" si="15"/>
        <v>-3.5499999999999989</v>
      </c>
      <c r="BB28" s="25">
        <f t="shared" si="16"/>
        <v>0.32999999999999829</v>
      </c>
      <c r="BC28" s="25">
        <f t="shared" si="19"/>
        <v>-1.6100000000000003</v>
      </c>
      <c r="BD28" s="367">
        <f t="shared" si="18"/>
        <v>3.8799999999999972</v>
      </c>
      <c r="BE28" s="72"/>
      <c r="BF28" s="25">
        <f>IF(ISBLANK(F28),"",AS28-AVERAGE($F$91:F115))</f>
        <v>-0.73299999999999876</v>
      </c>
      <c r="BG28" s="25">
        <f>IF(ISBLANK(G28),"",AT28-AVERAGE($G$91:G115))</f>
        <v>-1.4852000000000061</v>
      </c>
      <c r="BH28" s="367">
        <f t="shared" si="21"/>
        <v>-0.75220000000000731</v>
      </c>
      <c r="BI28" s="115">
        <f t="shared" si="8"/>
        <v>1.3903829787234041</v>
      </c>
      <c r="BJ28" s="115">
        <f t="shared" si="9"/>
        <v>0.86952165952239679</v>
      </c>
      <c r="BK28" s="88"/>
      <c r="BL28" s="572">
        <v>25</v>
      </c>
    </row>
    <row r="29" spans="1:64" ht="12.75" customHeight="1" x14ac:dyDescent="0.2">
      <c r="A29" s="278">
        <f t="shared" si="10"/>
        <v>26</v>
      </c>
      <c r="B29" s="131">
        <f t="shared" si="11"/>
        <v>12</v>
      </c>
      <c r="C29" s="282">
        <f t="shared" si="11"/>
        <v>19.899999999999999</v>
      </c>
      <c r="D29" s="685"/>
      <c r="E29" s="99">
        <f t="shared" si="12"/>
        <v>26</v>
      </c>
      <c r="F29" s="23">
        <v>12</v>
      </c>
      <c r="G29" s="23">
        <v>19.899999999999999</v>
      </c>
      <c r="H29" s="553">
        <v>16.3</v>
      </c>
      <c r="I29" s="23">
        <v>7.9</v>
      </c>
      <c r="J29" s="6">
        <v>0</v>
      </c>
      <c r="K29" s="24">
        <v>56</v>
      </c>
      <c r="L29" s="24">
        <v>90</v>
      </c>
      <c r="M29" s="555">
        <v>71</v>
      </c>
      <c r="N29" s="24">
        <v>34</v>
      </c>
      <c r="O29" s="50">
        <v>0</v>
      </c>
      <c r="P29" s="24">
        <v>1012</v>
      </c>
      <c r="Q29" s="24">
        <v>1019</v>
      </c>
      <c r="R29" s="24">
        <v>1015.5</v>
      </c>
      <c r="S29" s="24">
        <v>7</v>
      </c>
      <c r="T29" s="50">
        <v>0</v>
      </c>
      <c r="U29" s="553">
        <v>2.7</v>
      </c>
      <c r="V29" s="553">
        <v>8.1</v>
      </c>
      <c r="W29" s="553">
        <v>10.9</v>
      </c>
      <c r="X29" s="555" t="s">
        <v>113</v>
      </c>
      <c r="Y29" s="72">
        <v>0</v>
      </c>
      <c r="Z29" s="539">
        <v>0</v>
      </c>
      <c r="AA29" s="23" t="s">
        <v>619</v>
      </c>
      <c r="AB29" s="23"/>
      <c r="AC29" s="510" t="s">
        <v>619</v>
      </c>
      <c r="AD29" s="7" t="s">
        <v>619</v>
      </c>
      <c r="AE29" s="485" t="s">
        <v>619</v>
      </c>
      <c r="AF29" s="72"/>
      <c r="AG29" s="553">
        <v>9.4</v>
      </c>
      <c r="AH29" s="553">
        <v>12.5</v>
      </c>
      <c r="AI29" s="553">
        <v>10.9</v>
      </c>
      <c r="AJ29" s="7">
        <v>3.1</v>
      </c>
      <c r="AK29" s="6"/>
      <c r="AL29" s="485" t="s">
        <v>615</v>
      </c>
      <c r="AM29" s="54">
        <v>1013.25</v>
      </c>
      <c r="AN29" s="555" t="s">
        <v>8</v>
      </c>
      <c r="AO29" s="400"/>
      <c r="AP29" s="485">
        <v>0.7</v>
      </c>
      <c r="AQ29" s="485">
        <v>0</v>
      </c>
      <c r="AR29" s="134"/>
      <c r="AS29" s="26">
        <f>IF(ISBLANK(F29),"",(AVERAGE($F$4:F29)))</f>
        <v>12.496153846153845</v>
      </c>
      <c r="AT29" s="26">
        <f>IF(ISBLANK(G29),"",(AVERAGE($G$4:G29)))</f>
        <v>20.849999999999991</v>
      </c>
      <c r="AU29" s="25">
        <f>IF(ISBLANK(H29),"",(AVERAGE($H$4:H29)))</f>
        <v>16.669230769230772</v>
      </c>
      <c r="AV29" s="368">
        <f>IF(ISBLANK(G29),"",(AVERAGE($I$4:I29)))</f>
        <v>8.3538461538461526</v>
      </c>
      <c r="AW29" s="22">
        <f>IF(ISBLANK(M29),"",AVERAGE($M$4:M29))</f>
        <v>66.34615384615384</v>
      </c>
      <c r="AX29" s="376">
        <f>IF(ISBLANK(P29),"",(AVERAGE($R$4:R29)))</f>
        <v>1011.9807692307693</v>
      </c>
      <c r="AY29" s="368">
        <f>IF(ISBLANK(U29),"",(AVERAGE($U$4:U29)))</f>
        <v>4.4423076923076925</v>
      </c>
      <c r="AZ29" s="6"/>
      <c r="BA29" s="25">
        <f t="shared" si="15"/>
        <v>-1.9499999999999993</v>
      </c>
      <c r="BB29" s="25">
        <f t="shared" si="16"/>
        <v>-2.7700000000000031</v>
      </c>
      <c r="BC29" s="25">
        <f t="shared" si="19"/>
        <v>-2.3600000000000012</v>
      </c>
      <c r="BD29" s="367">
        <f t="shared" si="18"/>
        <v>-0.82000000000000384</v>
      </c>
      <c r="BE29" s="72"/>
      <c r="BF29" s="25">
        <f>IF(ISBLANK(F29),"",AS29-AVERAGE($F$91:F116))</f>
        <v>-0.77980769230768843</v>
      </c>
      <c r="BG29" s="25">
        <f>IF(ISBLANK(G29),"",AT29-AVERAGE($G$91:G116))</f>
        <v>-1.5346153846153889</v>
      </c>
      <c r="BH29" s="367">
        <f t="shared" si="21"/>
        <v>-0.75480769230770051</v>
      </c>
      <c r="BI29" s="115">
        <f t="shared" si="8"/>
        <v>1.3369067103109655</v>
      </c>
      <c r="BJ29" s="115">
        <f t="shared" si="9"/>
        <v>0.84155307285698466</v>
      </c>
      <c r="BK29" s="88"/>
      <c r="BL29" s="572">
        <v>26</v>
      </c>
    </row>
    <row r="30" spans="1:64" ht="12.75" customHeight="1" x14ac:dyDescent="0.2">
      <c r="A30" s="278">
        <f t="shared" si="10"/>
        <v>27</v>
      </c>
      <c r="B30" s="131">
        <f t="shared" si="11"/>
        <v>14.4</v>
      </c>
      <c r="C30" s="282">
        <f t="shared" si="11"/>
        <v>20.100000000000001</v>
      </c>
      <c r="D30" s="685"/>
      <c r="E30" s="99">
        <f t="shared" si="12"/>
        <v>27</v>
      </c>
      <c r="F30" s="23">
        <v>14.4</v>
      </c>
      <c r="G30" s="23">
        <v>20.100000000000001</v>
      </c>
      <c r="H30" s="553">
        <v>16.8</v>
      </c>
      <c r="I30" s="23">
        <v>5.7</v>
      </c>
      <c r="J30" s="6">
        <v>0</v>
      </c>
      <c r="K30" s="24">
        <v>58</v>
      </c>
      <c r="L30" s="24">
        <v>83</v>
      </c>
      <c r="M30" s="554">
        <v>72</v>
      </c>
      <c r="N30" s="24">
        <v>25</v>
      </c>
      <c r="O30" s="50">
        <v>0</v>
      </c>
      <c r="P30" s="24">
        <v>1019</v>
      </c>
      <c r="Q30" s="24">
        <v>1022</v>
      </c>
      <c r="R30" s="24">
        <v>1020.5</v>
      </c>
      <c r="S30" s="24">
        <v>3</v>
      </c>
      <c r="T30" s="50">
        <v>0</v>
      </c>
      <c r="U30" s="553">
        <v>3.1</v>
      </c>
      <c r="V30" s="553">
        <v>8.6999999999999993</v>
      </c>
      <c r="W30" s="553">
        <v>12.5</v>
      </c>
      <c r="X30" s="553" t="s">
        <v>113</v>
      </c>
      <c r="Y30" s="72">
        <v>0</v>
      </c>
      <c r="Z30" s="539">
        <v>0</v>
      </c>
      <c r="AA30" s="23" t="s">
        <v>619</v>
      </c>
      <c r="AB30" s="23"/>
      <c r="AC30" s="510" t="s">
        <v>619</v>
      </c>
      <c r="AD30" s="7" t="s">
        <v>619</v>
      </c>
      <c r="AE30" s="485" t="s">
        <v>619</v>
      </c>
      <c r="AF30" s="72"/>
      <c r="AG30" s="553">
        <v>10.6</v>
      </c>
      <c r="AH30" s="553">
        <v>12.9</v>
      </c>
      <c r="AI30" s="553">
        <v>11.7</v>
      </c>
      <c r="AJ30" s="26">
        <v>2.2999999999999998</v>
      </c>
      <c r="AK30" s="6"/>
      <c r="AL30" s="485" t="s">
        <v>395</v>
      </c>
      <c r="AM30" s="54">
        <v>1013.25</v>
      </c>
      <c r="AN30" s="555" t="s">
        <v>8</v>
      </c>
      <c r="AO30" s="400"/>
      <c r="AP30" s="485">
        <v>1.5</v>
      </c>
      <c r="AQ30" s="485">
        <v>0</v>
      </c>
      <c r="AR30" s="134"/>
      <c r="AS30" s="26">
        <f>IF(ISBLANK(F30),"",(AVERAGE($F$4:F30)))</f>
        <v>12.566666666666665</v>
      </c>
      <c r="AT30" s="26">
        <f>IF(ISBLANK(G30),"",(AVERAGE($G$4:G30)))</f>
        <v>20.822222222222216</v>
      </c>
      <c r="AU30" s="25">
        <f>IF(ISBLANK(H30),"",(AVERAGE($H$4:H30)))</f>
        <v>16.674074074074074</v>
      </c>
      <c r="AV30" s="368">
        <f>IF(ISBLANK(G30),"",(AVERAGE($I$4:I30)))</f>
        <v>8.2555555555555529</v>
      </c>
      <c r="AW30" s="22">
        <f>IF(ISBLANK(M30),"",AVERAGE($M$4:M30))</f>
        <v>66.555555555555557</v>
      </c>
      <c r="AX30" s="376">
        <f>IF(ISBLANK(P30),"",(AVERAGE($R$4:R30)))</f>
        <v>1012.2962962962963</v>
      </c>
      <c r="AY30" s="368">
        <f>IF(ISBLANK(U30),"",(AVERAGE($U$4:U30)))</f>
        <v>4.3925925925925933</v>
      </c>
      <c r="AZ30" s="6"/>
      <c r="BA30" s="25">
        <f t="shared" si="15"/>
        <v>0.45000000000000107</v>
      </c>
      <c r="BB30" s="25">
        <f t="shared" si="16"/>
        <v>-2.5700000000000003</v>
      </c>
      <c r="BC30" s="25">
        <f t="shared" si="19"/>
        <v>-1.0599999999999996</v>
      </c>
      <c r="BD30" s="367">
        <f t="shared" si="18"/>
        <v>-3.0200000000000014</v>
      </c>
      <c r="BE30" s="72"/>
      <c r="BF30" s="25">
        <f>IF(ISBLANK(F30),"",AS30-AVERAGE($F$91:F117))</f>
        <v>-0.73425925925925739</v>
      </c>
      <c r="BG30" s="25">
        <f>IF(ISBLANK(G30),"",AT30-AVERAGE($G$91:G117))</f>
        <v>-1.5729629629629649</v>
      </c>
      <c r="BH30" s="367">
        <f>IF(ISBLANK(G30),"",BG30-BF30)</f>
        <v>-0.8387037037037075</v>
      </c>
      <c r="BI30" s="115">
        <f t="shared" si="8"/>
        <v>1.2873916469661149</v>
      </c>
      <c r="BJ30" s="115">
        <f t="shared" si="9"/>
        <v>0.82062749706470439</v>
      </c>
      <c r="BK30" s="421"/>
      <c r="BL30" s="572">
        <v>27</v>
      </c>
    </row>
    <row r="31" spans="1:64" ht="12.75" customHeight="1" x14ac:dyDescent="0.2">
      <c r="A31" s="278">
        <f t="shared" si="10"/>
        <v>28</v>
      </c>
      <c r="B31" s="131">
        <f t="shared" si="11"/>
        <v>14.4</v>
      </c>
      <c r="C31" s="282">
        <f t="shared" si="11"/>
        <v>23.6</v>
      </c>
      <c r="D31" s="685"/>
      <c r="E31" s="99">
        <f t="shared" si="12"/>
        <v>28</v>
      </c>
      <c r="F31" s="23">
        <v>14.4</v>
      </c>
      <c r="G31" s="23">
        <v>23.6</v>
      </c>
      <c r="H31" s="553">
        <v>18.899999999999999</v>
      </c>
      <c r="I31" s="23">
        <v>9.1999999999999993</v>
      </c>
      <c r="J31" s="6">
        <v>0</v>
      </c>
      <c r="K31" s="24">
        <v>46</v>
      </c>
      <c r="L31" s="24">
        <v>85</v>
      </c>
      <c r="M31" s="554">
        <v>67</v>
      </c>
      <c r="N31" s="24">
        <v>39</v>
      </c>
      <c r="O31" s="50">
        <v>0</v>
      </c>
      <c r="P31" s="24">
        <v>1021</v>
      </c>
      <c r="Q31" s="24">
        <v>1023</v>
      </c>
      <c r="R31" s="24">
        <v>1022</v>
      </c>
      <c r="S31" s="24">
        <v>2</v>
      </c>
      <c r="T31" s="50">
        <v>0</v>
      </c>
      <c r="U31" s="553">
        <v>2.6</v>
      </c>
      <c r="V31" s="553">
        <v>6.7</v>
      </c>
      <c r="W31" s="553">
        <v>10</v>
      </c>
      <c r="X31" s="485" t="s">
        <v>105</v>
      </c>
      <c r="Y31" s="72">
        <v>0</v>
      </c>
      <c r="Z31" s="539">
        <v>0</v>
      </c>
      <c r="AA31" s="23" t="s">
        <v>619</v>
      </c>
      <c r="AB31" s="23"/>
      <c r="AC31" s="510" t="s">
        <v>619</v>
      </c>
      <c r="AD31" s="7" t="s">
        <v>619</v>
      </c>
      <c r="AE31" s="485" t="s">
        <v>619</v>
      </c>
      <c r="AF31" s="72"/>
      <c r="AG31" s="553">
        <v>10.7</v>
      </c>
      <c r="AH31" s="553">
        <v>13.9</v>
      </c>
      <c r="AI31" s="553">
        <v>12.2</v>
      </c>
      <c r="AJ31" s="26">
        <v>3.2</v>
      </c>
      <c r="AK31" s="6"/>
      <c r="AL31" s="485" t="s">
        <v>616</v>
      </c>
      <c r="AM31" s="54">
        <v>1013.25</v>
      </c>
      <c r="AN31" s="555" t="s">
        <v>8</v>
      </c>
      <c r="AO31" s="400"/>
      <c r="AP31" s="485">
        <v>6.5</v>
      </c>
      <c r="AQ31" s="485">
        <v>0</v>
      </c>
      <c r="AR31" s="134"/>
      <c r="AS31" s="26">
        <f>IF(ISBLANK(F31),"",(AVERAGE($F$4:F31)))</f>
        <v>12.632142857142854</v>
      </c>
      <c r="AT31" s="26">
        <f>IF(ISBLANK(G31),"",(AVERAGE($G$4:G31)))</f>
        <v>20.921428571428567</v>
      </c>
      <c r="AU31" s="25">
        <f>IF(ISBLANK(H31),"",(AVERAGE($H$4:H31)))</f>
        <v>16.75357142857143</v>
      </c>
      <c r="AV31" s="368">
        <f>IF(ISBLANK(G31),"",(AVERAGE($I$4:I31)))</f>
        <v>8.2892857142857128</v>
      </c>
      <c r="AW31" s="22">
        <f>IF(ISBLANK(M31),"",AVERAGE($M$4:M31))</f>
        <v>66.571428571428569</v>
      </c>
      <c r="AX31" s="376">
        <f>IF(ISBLANK(P31),"",(AVERAGE($R$4:R31)))</f>
        <v>1012.6428571428571</v>
      </c>
      <c r="AY31" s="368">
        <f>IF(ISBLANK(U31),"",(AVERAGE($U$4:U31)))</f>
        <v>4.3285714285714283</v>
      </c>
      <c r="AZ31" s="6"/>
      <c r="BA31" s="25">
        <f t="shared" si="15"/>
        <v>0.45000000000000107</v>
      </c>
      <c r="BB31" s="25">
        <f t="shared" si="16"/>
        <v>0.92999999999999972</v>
      </c>
      <c r="BC31" s="25">
        <f t="shared" si="19"/>
        <v>0.69000000000000039</v>
      </c>
      <c r="BD31" s="367">
        <f t="shared" si="18"/>
        <v>0.47999999999999865</v>
      </c>
      <c r="BE31" s="72"/>
      <c r="BF31" s="25">
        <f>IF(ISBLANK(F31),"",AS31-AVERAGE($F$91:F118))</f>
        <v>-0.6919642857142847</v>
      </c>
      <c r="BG31" s="25">
        <f>IF(ISBLANK(G31),"",AT31-AVERAGE($G$91:G118))</f>
        <v>-1.4835714285714268</v>
      </c>
      <c r="BH31" s="367">
        <f>IF(ISBLANK(G31),"",BG31-BF31)</f>
        <v>-0.79160714285714207</v>
      </c>
      <c r="BI31" s="115">
        <f t="shared" si="8"/>
        <v>1.2414133738601822</v>
      </c>
      <c r="BJ31" s="115">
        <f t="shared" si="9"/>
        <v>0.83104678643168839</v>
      </c>
      <c r="BK31" s="421"/>
      <c r="BL31" s="572">
        <v>28</v>
      </c>
    </row>
    <row r="32" spans="1:64" ht="12.75" customHeight="1" x14ac:dyDescent="0.2">
      <c r="A32" s="278">
        <f t="shared" si="10"/>
        <v>29</v>
      </c>
      <c r="B32" s="131">
        <f t="shared" si="11"/>
        <v>13.4</v>
      </c>
      <c r="C32" s="282">
        <f t="shared" si="11"/>
        <v>20.5</v>
      </c>
      <c r="D32" s="685"/>
      <c r="E32" s="99">
        <f t="shared" si="12"/>
        <v>29</v>
      </c>
      <c r="F32" s="23">
        <v>13.4</v>
      </c>
      <c r="G32" s="23">
        <v>20.5</v>
      </c>
      <c r="H32" s="553">
        <v>16.7</v>
      </c>
      <c r="I32" s="23">
        <v>7.1</v>
      </c>
      <c r="J32" s="6">
        <v>0</v>
      </c>
      <c r="K32" s="24">
        <v>61</v>
      </c>
      <c r="L32" s="24">
        <v>89</v>
      </c>
      <c r="M32" s="554">
        <v>72</v>
      </c>
      <c r="N32" s="24">
        <v>28</v>
      </c>
      <c r="O32" s="50">
        <v>0</v>
      </c>
      <c r="P32" s="24">
        <v>1022</v>
      </c>
      <c r="Q32" s="24">
        <v>1025</v>
      </c>
      <c r="R32" s="24">
        <v>1023.5</v>
      </c>
      <c r="S32" s="24">
        <v>3</v>
      </c>
      <c r="T32" s="50">
        <v>0</v>
      </c>
      <c r="U32" s="553">
        <v>3.2</v>
      </c>
      <c r="V32" s="553">
        <v>9.1999999999999993</v>
      </c>
      <c r="W32" s="553">
        <v>12.1</v>
      </c>
      <c r="X32" s="485" t="s">
        <v>105</v>
      </c>
      <c r="Y32" s="72">
        <v>0</v>
      </c>
      <c r="Z32" s="557">
        <v>0</v>
      </c>
      <c r="AA32" s="558" t="s">
        <v>619</v>
      </c>
      <c r="AB32" s="23"/>
      <c r="AC32" s="510" t="s">
        <v>619</v>
      </c>
      <c r="AD32" s="7" t="s">
        <v>619</v>
      </c>
      <c r="AE32" s="559" t="s">
        <v>619</v>
      </c>
      <c r="AF32" s="72"/>
      <c r="AG32" s="553">
        <v>7.7</v>
      </c>
      <c r="AH32" s="553">
        <v>14</v>
      </c>
      <c r="AI32" s="553">
        <v>11.5</v>
      </c>
      <c r="AJ32" s="26">
        <v>6.3</v>
      </c>
      <c r="AK32" s="6"/>
      <c r="AL32" s="485" t="s">
        <v>617</v>
      </c>
      <c r="AM32" s="54">
        <v>1013.25</v>
      </c>
      <c r="AN32" s="555" t="s">
        <v>8</v>
      </c>
      <c r="AO32" s="400"/>
      <c r="AP32" s="485">
        <v>4</v>
      </c>
      <c r="AQ32" s="485">
        <v>0</v>
      </c>
      <c r="AR32" s="134"/>
      <c r="AS32" s="26">
        <f>IF(ISBLANK(F32),"",(AVERAGE($F$4:F32)))</f>
        <v>12.658620689655169</v>
      </c>
      <c r="AT32" s="26">
        <f>IF(ISBLANK(G32),"",(AVERAGE($G$4:G32)))</f>
        <v>20.906896551724131</v>
      </c>
      <c r="AU32" s="25">
        <f>IF(ISBLANK(H32),"",(AVERAGE($H$4:H32)))</f>
        <v>16.751724137931035</v>
      </c>
      <c r="AV32" s="368">
        <f>IF(ISBLANK(G32),"",(AVERAGE($I$4:I32)))</f>
        <v>8.2482758620689633</v>
      </c>
      <c r="AW32" s="22">
        <f>IF(ISBLANK(M32),"",AVERAGE($M$4:M32))</f>
        <v>66.758620689655174</v>
      </c>
      <c r="AX32" s="376">
        <f>IF(ISBLANK(P32),"",(AVERAGE($R$4:R32)))</f>
        <v>1013.0172413793103</v>
      </c>
      <c r="AY32" s="368">
        <f>IF(ISBLANK(U32),"",(AVERAGE($U$4:U32)))</f>
        <v>4.2896551724137932</v>
      </c>
      <c r="AZ32" s="6"/>
      <c r="BA32" s="25">
        <f t="shared" si="15"/>
        <v>-0.51499999999999879</v>
      </c>
      <c r="BB32" s="25">
        <f t="shared" si="16"/>
        <v>-2.1700000000000017</v>
      </c>
      <c r="BC32" s="25">
        <f t="shared" si="19"/>
        <v>-1.3425000000000002</v>
      </c>
      <c r="BD32" s="367">
        <f t="shared" si="18"/>
        <v>-1.6550000000000029</v>
      </c>
      <c r="BE32" s="72"/>
      <c r="BF32" s="25">
        <f>IF(ISBLANK(F32),"",AS32-AVERAGE($F$91:F119))</f>
        <v>-0.68586206896551616</v>
      </c>
      <c r="BG32" s="25">
        <f>IF(ISBLANK(G32),"",AT32-AVERAGE($G$91:G119))</f>
        <v>-1.5072413793103436</v>
      </c>
      <c r="BH32" s="367">
        <f>IF(ISBLANK(G32),"",BG32-BF32)</f>
        <v>-0.82137931034482747</v>
      </c>
      <c r="BI32" s="115">
        <f t="shared" si="8"/>
        <v>1.1986060161408656</v>
      </c>
      <c r="BJ32" s="115">
        <f t="shared" si="9"/>
        <v>0.82645295860712165</v>
      </c>
      <c r="BK32" s="88"/>
      <c r="BL32" s="572">
        <v>29</v>
      </c>
    </row>
    <row r="33" spans="1:64" ht="12.75" customHeight="1" x14ac:dyDescent="0.2">
      <c r="A33" s="394">
        <f t="shared" si="10"/>
        <v>30</v>
      </c>
      <c r="B33" s="131">
        <f t="shared" si="11"/>
        <v>9.1</v>
      </c>
      <c r="C33" s="282">
        <f t="shared" si="11"/>
        <v>21.8</v>
      </c>
      <c r="D33" s="685"/>
      <c r="E33" s="97">
        <f t="shared" si="12"/>
        <v>30</v>
      </c>
      <c r="F33" s="23">
        <v>9.1</v>
      </c>
      <c r="G33" s="23">
        <v>21.8</v>
      </c>
      <c r="H33" s="553">
        <v>16.5</v>
      </c>
      <c r="I33" s="23">
        <v>12.7</v>
      </c>
      <c r="J33" s="6">
        <v>0</v>
      </c>
      <c r="K33" s="24">
        <v>40</v>
      </c>
      <c r="L33" s="24">
        <v>83</v>
      </c>
      <c r="M33" s="554">
        <v>58</v>
      </c>
      <c r="N33" s="24">
        <v>43</v>
      </c>
      <c r="O33" s="50">
        <v>0</v>
      </c>
      <c r="P33" s="24">
        <v>1018</v>
      </c>
      <c r="Q33" s="24">
        <v>1025</v>
      </c>
      <c r="R33" s="24">
        <v>1021.5</v>
      </c>
      <c r="S33" s="24">
        <v>7</v>
      </c>
      <c r="T33" s="50">
        <v>0</v>
      </c>
      <c r="U33" s="553">
        <v>2.7</v>
      </c>
      <c r="V33" s="553">
        <v>7.4</v>
      </c>
      <c r="W33" s="553">
        <v>10.7</v>
      </c>
      <c r="X33" s="485" t="s">
        <v>113</v>
      </c>
      <c r="Y33" s="72">
        <v>0</v>
      </c>
      <c r="Z33" s="557">
        <v>0</v>
      </c>
      <c r="AA33" s="558" t="s">
        <v>619</v>
      </c>
      <c r="AB33" s="23"/>
      <c r="AC33" s="510" t="s">
        <v>619</v>
      </c>
      <c r="AD33" s="7" t="s">
        <v>619</v>
      </c>
      <c r="AE33" s="559" t="s">
        <v>619</v>
      </c>
      <c r="AF33" s="72"/>
      <c r="AG33" s="553">
        <v>5.4</v>
      </c>
      <c r="AH33" s="553">
        <v>10.199999999999999</v>
      </c>
      <c r="AI33" s="553">
        <v>7.9</v>
      </c>
      <c r="AJ33" s="26">
        <v>4.8</v>
      </c>
      <c r="AK33" s="6"/>
      <c r="AL33" s="485" t="s">
        <v>613</v>
      </c>
      <c r="AM33" s="54">
        <v>1013.25</v>
      </c>
      <c r="AN33" s="555" t="s">
        <v>8</v>
      </c>
      <c r="AO33" s="400"/>
      <c r="AP33" s="485">
        <v>11</v>
      </c>
      <c r="AQ33" s="485">
        <v>0</v>
      </c>
      <c r="AR33" s="134"/>
      <c r="AS33" s="26">
        <f>IF(ISBLANK(F33),"",(AVERAGE($F$4:F33)))</f>
        <v>12.539999999999997</v>
      </c>
      <c r="AT33" s="26">
        <f>IF(ISBLANK(G33),"",(AVERAGE($G$4:G33)))</f>
        <v>20.93666666666666</v>
      </c>
      <c r="AU33" s="25">
        <f>IF(ISBLANK(H33),"",(AVERAGE($H$4:H33)))</f>
        <v>16.743333333333332</v>
      </c>
      <c r="AV33" s="368">
        <f>IF(ISBLANK(G33),"",(AVERAGE($I$4:I33)))</f>
        <v>8.3966666666666647</v>
      </c>
      <c r="AW33" s="22">
        <f>IF(ISBLANK(M33),"",AVERAGE($M$4:M33))</f>
        <v>66.466666666666669</v>
      </c>
      <c r="AX33" s="376">
        <f>IF(ISBLANK(P33),"",(AVERAGE($R$4:R33)))</f>
        <v>1013.3</v>
      </c>
      <c r="AY33" s="368">
        <f>IF(ISBLANK(U33),"",(AVERAGE($U$4:U33)))</f>
        <v>4.2366666666666672</v>
      </c>
      <c r="AZ33" s="6"/>
      <c r="BA33" s="25">
        <f t="shared" si="15"/>
        <v>-4.7800000000000011</v>
      </c>
      <c r="BB33" s="25">
        <f t="shared" si="16"/>
        <v>-0.87000000000000099</v>
      </c>
      <c r="BC33" s="25">
        <f t="shared" si="19"/>
        <v>-2.8250000000000011</v>
      </c>
      <c r="BD33" s="367">
        <f t="shared" si="18"/>
        <v>3.91</v>
      </c>
      <c r="BE33" s="72"/>
      <c r="BF33" s="25">
        <f>IF(ISBLANK(F33),"",AS33-AVERAGE($F$91:F120))</f>
        <v>-0.82233333333333292</v>
      </c>
      <c r="BG33" s="25">
        <f>IF(ISBLANK(G33),"",AT33-AVERAGE($G$91:G120))</f>
        <v>-1.4859999999999971</v>
      </c>
      <c r="BH33" s="367">
        <f>IF(ISBLANK(G33),"",BG33-BF33)</f>
        <v>-0.66366666666666418</v>
      </c>
      <c r="BI33" s="115">
        <f t="shared" si="8"/>
        <v>1.1586524822695035</v>
      </c>
      <c r="BJ33" s="115">
        <f t="shared" si="9"/>
        <v>0.86129016965035354</v>
      </c>
      <c r="BK33" s="88"/>
      <c r="BL33" s="572">
        <v>30</v>
      </c>
    </row>
    <row r="34" spans="1:64" ht="12.75" customHeight="1" x14ac:dyDescent="0.2">
      <c r="A34" s="278">
        <v>31</v>
      </c>
      <c r="B34" s="131">
        <f t="shared" si="11"/>
        <v>12</v>
      </c>
      <c r="C34" s="282">
        <f t="shared" si="11"/>
        <v>24.7</v>
      </c>
      <c r="D34" s="685"/>
      <c r="E34" s="99">
        <v>31</v>
      </c>
      <c r="F34" s="23">
        <v>12</v>
      </c>
      <c r="G34" s="23">
        <v>24.7</v>
      </c>
      <c r="H34" s="553">
        <v>19.2</v>
      </c>
      <c r="I34" s="23">
        <v>12.7</v>
      </c>
      <c r="J34" s="6">
        <v>0</v>
      </c>
      <c r="K34" s="24">
        <v>41</v>
      </c>
      <c r="L34" s="24">
        <v>85</v>
      </c>
      <c r="M34" s="554">
        <v>59</v>
      </c>
      <c r="N34" s="24">
        <v>44</v>
      </c>
      <c r="O34" s="50">
        <v>0</v>
      </c>
      <c r="P34" s="24">
        <v>1014</v>
      </c>
      <c r="Q34" s="24">
        <v>1018</v>
      </c>
      <c r="R34" s="24">
        <v>1016</v>
      </c>
      <c r="S34" s="24">
        <v>4</v>
      </c>
      <c r="T34" s="50">
        <v>0</v>
      </c>
      <c r="U34" s="553">
        <v>3.8</v>
      </c>
      <c r="V34" s="553">
        <v>10</v>
      </c>
      <c r="W34" s="553">
        <v>13.7</v>
      </c>
      <c r="X34" s="485" t="s">
        <v>111</v>
      </c>
      <c r="Y34" s="72">
        <v>0</v>
      </c>
      <c r="Z34" s="557">
        <v>0</v>
      </c>
      <c r="AA34" s="558" t="s">
        <v>619</v>
      </c>
      <c r="AB34" s="558"/>
      <c r="AC34" s="510" t="s">
        <v>619</v>
      </c>
      <c r="AD34" s="7" t="s">
        <v>619</v>
      </c>
      <c r="AE34" s="559" t="s">
        <v>619</v>
      </c>
      <c r="AF34" s="72"/>
      <c r="AG34" s="553">
        <v>7.4</v>
      </c>
      <c r="AH34" s="553">
        <v>12.4</v>
      </c>
      <c r="AI34" s="553">
        <v>10.4</v>
      </c>
      <c r="AJ34" s="26">
        <v>5</v>
      </c>
      <c r="AK34" s="6"/>
      <c r="AL34" s="485" t="s">
        <v>618</v>
      </c>
      <c r="AM34" s="54">
        <v>1013.25</v>
      </c>
      <c r="AN34" s="555" t="s">
        <v>8</v>
      </c>
      <c r="AO34" s="400"/>
      <c r="AP34" s="485">
        <v>12</v>
      </c>
      <c r="AQ34" s="485">
        <v>0</v>
      </c>
      <c r="AR34" s="134"/>
      <c r="AS34" s="26">
        <f>IF(ISBLANK(F6),"",(AVERAGE($F$4:F34)))</f>
        <v>12.522580645161288</v>
      </c>
      <c r="AT34" s="26">
        <f>IF(ISBLANK(G6),"",(AVERAGE($G$4:G34)))</f>
        <v>21.058064516129026</v>
      </c>
      <c r="AU34" s="25">
        <f>IF(ISBLANK(H5),"",(AVERAGE($H$4:H34)))</f>
        <v>16.822580645161292</v>
      </c>
      <c r="AV34" s="368">
        <f>IF(ISBLANK(G6),"",(AVERAGE($I$4:I34)))</f>
        <v>8.5354838709677399</v>
      </c>
      <c r="AW34" s="22">
        <f>IF(ISBLANK(M5),"",AVERAGE($M$4:M34))</f>
        <v>66.225806451612897</v>
      </c>
      <c r="AX34" s="376">
        <f>IF(ISBLANK(P6),"",(AVERAGE($R$4:R34)))</f>
        <v>1013.3870967741935</v>
      </c>
      <c r="AY34" s="368">
        <f>IF(ISBLANK(U6),"",(AVERAGE($U$4:U34)))</f>
        <v>4.2225806451612904</v>
      </c>
      <c r="AZ34" s="6"/>
      <c r="BA34" s="25">
        <f t="shared" si="15"/>
        <v>-1.8450000000000006</v>
      </c>
      <c r="BB34" s="25">
        <f t="shared" si="16"/>
        <v>2.0299999999999976</v>
      </c>
      <c r="BC34" s="25">
        <f t="shared" si="19"/>
        <v>9.2499999999998472E-2</v>
      </c>
      <c r="BD34" s="367">
        <f t="shared" si="18"/>
        <v>3.8749999999999982</v>
      </c>
      <c r="BE34" s="72"/>
      <c r="BF34" s="25">
        <f>IF(ISBLANK(F34),"",AS34-AVERAGE($F$91:F121))</f>
        <v>-0.85532258064516142</v>
      </c>
      <c r="BG34" s="25">
        <f>IF(ISBLANK(G34),"",AT34-AVERAGE($G$91:G121))</f>
        <v>-1.3725806451612854</v>
      </c>
      <c r="BH34" s="367">
        <f>IF(ISBLANK(G34),"",BG34-BF34)</f>
        <v>-0.51725806451612399</v>
      </c>
      <c r="BI34" s="138">
        <f>IF(ISBLANK(Z6),"",AB121/AA121)</f>
        <v>1.1212765957446809</v>
      </c>
      <c r="BJ34" s="115">
        <f t="shared" si="9"/>
        <v>0.89945945945945882</v>
      </c>
      <c r="BK34" s="88"/>
      <c r="BL34" s="572">
        <v>31</v>
      </c>
    </row>
    <row r="35" spans="1:64" s="10" customFormat="1" ht="3" customHeight="1" x14ac:dyDescent="0.2">
      <c r="A35" s="67"/>
      <c r="B35" s="284"/>
      <c r="C35" s="285"/>
      <c r="D35" s="685"/>
      <c r="E35" s="15"/>
      <c r="F35" s="29"/>
      <c r="G35" s="29"/>
      <c r="H35" s="28"/>
      <c r="I35" s="29"/>
      <c r="J35" s="6"/>
      <c r="K35" s="30"/>
      <c r="L35" s="30"/>
      <c r="M35" s="30"/>
      <c r="N35" s="30"/>
      <c r="O35" s="17"/>
      <c r="P35" s="30"/>
      <c r="Q35" s="30"/>
      <c r="R35" s="30"/>
      <c r="S35" s="30"/>
      <c r="T35" s="50"/>
      <c r="U35" s="28"/>
      <c r="V35" s="28"/>
      <c r="W35" s="32"/>
      <c r="X35" s="28"/>
      <c r="Y35" s="67"/>
      <c r="Z35" s="501"/>
      <c r="AA35" s="501"/>
      <c r="AB35" s="501"/>
      <c r="AC35" s="511"/>
      <c r="AD35" s="28"/>
      <c r="AE35" s="28"/>
      <c r="AF35" s="6"/>
      <c r="AG35" s="28"/>
      <c r="AH35" s="28"/>
      <c r="AI35" s="28"/>
      <c r="AJ35" s="28"/>
      <c r="AK35" s="67"/>
      <c r="AL35" s="95"/>
      <c r="AM35" s="6"/>
      <c r="AN35" s="29"/>
      <c r="AO35" s="400"/>
      <c r="AP35" s="28"/>
      <c r="AQ35" s="28"/>
      <c r="AR35" s="67"/>
      <c r="AS35" s="31"/>
      <c r="AT35" s="32"/>
      <c r="AU35" s="83"/>
      <c r="AV35" s="33"/>
      <c r="AW35" s="33"/>
      <c r="AX35" s="32"/>
      <c r="AY35" s="112"/>
      <c r="AZ35" s="54"/>
      <c r="BA35" s="112"/>
      <c r="BB35" s="112"/>
      <c r="BC35" s="112"/>
      <c r="BD35" s="82"/>
      <c r="BE35" s="402"/>
      <c r="BF35" s="32"/>
      <c r="BG35" s="32"/>
      <c r="BH35" s="32"/>
      <c r="BI35" s="28"/>
      <c r="BJ35" s="584"/>
      <c r="BK35" s="88"/>
      <c r="BL35" s="78"/>
    </row>
    <row r="36" spans="1:64" ht="12.75" customHeight="1" x14ac:dyDescent="0.2">
      <c r="A36" s="67"/>
      <c r="B36" s="697"/>
      <c r="C36" s="698"/>
      <c r="D36" s="685"/>
      <c r="E36" s="4"/>
      <c r="F36" s="25"/>
      <c r="G36" s="25"/>
      <c r="H36" s="21"/>
      <c r="I36" s="25"/>
      <c r="J36" s="18"/>
      <c r="K36" s="22"/>
      <c r="L36" s="22"/>
      <c r="M36" s="22"/>
      <c r="N36" s="22"/>
      <c r="O36" s="18"/>
      <c r="P36" s="48"/>
      <c r="Q36" s="48"/>
      <c r="R36" s="48"/>
      <c r="S36" s="48"/>
      <c r="T36" s="67"/>
      <c r="U36" s="21"/>
      <c r="V36" s="21"/>
      <c r="W36" s="21"/>
      <c r="X36" s="21"/>
      <c r="Y36" s="67"/>
      <c r="Z36" s="458" t="s">
        <v>34</v>
      </c>
      <c r="AA36" s="502"/>
      <c r="AB36" s="502"/>
      <c r="AC36" s="512"/>
      <c r="AD36" s="430" t="s">
        <v>202</v>
      </c>
      <c r="AE36" s="111"/>
      <c r="AF36" s="6"/>
      <c r="AG36" s="21"/>
      <c r="AJ36" s="21"/>
      <c r="AK36" s="67"/>
      <c r="AM36" s="6"/>
      <c r="AN36" s="182" t="s">
        <v>121</v>
      </c>
      <c r="AO36" s="402"/>
      <c r="AP36" s="185" t="s">
        <v>34</v>
      </c>
      <c r="AQ36" s="520" t="s">
        <v>34</v>
      </c>
      <c r="AR36" s="67"/>
      <c r="AS36" s="271" t="s">
        <v>16</v>
      </c>
      <c r="AT36" s="152" t="s">
        <v>26</v>
      </c>
      <c r="AU36" s="11" t="s">
        <v>41</v>
      </c>
      <c r="AV36" s="416" t="s">
        <v>81</v>
      </c>
      <c r="AW36" s="11" t="s">
        <v>6</v>
      </c>
      <c r="AX36" s="296" t="s">
        <v>79</v>
      </c>
      <c r="AY36" s="182" t="s">
        <v>201</v>
      </c>
      <c r="AZ36" s="71"/>
      <c r="BA36" s="699" t="s">
        <v>78</v>
      </c>
      <c r="BB36" s="699"/>
      <c r="BC36" s="569" t="s">
        <v>200</v>
      </c>
      <c r="BD36" s="417" t="s">
        <v>253</v>
      </c>
      <c r="BE36" s="402"/>
      <c r="BH36" s="21"/>
      <c r="BK36" s="88"/>
      <c r="BL36" s="78"/>
    </row>
    <row r="37" spans="1:64" ht="3" customHeight="1" x14ac:dyDescent="0.2">
      <c r="A37" s="73"/>
      <c r="B37" s="284"/>
      <c r="C37" s="286"/>
      <c r="D37" s="685"/>
      <c r="E37" s="35"/>
      <c r="F37" s="36"/>
      <c r="G37" s="36"/>
      <c r="H37" s="34"/>
      <c r="I37" s="36"/>
      <c r="J37" s="60"/>
      <c r="K37" s="37"/>
      <c r="L37" s="37"/>
      <c r="M37" s="37"/>
      <c r="N37" s="37"/>
      <c r="O37" s="18"/>
      <c r="P37" s="37"/>
      <c r="Q37" s="37"/>
      <c r="R37" s="37"/>
      <c r="S37" s="37"/>
      <c r="T37" s="73"/>
      <c r="U37" s="34"/>
      <c r="V37" s="34"/>
      <c r="W37" s="34"/>
      <c r="X37" s="34"/>
      <c r="Y37" s="73"/>
      <c r="Z37" s="503"/>
      <c r="AA37" s="503"/>
      <c r="AB37" s="503"/>
      <c r="AC37" s="513"/>
      <c r="AD37" s="261"/>
      <c r="AE37" s="261"/>
      <c r="AF37" s="6"/>
      <c r="AG37" s="34"/>
      <c r="AH37" s="34"/>
      <c r="AI37" s="34"/>
      <c r="AJ37" s="34"/>
      <c r="AK37" s="73"/>
      <c r="AL37" s="95"/>
      <c r="AM37" s="6"/>
      <c r="AN37" s="34"/>
      <c r="AO37" s="403"/>
      <c r="AP37" s="34"/>
      <c r="AQ37" s="34"/>
      <c r="AR37" s="73"/>
      <c r="AS37" s="272"/>
      <c r="AT37" s="270"/>
      <c r="AU37" s="36"/>
      <c r="AV37" s="269"/>
      <c r="AW37" s="36"/>
      <c r="AX37" s="297"/>
      <c r="AY37" s="269"/>
      <c r="AZ37" s="76"/>
      <c r="BA37" s="687"/>
      <c r="BB37" s="687"/>
      <c r="BC37" s="36"/>
      <c r="BD37" s="34"/>
      <c r="BE37" s="522"/>
      <c r="BF37" s="95"/>
      <c r="BG37" s="34"/>
      <c r="BH37" s="34"/>
      <c r="BI37" s="364"/>
      <c r="BJ37" s="364"/>
      <c r="BK37" s="403"/>
      <c r="BL37" s="79"/>
    </row>
    <row r="38" spans="1:64" ht="12.75" customHeight="1" x14ac:dyDescent="0.2">
      <c r="A38" s="67"/>
      <c r="B38" s="700" t="s">
        <v>4</v>
      </c>
      <c r="C38" s="701"/>
      <c r="D38" s="685"/>
      <c r="E38" s="4" t="s">
        <v>4</v>
      </c>
      <c r="F38" s="152">
        <f>IF(ISBLANK(F4),"",AVERAGE(F4:F34))</f>
        <v>12.522580645161288</v>
      </c>
      <c r="G38" s="151">
        <f>IF(ISBLANK(G4),"",AVERAGE(G4:G34))</f>
        <v>21.058064516129026</v>
      </c>
      <c r="H38" s="14">
        <f>IF(ISBLANK(H4),"",AVERAGE(H4:H34))</f>
        <v>16.822580645161292</v>
      </c>
      <c r="I38" s="129">
        <f>IF(ISBLANK(F4),"",AVERAGE(I4:I34))</f>
        <v>8.5354838709677399</v>
      </c>
      <c r="J38" s="19"/>
      <c r="K38" s="156">
        <f>IF(ISBLANK(K4),"",AVERAGE(K4:K34))</f>
        <v>48.645161290322584</v>
      </c>
      <c r="L38" s="153">
        <f>IF(ISBLANK(K4),"",AVERAGE(L4:L34))</f>
        <v>83.935483870967744</v>
      </c>
      <c r="M38" s="9">
        <f>IF(ISBLANK(M4),"",AVERAGE(M4:M34))</f>
        <v>66.225806451612897</v>
      </c>
      <c r="N38" s="398">
        <f>IF(ISBLANK(K4),"",AVERAGE(N4:N34))</f>
        <v>35.29032258064516</v>
      </c>
      <c r="O38" s="18"/>
      <c r="P38" s="154">
        <f>IF(ISBLANK(P4),"",AVERAGE(P4:P34))</f>
        <v>1011.1612903225806</v>
      </c>
      <c r="Q38" s="155">
        <f>IF(ISBLANK(P4),"",AVERAGE(Q4:Q34))</f>
        <v>1015.6129032258065</v>
      </c>
      <c r="R38" s="378">
        <f>IF(ISBLANK(P4),"",AVERAGE(P4:Q34))</f>
        <v>1013.3870967741935</v>
      </c>
      <c r="S38" s="130">
        <f>IF(ISBLANK(P4),"",AVERAGE(S4:S34))</f>
        <v>4.4516129032258061</v>
      </c>
      <c r="T38" s="70"/>
      <c r="U38" s="266">
        <f>IF(ISBLANK(U4),"",AVERAGE(U4:U34))</f>
        <v>4.2225806451612904</v>
      </c>
      <c r="V38" s="266">
        <f>IF(ISBLANK(V4),"",AVERAGE(V4:V34))</f>
        <v>11.048387096774192</v>
      </c>
      <c r="W38" s="266">
        <f>IF(ISBLANK(U4),"",AVERAGE(W4:W34))</f>
        <v>15.396774193548383</v>
      </c>
      <c r="X38" s="266" t="s">
        <v>110</v>
      </c>
      <c r="Y38" s="56"/>
      <c r="Z38" s="466">
        <f>SUM(Z4:Z34)</f>
        <v>52.699999999999996</v>
      </c>
      <c r="AA38" s="466">
        <f>IF($AN$38=0,"",AVERAGE(AA4:AA34))</f>
        <v>2.3307692307692309</v>
      </c>
      <c r="AB38" s="466">
        <f>IF($AN$38=0,"",IF(AA86&lt;0.6,"n/a",AVERAGE(AB4:AB34)))</f>
        <v>1.3692307692307693</v>
      </c>
      <c r="AC38" s="514">
        <f>IF($AN$38=0,"",AVERAGE(AC4:AC34))</f>
        <v>7.6923076923076941E-2</v>
      </c>
      <c r="AD38" s="182">
        <f>IF(Z38=0,"",Z38/AQ38)</f>
        <v>1.7278688524590162</v>
      </c>
      <c r="AE38" s="182">
        <f>IF($Z$38=0,"",IF(AA86&lt;0.6,"n/a",AVERAGE(AE4:AE34)))</f>
        <v>24.9</v>
      </c>
      <c r="AF38" s="6"/>
      <c r="AG38" s="263">
        <f>IF(ISBLANK(AG4),"",AVERAGE(AG4:AG34))</f>
        <v>7.5258064516129046</v>
      </c>
      <c r="AH38" s="321">
        <f>IF(ISBLANK(AH4),"",AVERAGE(AH4:AH34))</f>
        <v>12.390322580645158</v>
      </c>
      <c r="AI38" s="301">
        <f>IF(ISBLANK(AI4),"",AVERAGE(AI4:AI34))</f>
        <v>9.9903225806451612</v>
      </c>
      <c r="AJ38" s="46">
        <f>IF(ISBLANK(AG4),"",AVERAGE(AJ4:AJ34))</f>
        <v>4.8645161290322587</v>
      </c>
      <c r="AK38" s="311"/>
      <c r="AL38" s="669" t="s">
        <v>487</v>
      </c>
      <c r="AM38" s="6"/>
      <c r="AN38" s="254">
        <f>COUNTIF(AL91:AL121,1)</f>
        <v>12</v>
      </c>
      <c r="AO38" s="224"/>
      <c r="AP38" s="528">
        <f>SUM(AP4:AP34)</f>
        <v>166.39999999999998</v>
      </c>
      <c r="AQ38" s="432">
        <f>SUM(AQ4:AQ34)</f>
        <v>30.5</v>
      </c>
      <c r="AR38" s="56"/>
      <c r="AS38" s="358">
        <f>COUNTIF(G4:G34, "&gt;25")</f>
        <v>1</v>
      </c>
      <c r="AT38" s="357">
        <f>COUNTIF(B4:B34,"&lt;0")</f>
        <v>0</v>
      </c>
      <c r="AU38" s="145">
        <f>SUM(COUNTIF(AN4:AN34,"Thunder"),COUNTIF(AN4:AN34,"*Thunder*"),COUNTIF(AN4:AN34,"*Storm*"))</f>
        <v>2</v>
      </c>
      <c r="AV38" s="396">
        <f xml:space="preserve"> SUM(COUNTIF(AN4:AN34,"*Slt*"),COUNTIF(AN4:AN34,"*Snw*"))</f>
        <v>0</v>
      </c>
      <c r="AW38" s="145">
        <f>COUNTIF(W4:W34, "&gt;38")</f>
        <v>0</v>
      </c>
      <c r="AX38" s="359">
        <f xml:space="preserve"> SUM(COUNTIF(AN4:AN34,"Hail"),COUNTIF(AN4:AN34,"*Hail*"))</f>
        <v>0</v>
      </c>
      <c r="AY38" s="396">
        <f>COUNTIF(Z4:Z34,"&gt;19.9")</f>
        <v>0</v>
      </c>
      <c r="AZ38" s="360"/>
      <c r="BA38" s="689">
        <f xml:space="preserve"> SUM(COUNTIF(AN4:AN34,"cm"),COUNTIF(AN4:AN34,"*cm*"))</f>
        <v>0</v>
      </c>
      <c r="BB38" s="689"/>
      <c r="BC38" s="568">
        <f xml:space="preserve"> SUM(COUNTIF(AN4:AN34,"Dense"),COUNTIF(AN4:AN34,"*Dense*"))</f>
        <v>0</v>
      </c>
      <c r="BD38" s="417">
        <f t="array" ref="BD38">SUM(IF(AP4:AP34&gt;0.95*AT91:AT121,1,0))</f>
        <v>0</v>
      </c>
      <c r="BE38" s="523"/>
      <c r="BH38" s="25"/>
      <c r="BK38" s="88"/>
      <c r="BL38" s="78"/>
    </row>
    <row r="39" spans="1:64" ht="12.75" customHeight="1" x14ac:dyDescent="0.2">
      <c r="A39" s="67"/>
      <c r="B39" s="214">
        <f>IF(ISBLANK(F4),"",AVERAGE(B4:B34))</f>
        <v>12.619354838709677</v>
      </c>
      <c r="C39" s="287">
        <f>IF(ISBLANK(P4),"",AVERAGE(C4:C34))</f>
        <v>21.058064516129026</v>
      </c>
      <c r="D39" s="686"/>
      <c r="E39" s="4" t="s">
        <v>9</v>
      </c>
      <c r="F39" s="163">
        <v>13.4</v>
      </c>
      <c r="G39" s="94">
        <v>22.4</v>
      </c>
      <c r="H39" s="390" t="s">
        <v>4</v>
      </c>
      <c r="I39" s="162">
        <v>9</v>
      </c>
      <c r="J39" s="19"/>
      <c r="K39" s="22"/>
      <c r="L39" s="22"/>
      <c r="M39" s="538" t="s">
        <v>4</v>
      </c>
      <c r="N39" s="22"/>
      <c r="O39" s="18"/>
      <c r="P39" s="22"/>
      <c r="Q39" s="22"/>
      <c r="R39" s="380">
        <v>1013.25</v>
      </c>
      <c r="S39" s="22"/>
      <c r="T39" s="70"/>
      <c r="U39" s="259">
        <v>4.3049999999999997</v>
      </c>
      <c r="V39" s="259"/>
      <c r="X39" s="260"/>
      <c r="Y39" s="70"/>
      <c r="Z39" s="504">
        <v>47</v>
      </c>
      <c r="AA39" s="105"/>
      <c r="AB39" s="505"/>
      <c r="AC39" s="515"/>
      <c r="AD39" s="490">
        <v>1.6785714285714286</v>
      </c>
      <c r="AF39" s="6"/>
      <c r="AG39" s="25"/>
      <c r="AI39" s="25"/>
      <c r="AJ39" s="25"/>
      <c r="AK39" s="56"/>
      <c r="AL39" s="669"/>
      <c r="AM39" s="6"/>
      <c r="AN39" s="253">
        <v>7</v>
      </c>
      <c r="AO39" s="224"/>
      <c r="AP39" s="529">
        <v>185</v>
      </c>
      <c r="AQ39" s="460">
        <v>28</v>
      </c>
      <c r="AR39" s="67"/>
      <c r="AT39" s="357">
        <v>0</v>
      </c>
      <c r="AU39" s="22">
        <v>2.5</v>
      </c>
      <c r="AV39" s="396">
        <v>0</v>
      </c>
      <c r="AW39" s="145"/>
      <c r="AX39" s="359"/>
      <c r="AZ39" s="360"/>
      <c r="BA39" s="616">
        <v>0</v>
      </c>
      <c r="BB39" s="616"/>
      <c r="BC39" s="145"/>
      <c r="BD39" s="145"/>
      <c r="BE39" s="360"/>
      <c r="BF39" s="147"/>
      <c r="BG39" s="147"/>
      <c r="BH39" s="147"/>
      <c r="BI39" s="147"/>
      <c r="BK39" s="88"/>
      <c r="BL39" s="78"/>
    </row>
    <row r="40" spans="1:64" ht="12.75" customHeight="1" x14ac:dyDescent="0.2">
      <c r="A40" s="67"/>
      <c r="B40" s="215">
        <f>IF(ISBLANK(F4),"",B39-F38)</f>
        <v>9.6774193548389675E-2</v>
      </c>
      <c r="C40" s="288">
        <f>IF(ISBLANK(P4),"",C39-G38)</f>
        <v>0</v>
      </c>
      <c r="D40" s="686"/>
      <c r="E40" s="4" t="s">
        <v>10</v>
      </c>
      <c r="F40" s="152">
        <f>IF(ISBLANK(F4),"",F38-F39)</f>
        <v>-0.87741935483871281</v>
      </c>
      <c r="G40" s="151">
        <f>IF(ISBLANK(G4),"",G38-G39)</f>
        <v>-1.3419354838709729</v>
      </c>
      <c r="H40" s="383">
        <f>IF(M53&lt;1,"",AVERAGE(F4:G34))</f>
        <v>16.79032258064516</v>
      </c>
      <c r="I40" s="129">
        <f>IF(ISBLANK(F4),"",SUM(I38-I39))</f>
        <v>-0.46451612903226014</v>
      </c>
      <c r="J40" s="19"/>
      <c r="K40" s="22"/>
      <c r="L40" s="22"/>
      <c r="M40" s="537">
        <f>IF(M53&lt;1,"",AVERAGE(K4:L34))</f>
        <v>66.290322580645167</v>
      </c>
      <c r="N40" s="25"/>
      <c r="O40" s="18"/>
      <c r="P40" s="102"/>
      <c r="Q40" s="22"/>
      <c r="R40" s="378">
        <f>IF(ISBLANK(P4),"",R38-R39)</f>
        <v>0.13709677419353739</v>
      </c>
      <c r="S40" s="22"/>
      <c r="T40" s="70"/>
      <c r="U40" s="266">
        <f>IF(ISBLANK(U4),"",U38-U39)</f>
        <v>-8.2419354838709324E-2</v>
      </c>
      <c r="V40" s="435">
        <f>IF(ISBLANK(U5),"",CORREL(U4:U34,V4:V34))</f>
        <v>0.96009570002419353</v>
      </c>
      <c r="W40" s="435">
        <f>IF(ISBLANK(U5),"",CORREL(U4:U34,W4:W34))</f>
        <v>0.95932083172855087</v>
      </c>
      <c r="X40" s="435">
        <f>IF(ISBLANK(V5),"",CORREL(V4:V34,W4:W34))</f>
        <v>0.97455962674033469</v>
      </c>
      <c r="Y40" s="70"/>
      <c r="Z40" s="465">
        <f>IF(ISBLANK(Z4),"",AB47/AB48)</f>
        <v>1.1212765957446809</v>
      </c>
      <c r="AA40" s="506">
        <f>Z38/Z39</f>
        <v>1.1212765957446809</v>
      </c>
      <c r="AB40" s="506"/>
      <c r="AC40" s="516"/>
      <c r="AD40" s="262">
        <f>IF(Z38&lt;0.3,"",AD38/(Z39/AQ39))</f>
        <v>1.0293686780606905</v>
      </c>
      <c r="AE40" s="527">
        <f>IF($AN$38=0,"",AVERAGE(AD4:AD34))</f>
        <v>1.6583333333333334</v>
      </c>
      <c r="AF40" s="6"/>
      <c r="AI40" s="25"/>
      <c r="AJ40" s="25"/>
      <c r="AK40" s="56"/>
      <c r="AL40" s="669"/>
      <c r="AM40" s="6"/>
      <c r="AN40" s="254">
        <f>SUM(AN38-AN39)</f>
        <v>5</v>
      </c>
      <c r="AO40" s="224"/>
      <c r="AP40" s="530">
        <f>IF(ISBLANK(AP4),"",AP47/AP54)</f>
        <v>0.89945945945945938</v>
      </c>
      <c r="AQ40" s="427">
        <f>IF(ISBLANK(AQ4),"",AQ47/(AQ39/E34))</f>
        <v>1.0892857142857144</v>
      </c>
      <c r="AR40" s="418"/>
      <c r="AT40" s="357">
        <f>SUM(AT38-AT39)</f>
        <v>0</v>
      </c>
      <c r="AU40" s="145">
        <f>SUM(AU38-AU39)</f>
        <v>-0.5</v>
      </c>
      <c r="AV40" s="396">
        <f>AV38-AV39</f>
        <v>0</v>
      </c>
      <c r="AW40" s="145"/>
      <c r="AX40" s="359"/>
      <c r="AZ40" s="360"/>
      <c r="BA40" s="689">
        <f>BA38-BA39</f>
        <v>0</v>
      </c>
      <c r="BB40" s="689"/>
      <c r="BC40" s="145"/>
      <c r="BD40" s="145"/>
      <c r="BE40" s="360"/>
      <c r="BI40" s="25"/>
      <c r="BK40" s="88"/>
      <c r="BL40" s="78"/>
    </row>
    <row r="41" spans="1:64" ht="4.5" customHeight="1" x14ac:dyDescent="0.2">
      <c r="A41" s="74"/>
      <c r="B41" s="289"/>
      <c r="C41" s="290"/>
      <c r="D41" s="686"/>
      <c r="E41" s="40"/>
      <c r="F41" s="41"/>
      <c r="G41" s="41"/>
      <c r="H41" s="42"/>
      <c r="I41" s="41"/>
      <c r="J41" s="61"/>
      <c r="K41" s="43"/>
      <c r="L41" s="43"/>
      <c r="M41" s="44"/>
      <c r="N41" s="43"/>
      <c r="O41" s="18"/>
      <c r="P41" s="43"/>
      <c r="Q41" s="43"/>
      <c r="R41" s="44"/>
      <c r="S41" s="43"/>
      <c r="T41" s="74"/>
      <c r="U41" s="41"/>
      <c r="V41" s="41"/>
      <c r="W41" s="41"/>
      <c r="X41" s="41"/>
      <c r="Y41" s="77"/>
      <c r="Z41" s="507"/>
      <c r="AA41" s="507"/>
      <c r="AB41" s="507"/>
      <c r="AC41" s="517"/>
      <c r="AD41" s="41"/>
      <c r="AE41" s="41"/>
      <c r="AF41" s="6"/>
      <c r="AG41" s="41"/>
      <c r="AH41" s="41"/>
      <c r="AI41" s="41"/>
      <c r="AJ41" s="41"/>
      <c r="AK41" s="77"/>
      <c r="AL41" s="669"/>
      <c r="AM41" s="6"/>
      <c r="AN41" s="39"/>
      <c r="AO41" s="39"/>
      <c r="AP41" s="39"/>
      <c r="AQ41" s="39"/>
      <c r="AR41" s="39"/>
      <c r="AS41" s="41"/>
      <c r="AT41" s="43"/>
      <c r="AU41" s="41"/>
      <c r="AV41" s="41"/>
      <c r="AW41" s="41"/>
      <c r="AX41" s="41"/>
      <c r="AY41" s="41"/>
      <c r="AZ41" s="77"/>
      <c r="BA41" s="41"/>
      <c r="BB41" s="41"/>
      <c r="BC41" s="41"/>
      <c r="BD41" s="41"/>
      <c r="BE41" s="77"/>
      <c r="BF41" s="41"/>
      <c r="BG41" s="41"/>
      <c r="BH41" s="39"/>
      <c r="BI41" s="41"/>
      <c r="BJ41" s="41"/>
      <c r="BK41" s="39"/>
      <c r="BL41" s="80"/>
    </row>
    <row r="42" spans="1:64" ht="12.75" customHeight="1" x14ac:dyDescent="0.2">
      <c r="A42" s="67"/>
      <c r="B42" s="705" t="s">
        <v>98</v>
      </c>
      <c r="C42" s="706"/>
      <c r="D42" s="686"/>
      <c r="E42" s="4" t="s">
        <v>5</v>
      </c>
      <c r="F42" s="25">
        <f>F86-F85</f>
        <v>5.3000000000000007</v>
      </c>
      <c r="G42" s="25">
        <f>G86-G85</f>
        <v>9.1999999999999993</v>
      </c>
      <c r="H42" s="25">
        <f>H86-H85</f>
        <v>5.5000000000000018</v>
      </c>
      <c r="I42" s="25">
        <f>I86-I85</f>
        <v>8.7999999999999989</v>
      </c>
      <c r="J42" s="20"/>
      <c r="K42" s="22">
        <f>K86-K85</f>
        <v>37</v>
      </c>
      <c r="L42" s="22">
        <f>L86-L85</f>
        <v>28</v>
      </c>
      <c r="M42" s="22">
        <f>M86-M85</f>
        <v>41</v>
      </c>
      <c r="N42" s="22">
        <f>N86-N85</f>
        <v>32</v>
      </c>
      <c r="O42" s="20"/>
      <c r="P42" s="22">
        <f>P86-P85</f>
        <v>30</v>
      </c>
      <c r="Q42" s="22">
        <f>Q86-Q85</f>
        <v>31</v>
      </c>
      <c r="R42" s="22">
        <f>R86-R85</f>
        <v>30.5</v>
      </c>
      <c r="S42" s="22">
        <f>S86-S85</f>
        <v>15</v>
      </c>
      <c r="T42" s="75"/>
      <c r="U42" s="25">
        <f>U86-U85</f>
        <v>6.1000000000000005</v>
      </c>
      <c r="V42" s="25">
        <f>V86-V85</f>
        <v>13.400000000000002</v>
      </c>
      <c r="W42" s="25">
        <f>W86-W85</f>
        <v>18.2</v>
      </c>
      <c r="X42" s="25"/>
      <c r="Y42" s="135"/>
      <c r="Z42" s="38">
        <f>Z86-Z85</f>
        <v>13.7</v>
      </c>
      <c r="AA42" s="38">
        <f>AA86-AA85</f>
        <v>3.8</v>
      </c>
      <c r="AB42" s="38">
        <f>AB86-AB85</f>
        <v>2.7</v>
      </c>
      <c r="AC42" s="510">
        <f>AC86-AC85</f>
        <v>0.24478178368121439</v>
      </c>
      <c r="AD42" s="25">
        <f>AE86-AE85</f>
        <v>1.6333333333333333</v>
      </c>
      <c r="AE42" s="22">
        <f>AD86-AD85</f>
        <v>59</v>
      </c>
      <c r="AF42" s="6"/>
      <c r="AG42" s="25">
        <f>AG86-AG85</f>
        <v>7.6</v>
      </c>
      <c r="AH42" s="25">
        <f>AH86-AH85</f>
        <v>7.9999999999999982</v>
      </c>
      <c r="AI42" s="25">
        <f>AI86-AI85</f>
        <v>7.1000000000000005</v>
      </c>
      <c r="AJ42" s="25">
        <f>AJ86-AJ85</f>
        <v>5.6000000000000005</v>
      </c>
      <c r="AK42" s="56"/>
      <c r="AL42" s="669"/>
      <c r="AM42" s="6"/>
      <c r="AN42" s="4" t="s">
        <v>80</v>
      </c>
      <c r="AO42" s="223"/>
      <c r="AP42" s="25">
        <f>AP86-AP85</f>
        <v>12.8</v>
      </c>
      <c r="AQ42" s="22">
        <f>AQ86-AQ85</f>
        <v>6</v>
      </c>
      <c r="AR42" s="70"/>
      <c r="AS42" s="25">
        <f t="shared" ref="AS42:AY42" si="22">AS86-AS85</f>
        <v>0.6705128205128208</v>
      </c>
      <c r="AT42" s="25">
        <f t="shared" si="22"/>
        <v>2.6243478260869608</v>
      </c>
      <c r="AU42" s="25">
        <f t="shared" si="22"/>
        <v>1.723478260869566</v>
      </c>
      <c r="AV42" s="25">
        <f t="shared" si="22"/>
        <v>2.6533333333333333</v>
      </c>
      <c r="AW42" s="25">
        <f t="shared" si="22"/>
        <v>14.763636363636358</v>
      </c>
      <c r="AX42" s="25">
        <f t="shared" si="22"/>
        <v>6.5250000000000909</v>
      </c>
      <c r="AY42" s="25">
        <f t="shared" si="22"/>
        <v>2.0244444444444447</v>
      </c>
      <c r="AZ42" s="56"/>
      <c r="BA42" s="25">
        <f>G42</f>
        <v>9.1999999999999993</v>
      </c>
      <c r="BB42" s="25">
        <f>H42</f>
        <v>5.5000000000000018</v>
      </c>
      <c r="BC42" s="25">
        <f>I42</f>
        <v>8.7999999999999989</v>
      </c>
      <c r="BD42" s="22"/>
      <c r="BE42" s="67"/>
      <c r="BF42" s="13">
        <f>AS42</f>
        <v>0.6705128205128208</v>
      </c>
      <c r="BG42" s="13">
        <f>AT42</f>
        <v>2.6243478260869608</v>
      </c>
      <c r="BH42" s="13">
        <f>BH86-BH85</f>
        <v>2.3728571428571481</v>
      </c>
      <c r="BI42" s="93">
        <f>BI86-BI85</f>
        <v>0.99250253292806456</v>
      </c>
      <c r="BJ42" s="93">
        <f>BJ86-BJ85</f>
        <v>0.66721143410458683</v>
      </c>
      <c r="BK42" s="88"/>
      <c r="BL42" s="78"/>
    </row>
    <row r="43" spans="1:64" ht="12.75" customHeight="1" x14ac:dyDescent="0.2">
      <c r="A43" s="67"/>
      <c r="B43" s="216">
        <f>COUNTIF(O4:O34,1)</f>
        <v>3</v>
      </c>
      <c r="C43" s="291">
        <f>COUNTIF(J4:J34,1)</f>
        <v>0</v>
      </c>
      <c r="D43" s="686"/>
      <c r="E43" s="12" t="s">
        <v>174</v>
      </c>
      <c r="F43" s="25">
        <f>IF(ISBLANK($G$6),"",STDEV(F4:F34))</f>
        <v>1.3717895070355801</v>
      </c>
      <c r="G43" s="25">
        <f>IF(ISBLANK($G$6),"",STDEV(G4:G34))</f>
        <v>2.3907842776724428</v>
      </c>
      <c r="H43" s="25">
        <f>IF(ISBLANK($H$6),"",STDEV(H4:H34))</f>
        <v>1.4709882567895987</v>
      </c>
      <c r="I43" s="25">
        <f>IF(ISBLANK($G$6),"",STDEV(I4:I34))</f>
        <v>2.859900742694502</v>
      </c>
      <c r="J43" s="56"/>
      <c r="K43" s="25">
        <f>IF(ISBLANK($G$6),"",STDEV(K4:K34))</f>
        <v>11.519688615863343</v>
      </c>
      <c r="L43" s="25">
        <f>IF(ISBLANK($G$6),"",STDEV(L4:L34))</f>
        <v>8.0371449485953157</v>
      </c>
      <c r="M43" s="25">
        <f>IF(ISBLANK($H$6),"",STDEV(M4:M34))</f>
        <v>10.694888740014546</v>
      </c>
      <c r="N43" s="25">
        <f>IF(ISBLANK($G$6),"",STDEV(N4:N34))</f>
        <v>9.1985272313456008</v>
      </c>
      <c r="O43" s="56"/>
      <c r="P43" s="25">
        <f>IF(ISBLANK($G$6),"",STDEV(P4:P34))</f>
        <v>8.173521371655136</v>
      </c>
      <c r="Q43" s="25">
        <f>IF(ISBLANK($G$6),"",STDEV(Q4:Q34))</f>
        <v>7.3014949124812256</v>
      </c>
      <c r="R43" s="25">
        <f>IF(ISBLANK($G$6),"",STDEV(R4:R34))</f>
        <v>7.5869511634772788</v>
      </c>
      <c r="S43" s="25">
        <f>IF(ISBLANK($G$6),"",STDEV(S4:S34))</f>
        <v>3.1605770536134625</v>
      </c>
      <c r="T43" s="75"/>
      <c r="U43" s="25">
        <f>IF(ISBLANK($G$6),"",STDEV(U4:U34))</f>
        <v>1.8681023664705585</v>
      </c>
      <c r="V43" s="25">
        <f>IF(ISBLANK($G$6),"",STDEV(V4:V34))</f>
        <v>3.7325479204552292</v>
      </c>
      <c r="W43" s="25">
        <f>IF(ISBLANK($G$6),"",STDEV(W4:W34))</f>
        <v>5.5337439930525578</v>
      </c>
      <c r="X43" s="25"/>
      <c r="Y43" s="135"/>
      <c r="Z43" s="38">
        <f>IF(ISBLANK($G$6),"",STDEV(Z4:Z34))</f>
        <v>2.9668164756182676</v>
      </c>
      <c r="AA43" s="38">
        <f>IF(AA86-AA85=0,"",STDEV(AA4:AA34))</f>
        <v>1.452230821520587</v>
      </c>
      <c r="AB43" s="38">
        <f>IF(AB86-AB85=0,"",STDEV(AB4:AB34))</f>
        <v>0.94285436785028442</v>
      </c>
      <c r="AC43" s="510">
        <f>IF(AC86-AC85=0,"",STDEV(AC4:AC34))</f>
        <v>6.4815946688672188E-2</v>
      </c>
      <c r="AD43" s="25">
        <f>IF(AE86-AE85=0,"",STDEV(AD4:AD34))</f>
        <v>0.53328992878934822</v>
      </c>
      <c r="AE43" s="25">
        <f>IF(AD86-AD85=0,"",STDEV(AE4:AE34))</f>
        <v>18.94016895383988</v>
      </c>
      <c r="AF43" s="6"/>
      <c r="AG43" s="25">
        <f>IF(ISBLANK($AG$6),"",STDEV(AG4:AG34))</f>
        <v>2.4378908564488633</v>
      </c>
      <c r="AH43" s="25">
        <f>IF(ISBLANK($AH$6),"",STDEV(AH4:AH34))</f>
        <v>1.8445152640029503</v>
      </c>
      <c r="AI43" s="25">
        <f>IF(ISBLANK($AI$6),"",STDEV(AI4:AI34))</f>
        <v>1.9586312973961644</v>
      </c>
      <c r="AJ43" s="25">
        <f>IF(ISBLANK($AH$6),"",STDEV(AJ4:AJ34))</f>
        <v>1.6690413190604889</v>
      </c>
      <c r="AK43" s="56"/>
      <c r="AL43" s="669"/>
      <c r="AM43" s="6"/>
      <c r="AN43" s="22">
        <f>M53-AN91</f>
        <v>12</v>
      </c>
      <c r="AO43" s="224"/>
      <c r="AP43" s="25">
        <f>IF(ISBLANK($AP$6),"",STDEV(AP4:AP34))</f>
        <v>3.8985798351685452</v>
      </c>
      <c r="AQ43" s="25">
        <f>IF(ISBLANK($AQ$6),"",STDEV(AQ4:AQ34))</f>
        <v>1.5026857675938214</v>
      </c>
      <c r="AR43" s="56"/>
      <c r="AS43" s="25">
        <f>IF(ISBLANK($G$6),"",STDEV(AS4:AS34))</f>
        <v>0.55677192595298941</v>
      </c>
      <c r="AT43" s="25">
        <f>IF(ISBLANK($G$6),"",STDEV(AT4:AT34))</f>
        <v>0.6601263868550753</v>
      </c>
      <c r="AU43" s="25">
        <f>IF(ISBLANK($G$6),"",STDEV(AU4:AU34))</f>
        <v>0.51684427858716786</v>
      </c>
      <c r="AV43" s="25">
        <f>IF(ISBLANK($G$6),"",STDEV(AV4:AV34))</f>
        <v>0.69828309399651334</v>
      </c>
      <c r="AW43" s="25">
        <f>IF(ISBLANK($M$6),"",STDEV(AW4:AW34))</f>
        <v>5.2481399115205463</v>
      </c>
      <c r="AX43" s="25">
        <f>IF(ISBLANK($G$6),"",STDEV(AX4:AX34))</f>
        <v>3.3925221380669028</v>
      </c>
      <c r="AY43" s="25">
        <f>IF(ISBLANK($G$6),"",STDEV(BA4:BA34))</f>
        <v>1.6377969049906438</v>
      </c>
      <c r="AZ43" s="56"/>
      <c r="BA43" s="25">
        <f>IF(ISBLANK($G$6),"",STDEV(BB4:BB34))</f>
        <v>2.4793587447052183</v>
      </c>
      <c r="BB43" s="25">
        <f>IF(ISBLANK($G$6),"",STDEV(BD4:BD34))</f>
        <v>2.8857467000582511</v>
      </c>
      <c r="BC43" s="25">
        <f>IF(ISBLANK($G$6),"",STDEV(BD4:BD34))</f>
        <v>2.8857467000582511</v>
      </c>
      <c r="BD43" s="25"/>
      <c r="BE43" s="56"/>
      <c r="BF43" s="25">
        <f>IF(ISBLANK($G$6),"",STDEV(BF4:BF34))</f>
        <v>0.57864275019773415</v>
      </c>
      <c r="BG43" s="25">
        <f>IF(ISBLANK($G$6),"",STDEV(BG4:BG34))</f>
        <v>0.8147769028837154</v>
      </c>
      <c r="BH43" s="25">
        <f>IF(ISBLANK($G$6),"",STDEV(BH4:BH34))</f>
        <v>0.59694869446486654</v>
      </c>
      <c r="BI43" s="93">
        <f>IF(ISBLANK($Z$6),"",STDEV(BI4:BI34))</f>
        <v>0.48430988261026447</v>
      </c>
      <c r="BJ43" s="93">
        <f>IF(ISBLANK($Z$6),"",STDEV(BJ4:BJ34))</f>
        <v>0.26113506616470178</v>
      </c>
      <c r="BK43" s="402"/>
      <c r="BL43" s="78"/>
    </row>
    <row r="44" spans="1:64" ht="4.5" customHeight="1" x14ac:dyDescent="0.2">
      <c r="A44" s="67"/>
      <c r="B44" s="63"/>
      <c r="C44" s="66"/>
      <c r="D44" s="63"/>
      <c r="E44" s="64"/>
      <c r="F44" s="66"/>
      <c r="G44" s="66"/>
      <c r="H44" s="66"/>
      <c r="I44" s="66"/>
      <c r="J44" s="62"/>
      <c r="K44" s="66"/>
      <c r="L44" s="66"/>
      <c r="M44" s="66"/>
      <c r="N44" s="65"/>
      <c r="O44" s="62"/>
      <c r="P44" s="66"/>
      <c r="Q44" s="66"/>
      <c r="R44" s="66"/>
      <c r="S44" s="66"/>
      <c r="T44" s="66"/>
      <c r="U44" s="66"/>
      <c r="V44" s="66"/>
      <c r="W44" s="66"/>
      <c r="X44" s="66"/>
      <c r="Y44" s="135"/>
      <c r="Z44" s="66"/>
      <c r="AA44" s="66"/>
      <c r="AB44" s="66"/>
      <c r="AC44" s="66"/>
      <c r="AD44" s="66"/>
      <c r="AE44" s="66"/>
      <c r="AF44" s="6"/>
      <c r="AG44" s="66"/>
      <c r="AH44" s="66"/>
      <c r="AI44" s="132"/>
      <c r="AJ44" s="132"/>
      <c r="AK44" s="6"/>
      <c r="AL44" s="132"/>
      <c r="AM44" s="6"/>
      <c r="AN44" s="66"/>
      <c r="AO44" s="402"/>
      <c r="AP44" s="63"/>
      <c r="AQ44" s="63"/>
      <c r="AR44" s="67"/>
      <c r="AS44" s="66"/>
      <c r="AT44" s="65"/>
      <c r="AU44" s="66"/>
      <c r="AV44" s="66"/>
      <c r="AW44" s="66"/>
      <c r="AX44" s="66"/>
      <c r="AY44" s="66"/>
      <c r="AZ44" s="56"/>
      <c r="BA44" s="66"/>
      <c r="BB44" s="66"/>
      <c r="BC44" s="66"/>
      <c r="BD44" s="66"/>
      <c r="BE44" s="56"/>
      <c r="BF44" s="66"/>
      <c r="BG44" s="66"/>
      <c r="BH44" s="63"/>
      <c r="BI44" s="63"/>
      <c r="BJ44" s="66"/>
      <c r="BK44" s="88"/>
      <c r="BL44" s="78"/>
    </row>
    <row r="45" spans="1:64" ht="5.25" customHeight="1" thickBot="1" x14ac:dyDescent="0.25">
      <c r="A45" s="67"/>
      <c r="B45" s="21"/>
      <c r="C45" s="25"/>
      <c r="D45" s="21"/>
      <c r="E45" s="4"/>
      <c r="F45" s="25"/>
      <c r="G45" s="25"/>
      <c r="H45" s="25"/>
      <c r="I45" s="25"/>
      <c r="J45" s="18"/>
      <c r="K45" s="25"/>
      <c r="L45" s="25"/>
      <c r="M45" s="25"/>
      <c r="N45" s="22"/>
      <c r="O45" s="18"/>
      <c r="P45" s="25"/>
      <c r="Q45" s="25"/>
      <c r="R45" s="25"/>
      <c r="S45" s="25"/>
      <c r="T45" s="56"/>
      <c r="U45" s="25"/>
      <c r="V45" s="25"/>
      <c r="W45" s="25"/>
      <c r="X45" s="25"/>
      <c r="Y45" s="135"/>
      <c r="AF45" s="56"/>
      <c r="AG45" s="25"/>
      <c r="AH45" s="25"/>
      <c r="AK45" s="6"/>
      <c r="AM45" s="6"/>
      <c r="AN45" s="25"/>
      <c r="AO45" s="402"/>
      <c r="AP45" s="21"/>
      <c r="AQ45" s="21"/>
      <c r="AR45" s="67"/>
      <c r="AS45" s="25"/>
      <c r="AT45" s="22"/>
      <c r="AU45" s="25"/>
      <c r="AV45" s="25"/>
      <c r="AW45" s="25"/>
      <c r="AX45" s="25"/>
      <c r="AY45" s="25"/>
      <c r="AZ45" s="56"/>
      <c r="BA45" s="25"/>
      <c r="BB45" s="25"/>
      <c r="BC45" s="25"/>
      <c r="BD45" s="25"/>
      <c r="BE45" s="56"/>
      <c r="BF45" s="25"/>
      <c r="BG45" s="25"/>
      <c r="BH45" s="21"/>
      <c r="BI45" s="21"/>
      <c r="BJ45" s="25"/>
      <c r="BK45" s="67"/>
      <c r="BL45" s="78"/>
    </row>
    <row r="46" spans="1:64" ht="15" customHeight="1" x14ac:dyDescent="0.2">
      <c r="A46" s="67"/>
      <c r="B46" s="702" t="s">
        <v>132</v>
      </c>
      <c r="C46" s="703"/>
      <c r="D46" s="703"/>
      <c r="E46" s="704"/>
      <c r="F46" s="349">
        <f>F40</f>
        <v>-0.87741935483871281</v>
      </c>
      <c r="G46" s="350">
        <f>G40</f>
        <v>-1.3419354838709729</v>
      </c>
      <c r="H46" s="382">
        <f>AY82</f>
        <v>-1.1096774193548384</v>
      </c>
      <c r="I46" s="352">
        <f>I40</f>
        <v>-0.46451612903226014</v>
      </c>
      <c r="J46" s="18"/>
      <c r="K46" s="353">
        <f>K38</f>
        <v>48.645161290322584</v>
      </c>
      <c r="L46" s="298">
        <f>L38</f>
        <v>83.935483870967744</v>
      </c>
      <c r="M46" s="354">
        <f>M38</f>
        <v>66.225806451612897</v>
      </c>
      <c r="N46" s="25">
        <f>N38</f>
        <v>35.29032258064516</v>
      </c>
      <c r="O46" s="18"/>
      <c r="P46" s="25"/>
      <c r="Q46" s="25"/>
      <c r="R46" s="381">
        <f>R40</f>
        <v>0.13709677419353739</v>
      </c>
      <c r="S46" s="162">
        <f>S38</f>
        <v>4.4516129032258061</v>
      </c>
      <c r="T46" s="56"/>
      <c r="U46" s="355">
        <f>U38</f>
        <v>4.2225806451612904</v>
      </c>
      <c r="W46" s="304" t="s">
        <v>113</v>
      </c>
      <c r="X46" s="22">
        <f>COUNTIF(X4:X34,"N")</f>
        <v>8</v>
      </c>
      <c r="Y46" s="135"/>
      <c r="Z46" s="681" t="s">
        <v>151</v>
      </c>
      <c r="AA46" s="668">
        <f>IF(AN48=0,"n/a",Z38/AN48)</f>
        <v>4.0538461538461537</v>
      </c>
      <c r="AB46" s="385" t="s">
        <v>189</v>
      </c>
      <c r="AC46" s="268" t="s">
        <v>282</v>
      </c>
      <c r="AF46" s="135"/>
      <c r="AG46" s="392">
        <f>AG38</f>
        <v>7.5258064516129046</v>
      </c>
      <c r="AH46" s="393">
        <f>AH38</f>
        <v>12.390322580645158</v>
      </c>
      <c r="AI46" s="348">
        <f>AI38</f>
        <v>9.9903225806451612</v>
      </c>
      <c r="AJ46" s="49">
        <f>AJ38</f>
        <v>4.8645161290322587</v>
      </c>
      <c r="AK46" s="126"/>
      <c r="AL46" s="356"/>
      <c r="AM46" s="6"/>
      <c r="AO46" s="404"/>
      <c r="AP46" s="445">
        <f>AP38/AP39</f>
        <v>0.89945945945945938</v>
      </c>
      <c r="AQ46" s="446">
        <f>AQ38/AQ39</f>
        <v>1.0892857142857142</v>
      </c>
      <c r="AR46" s="6"/>
      <c r="AS46" s="696" t="s">
        <v>131</v>
      </c>
      <c r="AT46" s="650"/>
      <c r="AU46" s="650"/>
      <c r="AV46" s="650"/>
      <c r="AW46" s="650"/>
      <c r="AX46" s="650"/>
      <c r="AY46" s="25"/>
      <c r="AZ46" s="56"/>
      <c r="BC46" s="25"/>
      <c r="BD46" s="25"/>
      <c r="BE46" s="56"/>
      <c r="BF46" s="693" t="s">
        <v>263</v>
      </c>
      <c r="BG46" s="693"/>
      <c r="BH46" s="693"/>
      <c r="BI46" s="693"/>
      <c r="BJ46" s="693"/>
      <c r="BK46" s="67"/>
      <c r="BL46" s="78"/>
    </row>
    <row r="47" spans="1:64" ht="12.75" customHeight="1" x14ac:dyDescent="0.2">
      <c r="A47" s="67"/>
      <c r="B47" s="682" t="s">
        <v>17</v>
      </c>
      <c r="C47" s="683"/>
      <c r="D47" s="684"/>
      <c r="E47" s="581" t="s">
        <v>15</v>
      </c>
      <c r="F47" s="349">
        <f>F38</f>
        <v>12.522580645161288</v>
      </c>
      <c r="G47" s="350">
        <f>G38</f>
        <v>21.058064516129026</v>
      </c>
      <c r="H47" s="351">
        <f>H38</f>
        <v>16.822580645161292</v>
      </c>
      <c r="I47" s="352">
        <f>I38</f>
        <v>8.5354838709677399</v>
      </c>
      <c r="J47" s="18"/>
      <c r="K47" s="21"/>
      <c r="L47" s="170"/>
      <c r="M47" s="52"/>
      <c r="N47" s="118"/>
      <c r="O47" s="18"/>
      <c r="P47" s="21"/>
      <c r="Q47" s="21"/>
      <c r="R47" s="381">
        <f>R38</f>
        <v>1013.3870967741935</v>
      </c>
      <c r="S47" s="21"/>
      <c r="T47" s="56"/>
      <c r="U47" s="7"/>
      <c r="W47" s="143" t="s">
        <v>105</v>
      </c>
      <c r="X47" s="22">
        <f>COUNTIF(X4:X34,"NE")</f>
        <v>4</v>
      </c>
      <c r="Y47" s="56"/>
      <c r="Z47" s="681"/>
      <c r="AA47" s="668"/>
      <c r="AB47" s="384">
        <f>IF(M53=0,"",AVERAGE(Z4:Z34))</f>
        <v>1.7</v>
      </c>
      <c r="AC47" s="323" t="str">
        <f>IF(M54&gt;0,IF(Z38&gt;Z39,"",AC48/M54/AB48),"n/a")</f>
        <v>n/a</v>
      </c>
      <c r="AE47" s="548"/>
      <c r="AF47" s="56"/>
      <c r="AH47" s="124"/>
      <c r="AI47" s="124"/>
      <c r="AJ47" s="124"/>
      <c r="AK47" s="126"/>
      <c r="AL47" s="124"/>
      <c r="AM47" s="6"/>
      <c r="AN47" s="179" t="s">
        <v>67</v>
      </c>
      <c r="AO47" s="405"/>
      <c r="AP47" s="456">
        <f>IF(ISBLANK(AP4),"",AVERAGE(AP4:AP34))</f>
        <v>5.3677419354838705</v>
      </c>
      <c r="AQ47" s="443">
        <f>IF(ISBLANK(AQ4),"",AVERAGE(AQ4:AQ34))</f>
        <v>0.9838709677419355</v>
      </c>
      <c r="AR47" s="6"/>
      <c r="AS47" s="25"/>
      <c r="AT47" s="22"/>
      <c r="AU47" s="25"/>
      <c r="AV47" s="25"/>
      <c r="AW47" s="25"/>
      <c r="AX47" s="25"/>
      <c r="AY47" s="695" t="s">
        <v>35</v>
      </c>
      <c r="AZ47" s="695"/>
      <c r="BA47" s="695"/>
      <c r="BB47" s="695"/>
      <c r="BC47" s="695"/>
      <c r="BD47" s="695"/>
      <c r="BE47" s="67"/>
      <c r="BF47" s="694" t="s">
        <v>169</v>
      </c>
      <c r="BG47" s="694"/>
      <c r="BH47" s="694"/>
      <c r="BI47" s="694"/>
      <c r="BJ47" s="694"/>
      <c r="BK47" s="2"/>
      <c r="BL47" s="78"/>
    </row>
    <row r="48" spans="1:64" ht="12.75" customHeight="1" x14ac:dyDescent="0.2">
      <c r="A48" s="67"/>
      <c r="B48" s="707" t="s">
        <v>51</v>
      </c>
      <c r="C48" s="708"/>
      <c r="D48" s="709"/>
      <c r="E48" s="142">
        <f>IF(ISBLANK(H5),"",CORREL(H4:H34,R4:R34))</f>
        <v>0.39673019852614116</v>
      </c>
      <c r="F48" s="576">
        <f>IF(ISBLANK(H5),"",ABS(E48))</f>
        <v>0.39673019852614116</v>
      </c>
      <c r="J48" s="18"/>
      <c r="K48" s="636" t="s">
        <v>377</v>
      </c>
      <c r="L48" s="636"/>
      <c r="M48" s="636"/>
      <c r="N48" s="636"/>
      <c r="O48" s="17"/>
      <c r="R48" s="25"/>
      <c r="S48" s="25"/>
      <c r="T48" s="56"/>
      <c r="U48" s="266"/>
      <c r="W48" s="304" t="s">
        <v>106</v>
      </c>
      <c r="X48" s="22">
        <f>COUNTIF(X4:X34,"E")</f>
        <v>0</v>
      </c>
      <c r="Y48" s="6"/>
      <c r="AB48" s="438">
        <f>Z39/E34</f>
        <v>1.5161290322580645</v>
      </c>
      <c r="AC48" s="579">
        <f>ABS(Z39-Z38)</f>
        <v>5.6999999999999957</v>
      </c>
      <c r="AD48" s="578" t="str">
        <f>IF(Z38&gt;Z39,"Excess","Deficit")</f>
        <v>Excess</v>
      </c>
      <c r="AE48" s="547"/>
      <c r="AF48" s="6"/>
      <c r="AK48" s="6"/>
      <c r="AL48" s="124"/>
      <c r="AM48" s="6"/>
      <c r="AN48" s="5">
        <f>SUM(AJ91:AJ121)</f>
        <v>13</v>
      </c>
      <c r="AO48" s="406"/>
      <c r="AR48" s="6"/>
      <c r="AS48" s="641" t="s">
        <v>447</v>
      </c>
      <c r="AT48" s="642"/>
      <c r="AU48" s="643"/>
      <c r="AV48" s="139"/>
      <c r="AY48" s="4" t="s">
        <v>164</v>
      </c>
      <c r="AZ48" s="68"/>
      <c r="BA48" s="4" t="s">
        <v>199</v>
      </c>
      <c r="BB48" s="329" t="s">
        <v>166</v>
      </c>
      <c r="BC48" s="147" t="s">
        <v>326</v>
      </c>
      <c r="BD48" s="147" t="s">
        <v>10</v>
      </c>
      <c r="BE48" s="67"/>
      <c r="BF48" s="181" t="s">
        <v>21</v>
      </c>
      <c r="BG48" s="294" t="s">
        <v>22</v>
      </c>
      <c r="BH48" s="335" t="s">
        <v>171</v>
      </c>
      <c r="BI48" s="336" t="s">
        <v>170</v>
      </c>
      <c r="BJ48" s="97" t="s">
        <v>172</v>
      </c>
      <c r="BK48" s="16"/>
      <c r="BL48" s="78"/>
    </row>
    <row r="49" spans="1:64" ht="12.75" customHeight="1" x14ac:dyDescent="0.2">
      <c r="A49" s="67"/>
      <c r="B49" s="707" t="s">
        <v>50</v>
      </c>
      <c r="C49" s="708"/>
      <c r="D49" s="709"/>
      <c r="E49" s="89">
        <f>IF(ISBLANK(H5),"",CORREL(H4:H34,M4:M34))</f>
        <v>-0.65843919694570274</v>
      </c>
      <c r="F49" s="576">
        <f>IF(ISBLANK(H5),"",ABS(E49))</f>
        <v>0.65843919694570274</v>
      </c>
      <c r="H49" s="4"/>
      <c r="I49" s="4"/>
      <c r="J49" s="18"/>
      <c r="K49" s="152">
        <f ca="1">IF(ISBLANK(F4),"",F38-AVERAGE(OFFSET(F91,0,0,M53)))</f>
        <v>-0.85532258064516142</v>
      </c>
      <c r="L49" s="151">
        <f ca="1">IF(ISBLANK(G4),"",G38-AVERAGE(OFFSET(G91,0,0,M53)))</f>
        <v>-1.3725806451612854</v>
      </c>
      <c r="M49" s="14">
        <f ca="1">IF(ISBLANK(G4),"",AVERAGE(K49:L49))</f>
        <v>-1.1139516129032234</v>
      </c>
      <c r="N49" s="129">
        <f ca="1">IF(ISBLANK(H4),"",I38-AVERAGE(OFFSET(I91,0,0,M53)))</f>
        <v>-0.51725806451613465</v>
      </c>
      <c r="O49" s="18"/>
      <c r="R49" s="21"/>
      <c r="S49" s="21"/>
      <c r="T49" s="56"/>
      <c r="U49" s="300"/>
      <c r="W49" s="304" t="s">
        <v>112</v>
      </c>
      <c r="X49" s="22">
        <f>COUNTIF(X4:X34,"SE")</f>
        <v>1</v>
      </c>
      <c r="Y49" s="67"/>
      <c r="Z49" s="648" t="s">
        <v>115</v>
      </c>
      <c r="AA49" s="648"/>
      <c r="AE49" s="547"/>
      <c r="AF49" s="67"/>
      <c r="AG49" s="710" t="s">
        <v>179</v>
      </c>
      <c r="AH49" s="710"/>
      <c r="AI49" s="710"/>
      <c r="AJ49" s="710"/>
      <c r="AK49" s="313"/>
      <c r="AL49" s="124"/>
      <c r="AM49" s="67"/>
      <c r="AO49" s="224"/>
      <c r="AP49" s="457" t="s">
        <v>215</v>
      </c>
      <c r="AR49" s="6"/>
      <c r="AS49" s="644" t="s">
        <v>17</v>
      </c>
      <c r="AT49" s="645"/>
      <c r="AU49" s="280" t="s">
        <v>15</v>
      </c>
      <c r="AX49" s="361">
        <v>1</v>
      </c>
      <c r="AY49" s="23">
        <f t="shared" ref="AY49:AY79" si="23">IF(ISBLANK(G4),"",AVERAGE(F4:G4))</f>
        <v>15.35</v>
      </c>
      <c r="AZ49" s="50"/>
      <c r="BA49" s="26">
        <f>BC4</f>
        <v>-1.5667857142857144</v>
      </c>
      <c r="BB49" s="25">
        <f t="shared" ref="BB49:BB79" si="24">IF(ISBLANK(H4),"",AY49-H4)</f>
        <v>-0.84999999999999964</v>
      </c>
      <c r="BC49" s="25">
        <f>IF(ISBLANK(G4),"",(AVERAGE($AY$49:AY49)))</f>
        <v>15.35</v>
      </c>
      <c r="BD49" s="13">
        <f>IF(ISBLANK(G4),"",AVERAGE(BF4:BG4))</f>
        <v>-1.5667857142857144</v>
      </c>
      <c r="BE49" s="67"/>
      <c r="BF49" s="556">
        <v>0.21527777777777779</v>
      </c>
      <c r="BG49" s="556">
        <v>0.61111111111111105</v>
      </c>
      <c r="BH49" s="556">
        <v>0.73263888888888884</v>
      </c>
      <c r="BI49" s="556">
        <v>0.22916666666666666</v>
      </c>
      <c r="BJ49" s="556">
        <v>0.32500000000000001</v>
      </c>
      <c r="BK49" s="20"/>
      <c r="BL49" s="78"/>
    </row>
    <row r="50" spans="1:64" ht="12.75" customHeight="1" x14ac:dyDescent="0.2">
      <c r="A50" s="67"/>
      <c r="B50" s="707" t="s">
        <v>56</v>
      </c>
      <c r="C50" s="708"/>
      <c r="D50" s="709"/>
      <c r="E50" s="89">
        <f>IF(ISBLANK(H5),"",CORREL(M4:M34,R4:R34))</f>
        <v>-0.51441336277087668</v>
      </c>
      <c r="F50" s="576">
        <f>IF(ISBLANK(H5),"",ABS(E50))</f>
        <v>0.51441336277087668</v>
      </c>
      <c r="G50" s="607" t="s">
        <v>427</v>
      </c>
      <c r="H50" s="820" t="s">
        <v>423</v>
      </c>
      <c r="I50" s="821"/>
      <c r="J50" s="18"/>
      <c r="K50" s="8"/>
      <c r="L50" s="118"/>
      <c r="M50" s="118"/>
      <c r="N50" s="118"/>
      <c r="O50" s="18"/>
      <c r="Q50" s="662" t="s">
        <v>132</v>
      </c>
      <c r="R50" s="662"/>
      <c r="T50" s="68"/>
      <c r="U50" s="300"/>
      <c r="W50" s="305" t="s">
        <v>111</v>
      </c>
      <c r="X50" s="22">
        <f>COUNTIF(X4:X34,"S")</f>
        <v>4</v>
      </c>
      <c r="Y50" s="84"/>
      <c r="Z50" s="661" t="s">
        <v>120</v>
      </c>
      <c r="AA50" s="660">
        <v>5</v>
      </c>
      <c r="AB50" s="322"/>
      <c r="AC50" s="646" t="s">
        <v>285</v>
      </c>
      <c r="AD50" s="647"/>
      <c r="AF50" s="67"/>
      <c r="AH50" s="713">
        <f>SUM(AW91:AW121)</f>
        <v>3</v>
      </c>
      <c r="AI50" s="713"/>
      <c r="AJ50" s="93">
        <f>IF(M53=0,"",AH50/M53)</f>
        <v>9.6774193548387094E-2</v>
      </c>
      <c r="AK50" s="68"/>
      <c r="AM50" s="67"/>
      <c r="AN50" s="180" t="s">
        <v>68</v>
      </c>
      <c r="AO50" s="87"/>
      <c r="AP50" s="397">
        <f>IF(M53=0,"",AP38/SUM(AT91:AT121))</f>
        <v>0.3662207448130142</v>
      </c>
      <c r="AR50" s="6"/>
      <c r="AS50" s="637" t="s">
        <v>44</v>
      </c>
      <c r="AT50" s="638"/>
      <c r="AU50" s="92">
        <f>IF(AP4=AP5,"",IF(AP42=0,"",CORREL(G4:G34,AP4:AP34)))</f>
        <v>0.74371696571900969</v>
      </c>
      <c r="AV50" s="577">
        <f>IF(AP4=AP5,"",IF(AP42=0,"",ABS(AU50)))</f>
        <v>0.74371696571900969</v>
      </c>
      <c r="AX50" s="361">
        <v>2</v>
      </c>
      <c r="AY50" s="23">
        <f t="shared" si="23"/>
        <v>17</v>
      </c>
      <c r="AZ50" s="50"/>
      <c r="BA50" s="26">
        <f t="shared" ref="BA50:BA79" si="25">BC5</f>
        <v>-8.5714285714288962E-3</v>
      </c>
      <c r="BB50" s="25">
        <f t="shared" si="24"/>
        <v>-0.80000000000000071</v>
      </c>
      <c r="BC50" s="25">
        <f>IF(ISBLANK(G5),"",(AVERAGE($AY$49:AY50)))</f>
        <v>16.175000000000001</v>
      </c>
      <c r="BD50" s="13">
        <f t="shared" ref="BD50:BD79" si="26">IF(ISBLANK(G5),"",AVERAGE(BF5:BG5))</f>
        <v>-0.78767857142857167</v>
      </c>
      <c r="BE50" s="67"/>
      <c r="BF50" s="556">
        <v>0.22916666666666666</v>
      </c>
      <c r="BG50" s="556">
        <v>0.53819444444444442</v>
      </c>
      <c r="BH50" s="556">
        <v>0.60416666666666663</v>
      </c>
      <c r="BI50" s="556">
        <v>0.26041666666666669</v>
      </c>
      <c r="BJ50" s="556">
        <v>0.74513888888888891</v>
      </c>
      <c r="BK50" s="55"/>
      <c r="BL50" s="78"/>
    </row>
    <row r="51" spans="1:64" ht="12.75" customHeight="1" x14ac:dyDescent="0.2">
      <c r="A51" s="67"/>
      <c r="B51" s="707" t="s">
        <v>11</v>
      </c>
      <c r="C51" s="708"/>
      <c r="D51" s="709"/>
      <c r="E51" s="89">
        <f>IF(ISBLANK(H5),"",CORREL(F4:F34,G4:G34))</f>
        <v>-8.8633825297230254E-2</v>
      </c>
      <c r="F51" s="576">
        <f>IF(ISBLANK(H5),"",ABS(E51))</f>
        <v>8.8633825297230254E-2</v>
      </c>
      <c r="H51" s="821" t="s">
        <v>424</v>
      </c>
      <c r="I51" s="821"/>
      <c r="J51" s="18"/>
      <c r="K51" s="8"/>
      <c r="N51" s="118"/>
      <c r="O51" s="18"/>
      <c r="P51" s="21"/>
      <c r="Q51" s="649" t="s">
        <v>143</v>
      </c>
      <c r="R51" s="649"/>
      <c r="S51" s="21"/>
      <c r="T51" s="68"/>
      <c r="W51" s="304" t="s">
        <v>110</v>
      </c>
      <c r="X51" s="22">
        <f>COUNTIF(X4:X34,"SW")</f>
        <v>8</v>
      </c>
      <c r="Y51" s="67"/>
      <c r="Z51" s="661"/>
      <c r="AA51" s="660"/>
      <c r="AC51" s="714" t="s">
        <v>286</v>
      </c>
      <c r="AD51" s="717">
        <v>0</v>
      </c>
      <c r="AF51" s="67"/>
      <c r="AG51" s="650"/>
      <c r="AH51" s="650"/>
      <c r="AI51" s="650"/>
      <c r="AJ51" s="650"/>
      <c r="AK51" s="6"/>
      <c r="AM51" s="67"/>
      <c r="AN51" s="5">
        <f>M53-AN48</f>
        <v>18</v>
      </c>
      <c r="AO51" s="406"/>
      <c r="AR51" s="6"/>
      <c r="AS51" s="637" t="s">
        <v>39</v>
      </c>
      <c r="AT51" s="638"/>
      <c r="AU51" s="92">
        <f>IF(AP4=AP5,"",IF(AP42=0,"",CORREL(AP4:AP34,I4:I34)))</f>
        <v>0.84659754332707637</v>
      </c>
      <c r="AV51" s="577">
        <f>IF(AP4=AP5,"",IF(AP42=0,"",ABS(AU51)))</f>
        <v>0.84659754332707637</v>
      </c>
      <c r="AX51" s="361">
        <v>3</v>
      </c>
      <c r="AY51" s="23">
        <f t="shared" si="23"/>
        <v>18.350000000000001</v>
      </c>
      <c r="AZ51" s="50"/>
      <c r="BA51" s="26">
        <f t="shared" si="25"/>
        <v>1.2496428571428577</v>
      </c>
      <c r="BB51" s="25">
        <f t="shared" si="24"/>
        <v>-0.44999999999999929</v>
      </c>
      <c r="BC51" s="25">
        <f>IF(ISBLANK(G6),"",(AVERAGE($AY$49:AY51)))</f>
        <v>16.900000000000002</v>
      </c>
      <c r="BD51" s="13">
        <f t="shared" si="26"/>
        <v>-0.10857142857143032</v>
      </c>
      <c r="BE51" s="67"/>
      <c r="BF51" s="556">
        <v>0.20833333333333334</v>
      </c>
      <c r="BG51" s="556">
        <v>0.61805555555555558</v>
      </c>
      <c r="BH51" s="556">
        <v>0.61805555555555558</v>
      </c>
      <c r="BI51" s="556">
        <v>0.24305555555555555</v>
      </c>
      <c r="BJ51" s="556">
        <v>0.22430555555555556</v>
      </c>
      <c r="BK51" s="18"/>
      <c r="BL51" s="78"/>
    </row>
    <row r="52" spans="1:64" ht="12.75" customHeight="1" x14ac:dyDescent="0.2">
      <c r="A52" s="67"/>
      <c r="B52" s="707" t="s">
        <v>92</v>
      </c>
      <c r="C52" s="708"/>
      <c r="D52" s="709"/>
      <c r="E52" s="89">
        <f>IF(ISBLANK(H5),"",CORREL(K4:K34,L4:L34))</f>
        <v>0.60855174131515155</v>
      </c>
      <c r="F52" s="576">
        <f>IF(ISBLANK(H5),"",ABS(E52))</f>
        <v>0.60855174131515155</v>
      </c>
      <c r="H52" s="598"/>
      <c r="I52" s="598"/>
      <c r="J52" s="18"/>
      <c r="K52" s="8"/>
      <c r="L52" s="187" t="s">
        <v>346</v>
      </c>
      <c r="M52" s="118"/>
      <c r="N52" s="118"/>
      <c r="O52" s="18"/>
      <c r="P52" s="25"/>
      <c r="Q52" s="715">
        <f>IF(ISBLANK(H5),"",AVERAGE(F48:F66,F72:F80,AV50:AV60))</f>
        <v>0.53194187093335543</v>
      </c>
      <c r="R52" s="716"/>
      <c r="S52" s="25"/>
      <c r="T52" s="67"/>
      <c r="W52" s="304" t="s">
        <v>114</v>
      </c>
      <c r="X52" s="22">
        <f>COUNTIF(X4:X34,"W")</f>
        <v>3</v>
      </c>
      <c r="Y52" s="67"/>
      <c r="Z52" s="659" t="s">
        <v>116</v>
      </c>
      <c r="AA52" s="711">
        <f>(Z38+AA50)/Z39</f>
        <v>1.2276595744680849</v>
      </c>
      <c r="AC52" s="714"/>
      <c r="AD52" s="717"/>
      <c r="AF52" s="67"/>
      <c r="AG52" s="712" t="s">
        <v>180</v>
      </c>
      <c r="AH52" s="712"/>
      <c r="AI52" s="712"/>
      <c r="AJ52" s="712"/>
      <c r="AK52" s="314"/>
      <c r="AM52" s="67"/>
      <c r="AO52" s="407"/>
      <c r="AP52" s="639" t="s">
        <v>190</v>
      </c>
      <c r="AQ52" s="640"/>
      <c r="AR52" s="6"/>
      <c r="AS52" s="637" t="s">
        <v>40</v>
      </c>
      <c r="AT52" s="638"/>
      <c r="AU52" s="92">
        <f>IF(AP4=AP5,"",IF(AP42=0,"",CORREL(AP4:AP34,K4:K34)))</f>
        <v>-0.80898426933420364</v>
      </c>
      <c r="AV52" s="577">
        <f>IF(AP4=AP5,"",IF(AP42=0,"",ABS(AU52)))</f>
        <v>0.80898426933420364</v>
      </c>
      <c r="AX52" s="361">
        <v>4</v>
      </c>
      <c r="AY52" s="23">
        <f t="shared" si="23"/>
        <v>19.600000000000001</v>
      </c>
      <c r="AZ52" s="50"/>
      <c r="BA52" s="26">
        <f t="shared" si="25"/>
        <v>2.4078571428571429</v>
      </c>
      <c r="BB52" s="25">
        <f t="shared" si="24"/>
        <v>-0.5</v>
      </c>
      <c r="BC52" s="25">
        <f>IF(ISBLANK(G7),"",(AVERAGE($AY$49:AY52)))</f>
        <v>17.575000000000003</v>
      </c>
      <c r="BD52" s="13">
        <f t="shared" si="26"/>
        <v>0.52053571428571388</v>
      </c>
      <c r="BE52" s="6"/>
      <c r="BF52" s="556">
        <v>0.1076388888888889</v>
      </c>
      <c r="BG52" s="556">
        <v>0.58680555555555558</v>
      </c>
      <c r="BH52" s="556">
        <v>0.61458333333333337</v>
      </c>
      <c r="BI52" s="556">
        <v>0.1111111111111111</v>
      </c>
      <c r="BJ52" s="556">
        <v>0.71250000000000002</v>
      </c>
      <c r="BK52" s="18"/>
      <c r="BL52" s="78"/>
    </row>
    <row r="53" spans="1:64" ht="12.75" customHeight="1" x14ac:dyDescent="0.2">
      <c r="A53" s="67"/>
      <c r="B53" s="707" t="s">
        <v>93</v>
      </c>
      <c r="C53" s="708"/>
      <c r="D53" s="709"/>
      <c r="E53" s="89">
        <f>IF(ISBLANK(H5),"",CORREL(P4:P34,Q4:Q34))</f>
        <v>0.92267942819986415</v>
      </c>
      <c r="F53" s="576">
        <f>IF(ISBLANK(H5),"",ABS(E53))</f>
        <v>0.92267942819986415</v>
      </c>
      <c r="H53" s="598"/>
      <c r="I53" s="598"/>
      <c r="J53" s="18"/>
      <c r="K53" s="8"/>
      <c r="L53" s="21" t="s">
        <v>88</v>
      </c>
      <c r="M53" s="21">
        <f>COUNT(H4:H34)</f>
        <v>31</v>
      </c>
      <c r="N53" s="118"/>
      <c r="O53" s="18"/>
      <c r="Q53" s="663" t="s">
        <v>34</v>
      </c>
      <c r="R53" s="663"/>
      <c r="S53" s="22"/>
      <c r="T53" s="67"/>
      <c r="U53" s="7"/>
      <c r="W53" s="304" t="s">
        <v>128</v>
      </c>
      <c r="X53" s="22">
        <f>COUNTIF(X4:X34,"NW")</f>
        <v>3</v>
      </c>
      <c r="Y53" s="136"/>
      <c r="Z53" s="659"/>
      <c r="AA53" s="711"/>
      <c r="AB53" s="323"/>
      <c r="AC53" s="542" t="s">
        <v>281</v>
      </c>
      <c r="AD53" s="549">
        <f>IF(Z38=0,"",AD51/Z38)</f>
        <v>0</v>
      </c>
      <c r="AF53" s="67"/>
      <c r="AH53" s="713">
        <f>SUM(AX91:AX121)</f>
        <v>0</v>
      </c>
      <c r="AI53" s="713"/>
      <c r="AJ53" s="93">
        <f>IF(M53=0,"",AH53/M53)</f>
        <v>0</v>
      </c>
      <c r="AK53" s="68"/>
      <c r="AL53" s="4"/>
      <c r="AM53" s="67"/>
      <c r="AN53" s="179" t="s">
        <v>77</v>
      </c>
      <c r="AO53" s="88"/>
      <c r="AP53" s="718" t="str">
        <f>IF(M54=0,"",(AP39-AP38)/M54/(AP39/E34))</f>
        <v/>
      </c>
      <c r="AQ53" s="719"/>
      <c r="AR53" s="6"/>
      <c r="AS53" s="637" t="s">
        <v>38</v>
      </c>
      <c r="AT53" s="638"/>
      <c r="AU53" s="92">
        <f>IF(AQ38=0,"",CORREL(AP4:AP34,AQ4:AQ34))</f>
        <v>-0.4393515531502602</v>
      </c>
      <c r="AV53" s="577">
        <f>IF(AQ38=0,"",ABS(AU53))</f>
        <v>0.4393515531502602</v>
      </c>
      <c r="AX53" s="361">
        <v>5</v>
      </c>
      <c r="AY53" s="23">
        <f t="shared" si="23"/>
        <v>19.75</v>
      </c>
      <c r="AZ53" s="50"/>
      <c r="BA53" s="26">
        <f t="shared" si="25"/>
        <v>2.4660714285714294</v>
      </c>
      <c r="BB53" s="25">
        <f t="shared" si="24"/>
        <v>0.75</v>
      </c>
      <c r="BC53" s="25">
        <f>IF(ISBLANK(G8),"",(AVERAGE($AY$49:AY53)))</f>
        <v>18.010000000000002</v>
      </c>
      <c r="BD53" s="13">
        <f t="shared" si="26"/>
        <v>0.90964285714285875</v>
      </c>
      <c r="BE53" s="6"/>
      <c r="BF53" s="556">
        <v>0.22222222222222221</v>
      </c>
      <c r="BG53" s="556">
        <v>0.625</v>
      </c>
      <c r="BH53" s="556">
        <v>0.64236111111111105</v>
      </c>
      <c r="BI53" s="556" t="s">
        <v>233</v>
      </c>
      <c r="BJ53" s="556">
        <v>0.63263888888888886</v>
      </c>
      <c r="BK53" s="18"/>
      <c r="BL53" s="78"/>
    </row>
    <row r="54" spans="1:64" ht="12.75" customHeight="1" x14ac:dyDescent="0.2">
      <c r="A54" s="67"/>
      <c r="B54" s="707" t="s">
        <v>53</v>
      </c>
      <c r="C54" s="708"/>
      <c r="D54" s="709"/>
      <c r="E54" s="89">
        <f>IF(ISBLANK(H5),"",(CORREL(G4:G34,R4:R34)))</f>
        <v>0.34944172684419639</v>
      </c>
      <c r="F54" s="576">
        <f>IF(ISBLANK(H5),"",ABS(E54))</f>
        <v>0.34944172684419639</v>
      </c>
      <c r="H54" s="598"/>
      <c r="I54" s="598"/>
      <c r="J54" s="18"/>
      <c r="K54" s="8"/>
      <c r="L54" s="21" t="s">
        <v>89</v>
      </c>
      <c r="M54" s="21">
        <f>SUM(E34-M53)</f>
        <v>0</v>
      </c>
      <c r="N54" s="118"/>
      <c r="O54" s="18"/>
      <c r="Q54" s="5">
        <f>SUM(E69,E83,AU63)</f>
        <v>21</v>
      </c>
      <c r="R54" s="21" t="s">
        <v>193</v>
      </c>
      <c r="S54" s="608"/>
      <c r="T54" s="67"/>
      <c r="U54" s="7"/>
      <c r="W54" s="300"/>
      <c r="X54" s="25"/>
      <c r="Y54" s="136"/>
      <c r="Z54" s="659" t="s">
        <v>153</v>
      </c>
      <c r="AA54" s="659" t="str">
        <f>IF(M54&gt;0,(Z39-Z38)/M54,"n/a")</f>
        <v>n/a</v>
      </c>
      <c r="AB54" s="267"/>
      <c r="AC54" s="542" t="s">
        <v>283</v>
      </c>
      <c r="AD54" s="549">
        <f>IF(AT67=0,"",AV38/AT67)</f>
        <v>0</v>
      </c>
      <c r="AF54" s="67"/>
      <c r="AK54" s="6"/>
      <c r="AM54" s="67"/>
      <c r="AN54" s="138">
        <f>IF(M53=0,"",AN48/M53)</f>
        <v>0.41935483870967744</v>
      </c>
      <c r="AO54" s="406"/>
      <c r="AP54" s="531">
        <f>AP39/E34</f>
        <v>5.967741935483871</v>
      </c>
      <c r="AQ54" s="532" t="str">
        <f>IF(M54=0,"",(AP39-AP38)/M54)</f>
        <v/>
      </c>
      <c r="AR54" s="6"/>
      <c r="AS54" s="637" t="s">
        <v>49</v>
      </c>
      <c r="AT54" s="638"/>
      <c r="AU54" s="92">
        <f>IF(AQ38=0,"",CORREL(AQ4:AQ34,I4:I34))</f>
        <v>-0.37914983483922327</v>
      </c>
      <c r="AV54" s="577">
        <f>IF(AQ38=0,"",ABS(AU54))</f>
        <v>0.37914983483922327</v>
      </c>
      <c r="AX54" s="361">
        <v>6</v>
      </c>
      <c r="AY54" s="23">
        <f t="shared" si="23"/>
        <v>16.8</v>
      </c>
      <c r="AZ54" s="50"/>
      <c r="BA54" s="26">
        <f t="shared" si="25"/>
        <v>-0.57571428571428296</v>
      </c>
      <c r="BB54" s="25">
        <f t="shared" si="24"/>
        <v>0.10000000000000142</v>
      </c>
      <c r="BC54" s="25">
        <f>IF(ISBLANK(G9),"",(AVERAGE($AY$49:AY54)))</f>
        <v>17.808333333333334</v>
      </c>
      <c r="BD54" s="13">
        <f t="shared" si="26"/>
        <v>0.66208333333333602</v>
      </c>
      <c r="BE54" s="6"/>
      <c r="BF54" s="556">
        <v>0.22569444444444445</v>
      </c>
      <c r="BG54" s="556">
        <v>0.60069444444444442</v>
      </c>
      <c r="BH54" s="556">
        <v>0.68402777777777779</v>
      </c>
      <c r="BI54" s="556">
        <v>0.27083333333333331</v>
      </c>
      <c r="BJ54" s="556">
        <v>0.66666666666666663</v>
      </c>
      <c r="BK54" s="18"/>
      <c r="BL54" s="78"/>
    </row>
    <row r="55" spans="1:64" ht="12.75" customHeight="1" x14ac:dyDescent="0.2">
      <c r="A55" s="67"/>
      <c r="B55" s="707" t="s">
        <v>54</v>
      </c>
      <c r="C55" s="708"/>
      <c r="D55" s="709"/>
      <c r="E55" s="89">
        <f>IF(ISBLANK(H5),"",CORREL(F4:F34,R4:R34))</f>
        <v>-0.16036513914062625</v>
      </c>
      <c r="F55" s="576">
        <f>IF(ISBLANK(H5),"",ABS(E55))</f>
        <v>0.16036513914062625</v>
      </c>
      <c r="H55" s="598"/>
      <c r="I55" s="598"/>
      <c r="J55" s="20"/>
      <c r="K55" s="8"/>
      <c r="L55" s="118"/>
      <c r="M55" s="118"/>
      <c r="N55" s="187"/>
      <c r="O55" s="18"/>
      <c r="Q55" s="21"/>
      <c r="S55" s="21"/>
      <c r="T55" s="67"/>
      <c r="U55" s="7"/>
      <c r="W55" s="300" t="s">
        <v>129</v>
      </c>
      <c r="X55" s="22">
        <f>MAX(X46:X53)</f>
        <v>8</v>
      </c>
      <c r="Y55" s="136"/>
      <c r="Z55" s="659"/>
      <c r="AA55" s="659"/>
      <c r="AB55" s="267"/>
      <c r="AC55" s="543" t="s">
        <v>284</v>
      </c>
      <c r="AD55" s="546" t="s">
        <v>205</v>
      </c>
      <c r="AE55" s="267"/>
      <c r="AF55" s="67"/>
      <c r="AK55" s="6"/>
      <c r="AM55" s="67"/>
      <c r="AO55" s="408"/>
      <c r="AR55" s="6"/>
      <c r="AS55" s="637" t="s">
        <v>96</v>
      </c>
      <c r="AT55" s="638"/>
      <c r="AU55" s="92">
        <f>IF(AQ38=0,"",CORREL(M4:M34,AQ4:AQ34))</f>
        <v>0.65358260992821449</v>
      </c>
      <c r="AV55" s="577">
        <f>IF(AQ38=0,"",ABS(AU55))</f>
        <v>0.65358260992821449</v>
      </c>
      <c r="AX55" s="361">
        <v>7</v>
      </c>
      <c r="AY55" s="23">
        <f t="shared" si="23"/>
        <v>16.350000000000001</v>
      </c>
      <c r="AZ55" s="50"/>
      <c r="BA55" s="26">
        <f t="shared" si="25"/>
        <v>-1.1174999999999997</v>
      </c>
      <c r="BB55" s="25">
        <f t="shared" si="24"/>
        <v>0.45000000000000107</v>
      </c>
      <c r="BC55" s="25">
        <f>IF(ISBLANK(G10),"",(AVERAGE($AY$49:AY55)))</f>
        <v>17.600000000000001</v>
      </c>
      <c r="BD55" s="13">
        <f t="shared" si="26"/>
        <v>0.40785714285714469</v>
      </c>
      <c r="BE55" s="6"/>
      <c r="BF55" s="556">
        <v>0.23958333333333334</v>
      </c>
      <c r="BG55" s="556">
        <v>0.72222222222222221</v>
      </c>
      <c r="BH55" s="556">
        <v>0.77083333333333337</v>
      </c>
      <c r="BI55" s="556" t="s">
        <v>445</v>
      </c>
      <c r="BJ55" s="556">
        <v>0.41249999999999998</v>
      </c>
      <c r="BK55" s="18"/>
      <c r="BL55" s="78"/>
    </row>
    <row r="56" spans="1:64" ht="12.75" customHeight="1" thickBot="1" x14ac:dyDescent="0.25">
      <c r="A56" s="67"/>
      <c r="B56" s="707" t="s">
        <v>55</v>
      </c>
      <c r="C56" s="708"/>
      <c r="D56" s="709"/>
      <c r="E56" s="89">
        <f>IF(ISBLANK(H5),"",CORREL(I4:I34,R4:R34))</f>
        <v>0.36904322793903271</v>
      </c>
      <c r="F56" s="576">
        <f>IF(ISBLANK(H5),"",ABS(E56))</f>
        <v>0.36904322793903271</v>
      </c>
      <c r="J56" s="20"/>
      <c r="O56" s="20"/>
      <c r="T56" s="67"/>
      <c r="U56" s="7"/>
      <c r="V56" s="7"/>
      <c r="W56" s="25"/>
      <c r="X56" s="25"/>
      <c r="Y56" s="136"/>
      <c r="AD56" s="267"/>
      <c r="AE56" s="267"/>
      <c r="AF56" s="166"/>
      <c r="AG56" s="710" t="s">
        <v>126</v>
      </c>
      <c r="AH56" s="710"/>
      <c r="AI56" s="710"/>
      <c r="AJ56" s="710"/>
      <c r="AK56" s="313"/>
      <c r="AL56" s="152"/>
      <c r="AM56" s="67"/>
      <c r="AN56" s="181" t="s">
        <v>109</v>
      </c>
      <c r="AO56" s="88"/>
      <c r="AR56" s="6"/>
      <c r="AS56" s="637" t="s">
        <v>37</v>
      </c>
      <c r="AT56" s="638"/>
      <c r="AU56" s="92">
        <f>IF(AQ38=0,"",CORREL(Z4:Z34,AQ4:AQ34))</f>
        <v>0.95928255446420274</v>
      </c>
      <c r="AV56" s="577">
        <f>IF(AQ38=0,"",ABS(AU56))</f>
        <v>0.95928255446420274</v>
      </c>
      <c r="AX56" s="361">
        <v>8</v>
      </c>
      <c r="AY56" s="23">
        <f t="shared" si="23"/>
        <v>15.850000000000001</v>
      </c>
      <c r="AZ56" s="50"/>
      <c r="BA56" s="26">
        <f t="shared" si="25"/>
        <v>-1.7092857142857101</v>
      </c>
      <c r="BB56" s="25">
        <f t="shared" si="24"/>
        <v>0.35000000000000142</v>
      </c>
      <c r="BC56" s="25">
        <f>IF(ISBLANK(G11),"",(AVERAGE($AY$49:AY56)))</f>
        <v>17.381250000000001</v>
      </c>
      <c r="BD56" s="13">
        <f t="shared" si="26"/>
        <v>0.14321428571428552</v>
      </c>
      <c r="BE56" s="6"/>
      <c r="BF56" s="556">
        <v>0.25694444444444448</v>
      </c>
      <c r="BG56" s="556">
        <v>0.59722222222222221</v>
      </c>
      <c r="BH56" s="556">
        <v>0.77430555555555547</v>
      </c>
      <c r="BI56" s="556">
        <v>0.4375</v>
      </c>
      <c r="BJ56" s="556">
        <v>0.62361111111111112</v>
      </c>
      <c r="BK56" s="18"/>
      <c r="BL56" s="78"/>
    </row>
    <row r="57" spans="1:64" ht="12.75" customHeight="1" x14ac:dyDescent="0.2">
      <c r="A57" s="67"/>
      <c r="B57" s="707" t="s">
        <v>94</v>
      </c>
      <c r="C57" s="708"/>
      <c r="D57" s="709"/>
      <c r="E57" s="89">
        <f>IF(ISBLANK(H5),"",CORREL(N4:N34,R4:R34))</f>
        <v>0.28563147054402727</v>
      </c>
      <c r="F57" s="576">
        <f>IF(ISBLANK(H5),"",ABS(E57))</f>
        <v>0.28563147054402727</v>
      </c>
      <c r="H57" s="720" t="s">
        <v>135</v>
      </c>
      <c r="I57" s="721"/>
      <c r="J57" s="193"/>
      <c r="K57" s="721" t="s">
        <v>35</v>
      </c>
      <c r="L57" s="721"/>
      <c r="M57" s="721"/>
      <c r="N57" s="721"/>
      <c r="O57" s="194"/>
      <c r="P57" s="721" t="s">
        <v>136</v>
      </c>
      <c r="Q57" s="721"/>
      <c r="R57" s="721"/>
      <c r="S57" s="721"/>
      <c r="T57" s="195"/>
      <c r="U57" s="651" t="s">
        <v>159</v>
      </c>
      <c r="V57" s="653" t="s">
        <v>134</v>
      </c>
      <c r="W57" s="655" t="s">
        <v>160</v>
      </c>
      <c r="X57" s="657" t="s">
        <v>181</v>
      </c>
      <c r="Y57" s="196"/>
      <c r="Z57" s="724" t="s">
        <v>133</v>
      </c>
      <c r="AA57" s="724"/>
      <c r="AB57" s="725"/>
      <c r="AC57" s="726" t="s">
        <v>122</v>
      </c>
      <c r="AD57" s="727"/>
      <c r="AE57" s="728"/>
      <c r="AF57" s="166"/>
      <c r="AH57" s="713">
        <f t="array" ref="AH57">MAX(FREQUENCY(IF(AW91:AW121=1,ROW(91:121)),IF(AW91:AW121&lt;&gt;1,ROW(91:121))))</f>
        <v>2</v>
      </c>
      <c r="AI57" s="713"/>
      <c r="AJ57" s="4"/>
      <c r="AK57" s="68"/>
      <c r="AL57" s="4"/>
      <c r="AM57" s="67"/>
      <c r="AN57" s="138">
        <f>IF(AN48=0,"",AN38/AN48)</f>
        <v>0.92307692307692313</v>
      </c>
      <c r="AO57" s="223"/>
      <c r="AR57" s="6"/>
      <c r="AS57" s="637" t="s">
        <v>45</v>
      </c>
      <c r="AT57" s="638"/>
      <c r="AU57" s="92">
        <f>IF(AP4=AP5,"",IF(AP42=0,"",CORREL(AP4:AP34,R4:R34)))</f>
        <v>0.33897231272129019</v>
      </c>
      <c r="AV57" s="577">
        <f>IF(AP4=AP5,"",IF(AP42=0,"",ABS(AU57)))</f>
        <v>0.33897231272129019</v>
      </c>
      <c r="AX57" s="361">
        <v>9</v>
      </c>
      <c r="AY57" s="23">
        <f t="shared" si="23"/>
        <v>17.649999999999999</v>
      </c>
      <c r="AZ57" s="50"/>
      <c r="BA57" s="26">
        <f t="shared" si="25"/>
        <v>-1.0714285714250593E-3</v>
      </c>
      <c r="BB57" s="25">
        <f t="shared" si="24"/>
        <v>0.34999999999999787</v>
      </c>
      <c r="BC57" s="25">
        <f>IF(ISBLANK(G12),"",(AVERAGE($AY$49:AY57)))</f>
        <v>17.411111111111111</v>
      </c>
      <c r="BD57" s="13">
        <f t="shared" si="26"/>
        <v>0.12718253968253901</v>
      </c>
      <c r="BE57" s="6"/>
      <c r="BF57" s="556">
        <v>0.23958333333333334</v>
      </c>
      <c r="BG57" s="556">
        <v>0.65972222222222221</v>
      </c>
      <c r="BH57" s="556">
        <v>0.65972222222222221</v>
      </c>
      <c r="BI57" s="556">
        <v>0.25694444444444448</v>
      </c>
      <c r="BJ57" s="556">
        <v>0.74583333333333324</v>
      </c>
      <c r="BK57" s="18"/>
      <c r="BL57" s="78"/>
    </row>
    <row r="58" spans="1:64" ht="12.75" x14ac:dyDescent="0.2">
      <c r="A58" s="67"/>
      <c r="B58" s="707" t="s">
        <v>14</v>
      </c>
      <c r="C58" s="708"/>
      <c r="D58" s="709"/>
      <c r="E58" s="89">
        <f>IF(ISBLANK(H5),"",CORREL(I4:I34,N4:N34))</f>
        <v>0.67140959409369427</v>
      </c>
      <c r="F58" s="576">
        <f>IF(ISBLANK(H5),"",ABS(E58))</f>
        <v>0.67140959409369427</v>
      </c>
      <c r="H58" s="722"/>
      <c r="I58" s="723"/>
      <c r="J58" s="204"/>
      <c r="K58" s="205" t="s">
        <v>2</v>
      </c>
      <c r="L58" s="206" t="s">
        <v>3</v>
      </c>
      <c r="M58" s="207" t="s">
        <v>156</v>
      </c>
      <c r="N58" s="208" t="s">
        <v>5</v>
      </c>
      <c r="O58" s="204"/>
      <c r="P58" s="205" t="s">
        <v>2</v>
      </c>
      <c r="Q58" s="206" t="s">
        <v>3</v>
      </c>
      <c r="R58" s="207" t="s">
        <v>4</v>
      </c>
      <c r="S58" s="208" t="s">
        <v>5</v>
      </c>
      <c r="T58" s="209"/>
      <c r="U58" s="652"/>
      <c r="V58" s="654"/>
      <c r="W58" s="656"/>
      <c r="X58" s="658"/>
      <c r="Y58" s="210"/>
      <c r="Z58" s="211" t="s">
        <v>137</v>
      </c>
      <c r="AA58" s="211" t="s">
        <v>235</v>
      </c>
      <c r="AB58" s="495" t="s">
        <v>138</v>
      </c>
      <c r="AC58" s="533" t="s">
        <v>140</v>
      </c>
      <c r="AD58" s="534" t="s">
        <v>235</v>
      </c>
      <c r="AE58" s="535" t="s">
        <v>141</v>
      </c>
      <c r="AF58" s="166"/>
      <c r="AG58" s="650"/>
      <c r="AH58" s="650"/>
      <c r="AI58" s="650"/>
      <c r="AJ58" s="650"/>
      <c r="AK58" s="6"/>
      <c r="AM58" s="67"/>
      <c r="AO58" s="224"/>
      <c r="AR58" s="6"/>
      <c r="AS58" s="637" t="s">
        <v>46</v>
      </c>
      <c r="AT58" s="638"/>
      <c r="AU58" s="92">
        <f>IF(ISBLANK(U5),"",CORREL(U4:U34,R4:R34))</f>
        <v>-0.70807565809339457</v>
      </c>
      <c r="AV58" s="577">
        <f>IF(ISBLANK(U5),"",ABS(AU58))</f>
        <v>0.70807565809339457</v>
      </c>
      <c r="AX58" s="361">
        <v>10</v>
      </c>
      <c r="AY58" s="23">
        <f t="shared" si="23"/>
        <v>17.45</v>
      </c>
      <c r="AZ58" s="50"/>
      <c r="BA58" s="26">
        <f t="shared" si="25"/>
        <v>-0.29285714285713915</v>
      </c>
      <c r="BB58" s="25">
        <f t="shared" si="24"/>
        <v>-5.0000000000000711E-2</v>
      </c>
      <c r="BC58" s="25">
        <f>IF(ISBLANK(G13),"",(AVERAGE($AY$49:AY58)))</f>
        <v>17.414999999999999</v>
      </c>
      <c r="BD58" s="13">
        <f t="shared" si="26"/>
        <v>8.5178571428573768E-2</v>
      </c>
      <c r="BE58" s="6"/>
      <c r="BF58" s="556">
        <v>0.21875</v>
      </c>
      <c r="BG58" s="556">
        <v>0.71875</v>
      </c>
      <c r="BH58" s="556">
        <v>0.77083333333333337</v>
      </c>
      <c r="BI58" s="556">
        <v>0.2673611111111111</v>
      </c>
      <c r="BJ58" s="556">
        <v>0.69444444444444453</v>
      </c>
      <c r="BK58" s="18"/>
      <c r="BL58" s="78"/>
    </row>
    <row r="59" spans="1:64" ht="12.75" x14ac:dyDescent="0.2">
      <c r="A59" s="67"/>
      <c r="B59" s="707" t="s">
        <v>52</v>
      </c>
      <c r="C59" s="708"/>
      <c r="D59" s="709"/>
      <c r="E59" s="89">
        <f>IF(ISBLANK(H5),"",CORREL(L4:L34,R4:R34))</f>
        <v>-0.3726656724876351</v>
      </c>
      <c r="F59" s="576">
        <f>IF(ISBLANK(H5),"",ABS(E59))</f>
        <v>0.3726656724876351</v>
      </c>
      <c r="H59" s="729" t="s">
        <v>19</v>
      </c>
      <c r="I59" s="730"/>
      <c r="J59" s="191"/>
      <c r="K59" s="100">
        <f>IF(ISBLANK(F4),"",AVERAGE(F4:F18))</f>
        <v>12.913333333333332</v>
      </c>
      <c r="L59" s="100">
        <f>IF(ISBLANK(G4),"",AVERAGE(G4:G18))</f>
        <v>21.546666666666663</v>
      </c>
      <c r="M59" s="100">
        <f>IF(ISBLANK(H4),"",AVERAGE(H4:H18))</f>
        <v>17.353333333333335</v>
      </c>
      <c r="N59" s="100">
        <f>IF(ISBLANK(G4),"",AVERAGE(I4:I18))</f>
        <v>8.6333333333333329</v>
      </c>
      <c r="O59" s="191"/>
      <c r="P59" s="100">
        <f>IF(ISBLANK(F4),"",K59-AVERAGE(F91:F105))</f>
        <v>3.8333333333333997E-2</v>
      </c>
      <c r="Q59" s="100">
        <f>IF(ISBLANK(G4),"",L59-AVERAGE(G91:G105))</f>
        <v>-0.64533333333333687</v>
      </c>
      <c r="R59" s="100">
        <f>IF(ISBLANK(H4),"",M59-AVERAGE(H91:H105))</f>
        <v>-0.18016666666666126</v>
      </c>
      <c r="S59" s="100">
        <f>IF(ISBLANK(G4),"",N59-AVERAGE(I91:I105))</f>
        <v>-0.68366666666667264</v>
      </c>
      <c r="T59" s="166"/>
      <c r="U59" s="342">
        <f>IF(ISBLANK(M4),"",AVERAGE(M4:M18))</f>
        <v>61.666666666666664</v>
      </c>
      <c r="V59" s="342">
        <f>IF(ISBLANK(P4),"",AVERAGE(R4:R18))</f>
        <v>1015</v>
      </c>
      <c r="W59" s="345">
        <f>IF(ISBLANK(U4),"",AVERAGE(U4:U18))</f>
        <v>4.6266666666666669</v>
      </c>
      <c r="X59" s="100">
        <f>IF(ISBLANK(AI4),"",AVERAGE(AI4:AI18))</f>
        <v>9.4066666666666663</v>
      </c>
      <c r="Y59" s="192"/>
      <c r="Z59" s="38">
        <f>IF(ISBLANK(Z4),"",SUM(Z4:Z18))</f>
        <v>14.1</v>
      </c>
      <c r="AA59" s="492">
        <f>IF(ISBLANK(Z4),"",Z59/($Z$39/$E$34*15))</f>
        <v>0.62</v>
      </c>
      <c r="AB59" s="496">
        <f>IF(Z38=0,"",Z59/$Z$38)</f>
        <v>0.26755218216318788</v>
      </c>
      <c r="AC59" s="499">
        <f>IF(ISBLANK(AP4),"",SUM(AP4:AP18))</f>
        <v>89.2</v>
      </c>
      <c r="AD59" s="492">
        <f>IF(ISBLANK(AP4),"",AC59/SUM(AS91:AS105))</f>
        <v>0.978801182003741</v>
      </c>
      <c r="AE59" s="197">
        <f>IF(ISBLANK(AP4),"",AC59/$AP$38)</f>
        <v>0.5360576923076924</v>
      </c>
      <c r="AF59" s="166"/>
      <c r="AG59" s="712" t="s">
        <v>127</v>
      </c>
      <c r="AH59" s="712"/>
      <c r="AI59" s="712"/>
      <c r="AJ59" s="712"/>
      <c r="AK59" s="314"/>
      <c r="AL59" s="151"/>
      <c r="AM59" s="67"/>
      <c r="AN59" s="182" t="s">
        <v>66</v>
      </c>
      <c r="AO59" s="87"/>
      <c r="AP59" s="800" t="s">
        <v>97</v>
      </c>
      <c r="AQ59" s="800"/>
      <c r="AR59" s="6"/>
      <c r="AS59" s="637" t="s">
        <v>47</v>
      </c>
      <c r="AT59" s="638"/>
      <c r="AU59" s="92">
        <f>IF(AQ38=0,"",CORREL(AQ4:AQ34,R4:R34))</f>
        <v>-0.62365911607157509</v>
      </c>
      <c r="AV59" s="577">
        <f>IF(AQ38=0,"",ABS(AU59))</f>
        <v>0.62365911607157509</v>
      </c>
      <c r="AX59" s="361">
        <v>11</v>
      </c>
      <c r="AY59" s="23">
        <f t="shared" si="23"/>
        <v>17.95</v>
      </c>
      <c r="AZ59" s="50"/>
      <c r="BA59" s="26">
        <f t="shared" si="25"/>
        <v>0.13535714285714562</v>
      </c>
      <c r="BB59" s="25">
        <f t="shared" si="24"/>
        <v>-0.75</v>
      </c>
      <c r="BC59" s="25">
        <f>IF(ISBLANK(G14),"",(AVERAGE($AY$49:AY59)))</f>
        <v>17.463636363636365</v>
      </c>
      <c r="BD59" s="13">
        <f t="shared" si="26"/>
        <v>8.9740259740258566E-2</v>
      </c>
      <c r="BE59" s="6"/>
      <c r="BF59" s="556">
        <v>0.23611111111111113</v>
      </c>
      <c r="BG59" s="556">
        <v>0.69791666666666663</v>
      </c>
      <c r="BH59" s="556">
        <v>0.69097222222222221</v>
      </c>
      <c r="BI59" s="556">
        <v>0.26041666666666669</v>
      </c>
      <c r="BJ59" s="556">
        <v>0.9243055555555556</v>
      </c>
      <c r="BK59" s="18"/>
      <c r="BL59" s="78"/>
    </row>
    <row r="60" spans="1:64" ht="12.75" customHeight="1" x14ac:dyDescent="0.2">
      <c r="A60" s="67"/>
      <c r="B60" s="707" t="s">
        <v>57</v>
      </c>
      <c r="C60" s="708"/>
      <c r="D60" s="709"/>
      <c r="E60" s="89">
        <f>IF(ISBLANK(H5),"",CORREL(G4:G34,N4:N34))</f>
        <v>0.53501625783731144</v>
      </c>
      <c r="F60" s="576">
        <f>IF(ISBLANK(H5),"",ABS(E60))</f>
        <v>0.53501625783731144</v>
      </c>
      <c r="H60" s="729" t="s">
        <v>18</v>
      </c>
      <c r="I60" s="730"/>
      <c r="J60" s="191"/>
      <c r="K60" s="100">
        <f>IF(ISBLANK(F19),"",AVERAGE(F19:F34))</f>
        <v>12.15625</v>
      </c>
      <c r="L60" s="100">
        <f>IF(ISBLANK(G19),"",AVERAGE(G19:G34))</f>
        <v>20.599999999999998</v>
      </c>
      <c r="M60" s="100">
        <f>IF(ISBLANK(H19),"",AVERAGE(H19:H34))</f>
        <v>16.325000000000003</v>
      </c>
      <c r="N60" s="100">
        <f>IF(ISBLANK(G19),"",AVERAGE(I19:I34))</f>
        <v>8.4437499999999996</v>
      </c>
      <c r="O60" s="191"/>
      <c r="P60" s="100">
        <f>IF(ISBLANK(F19),"",K60-AVERAGE(F106:F121))</f>
        <v>-1.6931249999999967</v>
      </c>
      <c r="Q60" s="100">
        <f>IF(ISBLANK(G19),"",L60-AVERAGE(G106:G121))</f>
        <v>-2.0543750000000109</v>
      </c>
      <c r="R60" s="100">
        <f>IF(ISBLANK(H19),"",M60-AVERAGE(H106:H121))</f>
        <v>-1.9268749999999955</v>
      </c>
      <c r="S60" s="100">
        <f>IF(ISBLANK(G19),"",N60-AVERAGE(I106:I121))</f>
        <v>-0.36124999999999829</v>
      </c>
      <c r="T60" s="166"/>
      <c r="U60" s="342">
        <f>IF(ISBLANK(M19),"",AVERAGE(M19:M34))</f>
        <v>70.5</v>
      </c>
      <c r="V60" s="342">
        <f>IF(ISBLANK(P19),"",AVERAGE(R19:R34))</f>
        <v>1011.875</v>
      </c>
      <c r="W60" s="345">
        <f>IF(ISBLANK(U19),"",AVERAGE(U19:U34))</f>
        <v>3.8437500000000004</v>
      </c>
      <c r="X60" s="100">
        <f>IF(ISBLANK(AI19),"",AVERAGE(AI19:AI34))</f>
        <v>10.537500000000001</v>
      </c>
      <c r="Y60" s="192"/>
      <c r="Z60" s="38">
        <f>IF(ISBLANK(Z19),"",SUM(Z19:Z34))</f>
        <v>38.6</v>
      </c>
      <c r="AA60" s="492">
        <f>IF(ISBLANK(Z19),"",(Z60/($Z$39/$E$34*16)))</f>
        <v>1.5912234042553193</v>
      </c>
      <c r="AB60" s="496">
        <f>IF(ISBLANK(Z19),"",Z60/$Z$38)</f>
        <v>0.73244781783681223</v>
      </c>
      <c r="AC60" s="118">
        <f>IF(ISBLANK(AP19),"",SUM(AP19:AP34))</f>
        <v>77.2</v>
      </c>
      <c r="AD60" s="492">
        <f>IF(ISBLANK(AP19),"",AC60/SUM(AS106:AS121))</f>
        <v>0.82243052100870206</v>
      </c>
      <c r="AE60" s="197">
        <f>IF(ISBLANK(AP19),"",AC60/$AP$38)</f>
        <v>0.46394230769230776</v>
      </c>
      <c r="AF60" s="166"/>
      <c r="AH60" s="713">
        <f t="array" ref="AH60">MAX(FREQUENCY(IF(AX91:AX121=1,ROW(91:121)),IF(AX91:AX121&lt;&gt;1,ROW(91:121))))</f>
        <v>0</v>
      </c>
      <c r="AI60" s="713"/>
      <c r="AJ60" s="4"/>
      <c r="AK60" s="68"/>
      <c r="AL60" s="4"/>
      <c r="AM60" s="67"/>
      <c r="AN60" s="53">
        <f t="array" ref="AN60">MAX(FREQUENCY(IF(AJ91:AJ121=1,ROW(53:83)),IF(AJ91:AJ121&lt;&gt;1,ROW(53:83))))</f>
        <v>8</v>
      </c>
      <c r="AO60" s="223"/>
      <c r="AP60" s="767" t="s">
        <v>268</v>
      </c>
      <c r="AQ60" s="767"/>
      <c r="AR60" s="6"/>
      <c r="AS60" s="801" t="s">
        <v>48</v>
      </c>
      <c r="AT60" s="802"/>
      <c r="AU60" s="96">
        <f>IF(U42=0,"",CORREL(U4:U34,S4:S34))</f>
        <v>0.21726533613492155</v>
      </c>
      <c r="AV60" s="577">
        <f>IF(U42=0,"",ABS(AU60))</f>
        <v>0.21726533613492155</v>
      </c>
      <c r="AX60" s="361">
        <v>12</v>
      </c>
      <c r="AY60" s="23">
        <f t="shared" si="23"/>
        <v>16.55</v>
      </c>
      <c r="AZ60" s="50"/>
      <c r="BA60" s="26">
        <f t="shared" si="25"/>
        <v>-1.3364285714285664</v>
      </c>
      <c r="BB60" s="25">
        <f t="shared" si="24"/>
        <v>-0.14999999999999858</v>
      </c>
      <c r="BC60" s="25">
        <f>IF(ISBLANK(G15),"",(AVERAGE($AY$49:AY60)))</f>
        <v>17.387499999999999</v>
      </c>
      <c r="BD60" s="13">
        <f t="shared" si="26"/>
        <v>-2.9107142857142776E-2</v>
      </c>
      <c r="BE60" s="6"/>
      <c r="BF60" s="556">
        <v>0.30208333333333331</v>
      </c>
      <c r="BG60" s="556">
        <v>0.64583333333333337</v>
      </c>
      <c r="BH60" s="556">
        <v>0.625</v>
      </c>
      <c r="BI60" s="556">
        <v>0.3298611111111111</v>
      </c>
      <c r="BJ60" s="556">
        <v>0.51944444444444449</v>
      </c>
      <c r="BK60" s="18"/>
      <c r="BL60" s="78"/>
    </row>
    <row r="61" spans="1:64" ht="12.75" x14ac:dyDescent="0.2">
      <c r="A61" s="67"/>
      <c r="B61" s="707" t="s">
        <v>58</v>
      </c>
      <c r="C61" s="708"/>
      <c r="D61" s="709"/>
      <c r="E61" s="89">
        <f>IF(ISBLANK(H5),"",CORREL(G4:G34,K4:K34))</f>
        <v>-0.72686699645581732</v>
      </c>
      <c r="F61" s="576">
        <f>IF(ISBLANK(H5),"",ABS(E61))</f>
        <v>0.72686699645581732</v>
      </c>
      <c r="H61" s="198"/>
      <c r="I61" s="110"/>
      <c r="J61" s="191"/>
      <c r="K61" s="50"/>
      <c r="L61" s="50"/>
      <c r="M61" s="50"/>
      <c r="N61" s="50"/>
      <c r="O61" s="191"/>
      <c r="P61" s="50"/>
      <c r="Q61" s="50"/>
      <c r="R61" s="50"/>
      <c r="S61" s="50"/>
      <c r="T61" s="166"/>
      <c r="U61" s="343"/>
      <c r="V61" s="343"/>
      <c r="W61" s="346"/>
      <c r="X61" s="50"/>
      <c r="Y61" s="192"/>
      <c r="Z61" s="110"/>
      <c r="AA61" s="493"/>
      <c r="AB61" s="497"/>
      <c r="AC61" s="69"/>
      <c r="AD61" s="493"/>
      <c r="AE61" s="199"/>
      <c r="AF61" s="166"/>
      <c r="AK61" s="6"/>
      <c r="AM61" s="136"/>
      <c r="AO61" s="225"/>
      <c r="AP61" s="767"/>
      <c r="AQ61" s="767"/>
      <c r="AR61" s="6"/>
      <c r="AX61" s="361">
        <v>13</v>
      </c>
      <c r="AY61" s="23">
        <f t="shared" si="23"/>
        <v>14.7</v>
      </c>
      <c r="AZ61" s="50"/>
      <c r="BA61" s="26">
        <f t="shared" si="25"/>
        <v>-3.2482142857142815</v>
      </c>
      <c r="BB61" s="25">
        <f t="shared" si="24"/>
        <v>9.9999999999999645E-2</v>
      </c>
      <c r="BC61" s="25">
        <f>IF(ISBLANK(G16),"",(AVERAGE($AY$49:AY61)))</f>
        <v>17.180769230769229</v>
      </c>
      <c r="BD61" s="13">
        <f t="shared" si="26"/>
        <v>-0.27673076923076945</v>
      </c>
      <c r="BE61" s="6"/>
      <c r="BF61" s="556">
        <v>0.23611111111111113</v>
      </c>
      <c r="BG61" s="556">
        <v>0.53125</v>
      </c>
      <c r="BH61" s="556">
        <v>0.67361111111111116</v>
      </c>
      <c r="BI61" s="556">
        <v>0.25694444444444448</v>
      </c>
      <c r="BJ61" s="556">
        <v>0.29305555555555557</v>
      </c>
      <c r="BK61" s="18"/>
      <c r="BL61" s="78"/>
    </row>
    <row r="62" spans="1:64" ht="12.75" x14ac:dyDescent="0.2">
      <c r="A62" s="67"/>
      <c r="B62" s="707" t="s">
        <v>59</v>
      </c>
      <c r="C62" s="708"/>
      <c r="D62" s="709"/>
      <c r="E62" s="89">
        <f>IF(ISBLANK(H5),"",CORREL(I4:I34,K4:K34))</f>
        <v>-0.82137460037538335</v>
      </c>
      <c r="F62" s="576">
        <f>IF(ISBLANK(H5),"",ABS(E62))</f>
        <v>0.82137460037538335</v>
      </c>
      <c r="H62" s="729" t="s">
        <v>27</v>
      </c>
      <c r="I62" s="730"/>
      <c r="J62" s="191"/>
      <c r="K62" s="100">
        <f>IF(ISBLANK(F4),"",AVERAGE(F4:F13))</f>
        <v>13.15</v>
      </c>
      <c r="L62" s="100">
        <f>IF(ISBLANK(G4),"",AVERAGE(G4:G13))</f>
        <v>21.68</v>
      </c>
      <c r="M62" s="100">
        <f>IF(ISBLANK(H4),"",AVERAGE(H4:H13))</f>
        <v>17.48</v>
      </c>
      <c r="N62" s="100">
        <f>IF(ISBLANK(G4),"",AVERAGE(I4:I13))</f>
        <v>8.5300000000000011</v>
      </c>
      <c r="O62" s="191"/>
      <c r="P62" s="100">
        <f>IF(ISBLANK(F4),"",K62-AVERAGE(F91:F100))</f>
        <v>0.53035714285714697</v>
      </c>
      <c r="Q62" s="100">
        <f>IF(ISBLANK(G4),"",L62-AVERAGE(G91:G100))</f>
        <v>-0.35999999999999943</v>
      </c>
      <c r="R62" s="100">
        <f>IF(ISBLANK(H4),"",M62-AVERAGE(H91:H100))</f>
        <v>0.15017857142857238</v>
      </c>
      <c r="S62" s="100">
        <f>IF(ISBLANK(G4),"",N62-AVERAGE(I91:I100))</f>
        <v>-0.89035714285714462</v>
      </c>
      <c r="T62" s="166"/>
      <c r="U62" s="342">
        <f>IF(ISBLANK(M4),"",AVERAGE(M4:M13))</f>
        <v>61.7</v>
      </c>
      <c r="V62" s="342">
        <f>IF(ISBLANK(P4),"",AVERAGE(R4:R13))</f>
        <v>1013.5</v>
      </c>
      <c r="W62" s="345">
        <f>IF(ISBLANK(U4),"",AVERAGE(U4:U13))</f>
        <v>4.910000000000001</v>
      </c>
      <c r="X62" s="100">
        <f>IF(ISBLANK(AI4),"",AVERAGE(AI4:AI13))</f>
        <v>9.5299999999999994</v>
      </c>
      <c r="Y62" s="192"/>
      <c r="Z62" s="38">
        <f>IF(ISBLANK(Z4),"",SUM(Z4:Z13))</f>
        <v>14.1</v>
      </c>
      <c r="AA62" s="492">
        <f>IF(ISBLANK(Z4),"",Z62/($Z$39/$E$34*10))</f>
        <v>0.93</v>
      </c>
      <c r="AB62" s="496">
        <f>IF(Z38=0,"",Z62/$Z$38)</f>
        <v>0.26755218216318788</v>
      </c>
      <c r="AC62" s="118">
        <f>IF(ISBLANK(AP4),"",SUM(AP4:AP13))</f>
        <v>66</v>
      </c>
      <c r="AD62" s="492">
        <f>IF(ISBLANK(AP4),"",AC62/SUM(AS91:AS100))</f>
        <v>1.0818279665865658</v>
      </c>
      <c r="AE62" s="197">
        <f>IF(ISBLANK(AP4),"",AC62/$AP$38)</f>
        <v>0.39663461538461542</v>
      </c>
      <c r="AF62" s="222"/>
      <c r="AK62" s="6"/>
      <c r="AM62" s="136"/>
      <c r="AN62" s="180" t="s">
        <v>65</v>
      </c>
      <c r="AO62" s="226"/>
      <c r="AP62" s="767"/>
      <c r="AQ62" s="767"/>
      <c r="AR62" s="6"/>
      <c r="AS62" s="785" t="s">
        <v>4</v>
      </c>
      <c r="AT62" s="785"/>
      <c r="AU62" s="220">
        <f>IF(AQ38=0,"",AVERAGE(AV50:AV60))</f>
        <v>0.61078525034394293</v>
      </c>
      <c r="AV62" s="577">
        <f>AU62</f>
        <v>0.61078525034394293</v>
      </c>
      <c r="AX62" s="361">
        <v>14</v>
      </c>
      <c r="AY62" s="23">
        <f t="shared" si="23"/>
        <v>17.2</v>
      </c>
      <c r="AZ62" s="50"/>
      <c r="BA62" s="26">
        <f t="shared" si="25"/>
        <v>-0.8100000000000005</v>
      </c>
      <c r="BB62" s="25">
        <f t="shared" si="24"/>
        <v>0.39999999999999858</v>
      </c>
      <c r="BC62" s="25">
        <f>IF(ISBLANK(G17),"",(AVERAGE($AY$49:AY62)))</f>
        <v>17.182142857142857</v>
      </c>
      <c r="BD62" s="13">
        <f t="shared" si="26"/>
        <v>-0.31482142857142925</v>
      </c>
      <c r="BE62" s="6"/>
      <c r="BF62" s="556">
        <v>0.26041666666666669</v>
      </c>
      <c r="BG62" s="556">
        <v>0.73958333333333337</v>
      </c>
      <c r="BH62" s="556">
        <v>0.70138888888888884</v>
      </c>
      <c r="BI62" s="556">
        <v>0.3263888888888889</v>
      </c>
      <c r="BJ62" s="556">
        <v>0.45555555555555555</v>
      </c>
      <c r="BK62" s="55"/>
      <c r="BL62" s="78"/>
    </row>
    <row r="63" spans="1:64" ht="12.75" customHeight="1" x14ac:dyDescent="0.2">
      <c r="A63" s="67"/>
      <c r="B63" s="707" t="s">
        <v>72</v>
      </c>
      <c r="C63" s="708"/>
      <c r="D63" s="709"/>
      <c r="E63" s="89">
        <f>IF(ISBLANK(H5),"",CORREL(R4:R34,K4:K34))</f>
        <v>-0.48808236702984975</v>
      </c>
      <c r="F63" s="576">
        <f>IF(ISBLANK(H5),"",ABS(E63))</f>
        <v>0.48808236702984975</v>
      </c>
      <c r="H63" s="729" t="s">
        <v>28</v>
      </c>
      <c r="I63" s="730"/>
      <c r="J63" s="191"/>
      <c r="K63" s="100">
        <f>IF(ISBLANK(F14),"",AVERAGE(F14:F23))</f>
        <v>12.59</v>
      </c>
      <c r="L63" s="100">
        <f>IF(ISBLANK(G14),"",AVERAGE(G14:G23))</f>
        <v>20.170000000000002</v>
      </c>
      <c r="M63" s="100">
        <f>IF(ISBLANK(H14),"",AVERAGE(H14:H23))</f>
        <v>16.28</v>
      </c>
      <c r="N63" s="100">
        <f>IF(ISBLANK(G14),"",AVERAGE(I14:I23))</f>
        <v>7.58</v>
      </c>
      <c r="O63" s="191"/>
      <c r="P63" s="100">
        <f>IF(ISBLANK(F14),"",K63-AVERAGE(F101:F110))</f>
        <v>-0.95285714285714107</v>
      </c>
      <c r="Q63" s="100">
        <f>IF(ISBLANK(G14),"",L63-AVERAGE(G101:G110))</f>
        <v>-2.3879999999999981</v>
      </c>
      <c r="R63" s="100">
        <f>IF(ISBLANK(H14),"",M63-AVERAGE(H101:H110))</f>
        <v>-1.7704285714285675</v>
      </c>
      <c r="S63" s="100">
        <f>IF(ISBLANK(G14),"",N63-AVERAGE(I101:I110))</f>
        <v>-1.4351428571428606</v>
      </c>
      <c r="T63" s="166"/>
      <c r="U63" s="342">
        <f>IF(ISBLANK(M14),"",AVERAGE(M14:M23))</f>
        <v>70.8</v>
      </c>
      <c r="V63" s="342">
        <f>IF(ISBLANK(P14),"",AVERAGE(R14:R23))</f>
        <v>1009.85</v>
      </c>
      <c r="W63" s="345">
        <f>IF(ISBLANK(U14),"",AVERAGE(U14:U23))</f>
        <v>4.7099999999999991</v>
      </c>
      <c r="X63" s="100">
        <f>IF(ISBLANK(AI14),"",AVERAGE(AI14:AI23))</f>
        <v>10.549999999999999</v>
      </c>
      <c r="Y63" s="192"/>
      <c r="Z63" s="38">
        <f>IF(ISBLANK(Z14),"",SUM(Z14:Z23))</f>
        <v>32.6</v>
      </c>
      <c r="AA63" s="492">
        <f>IF(ISBLANK(Z14),"",Z63/($Z$39/$E$34*10))</f>
        <v>2.150212765957447</v>
      </c>
      <c r="AB63" s="496">
        <f>IF(ISBLANK(Z14),"",Z63/$Z$38)</f>
        <v>0.61859582542694502</v>
      </c>
      <c r="AC63" s="118">
        <f>IF(ISBLANK(AP14),"",SUM(AP14:AP23))</f>
        <v>31.5</v>
      </c>
      <c r="AD63" s="492">
        <f>IF(ISBLANK(AP14),"",AC63/SUM(AS101:AS110))</f>
        <v>0.52578334876939425</v>
      </c>
      <c r="AE63" s="197">
        <f>IF(ISBLANK(AP14),"",AC63/$AP$38)</f>
        <v>0.18930288461538464</v>
      </c>
      <c r="AF63" s="222"/>
      <c r="AK63" s="315"/>
      <c r="AL63" s="306"/>
      <c r="AM63" s="136"/>
      <c r="AN63" s="5">
        <f>MIN(AT79,AN92)</f>
        <v>8</v>
      </c>
      <c r="AO63" s="227"/>
      <c r="AP63" s="835" t="s">
        <v>271</v>
      </c>
      <c r="AQ63" s="835"/>
      <c r="AR63" s="6"/>
      <c r="AS63" s="785" t="s">
        <v>34</v>
      </c>
      <c r="AT63" s="785"/>
      <c r="AU63" s="9">
        <f>AN96+AN101</f>
        <v>7</v>
      </c>
      <c r="AV63" s="103" t="s">
        <v>69</v>
      </c>
      <c r="AX63" s="361">
        <v>15</v>
      </c>
      <c r="AY63" s="23">
        <f t="shared" si="23"/>
        <v>17.899999999999999</v>
      </c>
      <c r="AZ63" s="50"/>
      <c r="BA63" s="26">
        <f t="shared" si="25"/>
        <v>-0.14499999999999957</v>
      </c>
      <c r="BB63" s="25">
        <f t="shared" si="24"/>
        <v>-0.80000000000000071</v>
      </c>
      <c r="BC63" s="25">
        <f>IF(ISBLANK(G18),"",(AVERAGE($AY$49:AY63)))</f>
        <v>17.23</v>
      </c>
      <c r="BD63" s="13">
        <f t="shared" si="26"/>
        <v>-0.30350000000000144</v>
      </c>
      <c r="BE63" s="6"/>
      <c r="BF63" s="556">
        <v>0.24305555555555555</v>
      </c>
      <c r="BG63" s="556">
        <v>0.61111111111111105</v>
      </c>
      <c r="BH63" s="556">
        <v>0.73611111111111116</v>
      </c>
      <c r="BI63" s="556">
        <v>0.27777777777777779</v>
      </c>
      <c r="BJ63" s="556">
        <v>0.7</v>
      </c>
      <c r="BK63" s="18"/>
      <c r="BL63" s="78"/>
    </row>
    <row r="64" spans="1:64" ht="12.75" x14ac:dyDescent="0.2">
      <c r="A64" s="67"/>
      <c r="B64" s="707" t="s">
        <v>74</v>
      </c>
      <c r="C64" s="708"/>
      <c r="D64" s="709"/>
      <c r="E64" s="89">
        <f>IF(ISBLANK(H5),"",CORREL(K4:K34,N4:N34))</f>
        <v>-0.72062297533946962</v>
      </c>
      <c r="F64" s="576">
        <f>IF(ISBLANK(H5),"",ABS(E64))</f>
        <v>0.72062297533946962</v>
      </c>
      <c r="H64" s="729" t="s">
        <v>42</v>
      </c>
      <c r="I64" s="730"/>
      <c r="J64" s="191"/>
      <c r="K64" s="100">
        <f>IF(ISBLANK(F24),"",AVERAGE(F24:F34))</f>
        <v>11.890909090909092</v>
      </c>
      <c r="L64" s="100">
        <f>IF(ISBLANK(G24),"",AVERAGE(G24:G34))</f>
        <v>21.299999999999997</v>
      </c>
      <c r="M64" s="100">
        <f>IF(ISBLANK(H24),"",AVERAGE(H24:H34))</f>
        <v>16.718181818181815</v>
      </c>
      <c r="N64" s="100">
        <f>IF(ISBLANK(G24),"",AVERAGE(I24:I34))</f>
        <v>9.4090909090909083</v>
      </c>
      <c r="O64" s="191"/>
      <c r="P64" s="100">
        <f>IF(ISBLANK(F24),"",K64-AVERAGE(F111:F121))</f>
        <v>-2.0263636363636355</v>
      </c>
      <c r="Q64" s="100">
        <f>IF(ISBLANK(G24),"",L64-AVERAGE(G111:G121))</f>
        <v>-1.3700000000000081</v>
      </c>
      <c r="R64" s="100">
        <f>IF(ISBLANK(H24),"",M64-AVERAGE(H111:H121))</f>
        <v>-1.5754545454545514</v>
      </c>
      <c r="S64" s="100">
        <f>IF(ISBLANK(G24),"",N64-AVERAGE(I111:I121))</f>
        <v>0.65636363636363271</v>
      </c>
      <c r="T64" s="166"/>
      <c r="U64" s="342">
        <f>IF(ISBLANK(M24),"",AVERAGE(M24:M34))</f>
        <v>66.181818181818187</v>
      </c>
      <c r="V64" s="342">
        <f>IF(ISBLANK(P24),"",AVERAGE(R24:R34))</f>
        <v>1016.5</v>
      </c>
      <c r="W64" s="345">
        <f>IF(ISBLANK(U24),"",AVERAGE(U24:U34))</f>
        <v>3.1545454545454548</v>
      </c>
      <c r="X64" s="100">
        <f>IF(ISBLANK(AI24),"",AVERAGE(AI24:AI34))</f>
        <v>9.9000000000000021</v>
      </c>
      <c r="Y64" s="192"/>
      <c r="Z64" s="38">
        <f>IF(ISBLANK(Z24),"",SUM(Z24:Z34))</f>
        <v>6</v>
      </c>
      <c r="AA64" s="492">
        <f>IF(ISBLANK(Z24),"",Z64/($Z$39/$E$34*11))</f>
        <v>0.35976789168278533</v>
      </c>
      <c r="AB64" s="496">
        <f>IF(ISBLANK(Z24),"",Z64/$Z$38)</f>
        <v>0.11385199240986718</v>
      </c>
      <c r="AC64" s="118">
        <f>IF(ISBLANK(AP24),"",SUM(AP24:AP34))</f>
        <v>68.900000000000006</v>
      </c>
      <c r="AD64" s="492">
        <f>IF(ISBLANK(AP24),"",AC64/SUM(AS111:AS121))</f>
        <v>1.0751926267892036</v>
      </c>
      <c r="AE64" s="197">
        <f>IF(ISBLANK(AP24),"",AC64/$AP$38)</f>
        <v>0.41406250000000011</v>
      </c>
      <c r="AF64" s="50"/>
      <c r="AG64" s="739" t="s">
        <v>177</v>
      </c>
      <c r="AH64" s="739"/>
      <c r="AI64" s="739"/>
      <c r="AJ64" s="739"/>
      <c r="AK64" s="68"/>
      <c r="AL64" s="4"/>
      <c r="AM64" s="136"/>
      <c r="AN64" s="105"/>
      <c r="AO64" s="228"/>
      <c r="AP64" s="835"/>
      <c r="AQ64" s="835"/>
      <c r="AR64" s="6"/>
      <c r="AX64" s="361">
        <v>16</v>
      </c>
      <c r="AY64" s="23">
        <f t="shared" si="23"/>
        <v>16.100000000000001</v>
      </c>
      <c r="AZ64" s="50"/>
      <c r="BA64" s="26">
        <f t="shared" si="25"/>
        <v>-1.9850000000000003</v>
      </c>
      <c r="BB64" s="25">
        <f t="shared" si="24"/>
        <v>0.10000000000000142</v>
      </c>
      <c r="BC64" s="25">
        <f>IF(ISBLANK(G19),"",(AVERAGE($AY$49:AY64)))</f>
        <v>17.159375000000001</v>
      </c>
      <c r="BD64" s="13">
        <f t="shared" si="26"/>
        <v>-0.40859375000000142</v>
      </c>
      <c r="BE64" s="6"/>
      <c r="BF64" s="556">
        <v>0.1875</v>
      </c>
      <c r="BG64" s="556">
        <v>0.71875</v>
      </c>
      <c r="BH64" s="556">
        <v>0.72222222222222221</v>
      </c>
      <c r="BI64" s="556" t="s">
        <v>605</v>
      </c>
      <c r="BJ64" s="556">
        <v>0.67569444444444438</v>
      </c>
      <c r="BK64" s="18"/>
      <c r="BL64" s="78"/>
    </row>
    <row r="65" spans="1:64" ht="12.75" customHeight="1" thickBot="1" x14ac:dyDescent="0.25">
      <c r="A65" s="67"/>
      <c r="B65" s="707" t="s">
        <v>73</v>
      </c>
      <c r="C65" s="708"/>
      <c r="D65" s="709"/>
      <c r="E65" s="89">
        <f>IF(ISBLANK(H5),"",CORREL(F4:F34,I4:I34))</f>
        <v>-0.55375833132378482</v>
      </c>
      <c r="F65" s="576">
        <f>IF(ISBLANK(H5),"",ABS(E65))</f>
        <v>0.55375833132378482</v>
      </c>
      <c r="G65" s="21"/>
      <c r="H65" s="198"/>
      <c r="I65" s="110"/>
      <c r="J65" s="191"/>
      <c r="K65" s="50"/>
      <c r="L65" s="50"/>
      <c r="M65" s="50"/>
      <c r="N65" s="50"/>
      <c r="O65" s="191"/>
      <c r="P65" s="50"/>
      <c r="Q65" s="50"/>
      <c r="R65" s="50"/>
      <c r="S65" s="50"/>
      <c r="T65" s="166"/>
      <c r="U65" s="343"/>
      <c r="V65" s="343"/>
      <c r="W65" s="346"/>
      <c r="X65" s="50"/>
      <c r="Y65" s="192"/>
      <c r="Z65" s="110"/>
      <c r="AA65" s="493"/>
      <c r="AB65" s="497"/>
      <c r="AC65" s="69"/>
      <c r="AD65" s="493"/>
      <c r="AE65" s="199"/>
      <c r="AF65" s="50"/>
      <c r="AH65" s="713">
        <f>SUM(BH91:BH121)</f>
        <v>10</v>
      </c>
      <c r="AI65" s="713"/>
      <c r="AJ65" s="93">
        <f>IF(M53=0,"",AH65/M53)</f>
        <v>0.32258064516129031</v>
      </c>
      <c r="AK65" s="6"/>
      <c r="AM65" s="136"/>
      <c r="AO65" s="229"/>
      <c r="AP65" s="835"/>
      <c r="AQ65" s="835"/>
      <c r="AR65" s="6"/>
      <c r="AV65" s="332"/>
      <c r="AW65" s="332"/>
      <c r="AX65" s="361">
        <v>17</v>
      </c>
      <c r="AY65" s="23">
        <f t="shared" si="23"/>
        <v>15.85</v>
      </c>
      <c r="AZ65" s="50"/>
      <c r="BA65" s="26">
        <f t="shared" si="25"/>
        <v>-2.2700000000000005</v>
      </c>
      <c r="BB65" s="25">
        <f t="shared" si="24"/>
        <v>0.25</v>
      </c>
      <c r="BC65" s="25">
        <f>IF(ISBLANK(G20),"",(AVERAGE($AY$49:AY65)))</f>
        <v>17.082352941176474</v>
      </c>
      <c r="BD65" s="13">
        <f t="shared" si="26"/>
        <v>-0.51808823529411896</v>
      </c>
      <c r="BE65" s="6"/>
      <c r="BF65" s="556">
        <v>0.22569444444444445</v>
      </c>
      <c r="BG65" s="556">
        <v>0.55555555555555558</v>
      </c>
      <c r="BH65" s="556">
        <v>0.77430555555555547</v>
      </c>
      <c r="BI65" s="556">
        <v>0.27430555555555552</v>
      </c>
      <c r="BJ65" s="556">
        <v>0.73611111111111116</v>
      </c>
      <c r="BK65" s="18"/>
      <c r="BL65" s="78"/>
    </row>
    <row r="66" spans="1:64" ht="12.75" customHeight="1" thickTop="1" x14ac:dyDescent="0.2">
      <c r="A66" s="67"/>
      <c r="B66" s="707" t="s">
        <v>82</v>
      </c>
      <c r="C66" s="708"/>
      <c r="D66" s="709"/>
      <c r="E66" s="89">
        <f>IF(ISBLANK(H5),"",CORREL(G4:G34,I4:I34))</f>
        <v>0.87848196676102552</v>
      </c>
      <c r="F66" s="576">
        <f>IF(ISBLANK(H5),"",ABS(E66))</f>
        <v>0.87848196676102552</v>
      </c>
      <c r="H66" s="729" t="s">
        <v>29</v>
      </c>
      <c r="I66" s="730"/>
      <c r="J66" s="191"/>
      <c r="K66" s="100">
        <f>IF(ISBLANK(F4),"",AVERAGE(F4:F8))</f>
        <v>12.700000000000001</v>
      </c>
      <c r="L66" s="100">
        <f>IF(ISBLANK(G4),"",AVERAGE(G4:G8))</f>
        <v>23.32</v>
      </c>
      <c r="M66" s="100">
        <f>IF(ISBLANK(H4),"",AVERAGE(H4:H8))</f>
        <v>18.380000000000003</v>
      </c>
      <c r="N66" s="100">
        <f>IF(ISBLANK(G4),"",AVERAGE(I4:I8))</f>
        <v>10.62</v>
      </c>
      <c r="O66" s="191"/>
      <c r="P66" s="100">
        <f>IF(ISBLANK(F4),"",K66-AVERAGE(F91:F95))</f>
        <v>0.33928571428571708</v>
      </c>
      <c r="Q66" s="100">
        <f>IF(ISBLANK(G4),"",L66-AVERAGE(G91:G95))</f>
        <v>1.4800000000000004</v>
      </c>
      <c r="R66" s="100">
        <f>IF(ISBLANK(H4),"",M66-AVERAGE(H91:H95))</f>
        <v>1.2796428571428606</v>
      </c>
      <c r="S66" s="100">
        <f>IF(ISBLANK(G4),"",N66-AVERAGE(I91:I95))</f>
        <v>1.1407142857142816</v>
      </c>
      <c r="T66" s="166"/>
      <c r="U66" s="342">
        <f>IF(ISBLANK(M4),"",AVERAGE(M4:M8))</f>
        <v>52.6</v>
      </c>
      <c r="V66" s="342">
        <f>IF(ISBLANK(P4),"",AVERAGE(R4:R8))</f>
        <v>1018.2</v>
      </c>
      <c r="W66" s="345">
        <f>IF(ISBLANK(U4),"",AVERAGE(U4:U8))</f>
        <v>3.0200000000000005</v>
      </c>
      <c r="X66" s="100">
        <f>IF(ISBLANK(AI4),"",AVERAGE(AI4:AI8))</f>
        <v>8.1</v>
      </c>
      <c r="Y66" s="192"/>
      <c r="Z66" s="100">
        <f>IF(ISBLANK(Z4),"",SUM(Z4:Z8))</f>
        <v>4.5999999999999996</v>
      </c>
      <c r="AA66" s="492">
        <f>IF(ISBLANK(Z4),"",Z66/($Z$39/$E$34*5))</f>
        <v>0.60680851063829788</v>
      </c>
      <c r="AB66" s="496">
        <f>IF(Z38=0,"",Z66/$Z$38)</f>
        <v>8.7286527514231493E-2</v>
      </c>
      <c r="AC66" s="165">
        <f>IF(ISBLANK(AP4),"",SUM(AP4:AP8))</f>
        <v>44</v>
      </c>
      <c r="AD66" s="492">
        <f>IF(ISBLANK(AP4),"",AC66/SUM(AS91:AS95))</f>
        <v>1.4375320075468374</v>
      </c>
      <c r="AE66" s="197">
        <f>IF(ISBLANK(AP4),"",AC66/$AP$38)</f>
        <v>0.26442307692307698</v>
      </c>
      <c r="AF66" s="50"/>
      <c r="AG66" s="650"/>
      <c r="AH66" s="650"/>
      <c r="AI66" s="650"/>
      <c r="AJ66" s="650"/>
      <c r="AK66" s="316"/>
      <c r="AM66" s="136"/>
      <c r="AN66" s="190" t="s">
        <v>254</v>
      </c>
      <c r="AO66" s="229"/>
      <c r="AP66" s="835"/>
      <c r="AQ66" s="835"/>
      <c r="AR66" s="6"/>
      <c r="AT66" s="186" t="s">
        <v>86</v>
      </c>
      <c r="AU66" s="186"/>
      <c r="AV66" s="571"/>
      <c r="AW66" s="571"/>
      <c r="AX66" s="361">
        <v>18</v>
      </c>
      <c r="AY66" s="23">
        <f t="shared" si="23"/>
        <v>15.799999999999999</v>
      </c>
      <c r="AZ66" s="50"/>
      <c r="BA66" s="26">
        <f t="shared" si="25"/>
        <v>-2.3650000000000002</v>
      </c>
      <c r="BB66" s="25">
        <f t="shared" si="24"/>
        <v>0.69999999999999929</v>
      </c>
      <c r="BC66" s="25">
        <f>IF(ISBLANK(G21),"",(AVERAGE($AY$49:AY66)))</f>
        <v>17.011111111111113</v>
      </c>
      <c r="BD66" s="13">
        <f t="shared" si="26"/>
        <v>-0.62069444444444422</v>
      </c>
      <c r="BE66" s="6"/>
      <c r="BF66" s="556">
        <v>0.22916666666666666</v>
      </c>
      <c r="BG66" s="556">
        <v>0.63888888888888895</v>
      </c>
      <c r="BH66" s="556">
        <v>0.64583333333333337</v>
      </c>
      <c r="BI66" s="556" t="s">
        <v>233</v>
      </c>
      <c r="BJ66" s="556">
        <v>0.25416666666666665</v>
      </c>
      <c r="BK66" s="18"/>
      <c r="BL66" s="78"/>
    </row>
    <row r="67" spans="1:64" ht="12.75" x14ac:dyDescent="0.2">
      <c r="A67" s="67"/>
      <c r="B67" s="740"/>
      <c r="C67" s="741"/>
      <c r="D67" s="741"/>
      <c r="E67" s="157"/>
      <c r="F67" s="576"/>
      <c r="H67" s="729" t="s">
        <v>36</v>
      </c>
      <c r="I67" s="730"/>
      <c r="J67" s="191"/>
      <c r="K67" s="100">
        <f>IF(ISBLANK(F9),"",AVERAGE(F9:F13))</f>
        <v>13.6</v>
      </c>
      <c r="L67" s="100">
        <f>IF(ISBLANK(G9),"",AVERAGE(G9:G13))</f>
        <v>20.040000000000003</v>
      </c>
      <c r="M67" s="100">
        <f>IF(ISBLANK(H9),"",AVERAGE(H9:H13))</f>
        <v>16.580000000000002</v>
      </c>
      <c r="N67" s="100">
        <f>IF(ISBLANK(G9),"",AVERAGE(I9:I13))</f>
        <v>6.44</v>
      </c>
      <c r="O67" s="191"/>
      <c r="P67" s="100">
        <f>IF(ISBLANK(F9),"",K67-AVERAGE(F96:F100))</f>
        <v>0.72142857142857686</v>
      </c>
      <c r="Q67" s="100">
        <f>IF(ISBLANK(G9),"",L67-AVERAGE(G96:G100))</f>
        <v>-2.1999999999999957</v>
      </c>
      <c r="R67" s="100">
        <f>IF(ISBLANK(H9),"",M67-AVERAGE(H96:H100))</f>
        <v>-0.97928571428570876</v>
      </c>
      <c r="S67" s="100">
        <f>IF(ISBLANK(G9),"",N67-AVERAGE(I96:I100))</f>
        <v>-2.9214285714285753</v>
      </c>
      <c r="T67" s="166"/>
      <c r="U67" s="342">
        <f>IF(ISBLANK(M9),"",AVERAGE(M9:M13))</f>
        <v>70.8</v>
      </c>
      <c r="V67" s="342">
        <f>IF(ISBLANK(P9),"",AVERAGE(R9:R13))</f>
        <v>1008.8</v>
      </c>
      <c r="W67" s="345">
        <f>IF(ISBLANK(U9),"",AVERAGE(U9:U13))</f>
        <v>6.8</v>
      </c>
      <c r="X67" s="100">
        <f>IF(ISBLANK(AI9),"",AVERAGE(AI9:AI13))</f>
        <v>10.96</v>
      </c>
      <c r="Y67" s="192"/>
      <c r="Z67" s="100">
        <f>IF(ISBLANK(Z9),"",SUM(Z9:Z13))</f>
        <v>9.5</v>
      </c>
      <c r="AA67" s="492">
        <f>IF(ISBLANK(Z9),"",Z67/($Z$39/$E$34*5))</f>
        <v>1.2531914893617022</v>
      </c>
      <c r="AB67" s="496">
        <f>IF(ISBLANK(Z9),"",Z67/$Z$38)</f>
        <v>0.18026565464895636</v>
      </c>
      <c r="AC67" s="165">
        <f>IF(ISBLANK(AP9),"",SUM(AP9:AP13))</f>
        <v>22</v>
      </c>
      <c r="AD67" s="492">
        <f>IF(ISBLANK(AP9),"",AC67/SUM(AS96:AS100))</f>
        <v>0.72368808057973777</v>
      </c>
      <c r="AE67" s="197">
        <f>IF(ISBLANK(AP9),"",AC67/$AP$38)</f>
        <v>0.13221153846153849</v>
      </c>
      <c r="AF67" s="50"/>
      <c r="AG67" s="780" t="s">
        <v>178</v>
      </c>
      <c r="AH67" s="780"/>
      <c r="AI67" s="780"/>
      <c r="AJ67" s="780"/>
      <c r="AK67" s="84"/>
      <c r="AM67" s="71"/>
      <c r="AN67" s="5">
        <f t="array" ref="AN67">SUM(IF(AP4:AP34&gt;0.25*AT91:AT121,1,0))</f>
        <v>17</v>
      </c>
      <c r="AO67" s="229"/>
      <c r="AP67" s="835"/>
      <c r="AQ67" s="835"/>
      <c r="AR67" s="6"/>
      <c r="AT67" s="187">
        <f>M53-AT70</f>
        <v>13</v>
      </c>
      <c r="AU67" s="187"/>
      <c r="AV67" s="571"/>
      <c r="AW67" s="571"/>
      <c r="AX67" s="361">
        <v>19</v>
      </c>
      <c r="AY67" s="23">
        <f t="shared" si="23"/>
        <v>15.899999999999999</v>
      </c>
      <c r="AZ67" s="50"/>
      <c r="BA67" s="26">
        <f t="shared" si="25"/>
        <v>-2.2999999999999998</v>
      </c>
      <c r="BB67" s="25">
        <f t="shared" si="24"/>
        <v>0.59999999999999787</v>
      </c>
      <c r="BC67" s="25">
        <f>IF(ISBLANK(G22),"",(AVERAGE($AY$49:AY67)))</f>
        <v>16.952631578947368</v>
      </c>
      <c r="BD67" s="13">
        <f t="shared" si="26"/>
        <v>-0.70907894736842358</v>
      </c>
      <c r="BE67" s="6"/>
      <c r="BF67" s="556">
        <v>0.23611111111111113</v>
      </c>
      <c r="BG67" s="556">
        <v>0.59027777777777779</v>
      </c>
      <c r="BH67" s="556">
        <v>0.59722222222222221</v>
      </c>
      <c r="BI67" s="556">
        <v>0.23958333333333334</v>
      </c>
      <c r="BJ67" s="556">
        <v>1.4583333333333332E-2</v>
      </c>
      <c r="BK67" s="18"/>
      <c r="BL67" s="78"/>
    </row>
    <row r="68" spans="1:64" ht="12.75" customHeight="1" x14ac:dyDescent="0.2">
      <c r="A68" s="67"/>
      <c r="B68" s="731" t="s">
        <v>4</v>
      </c>
      <c r="C68" s="732"/>
      <c r="D68" s="732"/>
      <c r="E68" s="582">
        <f>IF(ISBLANK(H5),"",AVERAGE(F48:F66))</f>
        <v>0.53274779364351688</v>
      </c>
      <c r="F68" s="576">
        <f>IF(ISBLANK(H5),"",ABS(E68))</f>
        <v>0.53274779364351688</v>
      </c>
      <c r="H68" s="729" t="s">
        <v>30</v>
      </c>
      <c r="I68" s="730"/>
      <c r="J68" s="191"/>
      <c r="K68" s="100">
        <f>IF(ISBLANK(F14),"",AVERAGE(F14:F18))</f>
        <v>12.440000000000001</v>
      </c>
      <c r="L68" s="100">
        <f>IF(ISBLANK(G14),"",AVERAGE(G14:G18))</f>
        <v>21.28</v>
      </c>
      <c r="M68" s="100">
        <f>IF(ISBLANK(H14),"",AVERAGE(H14:H18))</f>
        <v>17.100000000000001</v>
      </c>
      <c r="N68" s="100">
        <f>IF(ISBLANK(G14),"",AVERAGE(I14:I18))</f>
        <v>8.84</v>
      </c>
      <c r="O68" s="191"/>
      <c r="P68" s="100">
        <f>IF(ISBLANK(F14),"",K68-AVERAGE(F101:F105))</f>
        <v>-0.94571428571427951</v>
      </c>
      <c r="Q68" s="100">
        <f>IF(ISBLANK(G14),"",L68-AVERAGE(G101:G105))</f>
        <v>-1.2159999999999975</v>
      </c>
      <c r="R68" s="100">
        <f>IF(ISBLANK(H14),"",M68-AVERAGE(H101:H105))</f>
        <v>-0.84085714285713919</v>
      </c>
      <c r="S68" s="100">
        <f>IF(ISBLANK(G14),"",N68-AVERAGE(I101:I105))</f>
        <v>-0.27028571428571979</v>
      </c>
      <c r="T68" s="166"/>
      <c r="U68" s="342">
        <f>IF(ISBLANK(M14),"",AVERAGE(M14:M18))</f>
        <v>61.6</v>
      </c>
      <c r="V68" s="342">
        <f>IF(ISBLANK(P14),"",AVERAGE(R14:R18))</f>
        <v>1018</v>
      </c>
      <c r="W68" s="345">
        <f>IF(ISBLANK(U14),"",AVERAGE(U14:U18))</f>
        <v>4.0599999999999996</v>
      </c>
      <c r="X68" s="100">
        <f>IF(ISBLANK(AI14),"",AVERAGE(AI14:AI18))</f>
        <v>9.16</v>
      </c>
      <c r="Y68" s="192"/>
      <c r="Z68" s="100">
        <f>IF(ISBLANK(Z14),"",SUM(Z14:Z18))</f>
        <v>0</v>
      </c>
      <c r="AA68" s="492">
        <f>IF(ISBLANK(Z14),"",Z68/($Z$39/$E$34*5))</f>
        <v>0</v>
      </c>
      <c r="AB68" s="496">
        <f>IF(ISBLANK(Z14),"",Z68/$Z$38)</f>
        <v>0</v>
      </c>
      <c r="AC68" s="165">
        <f>IF(ISBLANK(AP14),"",SUM(AP14:AP18))</f>
        <v>23.2</v>
      </c>
      <c r="AD68" s="492">
        <f>IF(ISBLANK(AP14),"",AC68/SUM(AS101:AS105))</f>
        <v>0.77014910684684312</v>
      </c>
      <c r="AE68" s="197">
        <f>IF(ISBLANK(AP14),"",AC68/$AP$38)</f>
        <v>0.13942307692307693</v>
      </c>
      <c r="AF68" s="50"/>
      <c r="AH68" s="781">
        <f>SUM(AY91:AY121)</f>
        <v>15</v>
      </c>
      <c r="AI68" s="781"/>
      <c r="AJ68" s="93">
        <f>IF(M53=0,"",AH68/M53)</f>
        <v>0.4838709677419355</v>
      </c>
      <c r="AK68" s="6"/>
      <c r="AM68" s="136"/>
      <c r="AO68" s="228"/>
      <c r="AP68" s="835"/>
      <c r="AQ68" s="835"/>
      <c r="AR68" s="6"/>
      <c r="AT68" s="4"/>
      <c r="AU68" s="4"/>
      <c r="AV68" s="571"/>
      <c r="AW68" s="571"/>
      <c r="AX68" s="361">
        <v>20</v>
      </c>
      <c r="AY68" s="23">
        <f t="shared" si="23"/>
        <v>15.850000000000001</v>
      </c>
      <c r="AZ68" s="50"/>
      <c r="BA68" s="26">
        <f t="shared" si="25"/>
        <v>-2.38</v>
      </c>
      <c r="BB68" s="25">
        <f t="shared" si="24"/>
        <v>0.55000000000000071</v>
      </c>
      <c r="BC68" s="25">
        <f>IF(ISBLANK(G23),"",(AVERAGE($AY$49:AY68)))</f>
        <v>16.897500000000001</v>
      </c>
      <c r="BD68" s="13">
        <f t="shared" si="26"/>
        <v>-0.79262500000000191</v>
      </c>
      <c r="BE68" s="6"/>
      <c r="BF68" s="556">
        <v>9.375E-2</v>
      </c>
      <c r="BG68" s="556">
        <v>0.55902777777777779</v>
      </c>
      <c r="BH68" s="556">
        <v>0.59722222222222221</v>
      </c>
      <c r="BI68" s="556">
        <v>0.25347222222222221</v>
      </c>
      <c r="BJ68" s="556">
        <v>0.47291666666666665</v>
      </c>
      <c r="BK68" s="54"/>
      <c r="BL68" s="78"/>
    </row>
    <row r="69" spans="1:64" ht="12.75" customHeight="1" x14ac:dyDescent="0.2">
      <c r="A69" s="67"/>
      <c r="B69" s="731" t="s">
        <v>34</v>
      </c>
      <c r="C69" s="732"/>
      <c r="D69" s="732"/>
      <c r="E69" s="583">
        <f>AN100+AN97</f>
        <v>11</v>
      </c>
      <c r="F69" s="85" t="s">
        <v>90</v>
      </c>
      <c r="H69" s="729" t="s">
        <v>31</v>
      </c>
      <c r="I69" s="730"/>
      <c r="J69" s="191"/>
      <c r="K69" s="100">
        <f>IF(ISBLANK(F19),"",AVERAGE(F19:F23))</f>
        <v>12.74</v>
      </c>
      <c r="L69" s="100">
        <f>IF(ISBLANK(G19),"",AVERAGE(G19:G23))</f>
        <v>19.059999999999995</v>
      </c>
      <c r="M69" s="100">
        <f>IF(ISBLANK(H19),"",AVERAGE(H19:H23))</f>
        <v>15.459999999999999</v>
      </c>
      <c r="N69" s="100">
        <f>IF(ISBLANK(G19),"",AVERAGE(I19:I23))</f>
        <v>6.3199999999999985</v>
      </c>
      <c r="O69" s="191"/>
      <c r="P69" s="100">
        <f>IF(ISBLANK(F19),"",K69-AVERAGE(F106:F110))</f>
        <v>-0.95999999999999908</v>
      </c>
      <c r="Q69" s="100">
        <f>IF(ISBLANK(G19),"",L69-AVERAGE(G106:G110))</f>
        <v>-3.5600000000000023</v>
      </c>
      <c r="R69" s="100">
        <f>IF(ISBLANK(H19),"",M69-AVERAGE(H106:H110))</f>
        <v>-2.7000000000000011</v>
      </c>
      <c r="S69" s="100">
        <f>IF(ISBLANK(G19),"",N69-AVERAGE(I106:I110))</f>
        <v>-2.5999999999999996</v>
      </c>
      <c r="T69" s="166"/>
      <c r="U69" s="342">
        <f>IF(ISBLANK(M19),"",AVERAGE(M19:M23))</f>
        <v>80</v>
      </c>
      <c r="V69" s="342">
        <f>IF(ISBLANK(P19),"",AVERAGE(R19:R23))</f>
        <v>1001.7</v>
      </c>
      <c r="W69" s="345">
        <f>IF(ISBLANK(U19),"",AVERAGE(U19:U23))</f>
        <v>5.3599999999999994</v>
      </c>
      <c r="X69" s="100">
        <f>IF(ISBLANK(AI19),"",AVERAGE(AI19:AI23))</f>
        <v>11.940000000000001</v>
      </c>
      <c r="Y69" s="192"/>
      <c r="Z69" s="100">
        <f>IF(ISBLANK(Z19),"",SUM(Z19:Z23))</f>
        <v>32.6</v>
      </c>
      <c r="AA69" s="492">
        <f>IF(ISBLANK(Z19),"",Z69/($Z$39/$E$34*5))</f>
        <v>4.3004255319148941</v>
      </c>
      <c r="AB69" s="496">
        <f>IF(ISBLANK(Z19),"",Z69/$Z$38)</f>
        <v>0.61859582542694502</v>
      </c>
      <c r="AC69" s="165">
        <f>IF(ISBLANK(AP19),"",SUM(AP19:AP23))</f>
        <v>8.3000000000000007</v>
      </c>
      <c r="AD69" s="492">
        <f>IF(ISBLANK(AP19),"",AC69/SUM(AS106:AS110))</f>
        <v>0.27864905915982868</v>
      </c>
      <c r="AE69" s="197">
        <f>IF(ISBLANK(AP19),"",AC69/$AP$38)</f>
        <v>4.9879807692307702E-2</v>
      </c>
      <c r="AF69" s="50"/>
      <c r="AK69" s="6"/>
      <c r="AM69" s="136"/>
      <c r="AN69" s="183" t="s">
        <v>255</v>
      </c>
      <c r="AO69" s="228"/>
      <c r="AP69" s="767" t="s">
        <v>195</v>
      </c>
      <c r="AQ69" s="767"/>
      <c r="AR69" s="6"/>
      <c r="AT69" s="189" t="s">
        <v>85</v>
      </c>
      <c r="AU69" s="189"/>
      <c r="AV69" s="603"/>
      <c r="AW69" s="571"/>
      <c r="AX69" s="361">
        <v>21</v>
      </c>
      <c r="AY69" s="23">
        <f t="shared" si="23"/>
        <v>16.2</v>
      </c>
      <c r="AZ69" s="50"/>
      <c r="BA69" s="26">
        <f t="shared" si="25"/>
        <v>-2.0600000000000005</v>
      </c>
      <c r="BB69" s="25">
        <f t="shared" si="24"/>
        <v>1.2999999999999989</v>
      </c>
      <c r="BC69" s="25">
        <f>IF(ISBLANK(G24),"",(AVERAGE($AY$49:AY69)))</f>
        <v>16.864285714285717</v>
      </c>
      <c r="BD69" s="13">
        <f t="shared" si="26"/>
        <v>-0.852976190476193</v>
      </c>
      <c r="BE69" s="6"/>
      <c r="BF69" s="556">
        <v>0.11041666666666666</v>
      </c>
      <c r="BG69" s="556">
        <v>0.64027777777777783</v>
      </c>
      <c r="BH69" s="556">
        <v>0.63749999999999996</v>
      </c>
      <c r="BI69" s="556">
        <v>0.33402777777777781</v>
      </c>
      <c r="BJ69" s="556">
        <v>0.78194444444444444</v>
      </c>
      <c r="BK69" s="54"/>
      <c r="BL69" s="78"/>
    </row>
    <row r="70" spans="1:64" ht="12.75" x14ac:dyDescent="0.2">
      <c r="A70" s="67"/>
      <c r="B70" s="160"/>
      <c r="C70" s="161"/>
      <c r="D70" s="161"/>
      <c r="E70" s="158"/>
      <c r="F70" s="120"/>
      <c r="H70" s="729" t="s">
        <v>32</v>
      </c>
      <c r="I70" s="730"/>
      <c r="J70" s="191"/>
      <c r="K70" s="100">
        <f>IF(ISBLANK(F24),"",AVERAGE(F24:F28))</f>
        <v>11.1</v>
      </c>
      <c r="L70" s="100">
        <f>IF(ISBLANK(G24),"",AVERAGE(G24:G28))</f>
        <v>20.740000000000002</v>
      </c>
      <c r="M70" s="100">
        <f>IF(ISBLANK(H24),"",AVERAGE(H24:H28))</f>
        <v>15.9</v>
      </c>
      <c r="N70" s="100">
        <f>IF(ISBLANK(G24),"",AVERAGE(I24:I28))</f>
        <v>9.64</v>
      </c>
      <c r="O70" s="191"/>
      <c r="P70" s="100">
        <f>IF(ISBLANK(F24),"",K70-AVERAGE(F111:F115))</f>
        <v>-2.8200000000000021</v>
      </c>
      <c r="Q70" s="100">
        <f>IF(ISBLANK(G24),"",L70-AVERAGE(G111:G115))</f>
        <v>-1.9299999999999997</v>
      </c>
      <c r="R70" s="100">
        <f>IF(ISBLANK(H24),"",M70-AVERAGE(H111:H115))</f>
        <v>-2.3950000000000014</v>
      </c>
      <c r="S70" s="100">
        <f>IF(ISBLANK(G24),"",N70-AVERAGE(I111:I115))</f>
        <v>0.88999999999999702</v>
      </c>
      <c r="T70" s="166"/>
      <c r="U70" s="342">
        <f>IF(ISBLANK(M24),"",AVERAGE(M24:M28))</f>
        <v>65.8</v>
      </c>
      <c r="V70" s="342">
        <f>IF(ISBLANK(P24),"",AVERAGE(R24:R28))</f>
        <v>1012.5</v>
      </c>
      <c r="W70" s="345">
        <f>IF(ISBLANK(U24),"",AVERAGE(U24:U28))</f>
        <v>3.3200000000000003</v>
      </c>
      <c r="X70" s="100">
        <f>IF(ISBLANK(AI24),"",AVERAGE(AI24:AI28))</f>
        <v>8.8600000000000012</v>
      </c>
      <c r="Y70" s="192"/>
      <c r="Z70" s="100">
        <f>IF(ISBLANK(Z24),"",SUM(Z24:Z28))</f>
        <v>6</v>
      </c>
      <c r="AA70" s="492">
        <f>IF(ISBLANK(Z24),"",Z70/($Z$39/$E$34*5))</f>
        <v>0.79148936170212769</v>
      </c>
      <c r="AB70" s="496">
        <f>IF(ISBLANK(Z24),"",Z70/$Z$38)</f>
        <v>0.11385199240986718</v>
      </c>
      <c r="AC70" s="165">
        <f>IF(ISBLANK(AP24),"",SUM(AP24:AP28))</f>
        <v>33.200000000000003</v>
      </c>
      <c r="AD70" s="492">
        <f>IF(ISBLANK(AP24),"",AC70/SUM(AS111:AS115))</f>
        <v>1.1294795167485212</v>
      </c>
      <c r="AE70" s="197">
        <f>IF(ISBLANK(AP24),"",AC70/$AP$38)</f>
        <v>0.19951923076923081</v>
      </c>
      <c r="AF70" s="50"/>
      <c r="AK70" s="6"/>
      <c r="AM70" s="149"/>
      <c r="AN70" s="5">
        <f>M53-AN67</f>
        <v>14</v>
      </c>
      <c r="AO70" s="88"/>
      <c r="AP70" s="767"/>
      <c r="AQ70" s="767"/>
      <c r="AR70" s="6"/>
      <c r="AT70" s="5">
        <f>M53-SUM(BI91:BI121)</f>
        <v>18</v>
      </c>
      <c r="AU70" s="5"/>
      <c r="AV70" s="571"/>
      <c r="AW70" s="571"/>
      <c r="AX70" s="361">
        <v>22</v>
      </c>
      <c r="AY70" s="23">
        <f t="shared" si="23"/>
        <v>15.35</v>
      </c>
      <c r="AZ70" s="50"/>
      <c r="BA70" s="26">
        <f t="shared" si="25"/>
        <v>-2.9350000000000014</v>
      </c>
      <c r="BB70" s="25">
        <f t="shared" si="24"/>
        <v>-0.34999999999999964</v>
      </c>
      <c r="BC70" s="25">
        <f>IF(ISBLANK(G25),"",(AVERAGE($AY$49:AY70)))</f>
        <v>16.795454545454547</v>
      </c>
      <c r="BD70" s="13">
        <f t="shared" si="26"/>
        <v>-0.94761363636363694</v>
      </c>
      <c r="BE70" s="6"/>
      <c r="BF70" s="556">
        <v>0.24374999999999999</v>
      </c>
      <c r="BG70" s="556">
        <v>0.56805555555555554</v>
      </c>
      <c r="BH70" s="556">
        <v>0.76875000000000004</v>
      </c>
      <c r="BI70" s="556">
        <v>0.14722222222222223</v>
      </c>
      <c r="BJ70" s="556">
        <v>0.51388888888888895</v>
      </c>
      <c r="BK70" s="54"/>
      <c r="BL70" s="78"/>
    </row>
    <row r="71" spans="1:64" ht="13.5" customHeight="1" thickBot="1" x14ac:dyDescent="0.25">
      <c r="A71" s="67"/>
      <c r="B71" s="748" t="s">
        <v>7</v>
      </c>
      <c r="C71" s="749"/>
      <c r="D71" s="749"/>
      <c r="E71" s="221" t="s">
        <v>15</v>
      </c>
      <c r="F71" s="120"/>
      <c r="G71" s="575" t="s">
        <v>340</v>
      </c>
      <c r="H71" s="750" t="s">
        <v>43</v>
      </c>
      <c r="I71" s="751"/>
      <c r="J71" s="200"/>
      <c r="K71" s="201">
        <f>IF(ISBLANK(F29),"",AVERAGE(F29:F34))</f>
        <v>12.549999999999999</v>
      </c>
      <c r="L71" s="201">
        <f>IF(ISBLANK(G29),"",AVERAGE(G29:G34))</f>
        <v>21.766666666666666</v>
      </c>
      <c r="M71" s="201">
        <f>IF(ISBLANK(H29),"",AVERAGE(H29:H34))</f>
        <v>17.400000000000002</v>
      </c>
      <c r="N71" s="201">
        <f>IF(ISBLANK(G29),"",AVERAGE(I29:I34))</f>
        <v>9.2166666666666668</v>
      </c>
      <c r="O71" s="200"/>
      <c r="P71" s="201">
        <f>IF(ISBLANK(F29),"",K71-AVERAGE(F116:F121))</f>
        <v>-1.3650000000000002</v>
      </c>
      <c r="Q71" s="201">
        <f>IF(ISBLANK(G29),"",L71-AVERAGE(G116:G121))</f>
        <v>-0.90333333333333599</v>
      </c>
      <c r="R71" s="201">
        <f>IF(ISBLANK(H29),"",M71-AVERAGE(H116:H121))</f>
        <v>-0.89250000000000185</v>
      </c>
      <c r="S71" s="201">
        <f>IF(ISBLANK(G29),"",N71-AVERAGE(I116:I121))</f>
        <v>0.461666666666666</v>
      </c>
      <c r="T71" s="202"/>
      <c r="U71" s="344">
        <f>IF(ISBLANK(M29),"",AVERAGE(M29:M34))</f>
        <v>66.5</v>
      </c>
      <c r="V71" s="344">
        <f>IF(ISBLANK(P29),"",AVERAGE(R29:R34))</f>
        <v>1019.8333333333334</v>
      </c>
      <c r="W71" s="347">
        <f>IF(ISBLANK(U29),"",AVERAGE(U29:U34))</f>
        <v>3.0166666666666671</v>
      </c>
      <c r="X71" s="201">
        <f>IF(ISBLANK(AI29),"",AVERAGE(AI29:AI34))</f>
        <v>10.766666666666666</v>
      </c>
      <c r="Y71" s="203"/>
      <c r="Z71" s="201">
        <f>IF(ISBLANK(Z29),"",SUM(Z29:Z34))</f>
        <v>0</v>
      </c>
      <c r="AA71" s="494">
        <f>IF(ISBLANK(Z29),"",Z71/($Z$39/$E$34*6))</f>
        <v>0</v>
      </c>
      <c r="AB71" s="498">
        <f>IF(ISBLANK(Z29),"",Z71/$Z$38)</f>
        <v>0</v>
      </c>
      <c r="AC71" s="255">
        <f>IF(ISBLANK(AP29),"",SUM(AP29:AP34))</f>
        <v>35.700000000000003</v>
      </c>
      <c r="AD71" s="494">
        <f>IF(ISBLANK(AP29),"",AC71/SUM(AS116:AS121))</f>
        <v>1.0291900611254667</v>
      </c>
      <c r="AE71" s="256">
        <f>IF(ISBLANK(AP29),"",AC71/$AP$38)</f>
        <v>0.21454326923076927</v>
      </c>
      <c r="AF71" s="50"/>
      <c r="AG71" s="739" t="s">
        <v>125</v>
      </c>
      <c r="AH71" s="739"/>
      <c r="AI71" s="739"/>
      <c r="AJ71" s="739"/>
      <c r="AK71" s="315"/>
      <c r="AL71" s="306"/>
      <c r="AM71" s="136"/>
      <c r="AO71" s="88"/>
      <c r="AP71" s="767"/>
      <c r="AQ71" s="767"/>
      <c r="AR71" s="6"/>
      <c r="AT71" s="52"/>
      <c r="AU71" s="52"/>
      <c r="AV71" s="571"/>
      <c r="AW71" s="571"/>
      <c r="AX71" s="361">
        <v>23</v>
      </c>
      <c r="AY71" s="23">
        <f t="shared" si="23"/>
        <v>14.45</v>
      </c>
      <c r="AZ71" s="50"/>
      <c r="BA71" s="26">
        <f t="shared" si="25"/>
        <v>-3.8600000000000003</v>
      </c>
      <c r="BB71" s="25">
        <f t="shared" si="24"/>
        <v>-0.45000000000000107</v>
      </c>
      <c r="BC71" s="25">
        <f>IF(ISBLANK(G26),"",(AVERAGE($AY$49:AY71)))</f>
        <v>16.693478260869568</v>
      </c>
      <c r="BD71" s="13">
        <f t="shared" si="26"/>
        <v>-1.0742391304347834</v>
      </c>
      <c r="BE71" s="6"/>
      <c r="BF71" s="556">
        <v>0.27013888888888887</v>
      </c>
      <c r="BG71" s="556">
        <v>0.72152777777777777</v>
      </c>
      <c r="BH71" s="556">
        <v>0.66597222222222219</v>
      </c>
      <c r="BI71" s="556">
        <v>0.29166666666666669</v>
      </c>
      <c r="BJ71" s="556">
        <v>0.51875000000000004</v>
      </c>
      <c r="BK71" s="54"/>
      <c r="BL71" s="78"/>
    </row>
    <row r="72" spans="1:64" ht="12.75" customHeight="1" x14ac:dyDescent="0.2">
      <c r="A72" s="67"/>
      <c r="B72" s="742" t="s">
        <v>33</v>
      </c>
      <c r="C72" s="743"/>
      <c r="D72" s="744"/>
      <c r="E72" s="89">
        <f>IF(Z38=0,"",CORREL(Z4:Z34,R4:R34))</f>
        <v>-0.63396605171320697</v>
      </c>
      <c r="F72" s="576">
        <f>IF(Z38=0,"",ABS(E72))</f>
        <v>0.63396605171320697</v>
      </c>
      <c r="G72" s="574">
        <f>IF(Z38=0,"",IF(AQ86&lt;0.5,"n/a",CORREL(Y4:Y34,R4:R34)))</f>
        <v>-0.67295931470461756</v>
      </c>
      <c r="H72" s="102"/>
      <c r="I72" s="21"/>
      <c r="J72" s="20"/>
      <c r="K72" s="21"/>
      <c r="O72" s="20"/>
      <c r="Q72" s="122"/>
      <c r="S72" s="100"/>
      <c r="T72" s="166"/>
      <c r="W72" s="24"/>
      <c r="X72" s="24"/>
      <c r="Y72" s="192"/>
      <c r="Z72" s="24"/>
      <c r="AA72" s="24"/>
      <c r="AB72" s="24"/>
      <c r="AC72" s="24"/>
      <c r="AF72" s="6"/>
      <c r="AH72" s="713">
        <f t="array" ref="AH72">MAX(FREQUENCY(IF(BH91:BH121=1,ROW(91:121)),IF(BH91:BH121&lt;&gt;1,ROW(91:121))))</f>
        <v>5</v>
      </c>
      <c r="AI72" s="713"/>
      <c r="AJ72" s="4"/>
      <c r="AK72" s="68"/>
      <c r="AL72" s="474"/>
      <c r="AM72" s="136"/>
      <c r="AN72" s="185" t="s">
        <v>123</v>
      </c>
      <c r="AO72" s="409"/>
      <c r="AP72" s="767"/>
      <c r="AQ72" s="767"/>
      <c r="AR72" s="6"/>
      <c r="AT72" s="307" t="s">
        <v>87</v>
      </c>
      <c r="AU72" s="307"/>
      <c r="AV72" s="571"/>
      <c r="AW72" s="571"/>
      <c r="AX72" s="361">
        <v>24</v>
      </c>
      <c r="AY72" s="23">
        <f t="shared" si="23"/>
        <v>16.899999999999999</v>
      </c>
      <c r="AZ72" s="50"/>
      <c r="BA72" s="26">
        <f t="shared" si="25"/>
        <v>-1.410000000000001</v>
      </c>
      <c r="BB72" s="25">
        <f t="shared" si="24"/>
        <v>0</v>
      </c>
      <c r="BC72" s="25">
        <f>IF(ISBLANK(G27),"",(AVERAGE($AY$49:AY72)))</f>
        <v>16.702083333333334</v>
      </c>
      <c r="BD72" s="13">
        <f t="shared" si="26"/>
        <v>-1.0882291666666681</v>
      </c>
      <c r="BE72" s="6"/>
      <c r="BF72" s="556">
        <v>0.24444444444444446</v>
      </c>
      <c r="BG72" s="556">
        <v>0.75763888888888886</v>
      </c>
      <c r="BH72" s="556">
        <v>0.70972222222222225</v>
      </c>
      <c r="BI72" s="556">
        <v>0.28194444444444444</v>
      </c>
      <c r="BJ72" s="556">
        <v>0.68055555555555547</v>
      </c>
      <c r="BK72" s="54"/>
      <c r="BL72" s="78"/>
    </row>
    <row r="73" spans="1:64" ht="12.75" customHeight="1" x14ac:dyDescent="0.2">
      <c r="A73" s="67"/>
      <c r="B73" s="742" t="s">
        <v>61</v>
      </c>
      <c r="C73" s="743"/>
      <c r="D73" s="744"/>
      <c r="E73" s="89">
        <f>IF(Z38=0,"",CORREL(Z4:Z34,H4:H34))</f>
        <v>-0.3629570942934543</v>
      </c>
      <c r="F73" s="576">
        <f>IF(Z38=0,"",ABS(E73))</f>
        <v>0.3629570942934543</v>
      </c>
      <c r="H73" s="102"/>
      <c r="J73" s="20"/>
      <c r="K73" s="231"/>
      <c r="L73" s="4" t="s">
        <v>352</v>
      </c>
      <c r="M73" s="4" t="s">
        <v>10</v>
      </c>
      <c r="N73" s="122"/>
      <c r="O73" s="20"/>
      <c r="Q73" s="753" t="s">
        <v>103</v>
      </c>
      <c r="R73" s="754"/>
      <c r="S73" s="754"/>
      <c r="T73" s="754"/>
      <c r="U73" s="754"/>
      <c r="V73" s="754"/>
      <c r="W73" s="754"/>
      <c r="X73" s="754"/>
      <c r="Y73" s="754"/>
      <c r="Z73" s="754"/>
      <c r="AA73" s="754"/>
      <c r="AB73" s="755"/>
      <c r="AC73" s="303"/>
      <c r="AD73" s="800" t="s">
        <v>270</v>
      </c>
      <c r="AE73" s="800"/>
      <c r="AF73" s="6"/>
      <c r="AG73" s="650"/>
      <c r="AH73" s="650"/>
      <c r="AI73" s="650"/>
      <c r="AJ73" s="650"/>
      <c r="AK73" s="6"/>
      <c r="AL73" s="477"/>
      <c r="AM73" s="136"/>
      <c r="AN73" s="138">
        <f>IF(M53=0,"",AN67/M53)</f>
        <v>0.54838709677419351</v>
      </c>
      <c r="AO73" s="409"/>
      <c r="AP73" s="783" t="s">
        <v>269</v>
      </c>
      <c r="AQ73" s="661"/>
      <c r="AR73" s="6"/>
      <c r="AT73" s="587">
        <f>IF(AT67=0,"",AT67/M53)</f>
        <v>0.41935483870967744</v>
      </c>
      <c r="AU73" s="587"/>
      <c r="AV73" s="571"/>
      <c r="AW73" s="571"/>
      <c r="AX73" s="361">
        <v>25</v>
      </c>
      <c r="AY73" s="23">
        <f t="shared" si="23"/>
        <v>16.7</v>
      </c>
      <c r="AZ73" s="50"/>
      <c r="BA73" s="26">
        <f t="shared" si="25"/>
        <v>-1.6100000000000003</v>
      </c>
      <c r="BB73" s="25">
        <f t="shared" si="24"/>
        <v>-0.40000000000000213</v>
      </c>
      <c r="BC73" s="25">
        <f>IF(ISBLANK(G28),"",(AVERAGE($AY$49:AY73)))</f>
        <v>16.702000000000002</v>
      </c>
      <c r="BD73" s="13">
        <f t="shared" si="26"/>
        <v>-1.1091000000000024</v>
      </c>
      <c r="BE73" s="6"/>
      <c r="BF73" s="556">
        <v>0.12986111111111112</v>
      </c>
      <c r="BG73" s="556">
        <v>0.68819444444444444</v>
      </c>
      <c r="BH73" s="556">
        <v>0.65347222222222223</v>
      </c>
      <c r="BI73" s="556">
        <v>0.25208333333333333</v>
      </c>
      <c r="BJ73" s="556">
        <v>0.77430555555555547</v>
      </c>
      <c r="BK73" s="54"/>
      <c r="BL73" s="78"/>
    </row>
    <row r="74" spans="1:64" ht="12.75" customHeight="1" x14ac:dyDescent="0.2">
      <c r="A74" s="67"/>
      <c r="B74" s="742" t="s">
        <v>60</v>
      </c>
      <c r="C74" s="743"/>
      <c r="D74" s="744"/>
      <c r="E74" s="89">
        <f>IF(Z38=0,"",CORREL(Z4:Z34,G4:G34))</f>
        <v>-0.34052264782870073</v>
      </c>
      <c r="F74" s="576">
        <f>IF(Z38=0,"",ABS(E74))</f>
        <v>0.34052264782870073</v>
      </c>
      <c r="G74" s="236"/>
      <c r="H74" s="747" t="s">
        <v>2</v>
      </c>
      <c r="I74" s="237" t="s">
        <v>203</v>
      </c>
      <c r="J74" s="245"/>
      <c r="K74" s="106">
        <f>F39</f>
        <v>13.4</v>
      </c>
      <c r="L74" s="108" t="str">
        <f>IF(ISBLANK(F4),"",(IF(M54=0,"n/a",(E34*K74-M53*F38)/M54)))</f>
        <v>n/a</v>
      </c>
      <c r="M74" s="106" t="str">
        <f>IF(ISBLANK(F4),"",IF(M54&gt;0,L74-F39,"n/a"))</f>
        <v>n/a</v>
      </c>
      <c r="N74" s="246" t="s">
        <v>142</v>
      </c>
      <c r="O74" s="67"/>
      <c r="Q74" s="733" t="s">
        <v>606</v>
      </c>
      <c r="R74" s="734"/>
      <c r="S74" s="734"/>
      <c r="T74" s="734"/>
      <c r="U74" s="734"/>
      <c r="V74" s="734"/>
      <c r="W74" s="734"/>
      <c r="X74" s="734"/>
      <c r="Y74" s="734"/>
      <c r="Z74" s="734"/>
      <c r="AA74" s="734"/>
      <c r="AB74" s="735"/>
      <c r="AC74" s="437"/>
      <c r="AD74" s="1" t="s">
        <v>238</v>
      </c>
      <c r="AE74" s="1" t="s">
        <v>244</v>
      </c>
      <c r="AF74" s="6"/>
      <c r="AG74" s="780" t="s">
        <v>130</v>
      </c>
      <c r="AH74" s="780"/>
      <c r="AI74" s="780"/>
      <c r="AJ74" s="780"/>
      <c r="AK74" s="316"/>
      <c r="AL74" s="477"/>
      <c r="AM74" s="136"/>
      <c r="AO74" s="88"/>
      <c r="AP74" s="661"/>
      <c r="AQ74" s="661"/>
      <c r="AR74" s="6"/>
      <c r="AV74" s="571"/>
      <c r="AW74" s="571"/>
      <c r="AX74" s="361">
        <v>26</v>
      </c>
      <c r="AY74" s="23">
        <f t="shared" si="23"/>
        <v>15.95</v>
      </c>
      <c r="AZ74" s="50"/>
      <c r="BA74" s="26">
        <f t="shared" si="25"/>
        <v>-2.3600000000000012</v>
      </c>
      <c r="BB74" s="25">
        <f t="shared" si="24"/>
        <v>-0.35000000000000142</v>
      </c>
      <c r="BC74" s="25">
        <f>IF(ISBLANK(G29),"",(AVERAGE($AY$49:AY74)))</f>
        <v>16.673076923076923</v>
      </c>
      <c r="BD74" s="13">
        <f t="shared" si="26"/>
        <v>-1.1572115384615387</v>
      </c>
      <c r="BE74" s="6"/>
      <c r="BF74" s="556">
        <v>0.23333333333333331</v>
      </c>
      <c r="BG74" s="556">
        <v>0.68402777777777779</v>
      </c>
      <c r="BH74" s="556">
        <v>0.69236111111111109</v>
      </c>
      <c r="BI74" s="556">
        <v>0.29444444444444445</v>
      </c>
      <c r="BJ74" s="556">
        <v>0.78888888888888886</v>
      </c>
      <c r="BK74" s="54"/>
      <c r="BL74" s="78"/>
    </row>
    <row r="75" spans="1:64" ht="12.75" customHeight="1" x14ac:dyDescent="0.2">
      <c r="A75" s="67"/>
      <c r="B75" s="742" t="s">
        <v>64</v>
      </c>
      <c r="C75" s="743"/>
      <c r="D75" s="744"/>
      <c r="E75" s="89">
        <f>IF(Z38=0,"",CORREL(Z4:Z34,I4:I34))</f>
        <v>-0.38386287874050129</v>
      </c>
      <c r="F75" s="576">
        <f>IF(Z38=0,"",ABS(E75))</f>
        <v>0.38386287874050129</v>
      </c>
      <c r="G75" s="236"/>
      <c r="H75" s="746"/>
      <c r="I75" s="238" t="s">
        <v>149</v>
      </c>
      <c r="J75" s="191"/>
      <c r="K75" s="249">
        <f>F39</f>
        <v>13.4</v>
      </c>
      <c r="L75" s="91">
        <f>IF(ISBLANK(F4),"",(M54*K75+M53*F38)/E34)</f>
        <v>12.522580645161288</v>
      </c>
      <c r="M75" s="232">
        <f>IF(ISBLANK(F4),"",L75-F39)</f>
        <v>-0.87741935483871281</v>
      </c>
      <c r="N75" s="248" t="s">
        <v>148</v>
      </c>
      <c r="O75" s="67"/>
      <c r="Q75" s="811"/>
      <c r="R75" s="812"/>
      <c r="S75" s="812"/>
      <c r="T75" s="812"/>
      <c r="U75" s="812"/>
      <c r="V75" s="812"/>
      <c r="W75" s="812"/>
      <c r="X75" s="812"/>
      <c r="Y75" s="812"/>
      <c r="Z75" s="812"/>
      <c r="AA75" s="812"/>
      <c r="AB75" s="813"/>
      <c r="AC75" s="437"/>
      <c r="AD75" s="1" t="s">
        <v>240</v>
      </c>
      <c r="AE75" s="1" t="s">
        <v>245</v>
      </c>
      <c r="AF75" s="6"/>
      <c r="AH75" s="781">
        <f t="array" ref="AH75">MAX(FREQUENCY(IF(AY91:AY121=1,ROW(91:121)),IF(AY91:AY121&lt;&gt;1,ROW(91:121))))</f>
        <v>5</v>
      </c>
      <c r="AI75" s="781"/>
      <c r="AJ75" s="5"/>
      <c r="AK75" s="84"/>
      <c r="AL75" s="5"/>
      <c r="AM75" s="136"/>
      <c r="AN75" s="184" t="s">
        <v>293</v>
      </c>
      <c r="AO75" s="88"/>
      <c r="AP75" s="661"/>
      <c r="AQ75" s="661"/>
      <c r="AR75" s="6"/>
      <c r="AT75" s="589" t="s">
        <v>84</v>
      </c>
      <c r="AU75" s="589"/>
      <c r="AV75" s="571"/>
      <c r="AW75" s="571"/>
      <c r="AX75" s="361">
        <v>27</v>
      </c>
      <c r="AY75" s="23">
        <f t="shared" si="23"/>
        <v>17.25</v>
      </c>
      <c r="AZ75" s="50"/>
      <c r="BA75" s="26">
        <f t="shared" si="25"/>
        <v>-1.0599999999999996</v>
      </c>
      <c r="BB75" s="25">
        <f t="shared" si="24"/>
        <v>0.44999999999999929</v>
      </c>
      <c r="BC75" s="25">
        <f>IF(ISBLANK(G30),"",(AVERAGE($AY$49:AY75)))</f>
        <v>16.694444444444443</v>
      </c>
      <c r="BD75" s="13">
        <f t="shared" si="26"/>
        <v>-1.1536111111111111</v>
      </c>
      <c r="BE75" s="6"/>
      <c r="BF75" s="556">
        <v>0.22916666666666666</v>
      </c>
      <c r="BG75" s="556">
        <v>0.69444444444444453</v>
      </c>
      <c r="BH75" s="556">
        <v>0.7</v>
      </c>
      <c r="BI75" s="556">
        <v>0.3125</v>
      </c>
      <c r="BJ75" s="556">
        <v>0.66319444444444442</v>
      </c>
      <c r="BK75" s="54"/>
      <c r="BL75" s="78"/>
    </row>
    <row r="76" spans="1:64" ht="12.75" customHeight="1" x14ac:dyDescent="0.2">
      <c r="A76" s="67"/>
      <c r="B76" s="742" t="s">
        <v>62</v>
      </c>
      <c r="C76" s="743"/>
      <c r="D76" s="744"/>
      <c r="E76" s="89">
        <f>IF(Z38=0,"",CORREL(Z4:Z34,M4:M34))</f>
        <v>0.60279874040905579</v>
      </c>
      <c r="F76" s="576">
        <f>IF(Z38=0,"",ABS(E76))</f>
        <v>0.60279874040905579</v>
      </c>
      <c r="G76" s="236"/>
      <c r="H76" s="745" t="s">
        <v>3</v>
      </c>
      <c r="I76" s="237" t="s">
        <v>203</v>
      </c>
      <c r="J76" s="191"/>
      <c r="K76" s="90">
        <f>G39</f>
        <v>22.4</v>
      </c>
      <c r="L76" s="38" t="str">
        <f>IF(ISBLANK(G4),"",IF(M54&gt;0,(E34*K76-G38*M53)/M54,"n/a"))</f>
        <v>n/a</v>
      </c>
      <c r="M76" s="90" t="str">
        <f>IF(ISBLANK(G4),"",IF(M54&gt;0,L76-G39,"n/a"))</f>
        <v>n/a</v>
      </c>
      <c r="N76" s="247" t="s">
        <v>142</v>
      </c>
      <c r="O76" s="67"/>
      <c r="Q76" s="811"/>
      <c r="R76" s="812"/>
      <c r="S76" s="812"/>
      <c r="T76" s="812"/>
      <c r="U76" s="812"/>
      <c r="V76" s="812"/>
      <c r="W76" s="812"/>
      <c r="X76" s="812"/>
      <c r="Y76" s="812"/>
      <c r="Z76" s="812"/>
      <c r="AA76" s="812"/>
      <c r="AB76" s="813"/>
      <c r="AC76" s="437"/>
      <c r="AD76" s="1" t="s">
        <v>241</v>
      </c>
      <c r="AE76" s="1" t="s">
        <v>246</v>
      </c>
      <c r="AF76" s="6"/>
      <c r="AK76" s="6"/>
      <c r="AM76" s="136"/>
      <c r="AN76" s="5">
        <f>COUNTIF(AP4:AP34, "0")</f>
        <v>0</v>
      </c>
      <c r="AO76" s="88"/>
      <c r="AP76" s="782" t="s">
        <v>272</v>
      </c>
      <c r="AQ76" s="782"/>
      <c r="AR76" s="6"/>
      <c r="AT76" s="188">
        <f>AN94</f>
        <v>8</v>
      </c>
      <c r="AU76" s="188"/>
      <c r="AV76" s="571"/>
      <c r="AW76" s="571"/>
      <c r="AX76" s="361">
        <v>28</v>
      </c>
      <c r="AY76" s="23">
        <f t="shared" si="23"/>
        <v>19</v>
      </c>
      <c r="AZ76" s="50"/>
      <c r="BA76" s="26">
        <f t="shared" si="25"/>
        <v>0.69000000000000039</v>
      </c>
      <c r="BB76" s="25">
        <f t="shared" si="24"/>
        <v>0.10000000000000142</v>
      </c>
      <c r="BC76" s="25">
        <f>IF(ISBLANK(G31),"",(AVERAGE($AY$49:AY76)))</f>
        <v>16.776785714285715</v>
      </c>
      <c r="BD76" s="13">
        <f t="shared" si="26"/>
        <v>-1.0877678571428557</v>
      </c>
      <c r="BE76" s="6"/>
      <c r="BF76" s="556">
        <v>1.3888888888888888E-2</v>
      </c>
      <c r="BG76" s="556">
        <v>0.78611111111111109</v>
      </c>
      <c r="BH76" s="556">
        <v>0.80902777777777779</v>
      </c>
      <c r="BI76" s="556">
        <v>0.28125</v>
      </c>
      <c r="BJ76" s="556">
        <v>0.875</v>
      </c>
      <c r="BK76" s="54"/>
      <c r="BL76" s="78"/>
    </row>
    <row r="77" spans="1:64" ht="12.75" customHeight="1" x14ac:dyDescent="0.2">
      <c r="A77" s="67"/>
      <c r="B77" s="742" t="s">
        <v>95</v>
      </c>
      <c r="C77" s="743"/>
      <c r="D77" s="744"/>
      <c r="E77" s="89">
        <f>IF(Z38=0,"",CORREL(Z4:Z34,L4:L34))</f>
        <v>0.48815809710373637</v>
      </c>
      <c r="F77" s="576">
        <f>IF(Z38=0,"",ABS(E77))</f>
        <v>0.48815809710373637</v>
      </c>
      <c r="G77" s="236"/>
      <c r="H77" s="746"/>
      <c r="I77" s="238" t="s">
        <v>149</v>
      </c>
      <c r="J77" s="191"/>
      <c r="K77" s="249">
        <f>G39</f>
        <v>22.4</v>
      </c>
      <c r="L77" s="91">
        <f>IF(ISBLANK(G4),"",(M54*K77+M53*G38)/E34)</f>
        <v>21.058064516129026</v>
      </c>
      <c r="M77" s="233">
        <f>IF(ISBLANK(G4),"",L77-G39)</f>
        <v>-1.3419354838709729</v>
      </c>
      <c r="N77" s="248" t="s">
        <v>148</v>
      </c>
      <c r="O77" s="67"/>
      <c r="Q77" s="811"/>
      <c r="R77" s="812"/>
      <c r="S77" s="812"/>
      <c r="T77" s="812"/>
      <c r="U77" s="812"/>
      <c r="V77" s="812"/>
      <c r="W77" s="812"/>
      <c r="X77" s="812"/>
      <c r="Y77" s="812"/>
      <c r="Z77" s="812"/>
      <c r="AA77" s="812"/>
      <c r="AB77" s="813"/>
      <c r="AC77" s="437"/>
      <c r="AD77" s="1" t="s">
        <v>242</v>
      </c>
      <c r="AE77" s="1" t="s">
        <v>247</v>
      </c>
      <c r="AF77" s="6"/>
      <c r="AK77" s="6"/>
      <c r="AM77" s="136"/>
      <c r="AN77" s="105"/>
      <c r="AO77" s="410"/>
      <c r="AP77" s="782"/>
      <c r="AQ77" s="782"/>
      <c r="AR77" s="6"/>
      <c r="AT77" s="21"/>
      <c r="AU77" s="21"/>
      <c r="AV77" s="571"/>
      <c r="AW77" s="571"/>
      <c r="AX77" s="361">
        <v>29</v>
      </c>
      <c r="AY77" s="23">
        <f t="shared" si="23"/>
        <v>16.95</v>
      </c>
      <c r="AZ77" s="50"/>
      <c r="BA77" s="26">
        <f t="shared" si="25"/>
        <v>-1.3425000000000002</v>
      </c>
      <c r="BB77" s="25">
        <f t="shared" si="24"/>
        <v>0.25</v>
      </c>
      <c r="BC77" s="25">
        <f>IF(ISBLANK(G32),"",(AVERAGE($AY$49:AY77)))</f>
        <v>16.782758620689656</v>
      </c>
      <c r="BD77" s="13">
        <f t="shared" si="26"/>
        <v>-1.0965517241379299</v>
      </c>
      <c r="BE77" s="6"/>
      <c r="BF77" s="556">
        <v>0.21111111111111111</v>
      </c>
      <c r="BG77" s="556">
        <v>0.55763888888888891</v>
      </c>
      <c r="BH77" s="556">
        <v>0.70625000000000004</v>
      </c>
      <c r="BI77" s="556">
        <v>0.24861111111111112</v>
      </c>
      <c r="BJ77" s="556">
        <v>0.36875000000000002</v>
      </c>
      <c r="BK77" s="54"/>
      <c r="BL77" s="78"/>
    </row>
    <row r="78" spans="1:64" ht="12.75" customHeight="1" x14ac:dyDescent="0.2">
      <c r="A78" s="67"/>
      <c r="B78" s="742" t="s">
        <v>63</v>
      </c>
      <c r="C78" s="743"/>
      <c r="D78" s="744"/>
      <c r="E78" s="89">
        <f>IF(Z38=0,"",CORREL(Z4:Z34,N4:N34))</f>
        <v>-0.30315975118497196</v>
      </c>
      <c r="F78" s="576">
        <f>IF(Z38=0,"",ABS(E78))</f>
        <v>0.30315975118497196</v>
      </c>
      <c r="G78" s="236"/>
      <c r="H78" s="745" t="s">
        <v>4</v>
      </c>
      <c r="I78" s="237" t="s">
        <v>203</v>
      </c>
      <c r="J78" s="191"/>
      <c r="K78" s="90">
        <f>AY81</f>
        <v>17.899999999999999</v>
      </c>
      <c r="L78" s="38" t="str">
        <f>IF(ISBLANK(F4),"",IF(M54&gt;0,(E34*K78-AY80*M53)/M54,"n/a"))</f>
        <v>n/a</v>
      </c>
      <c r="M78" s="90" t="str">
        <f>IF(ISBLANK(F4),"",IF(M54&gt;0,L78-AY81,"n/a"))</f>
        <v>n/a</v>
      </c>
      <c r="N78" s="247" t="s">
        <v>142</v>
      </c>
      <c r="O78" s="67"/>
      <c r="Q78" s="811"/>
      <c r="R78" s="812"/>
      <c r="S78" s="812"/>
      <c r="T78" s="812"/>
      <c r="U78" s="812"/>
      <c r="V78" s="812"/>
      <c r="W78" s="812"/>
      <c r="X78" s="812"/>
      <c r="Y78" s="812"/>
      <c r="Z78" s="812"/>
      <c r="AA78" s="812"/>
      <c r="AB78" s="813"/>
      <c r="AC78" s="437"/>
      <c r="AD78" s="1" t="s">
        <v>243</v>
      </c>
      <c r="AE78" s="1" t="s">
        <v>248</v>
      </c>
      <c r="AF78" s="6"/>
      <c r="AG78" s="804" t="s">
        <v>273</v>
      </c>
      <c r="AH78" s="804"/>
      <c r="AI78" s="804"/>
      <c r="AJ78" s="804"/>
      <c r="AK78" s="317"/>
      <c r="AL78" s="308"/>
      <c r="AM78" s="136"/>
      <c r="AN78" s="230" t="s">
        <v>175</v>
      </c>
      <c r="AO78" s="88"/>
      <c r="AP78" s="782"/>
      <c r="AQ78" s="782"/>
      <c r="AR78" s="6"/>
      <c r="AT78" s="189" t="s">
        <v>83</v>
      </c>
      <c r="AU78" s="189"/>
      <c r="AV78" s="603"/>
      <c r="AW78" s="571"/>
      <c r="AX78" s="361">
        <v>30</v>
      </c>
      <c r="AY78" s="23">
        <f t="shared" si="23"/>
        <v>15.45</v>
      </c>
      <c r="AZ78" s="50"/>
      <c r="BA78" s="26">
        <f t="shared" si="25"/>
        <v>-2.8250000000000011</v>
      </c>
      <c r="BB78" s="38">
        <f t="shared" si="24"/>
        <v>-1.0500000000000007</v>
      </c>
      <c r="BC78" s="38">
        <f>IF(ISBLANK(G33),"",(AVERAGE($AY$49:AY78)))</f>
        <v>16.738333333333333</v>
      </c>
      <c r="BD78" s="13">
        <f t="shared" si="26"/>
        <v>-1.154166666666665</v>
      </c>
      <c r="BE78" s="6"/>
      <c r="BF78" s="556">
        <v>0.24791666666666667</v>
      </c>
      <c r="BG78" s="556">
        <v>0.76249999999999996</v>
      </c>
      <c r="BH78" s="556">
        <v>0.77777777777777779</v>
      </c>
      <c r="BI78" s="556">
        <v>0.2902777777777778</v>
      </c>
      <c r="BJ78" s="556">
        <v>5.6944444444444443E-2</v>
      </c>
      <c r="BK78" s="54"/>
      <c r="BL78" s="78"/>
    </row>
    <row r="79" spans="1:64" ht="12.75" customHeight="1" x14ac:dyDescent="0.2">
      <c r="A79" s="67"/>
      <c r="B79" s="742" t="s">
        <v>76</v>
      </c>
      <c r="C79" s="743"/>
      <c r="D79" s="744"/>
      <c r="E79" s="89">
        <f>IF(Z38=0,"",CORREL(Z4:Z34,F4:F34))</f>
        <v>0.206805444951703</v>
      </c>
      <c r="F79" s="576">
        <f>IF(Z38=0,"",ABS(E79))</f>
        <v>0.206805444951703</v>
      </c>
      <c r="G79" s="236"/>
      <c r="H79" s="746"/>
      <c r="I79" s="238" t="s">
        <v>149</v>
      </c>
      <c r="J79" s="191"/>
      <c r="K79" s="250">
        <f>AVERAGE(K75,K77)</f>
        <v>17.899999999999999</v>
      </c>
      <c r="L79" s="38">
        <f>IF(ISBLANK(F4),"",(M54*K79+M53*AY80)/E34)</f>
        <v>16.79032258064516</v>
      </c>
      <c r="M79" s="234">
        <f>IF(ISBLANK(F4),"",L79-AY81)</f>
        <v>-1.1096774193548384</v>
      </c>
      <c r="N79" s="248" t="s">
        <v>148</v>
      </c>
      <c r="O79" s="67"/>
      <c r="Q79" s="842"/>
      <c r="R79" s="843"/>
      <c r="S79" s="843"/>
      <c r="T79" s="843"/>
      <c r="U79" s="843"/>
      <c r="V79" s="843"/>
      <c r="W79" s="843"/>
      <c r="X79" s="843"/>
      <c r="Y79" s="843"/>
      <c r="Z79" s="843"/>
      <c r="AA79" s="843"/>
      <c r="AB79" s="844"/>
      <c r="AC79" s="437"/>
      <c r="AD79" s="1" t="s">
        <v>239</v>
      </c>
      <c r="AE79" s="1" t="s">
        <v>249</v>
      </c>
      <c r="AF79" s="6"/>
      <c r="AH79" s="778">
        <v>9.1</v>
      </c>
      <c r="AI79" s="778"/>
      <c r="AJ79" s="52" t="s">
        <v>365</v>
      </c>
      <c r="AK79" s="318"/>
      <c r="AL79" s="309"/>
      <c r="AM79" s="136"/>
      <c r="AN79" s="4">
        <f t="array" ref="AN79">MAX(FREQUENCY(IF(AV91:AV121=1,ROW(91:121)),IF(AV91:AV121&lt;&gt;1,ROW(91:121))))</f>
        <v>6</v>
      </c>
      <c r="AO79" s="88"/>
      <c r="AP79" s="803" t="s">
        <v>278</v>
      </c>
      <c r="AQ79" s="661"/>
      <c r="AR79" s="6"/>
      <c r="AT79" s="5">
        <f>AN95</f>
        <v>8</v>
      </c>
      <c r="AU79" s="5"/>
      <c r="AV79" s="5"/>
      <c r="AX79" s="386">
        <v>31</v>
      </c>
      <c r="AY79" s="387">
        <f t="shared" si="23"/>
        <v>18.350000000000001</v>
      </c>
      <c r="AZ79" s="388"/>
      <c r="BA79" s="101">
        <f t="shared" si="25"/>
        <v>9.2499999999998472E-2</v>
      </c>
      <c r="BB79" s="91">
        <f t="shared" si="24"/>
        <v>-0.84999999999999787</v>
      </c>
      <c r="BC79" s="91">
        <f>IF(ISBLANK(G34),"",(AVERAGE($AY$49:AY79)))</f>
        <v>16.79032258064516</v>
      </c>
      <c r="BD79" s="241">
        <f t="shared" si="26"/>
        <v>-1.1139516129032234</v>
      </c>
      <c r="BE79" s="243"/>
      <c r="BF79" s="560">
        <v>0.26041666666666669</v>
      </c>
      <c r="BG79" s="560">
        <v>0.6791666666666667</v>
      </c>
      <c r="BH79" s="560">
        <v>0.7583333333333333</v>
      </c>
      <c r="BI79" s="560">
        <v>0.28333333333333333</v>
      </c>
      <c r="BJ79" s="560">
        <v>0.5854166666666667</v>
      </c>
      <c r="BK79" s="58"/>
      <c r="BL79" s="78"/>
    </row>
    <row r="80" spans="1:64" ht="12.75" customHeight="1" x14ac:dyDescent="0.2">
      <c r="A80" s="67"/>
      <c r="B80" s="742" t="s">
        <v>75</v>
      </c>
      <c r="C80" s="743"/>
      <c r="D80" s="744"/>
      <c r="E80" s="89">
        <f>IF(Z38=0,"",CORREL(Z4:Z34,K4:K34))</f>
        <v>0.58265642716533472</v>
      </c>
      <c r="F80" s="576">
        <f>IF(Z38=0,"",ABS(E80))</f>
        <v>0.58265642716533472</v>
      </c>
      <c r="G80" s="236"/>
      <c r="H80" s="745" t="s">
        <v>5</v>
      </c>
      <c r="I80" s="237" t="s">
        <v>203</v>
      </c>
      <c r="J80" s="191"/>
      <c r="K80" s="106">
        <f>K76-K74</f>
        <v>8.9999999999999982</v>
      </c>
      <c r="L80" s="108" t="str">
        <f>IF(ISBLANK(F4),"",IF(M54&gt;0,(E34*K80-I38*M53)/M54,"n/a"))</f>
        <v>n/a</v>
      </c>
      <c r="M80" s="90" t="str">
        <f>IF(ISBLANK(F4),"",IF(M54&gt;0,L80-I39,"n/a"))</f>
        <v>n/a</v>
      </c>
      <c r="N80" s="247" t="s">
        <v>142</v>
      </c>
      <c r="O80" s="67"/>
      <c r="Q80" s="814"/>
      <c r="R80" s="815"/>
      <c r="S80" s="815"/>
      <c r="T80" s="815"/>
      <c r="U80" s="815"/>
      <c r="V80" s="815"/>
      <c r="W80" s="815"/>
      <c r="X80" s="815"/>
      <c r="Y80" s="815"/>
      <c r="Z80" s="815"/>
      <c r="AA80" s="815"/>
      <c r="AB80" s="816"/>
      <c r="AC80" s="437"/>
      <c r="AD80" s="1" t="s">
        <v>251</v>
      </c>
      <c r="AE80" s="1" t="s">
        <v>250</v>
      </c>
      <c r="AF80" s="6"/>
      <c r="AK80" s="319"/>
      <c r="AL80" s="99"/>
      <c r="AM80" s="136"/>
      <c r="AO80" s="88"/>
      <c r="AP80" s="661"/>
      <c r="AQ80" s="661"/>
      <c r="AR80" s="6"/>
      <c r="AS80" s="4"/>
      <c r="AT80" s="4"/>
      <c r="AU80" s="4"/>
      <c r="AV80" s="4"/>
      <c r="AX80" s="11" t="s">
        <v>4</v>
      </c>
      <c r="AY80" s="57">
        <f>IF(ISBLANK(G4),"",AVERAGE(F4:G34))</f>
        <v>16.79032258064516</v>
      </c>
      <c r="AZ80" s="362"/>
      <c r="BB80" s="7">
        <f>IF(ISBLANK(H4),"",AVERAGE(BB49:BB79))</f>
        <v>-3.2258064516129149E-2</v>
      </c>
      <c r="BC80" s="114">
        <f>IF(ISBLANK(G4),"",(AVERAGE($AY$49:AY79)))</f>
        <v>16.79032258064516</v>
      </c>
      <c r="BD80" s="585">
        <f>IF(ISBLANK(H4),"",BC80-D120)</f>
        <v>-1.1096774193548384</v>
      </c>
      <c r="BE80" s="6"/>
      <c r="BF80" s="341">
        <f>IF(ISBLANK(BF50),"",AVERAGE(BF49:BF79))</f>
        <v>0.21314964157706101</v>
      </c>
      <c r="BG80" s="340">
        <f>IF(ISBLANK(BG49),"",AVERAGE(BG49:BG79))</f>
        <v>0.64856630824372763</v>
      </c>
      <c r="BH80" s="339">
        <f>IF(ISBLANK(BH49),"",AVERAGE(BH49:BH79))</f>
        <v>0.69401881720430114</v>
      </c>
      <c r="BI80" s="338">
        <f>IF(ISBLANK(BI49),"",AVERAGE(BI49:BI79))</f>
        <v>0.27083333333333331</v>
      </c>
      <c r="BJ80" s="337">
        <f>IF(ISBLANK(BJ54),"",AVERAGE(BJ49:BJ79))</f>
        <v>0.56245519713261649</v>
      </c>
      <c r="BK80" s="19"/>
      <c r="BL80" s="78"/>
    </row>
    <row r="81" spans="1:64" ht="12.75" customHeight="1" thickBot="1" x14ac:dyDescent="0.25">
      <c r="A81" s="67"/>
      <c r="B81" s="740"/>
      <c r="C81" s="741"/>
      <c r="D81" s="741"/>
      <c r="E81" s="159"/>
      <c r="F81" s="25"/>
      <c r="G81" s="236"/>
      <c r="H81" s="752"/>
      <c r="I81" s="281" t="s">
        <v>149</v>
      </c>
      <c r="J81" s="191"/>
      <c r="K81" s="252">
        <f>K77-K75</f>
        <v>8.9999999999999982</v>
      </c>
      <c r="L81" s="167">
        <f>IF(ISBLANK(F4),"",(M54*K81+M53*I38)/E34)</f>
        <v>8.5354838709677399</v>
      </c>
      <c r="M81" s="235">
        <f>IF(ISBLANK(F4),"",L81-I39)</f>
        <v>-0.46451612903226014</v>
      </c>
      <c r="N81" s="279" t="s">
        <v>148</v>
      </c>
      <c r="O81" s="67"/>
      <c r="P81" s="454"/>
      <c r="Q81" s="814"/>
      <c r="R81" s="815"/>
      <c r="S81" s="815"/>
      <c r="T81" s="815"/>
      <c r="U81" s="815"/>
      <c r="V81" s="815"/>
      <c r="W81" s="815"/>
      <c r="X81" s="815"/>
      <c r="Y81" s="815"/>
      <c r="Z81" s="815"/>
      <c r="AA81" s="815"/>
      <c r="AB81" s="816"/>
      <c r="AC81" s="437"/>
      <c r="AD81" s="1" t="s">
        <v>258</v>
      </c>
      <c r="AE81" s="1" t="s">
        <v>265</v>
      </c>
      <c r="AF81" s="6"/>
      <c r="AG81" s="779" t="s">
        <v>275</v>
      </c>
      <c r="AH81" s="779"/>
      <c r="AI81" s="779"/>
      <c r="AJ81" s="779"/>
      <c r="AK81" s="222"/>
      <c r="AM81" s="136"/>
      <c r="AN81" s="183" t="s">
        <v>176</v>
      </c>
      <c r="AO81" s="411"/>
      <c r="AP81" s="661"/>
      <c r="AQ81" s="661"/>
      <c r="AR81" s="6"/>
      <c r="AT81" s="588" t="s">
        <v>194</v>
      </c>
      <c r="AU81" s="588"/>
      <c r="AX81" s="4" t="s">
        <v>9</v>
      </c>
      <c r="AY81" s="379">
        <f>AVERAGE(F39:G39)</f>
        <v>17.899999999999999</v>
      </c>
      <c r="AZ81" s="363"/>
      <c r="BB81" s="713" t="s">
        <v>173</v>
      </c>
      <c r="BC81" s="713"/>
      <c r="BE81" s="6"/>
      <c r="BK81" s="67"/>
      <c r="BL81" s="78"/>
    </row>
    <row r="82" spans="1:64" ht="12.75" customHeight="1" x14ac:dyDescent="0.2">
      <c r="A82" s="67"/>
      <c r="B82" s="764" t="s">
        <v>4</v>
      </c>
      <c r="C82" s="765"/>
      <c r="D82" s="765"/>
      <c r="E82" s="218">
        <f>IF(Z38=0,"",AVERAGE(F72:F80))</f>
        <v>0.43387634815451837</v>
      </c>
      <c r="F82" s="25"/>
      <c r="G82" s="236"/>
      <c r="H82" s="766" t="s">
        <v>13</v>
      </c>
      <c r="I82" s="237" t="s">
        <v>203</v>
      </c>
      <c r="J82" s="191"/>
      <c r="K82" s="164">
        <f>R39</f>
        <v>1013.25</v>
      </c>
      <c r="L82" s="168" t="str">
        <f>IF(ISBLANK(P4),"",IF(M54&gt;0,(E34*K82-R38*M53)/M54,"n/a"))</f>
        <v>n/a</v>
      </c>
      <c r="M82" s="164" t="str">
        <f>IF(ISBLANK(P4),"",IF(M54&gt;0,L82-R39,"n/a"))</f>
        <v>n/a</v>
      </c>
      <c r="N82" s="247" t="s">
        <v>142</v>
      </c>
      <c r="O82" s="67"/>
      <c r="Q82" s="836"/>
      <c r="R82" s="837"/>
      <c r="S82" s="837"/>
      <c r="T82" s="837"/>
      <c r="U82" s="837"/>
      <c r="V82" s="837"/>
      <c r="W82" s="837"/>
      <c r="X82" s="837"/>
      <c r="Y82" s="837"/>
      <c r="Z82" s="837"/>
      <c r="AA82" s="837"/>
      <c r="AB82" s="838"/>
      <c r="AC82" s="436"/>
      <c r="AD82" s="1" t="s">
        <v>8</v>
      </c>
      <c r="AE82" s="1" t="s">
        <v>260</v>
      </c>
      <c r="AF82" s="6"/>
      <c r="AH82" s="636" t="s">
        <v>205</v>
      </c>
      <c r="AI82" s="636"/>
      <c r="AJ82" s="52"/>
      <c r="AK82" s="320"/>
      <c r="AL82" s="307"/>
      <c r="AM82" s="136"/>
      <c r="AN82" s="332">
        <f t="array" ref="AN82">MAX(FREQUENCY(IF(AV91:AV121=0,ROW(91:121)),IF(AV91:AV121&lt;&gt;0,ROW(91:121))))</f>
        <v>6</v>
      </c>
      <c r="AO82" s="412"/>
      <c r="AP82" s="822" t="s">
        <v>526</v>
      </c>
      <c r="AQ82" s="823"/>
      <c r="AR82" s="6"/>
      <c r="AT82" s="138">
        <f>IF(AN48=0,"n/a",AN48/AT67)</f>
        <v>1</v>
      </c>
      <c r="AU82" s="138"/>
      <c r="AX82" s="4" t="s">
        <v>10</v>
      </c>
      <c r="AY82" s="57">
        <f>IF(ISBLANK(F4),"",AY80-AY81)</f>
        <v>-1.1096774193548384</v>
      </c>
      <c r="AZ82" s="311"/>
      <c r="BA82" s="148" t="s">
        <v>158</v>
      </c>
      <c r="BB82" s="275" t="s">
        <v>145</v>
      </c>
      <c r="BC82" s="276" t="s">
        <v>146</v>
      </c>
      <c r="BE82" s="6"/>
      <c r="BF82" s="431">
        <f>MAX(BF49:BF79)-MIN(BF49:BF79)</f>
        <v>0.28819444444444442</v>
      </c>
      <c r="BG82" s="431">
        <f>MAX(BG49:BG79)-MIN(BG49:BG79)</f>
        <v>0.25486111111111109</v>
      </c>
      <c r="BH82" s="431">
        <f>MAX(BH49:BH79)-MIN(BH49:BH79)</f>
        <v>0.21180555555555558</v>
      </c>
      <c r="BI82" s="431">
        <f>MAX(BI49:BI79)-MIN(BI49:BI79)</f>
        <v>0.3263888888888889</v>
      </c>
      <c r="BJ82" s="431">
        <f>MAX(BJ49:BJ79)-MIN(BJ49:BJ79)</f>
        <v>0.90972222222222232</v>
      </c>
      <c r="BK82" s="67"/>
      <c r="BL82" s="78"/>
    </row>
    <row r="83" spans="1:64" ht="12.75" customHeight="1" thickBot="1" x14ac:dyDescent="0.25">
      <c r="A83" s="67"/>
      <c r="B83" s="756" t="s">
        <v>34</v>
      </c>
      <c r="C83" s="757"/>
      <c r="D83" s="757"/>
      <c r="E83" s="219">
        <f>AN93+AN98</f>
        <v>3</v>
      </c>
      <c r="F83" s="85" t="s">
        <v>91</v>
      </c>
      <c r="G83" s="236"/>
      <c r="H83" s="746"/>
      <c r="I83" s="238" t="s">
        <v>149</v>
      </c>
      <c r="J83" s="242"/>
      <c r="K83" s="251">
        <f>K82</f>
        <v>1013.25</v>
      </c>
      <c r="L83" s="119">
        <f>IF(ISBLANK(P4),"",SUM(M54*K83+M53*R38)/E34)</f>
        <v>1013.3870967741935</v>
      </c>
      <c r="M83" s="169">
        <f>IF(ISBLANK(P4),"",L83-R39)</f>
        <v>0.13709677419353739</v>
      </c>
      <c r="N83" s="248" t="s">
        <v>148</v>
      </c>
      <c r="O83" s="67"/>
      <c r="T83" s="6"/>
      <c r="Y83" s="6"/>
      <c r="AC83" s="436"/>
      <c r="AD83" s="1" t="s">
        <v>264</v>
      </c>
      <c r="AE83" s="1" t="s">
        <v>259</v>
      </c>
      <c r="AF83" s="6"/>
      <c r="AK83" s="312"/>
      <c r="AM83" s="136"/>
      <c r="AO83" s="88"/>
      <c r="AP83" s="823"/>
      <c r="AQ83" s="823"/>
      <c r="AR83" s="67"/>
      <c r="AZ83" s="6"/>
      <c r="BA83" s="25">
        <f>E91/3</f>
        <v>2.9999999999999996</v>
      </c>
      <c r="BB83" s="274">
        <f>AY81-BA83</f>
        <v>14.899999999999999</v>
      </c>
      <c r="BC83" s="273">
        <f>AY81+BA83</f>
        <v>20.9</v>
      </c>
      <c r="BE83" s="6"/>
      <c r="BF83" s="334">
        <f>IF(ISBLANK(BF50),"",STDEV(BF49:BF79))</f>
        <v>6.03934969098745E-2</v>
      </c>
      <c r="BG83" s="334">
        <f>IF(ISBLANK(BG50),"",STDEV(BG49:BG79))</f>
        <v>7.1896732598244834E-2</v>
      </c>
      <c r="BH83" s="334">
        <f>IF(ISBLANK(BH51),"",STDEV(BH49:BH79))</f>
        <v>6.1961849152240928E-2</v>
      </c>
      <c r="BI83" s="334">
        <f>IF(ISBLANK(BI51),"",STDEV(BI49:BI79))</f>
        <v>5.815531699734551E-2</v>
      </c>
      <c r="BJ83" s="334">
        <f>IF(ISBLANK(BJ54),"",STDEV(BJ49:BJ79))</f>
        <v>0.22844076499385643</v>
      </c>
      <c r="BK83" s="67"/>
      <c r="BL83" s="78"/>
    </row>
    <row r="84" spans="1:64" s="107" customFormat="1" ht="12.75" x14ac:dyDescent="0.2">
      <c r="A84" s="240"/>
      <c r="C84" s="239"/>
      <c r="F84" s="117"/>
      <c r="H84" s="241"/>
      <c r="J84" s="242"/>
      <c r="O84" s="242"/>
      <c r="T84" s="243"/>
      <c r="Y84" s="243"/>
      <c r="AF84" s="243"/>
      <c r="AI84" s="117"/>
      <c r="AJ84" s="117"/>
      <c r="AK84" s="240"/>
      <c r="AL84" s="117"/>
      <c r="AM84" s="240"/>
      <c r="AO84" s="413"/>
      <c r="AP84" s="799"/>
      <c r="AQ84" s="799"/>
      <c r="AR84" s="240"/>
      <c r="AV84" s="117"/>
      <c r="AY84" s="117"/>
      <c r="AZ84" s="240"/>
      <c r="BA84" s="330">
        <f>MIN(AY49:AY79)</f>
        <v>14.45</v>
      </c>
      <c r="BB84" s="330">
        <f>MAX(AY49:AY79)</f>
        <v>19.75</v>
      </c>
      <c r="BE84" s="243"/>
      <c r="BF84" s="771" t="s">
        <v>191</v>
      </c>
      <c r="BG84" s="771"/>
      <c r="BH84" s="771"/>
      <c r="BI84" s="771"/>
      <c r="BJ84" s="771"/>
      <c r="BK84" s="240"/>
      <c r="BL84" s="244"/>
    </row>
    <row r="85" spans="1:64" s="172" customFormat="1" ht="12" x14ac:dyDescent="0.2">
      <c r="A85" s="171"/>
      <c r="C85" s="173">
        <f>MIN(C4:C34)</f>
        <v>17.2</v>
      </c>
      <c r="E85" s="174" t="s">
        <v>70</v>
      </c>
      <c r="F85" s="173">
        <f>MIN(F4:F34)</f>
        <v>9.1</v>
      </c>
      <c r="G85" s="173">
        <f>MIN(G4:G34)</f>
        <v>17.2</v>
      </c>
      <c r="H85" s="173">
        <f>MIN(H4:H34)</f>
        <v>14.6</v>
      </c>
      <c r="I85" s="173">
        <f>MIN(I4:I34)</f>
        <v>4.5</v>
      </c>
      <c r="J85" s="175"/>
      <c r="K85" s="176">
        <f>MIN(K4:K34)</f>
        <v>33</v>
      </c>
      <c r="L85" s="176">
        <f>MIN(L4:L34)</f>
        <v>66</v>
      </c>
      <c r="M85" s="176">
        <f>MIN(M4:M34)</f>
        <v>47</v>
      </c>
      <c r="N85" s="176">
        <f>MIN(N4:N34)</f>
        <v>21</v>
      </c>
      <c r="O85" s="177"/>
      <c r="P85" s="176">
        <f>MIN(P4:P34)</f>
        <v>993</v>
      </c>
      <c r="Q85" s="176">
        <f>MIN(Q4:Q34)</f>
        <v>996</v>
      </c>
      <c r="R85" s="173">
        <f>MIN(R4:R34)</f>
        <v>994.5</v>
      </c>
      <c r="S85" s="176">
        <f>MIN(S4:S34)</f>
        <v>2</v>
      </c>
      <c r="T85" s="171"/>
      <c r="U85" s="173">
        <f t="shared" ref="U85:AC85" si="27">MIN(U4:U34)</f>
        <v>2.2000000000000002</v>
      </c>
      <c r="V85" s="173">
        <f t="shared" si="27"/>
        <v>6.7</v>
      </c>
      <c r="W85" s="173">
        <f t="shared" si="27"/>
        <v>9.8000000000000007</v>
      </c>
      <c r="X85" s="173">
        <f t="shared" si="27"/>
        <v>0</v>
      </c>
      <c r="Y85" s="175">
        <f t="shared" si="27"/>
        <v>0</v>
      </c>
      <c r="Z85" s="173">
        <f t="shared" si="27"/>
        <v>0</v>
      </c>
      <c r="AA85" s="173">
        <f t="shared" si="27"/>
        <v>0.8</v>
      </c>
      <c r="AB85" s="173">
        <f t="shared" si="27"/>
        <v>0.3</v>
      </c>
      <c r="AC85" s="422">
        <f t="shared" si="27"/>
        <v>1.5180265654648958E-2</v>
      </c>
      <c r="AD85" s="173">
        <f>MIN(AE4:AE34)</f>
        <v>1</v>
      </c>
      <c r="AE85" s="173">
        <f>MIN(AD4:AD34)</f>
        <v>0.73333333333333339</v>
      </c>
      <c r="AF85" s="175">
        <f>MIN(AF4:AF4)</f>
        <v>0</v>
      </c>
      <c r="AG85" s="173">
        <f>MIN(AG4:AG34)</f>
        <v>3.4</v>
      </c>
      <c r="AH85" s="173">
        <f>MIN(AH4:AH34)</f>
        <v>8.4</v>
      </c>
      <c r="AI85" s="173">
        <f>MIN(AI4:AI34)</f>
        <v>5.8</v>
      </c>
      <c r="AJ85" s="173">
        <f>MIN(AJ4:AJ34)</f>
        <v>2.0999999999999996</v>
      </c>
      <c r="AK85" s="175"/>
      <c r="AL85" s="173"/>
      <c r="AM85" s="175"/>
      <c r="AO85" s="414"/>
      <c r="AP85" s="173">
        <f>MIN(AP4:AP34)</f>
        <v>0.2</v>
      </c>
      <c r="AQ85" s="173">
        <f>MIN(AQ4:AQ34)</f>
        <v>0</v>
      </c>
      <c r="AR85" s="175"/>
      <c r="AS85" s="173">
        <f t="shared" ref="AS85:AZ85" si="28">MIN(AS8:AS34)</f>
        <v>12.496153846153845</v>
      </c>
      <c r="AT85" s="173">
        <f t="shared" si="28"/>
        <v>20.695652173913039</v>
      </c>
      <c r="AU85" s="173">
        <f t="shared" si="28"/>
        <v>16.656521739130437</v>
      </c>
      <c r="AV85" s="173">
        <f t="shared" si="28"/>
        <v>7.9666666666666659</v>
      </c>
      <c r="AW85" s="173">
        <f t="shared" si="28"/>
        <v>52.6</v>
      </c>
      <c r="AX85" s="176">
        <f t="shared" si="28"/>
        <v>1011.675</v>
      </c>
      <c r="AY85" s="173">
        <f t="shared" si="28"/>
        <v>3.0200000000000005</v>
      </c>
      <c r="AZ85" s="175">
        <f t="shared" si="28"/>
        <v>0</v>
      </c>
      <c r="BA85" s="173">
        <f>MIN(BA4:BA34)</f>
        <v>-4.7800000000000011</v>
      </c>
      <c r="BB85" s="173">
        <f>MIN(BB4:BB34)</f>
        <v>-5.3000000000000007</v>
      </c>
      <c r="BC85" s="173">
        <f>MIN(BC4:BC34)</f>
        <v>-3.8600000000000003</v>
      </c>
      <c r="BD85" s="173">
        <f>MIN(BD4:BD34)</f>
        <v>-4.884999999999998</v>
      </c>
      <c r="BE85" s="175">
        <f t="shared" ref="BE85:BJ85" si="29">MIN(BE8:BE34)</f>
        <v>0</v>
      </c>
      <c r="BF85" s="173">
        <f t="shared" si="29"/>
        <v>-0.85532258064516142</v>
      </c>
      <c r="BG85" s="173">
        <f t="shared" si="29"/>
        <v>-1.6517391304347875</v>
      </c>
      <c r="BH85" s="173">
        <f t="shared" si="29"/>
        <v>-1.2321428571428648</v>
      </c>
      <c r="BI85" s="422">
        <f t="shared" si="29"/>
        <v>0.59361702127659566</v>
      </c>
      <c r="BJ85" s="422">
        <f t="shared" si="29"/>
        <v>0.77032057344225058</v>
      </c>
      <c r="BK85" s="177"/>
      <c r="BL85" s="178"/>
    </row>
    <row r="86" spans="1:64" s="172" customFormat="1" ht="12" x14ac:dyDescent="0.2">
      <c r="A86" s="171"/>
      <c r="B86" s="173">
        <f>MAX(B4:B34)</f>
        <v>15</v>
      </c>
      <c r="E86" s="174" t="s">
        <v>71</v>
      </c>
      <c r="F86" s="173">
        <f>MAX(F4:F34)</f>
        <v>14.4</v>
      </c>
      <c r="G86" s="173">
        <f>MAX(G4:G34)</f>
        <v>26.4</v>
      </c>
      <c r="H86" s="173">
        <f>MAX(H4:H34)</f>
        <v>20.100000000000001</v>
      </c>
      <c r="I86" s="173">
        <f>MAX(I4:I34)</f>
        <v>13.299999999999999</v>
      </c>
      <c r="J86" s="175"/>
      <c r="K86" s="176">
        <f>MAX(K4:K34)</f>
        <v>70</v>
      </c>
      <c r="L86" s="176">
        <f>MAX(L4:L34)</f>
        <v>94</v>
      </c>
      <c r="M86" s="176">
        <f>MAX(M4:M34)</f>
        <v>88</v>
      </c>
      <c r="N86" s="176">
        <f>MAX(N4:N34)</f>
        <v>53</v>
      </c>
      <c r="O86" s="177"/>
      <c r="P86" s="176">
        <f t="shared" ref="P86:AC86" si="30">MAX(P4:P34)</f>
        <v>1023</v>
      </c>
      <c r="Q86" s="176">
        <f t="shared" si="30"/>
        <v>1027</v>
      </c>
      <c r="R86" s="173">
        <f t="shared" si="30"/>
        <v>1025</v>
      </c>
      <c r="S86" s="176">
        <f t="shared" si="30"/>
        <v>17</v>
      </c>
      <c r="T86" s="177">
        <f t="shared" si="30"/>
        <v>0</v>
      </c>
      <c r="U86" s="173">
        <f t="shared" si="30"/>
        <v>8.3000000000000007</v>
      </c>
      <c r="V86" s="173">
        <f t="shared" si="30"/>
        <v>20.100000000000001</v>
      </c>
      <c r="W86" s="173">
        <f t="shared" si="30"/>
        <v>28</v>
      </c>
      <c r="X86" s="173">
        <f t="shared" si="30"/>
        <v>0</v>
      </c>
      <c r="Y86" s="175">
        <f t="shared" si="30"/>
        <v>2</v>
      </c>
      <c r="Z86" s="173">
        <f t="shared" si="30"/>
        <v>13.7</v>
      </c>
      <c r="AA86" s="173">
        <f t="shared" si="30"/>
        <v>4.5999999999999996</v>
      </c>
      <c r="AB86" s="173">
        <f t="shared" si="30"/>
        <v>3</v>
      </c>
      <c r="AC86" s="422">
        <f t="shared" si="30"/>
        <v>0.25996204933586337</v>
      </c>
      <c r="AD86" s="173">
        <f>MAX(AE4:AE34)</f>
        <v>60</v>
      </c>
      <c r="AE86" s="173">
        <f>MAX(AD4:AD34)</f>
        <v>2.3666666666666667</v>
      </c>
      <c r="AF86" s="175">
        <f>MAX(AF4:AF4)</f>
        <v>0</v>
      </c>
      <c r="AG86" s="173">
        <f>MAX(AG4:AG34)</f>
        <v>11</v>
      </c>
      <c r="AH86" s="173">
        <f>MAX(AH4:AH34)</f>
        <v>16.399999999999999</v>
      </c>
      <c r="AI86" s="173">
        <f>MAX(AI4:AI34)</f>
        <v>12.9</v>
      </c>
      <c r="AJ86" s="173">
        <f>MAX(AJ4:AJ34)</f>
        <v>7.7</v>
      </c>
      <c r="AK86" s="175"/>
      <c r="AL86" s="173"/>
      <c r="AM86" s="175"/>
      <c r="AO86" s="415"/>
      <c r="AP86" s="176">
        <f>MAX(AP4:AP34)</f>
        <v>13</v>
      </c>
      <c r="AQ86" s="173">
        <f>MAX(AQ4:AQ34)</f>
        <v>6</v>
      </c>
      <c r="AR86" s="177"/>
      <c r="AS86" s="173">
        <f t="shared" ref="AS86:AZ86" si="31">MAX(AS8:AS34)</f>
        <v>13.166666666666666</v>
      </c>
      <c r="AT86" s="173">
        <f t="shared" si="31"/>
        <v>23.32</v>
      </c>
      <c r="AU86" s="173">
        <f t="shared" si="31"/>
        <v>18.380000000000003</v>
      </c>
      <c r="AV86" s="173">
        <f t="shared" si="31"/>
        <v>10.62</v>
      </c>
      <c r="AW86" s="173">
        <f t="shared" si="31"/>
        <v>67.36363636363636</v>
      </c>
      <c r="AX86" s="176">
        <f t="shared" si="31"/>
        <v>1018.2</v>
      </c>
      <c r="AY86" s="173">
        <f t="shared" si="31"/>
        <v>5.0444444444444452</v>
      </c>
      <c r="AZ86" s="175">
        <f t="shared" si="31"/>
        <v>0</v>
      </c>
      <c r="BA86" s="173">
        <f>MAX(BA4:BA34)</f>
        <v>1.835714285714289</v>
      </c>
      <c r="BB86" s="173">
        <f>MAX(BB4:BB34)</f>
        <v>4.3999999999999986</v>
      </c>
      <c r="BC86" s="173">
        <f>MAX(BC4:BC34)</f>
        <v>2.4660714285714294</v>
      </c>
      <c r="BD86" s="173">
        <f>MAX(BD4:BD34)</f>
        <v>3.91</v>
      </c>
      <c r="BE86" s="175">
        <f t="shared" ref="BE86:BJ86" si="32">MAX(BE8:BE34)</f>
        <v>0</v>
      </c>
      <c r="BF86" s="173">
        <f t="shared" si="32"/>
        <v>0.59880952380952657</v>
      </c>
      <c r="BG86" s="173">
        <f t="shared" si="32"/>
        <v>1.4800000000000004</v>
      </c>
      <c r="BH86" s="173">
        <f t="shared" si="32"/>
        <v>1.1407142857142833</v>
      </c>
      <c r="BI86" s="422">
        <f t="shared" si="32"/>
        <v>1.5861195542046602</v>
      </c>
      <c r="BJ86" s="422">
        <f t="shared" si="32"/>
        <v>1.4375320075468374</v>
      </c>
      <c r="BK86" s="177"/>
      <c r="BL86" s="178"/>
    </row>
    <row r="87" spans="1:64" ht="10.5" customHeight="1" x14ac:dyDescent="0.2">
      <c r="A87" s="67"/>
      <c r="B87" s="21"/>
      <c r="C87" s="140"/>
      <c r="D87" s="146"/>
      <c r="E87" s="4"/>
      <c r="F87" s="21"/>
      <c r="H87" s="13"/>
      <c r="J87" s="20"/>
      <c r="K87" s="21"/>
      <c r="L87" s="21"/>
      <c r="M87" s="21"/>
      <c r="N87" s="22"/>
      <c r="O87" s="20"/>
      <c r="P87" s="21"/>
      <c r="Q87" s="21"/>
      <c r="R87" s="21"/>
      <c r="S87" s="21"/>
      <c r="T87" s="67"/>
      <c r="U87" s="21"/>
      <c r="V87" s="21"/>
      <c r="W87" s="21"/>
      <c r="X87" s="21"/>
      <c r="Y87" s="67"/>
      <c r="Z87" s="21"/>
      <c r="AA87" s="21"/>
      <c r="AB87" s="21"/>
      <c r="AC87" s="21"/>
      <c r="AD87" s="21"/>
      <c r="AE87" s="21"/>
      <c r="AF87" s="67"/>
      <c r="AG87" s="21"/>
      <c r="AH87" s="21"/>
      <c r="AI87" s="21"/>
      <c r="AJ87" s="21"/>
      <c r="AK87" s="67"/>
      <c r="AL87" s="21"/>
      <c r="AM87" s="67"/>
      <c r="AO87" s="88"/>
      <c r="AR87" s="6"/>
      <c r="AS87" s="21"/>
      <c r="AT87" s="22"/>
      <c r="AU87" s="21"/>
      <c r="AV87" s="21"/>
      <c r="AW87" s="21"/>
      <c r="AX87" s="21"/>
      <c r="AZ87" s="6"/>
      <c r="BA87" s="25"/>
      <c r="BB87" s="21"/>
      <c r="BC87" s="21"/>
      <c r="BD87" s="21"/>
      <c r="BE87" s="67"/>
      <c r="BF87" s="21"/>
      <c r="BG87" s="21"/>
      <c r="BH87" s="21"/>
      <c r="BI87" s="21"/>
      <c r="BJ87" s="21"/>
      <c r="BK87" s="67"/>
      <c r="BL87" s="95"/>
    </row>
    <row r="88" spans="1:64" s="327" customFormat="1" ht="10.5" customHeight="1" x14ac:dyDescent="0.2">
      <c r="C88" s="328"/>
    </row>
    <row r="89" spans="1:64" s="327" customFormat="1" ht="1.5" customHeight="1" x14ac:dyDescent="0.2">
      <c r="C89" s="328"/>
    </row>
    <row r="90" spans="1:64" s="331" customFormat="1" ht="11.25" x14ac:dyDescent="0.2">
      <c r="A90" s="331" t="s">
        <v>167</v>
      </c>
      <c r="B90" s="148" t="s">
        <v>2</v>
      </c>
      <c r="C90" s="148" t="s">
        <v>3</v>
      </c>
      <c r="D90" s="148" t="s">
        <v>4</v>
      </c>
      <c r="E90" s="147" t="s">
        <v>5</v>
      </c>
      <c r="F90" s="331" t="s">
        <v>332</v>
      </c>
      <c r="G90" s="331" t="s">
        <v>333</v>
      </c>
      <c r="H90" s="331" t="s">
        <v>348</v>
      </c>
      <c r="I90" s="331" t="s">
        <v>347</v>
      </c>
      <c r="K90" s="331" t="s">
        <v>167</v>
      </c>
      <c r="L90" s="331" t="s">
        <v>167</v>
      </c>
      <c r="M90" s="147" t="s">
        <v>184</v>
      </c>
      <c r="N90" s="331" t="s">
        <v>167</v>
      </c>
      <c r="O90" s="331" t="s">
        <v>167</v>
      </c>
      <c r="P90" s="331" t="s">
        <v>167</v>
      </c>
      <c r="Q90" s="331" t="s">
        <v>167</v>
      </c>
      <c r="S90" s="331" t="s">
        <v>167</v>
      </c>
      <c r="U90" s="331" t="s">
        <v>204</v>
      </c>
      <c r="V90" s="331" t="s">
        <v>346</v>
      </c>
      <c r="W90" s="786" t="s">
        <v>229</v>
      </c>
      <c r="X90" s="786"/>
      <c r="Y90" s="331" t="s">
        <v>167</v>
      </c>
      <c r="Z90" s="147" t="s">
        <v>144</v>
      </c>
      <c r="AA90" s="147" t="s">
        <v>185</v>
      </c>
      <c r="AB90" s="147" t="s">
        <v>236</v>
      </c>
      <c r="AC90" s="147" t="s">
        <v>237</v>
      </c>
      <c r="AD90" s="331" t="s">
        <v>167</v>
      </c>
      <c r="AE90" s="278" t="s">
        <v>345</v>
      </c>
      <c r="AF90" s="331" t="s">
        <v>344</v>
      </c>
      <c r="AG90" s="147" t="s">
        <v>155</v>
      </c>
      <c r="AH90" s="147" t="s">
        <v>183</v>
      </c>
      <c r="AI90" s="331" t="s">
        <v>328</v>
      </c>
      <c r="AJ90" s="147" t="s">
        <v>117</v>
      </c>
      <c r="AK90" s="331" t="s">
        <v>167</v>
      </c>
      <c r="AL90" s="147" t="s">
        <v>118</v>
      </c>
      <c r="AM90" s="331" t="s">
        <v>329</v>
      </c>
      <c r="AN90" s="331" t="s">
        <v>168</v>
      </c>
      <c r="AO90" s="331" t="s">
        <v>329</v>
      </c>
      <c r="AQ90" s="147"/>
      <c r="AR90" s="331" t="s">
        <v>329</v>
      </c>
      <c r="AS90" s="331" t="s">
        <v>256</v>
      </c>
      <c r="AT90" s="331" t="s">
        <v>253</v>
      </c>
      <c r="AU90" s="331" t="s">
        <v>346</v>
      </c>
      <c r="AV90" s="147" t="s">
        <v>196</v>
      </c>
      <c r="AW90" s="147" t="s">
        <v>145</v>
      </c>
      <c r="AX90" s="147" t="s">
        <v>146</v>
      </c>
      <c r="AY90" s="147" t="s">
        <v>400</v>
      </c>
      <c r="AZ90" s="147" t="s">
        <v>124</v>
      </c>
      <c r="BA90" s="147" t="s">
        <v>145</v>
      </c>
      <c r="BB90" s="147" t="s">
        <v>146</v>
      </c>
      <c r="BC90" s="331" t="s">
        <v>330</v>
      </c>
      <c r="BD90" s="331" t="s">
        <v>331</v>
      </c>
      <c r="BE90" s="147" t="s">
        <v>327</v>
      </c>
      <c r="BF90" s="331" t="s">
        <v>167</v>
      </c>
      <c r="BG90" s="147" t="s">
        <v>163</v>
      </c>
      <c r="BH90" s="147" t="s">
        <v>399</v>
      </c>
      <c r="BI90" s="147" t="s">
        <v>401</v>
      </c>
      <c r="BJ90" s="147" t="s">
        <v>119</v>
      </c>
      <c r="BK90" s="331" t="s">
        <v>327</v>
      </c>
    </row>
    <row r="91" spans="1:64" ht="12.75" x14ac:dyDescent="0.2">
      <c r="A91" s="8">
        <f t="shared" ref="A91:A121" si="33">IF(ISBLANK(K4),NA(),N4)</f>
        <v>36</v>
      </c>
      <c r="B91" s="125">
        <f t="shared" ref="B91:B121" si="34">$F$39</f>
        <v>13.4</v>
      </c>
      <c r="C91" s="125">
        <f t="shared" ref="C91:C121" si="35">$G$39</f>
        <v>22.4</v>
      </c>
      <c r="D91" s="125">
        <f>AVERAGE(B91:C91)</f>
        <v>17.899999999999999</v>
      </c>
      <c r="E91" s="125">
        <f t="shared" ref="E91:E121" si="36">C91-B91</f>
        <v>8.9999999999999982</v>
      </c>
      <c r="F91" s="7">
        <v>12.153571428571428</v>
      </c>
      <c r="G91" s="7">
        <v>21.68</v>
      </c>
      <c r="H91" s="7">
        <f>AVERAGE(F91:G91)</f>
        <v>16.916785714285716</v>
      </c>
      <c r="I91" s="7">
        <f>G91-F91</f>
        <v>9.5264285714285712</v>
      </c>
      <c r="K91" s="7">
        <f t="shared" ref="K91:K121" si="37">IF(ISBLANK(G4),NA(),I4)</f>
        <v>10.099999999999998</v>
      </c>
      <c r="L91" s="7">
        <f t="shared" ref="L91:L121" si="38">IF(ISBLANK(G4),NA(),AY49)</f>
        <v>15.35</v>
      </c>
      <c r="M91" s="370">
        <f t="shared" ref="M91:M121" si="39">IF(ISBLANK(U4),NA(),AY4)</f>
        <v>3.1</v>
      </c>
      <c r="N91" s="1">
        <f t="shared" ref="N91:N121" si="40">IF(ISBLANK(F4),NA(),BJ91)</f>
        <v>0</v>
      </c>
      <c r="O91" s="7">
        <f t="shared" ref="O91:O121" si="41">IF(ISBLANK(M4),NA(),AW4)</f>
        <v>52</v>
      </c>
      <c r="P91" s="7">
        <f t="shared" ref="P91:P121" si="42">IF(ISBLANK(F4),NA(),AS4)</f>
        <v>10.3</v>
      </c>
      <c r="Q91" s="7">
        <f t="shared" ref="Q91:Q121" si="43">IF(ISBLANK(G4),NA(),AT4)</f>
        <v>20.399999999999999</v>
      </c>
      <c r="R91" s="7">
        <f t="shared" ref="R91:R121" si="44">IF(ISBLANK(H4),NA(),AU4)</f>
        <v>16.2</v>
      </c>
      <c r="S91" s="7">
        <f t="shared" ref="S91:S121" si="45">IF(ISBLANK(G4),NA(),AV4)</f>
        <v>10.099999999999998</v>
      </c>
      <c r="T91" s="1">
        <v>32</v>
      </c>
      <c r="U91" s="333">
        <f t="shared" ref="U91:U121" si="46">$Z$39/$E$34</f>
        <v>1.5161290322580645</v>
      </c>
      <c r="V91" s="4">
        <v>1</v>
      </c>
      <c r="W91" s="7">
        <f t="shared" ref="W91:W121" si="47">0.273*V91</f>
        <v>0.27300000000000002</v>
      </c>
      <c r="X91" s="7">
        <f t="shared" ref="X91:X121" si="48">0.273*T91</f>
        <v>8.7360000000000007</v>
      </c>
      <c r="Y91" s="8">
        <f t="shared" ref="Y91:Y121" si="49">IF(ISBLANK(Q4),NA(),S4)</f>
        <v>4</v>
      </c>
      <c r="Z91" s="7">
        <f>IF(ISBLANK(Z4),NA(),SUM($Z$4:Z4))</f>
        <v>0</v>
      </c>
      <c r="AA91" s="7">
        <f>$AB$48*E4</f>
        <v>1.5161290322580645</v>
      </c>
      <c r="AB91" s="26">
        <f>IF(ISBLANK(Z4),"",SUM($Z$4:Z4))</f>
        <v>0</v>
      </c>
      <c r="AC91" s="115">
        <f>IF(ISBLANK(Z4),NA(),AB91/AA91)</f>
        <v>0</v>
      </c>
      <c r="AD91" s="8">
        <f t="shared" ref="AD91:AD121" si="50">IF(ISBLANK(P4),NA(),AX4)</f>
        <v>1025</v>
      </c>
      <c r="AE91" s="610">
        <f t="shared" ref="AE91:AE121" si="51">IF(ISNA(AG91),"",AG91/AH91)</f>
        <v>1.7930386907752935</v>
      </c>
      <c r="AF91" s="524">
        <f t="shared" ref="AF91:AF121" si="52">IF(ISTEXT(BI49),NA(),IF(ISBLANK(BI49),NA(),BI49))</f>
        <v>0.22916666666666666</v>
      </c>
      <c r="AG91" s="22">
        <f>IF(ISBLANK(AP4),NA(),SUM($AP$4:AP4))</f>
        <v>11</v>
      </c>
      <c r="AH91" s="7">
        <f>SUM($AS$91:AS91)</f>
        <v>6.1348369427787981</v>
      </c>
      <c r="AI91" s="115">
        <f t="shared" ref="AI91:AI121" si="53">IF(ISBLANK(AP4),NA(),AG91/AH91)</f>
        <v>1.7930386907752935</v>
      </c>
      <c r="AJ91" s="124">
        <f t="shared" ref="AJ91:AJ121" si="54">IF(ISBLANK(F4),"",IF(Z4&gt;0.1,1,0))</f>
        <v>0</v>
      </c>
      <c r="AK91" s="8">
        <f t="shared" ref="AK91:AK121" si="55">IF(ISBLANK(P4),NA(),R4)</f>
        <v>1025</v>
      </c>
      <c r="AL91" s="124">
        <f t="shared" ref="AL91:AL121" si="56">IF(ISBLANK(Z4),"",IF(Z4&gt;0.9,1,0))</f>
        <v>0</v>
      </c>
      <c r="AM91" s="524">
        <f t="shared" ref="AM91:AM121" si="57">IF(ISTEXT(BH49),NA(),IF(ISBLANK(BH49),NA(),BH49))</f>
        <v>0.73263888888888884</v>
      </c>
      <c r="AN91" s="109">
        <f xml:space="preserve"> SUM(COUNTIF(AN4:AN34,"-"),COUNTIF(AN4:AN34,"*yy*"))</f>
        <v>19</v>
      </c>
      <c r="AO91" s="524">
        <f t="shared" ref="AO91:AO121" si="58">IF(ISTEXT(BG49),NA(),IF(ISBLANK(BG49),NA(),BG49))</f>
        <v>0.61111111111111105</v>
      </c>
      <c r="AR91" s="524">
        <f t="shared" ref="AR91:AR121" si="59">IF(ISTEXT(BF49),NA(),IF(ISBLANK(BF49),NA(),BF49))</f>
        <v>0.21527777777777779</v>
      </c>
      <c r="AS91" s="7">
        <f t="shared" ref="AS91:AS121" si="60">AT91/($AT$123/$AP$39)</f>
        <v>6.1348369427787981</v>
      </c>
      <c r="AT91" s="7">
        <v>15.067516514503161</v>
      </c>
      <c r="AU91" s="4">
        <v>1</v>
      </c>
      <c r="AV91" s="127">
        <f t="shared" ref="AV91:AV121" si="61">IF(ISBLANK(AP4),"",IF(AP4&gt;0.25*AT91,1,0))</f>
        <v>1</v>
      </c>
      <c r="AW91" s="124">
        <f>IF(ISBLANK(F4),"",IF(AY49&lt;BC91,1,0))</f>
        <v>0</v>
      </c>
      <c r="AX91" s="124">
        <f>IF(ISBLANK(G4),"",IF(AY49&gt;BD91,1,0))</f>
        <v>0</v>
      </c>
      <c r="AY91" s="124">
        <f t="shared" ref="AY91:AY121" si="62">IF(ISBLANK(F4),"",IF(P4&gt;1013,1,0))</f>
        <v>1</v>
      </c>
      <c r="AZ91" s="125">
        <f t="shared" ref="AZ91:AZ121" si="63">$U$39</f>
        <v>4.3049999999999997</v>
      </c>
      <c r="BA91" s="125">
        <f t="shared" ref="BA91:BA121" si="64">$BB$83</f>
        <v>14.899999999999999</v>
      </c>
      <c r="BB91" s="125">
        <f t="shared" ref="BB91:BB121" si="65">$BC$83</f>
        <v>20.9</v>
      </c>
      <c r="BC91" s="7">
        <v>13.741309523809525</v>
      </c>
      <c r="BD91" s="7">
        <v>20.092261904761905</v>
      </c>
      <c r="BE91" s="124"/>
      <c r="BF91" s="8">
        <f t="shared" ref="BF91:BF121" si="66">IF(ISBLANK(M4),NA(),M4)</f>
        <v>52</v>
      </c>
      <c r="BG91" s="21">
        <f t="shared" ref="BG91:BG121" si="67">IF(ISBLANK(H4),NA(),H4)</f>
        <v>16.2</v>
      </c>
      <c r="BH91" s="124">
        <f t="shared" ref="BH91:BH121" si="68">IF(ISBLANK(F4),"",IF(Q4&lt;1013,1,0))</f>
        <v>0</v>
      </c>
      <c r="BI91" s="124">
        <f>IF(ISBLANK(L4),"",IF(AQ4&gt;0.4,1,0))</f>
        <v>0</v>
      </c>
      <c r="BJ91" s="144">
        <f t="shared" ref="BJ91:BJ121" si="69">IF(ISBLANK(Z4),"",Z4/3)</f>
        <v>0</v>
      </c>
      <c r="BL91" s="99">
        <v>1</v>
      </c>
    </row>
    <row r="92" spans="1:64" ht="12.75" x14ac:dyDescent="0.2">
      <c r="A92" s="8">
        <f t="shared" si="33"/>
        <v>36</v>
      </c>
      <c r="B92" s="125">
        <f t="shared" si="34"/>
        <v>13.4</v>
      </c>
      <c r="C92" s="125">
        <f t="shared" si="35"/>
        <v>22.4</v>
      </c>
      <c r="D92" s="125">
        <f t="shared" ref="D92:D121" si="70">AVERAGE(B92:C92)</f>
        <v>17.899999999999999</v>
      </c>
      <c r="E92" s="125">
        <f t="shared" si="36"/>
        <v>8.9999999999999982</v>
      </c>
      <c r="F92" s="7">
        <v>12.257142857142856</v>
      </c>
      <c r="G92" s="7">
        <v>21.76</v>
      </c>
      <c r="H92" s="7">
        <f t="shared" ref="H92:H121" si="71">AVERAGE(F92:G92)</f>
        <v>17.008571428571429</v>
      </c>
      <c r="I92" s="7">
        <f t="shared" ref="I92:I121" si="72">G92-F92</f>
        <v>9.5028571428571453</v>
      </c>
      <c r="K92" s="7">
        <f t="shared" si="37"/>
        <v>8.3999999999999986</v>
      </c>
      <c r="L92" s="7">
        <f t="shared" si="38"/>
        <v>17</v>
      </c>
      <c r="M92" s="370">
        <f t="shared" si="39"/>
        <v>2.8</v>
      </c>
      <c r="N92" s="1">
        <f t="shared" si="40"/>
        <v>0</v>
      </c>
      <c r="O92" s="7">
        <f t="shared" si="41"/>
        <v>53.5</v>
      </c>
      <c r="P92" s="7">
        <f t="shared" si="42"/>
        <v>11.55</v>
      </c>
      <c r="Q92" s="7">
        <f t="shared" si="43"/>
        <v>20.799999999999997</v>
      </c>
      <c r="R92" s="7">
        <f t="shared" si="44"/>
        <v>17</v>
      </c>
      <c r="S92" s="7">
        <f t="shared" si="45"/>
        <v>9.2499999999999982</v>
      </c>
      <c r="T92" s="1">
        <v>33</v>
      </c>
      <c r="U92" s="333">
        <f t="shared" si="46"/>
        <v>1.5161290322580645</v>
      </c>
      <c r="V92" s="4">
        <v>2</v>
      </c>
      <c r="W92" s="7">
        <f t="shared" si="47"/>
        <v>0.54600000000000004</v>
      </c>
      <c r="X92" s="7">
        <f t="shared" si="48"/>
        <v>9.0090000000000003</v>
      </c>
      <c r="Y92" s="8">
        <f t="shared" si="49"/>
        <v>5</v>
      </c>
      <c r="Z92" s="7">
        <f>IF(ISBLANK(Z5),NA(),SUM($Z$4:Z5))</f>
        <v>0</v>
      </c>
      <c r="AA92" s="7">
        <f t="shared" ref="AA92:AA121" si="73">$AB$48*E5</f>
        <v>3.032258064516129</v>
      </c>
      <c r="AB92" s="26">
        <f>IF(ISBLANK(Z5),"",SUM($Z$4:Z5))</f>
        <v>0</v>
      </c>
      <c r="AC92" s="115">
        <f t="shared" ref="AC92:AC121" si="74">IF(ISBLANK(Z5),NA(),AB92/AA92)</f>
        <v>0</v>
      </c>
      <c r="AD92" s="8">
        <f t="shared" si="50"/>
        <v>1022.75</v>
      </c>
      <c r="AE92" s="610">
        <f t="shared" si="51"/>
        <v>1.467753305046579</v>
      </c>
      <c r="AF92" s="524">
        <f t="shared" si="52"/>
        <v>0.26041666666666669</v>
      </c>
      <c r="AG92" s="22">
        <f>IF(ISBLANK(AP5),NA(),SUM($AP$4:AP5))</f>
        <v>18</v>
      </c>
      <c r="AH92" s="7">
        <f>SUM($AS$91:AS92)</f>
        <v>12.263641265947463</v>
      </c>
      <c r="AI92" s="115">
        <f t="shared" si="53"/>
        <v>1.467753305046579</v>
      </c>
      <c r="AJ92" s="124">
        <f t="shared" si="54"/>
        <v>0</v>
      </c>
      <c r="AK92" s="8">
        <f t="shared" si="55"/>
        <v>1020.5</v>
      </c>
      <c r="AL92" s="124">
        <f t="shared" si="56"/>
        <v>0</v>
      </c>
      <c r="AM92" s="524">
        <f t="shared" si="57"/>
        <v>0.60416666666666663</v>
      </c>
      <c r="AN92" s="45">
        <f t="array" ref="AN92">MAX(FREQUENCY(IF(AJ91:AJ121=0,ROW(91:121)),IF(AJ91:AJ121&lt;&gt;0,ROW(91:121))))</f>
        <v>8</v>
      </c>
      <c r="AO92" s="524">
        <f t="shared" si="58"/>
        <v>0.53819444444444442</v>
      </c>
      <c r="AP92" s="59" t="s">
        <v>113</v>
      </c>
      <c r="AQ92" s="447">
        <v>0.126</v>
      </c>
      <c r="AR92" s="524">
        <f t="shared" si="59"/>
        <v>0.22916666666666666</v>
      </c>
      <c r="AS92" s="7">
        <f t="shared" si="60"/>
        <v>6.128804323168664</v>
      </c>
      <c r="AT92" s="7">
        <v>15.052700049705606</v>
      </c>
      <c r="AU92" s="4">
        <v>2</v>
      </c>
      <c r="AV92" s="127">
        <f t="shared" si="61"/>
        <v>1</v>
      </c>
      <c r="AW92" s="124">
        <f t="shared" ref="AW92:AW121" si="75">IF(ISBLANK(F5),"",IF(AY50&lt;BC92,1,0))</f>
        <v>0</v>
      </c>
      <c r="AX92" s="124">
        <f t="shared" ref="AX92:AX121" si="76">IF(ISBLANK(G5),"",IF(AY50&gt;BD92,1,0))</f>
        <v>0</v>
      </c>
      <c r="AY92" s="124">
        <f t="shared" si="62"/>
        <v>1</v>
      </c>
      <c r="AZ92" s="125">
        <f t="shared" si="63"/>
        <v>4.3049999999999997</v>
      </c>
      <c r="BA92" s="125">
        <f t="shared" si="64"/>
        <v>14.899999999999999</v>
      </c>
      <c r="BB92" s="125">
        <f t="shared" si="65"/>
        <v>20.9</v>
      </c>
      <c r="BC92" s="7">
        <v>13.840952380952382</v>
      </c>
      <c r="BD92" s="7">
        <v>20.176190476190477</v>
      </c>
      <c r="BE92" s="124"/>
      <c r="BF92" s="8">
        <f t="shared" si="66"/>
        <v>55</v>
      </c>
      <c r="BG92" s="21">
        <f t="shared" si="67"/>
        <v>17.8</v>
      </c>
      <c r="BH92" s="124">
        <f t="shared" si="68"/>
        <v>0</v>
      </c>
      <c r="BI92" s="124">
        <f t="shared" ref="BI92:BI121" si="77">IF(ISBLANK(L5),"",IF(AQ5&gt;0.4,1,0))</f>
        <v>0</v>
      </c>
      <c r="BJ92" s="144">
        <f t="shared" si="69"/>
        <v>0</v>
      </c>
      <c r="BL92" s="99">
        <v>2</v>
      </c>
    </row>
    <row r="93" spans="1:64" ht="12.75" x14ac:dyDescent="0.2">
      <c r="A93" s="8">
        <f t="shared" si="33"/>
        <v>27</v>
      </c>
      <c r="B93" s="125">
        <f t="shared" si="34"/>
        <v>13.4</v>
      </c>
      <c r="C93" s="125">
        <f t="shared" si="35"/>
        <v>22.4</v>
      </c>
      <c r="D93" s="125">
        <f t="shared" si="70"/>
        <v>17.899999999999999</v>
      </c>
      <c r="E93" s="125">
        <f t="shared" si="36"/>
        <v>8.9999999999999982</v>
      </c>
      <c r="F93" s="7">
        <v>12.360714285714284</v>
      </c>
      <c r="G93" s="7">
        <v>21.84</v>
      </c>
      <c r="H93" s="7">
        <f t="shared" si="71"/>
        <v>17.100357142857142</v>
      </c>
      <c r="I93" s="7">
        <f t="shared" si="72"/>
        <v>9.4792857142857159</v>
      </c>
      <c r="K93" s="7">
        <f t="shared" si="37"/>
        <v>10.7</v>
      </c>
      <c r="L93" s="7">
        <f t="shared" si="38"/>
        <v>18.350000000000001</v>
      </c>
      <c r="M93" s="370">
        <f t="shared" si="39"/>
        <v>2.7666666666666671</v>
      </c>
      <c r="N93" s="1">
        <f t="shared" si="40"/>
        <v>0</v>
      </c>
      <c r="O93" s="7">
        <f t="shared" si="41"/>
        <v>52.666666666666664</v>
      </c>
      <c r="P93" s="7">
        <f t="shared" si="42"/>
        <v>12.033333333333333</v>
      </c>
      <c r="Q93" s="7">
        <f t="shared" si="43"/>
        <v>21.766666666666666</v>
      </c>
      <c r="R93" s="7">
        <f t="shared" si="44"/>
        <v>17.599999999999998</v>
      </c>
      <c r="S93" s="7">
        <f t="shared" si="45"/>
        <v>9.7333333333333325</v>
      </c>
      <c r="T93" s="1">
        <v>34</v>
      </c>
      <c r="U93" s="333">
        <f t="shared" si="46"/>
        <v>1.5161290322580645</v>
      </c>
      <c r="V93" s="4">
        <v>3</v>
      </c>
      <c r="W93" s="7">
        <f t="shared" si="47"/>
        <v>0.81900000000000006</v>
      </c>
      <c r="X93" s="7">
        <f t="shared" si="48"/>
        <v>9.282</v>
      </c>
      <c r="Y93" s="8">
        <f t="shared" si="49"/>
        <v>2</v>
      </c>
      <c r="Z93" s="7">
        <f>IF(ISBLANK(Z6),NA(),SUM($Z$4:Z6))</f>
        <v>0</v>
      </c>
      <c r="AA93" s="7">
        <f t="shared" si="73"/>
        <v>4.5483870967741939</v>
      </c>
      <c r="AB93" s="26">
        <f>IF(ISBLANK(Z6),"",SUM($Z$4:Z6))</f>
        <v>0</v>
      </c>
      <c r="AC93" s="115">
        <f t="shared" si="74"/>
        <v>0</v>
      </c>
      <c r="AD93" s="8">
        <f t="shared" si="50"/>
        <v>1020.8333333333334</v>
      </c>
      <c r="AE93" s="610">
        <f t="shared" si="51"/>
        <v>1.414132879511425</v>
      </c>
      <c r="AF93" s="524">
        <f t="shared" si="52"/>
        <v>0.24305555555555555</v>
      </c>
      <c r="AG93" s="22">
        <f>IF(ISBLANK(AP6),NA(),SUM($AP$4:AP6))</f>
        <v>26</v>
      </c>
      <c r="AH93" s="7">
        <f>SUM($AS$91:AS93)</f>
        <v>18.385825247895273</v>
      </c>
      <c r="AI93" s="115">
        <f t="shared" si="53"/>
        <v>1.414132879511425</v>
      </c>
      <c r="AJ93" s="124">
        <f t="shared" si="54"/>
        <v>0</v>
      </c>
      <c r="AK93" s="8">
        <f t="shared" si="55"/>
        <v>1017</v>
      </c>
      <c r="AL93" s="124">
        <f t="shared" si="56"/>
        <v>0</v>
      </c>
      <c r="AM93" s="524">
        <f t="shared" si="57"/>
        <v>0.61805555555555558</v>
      </c>
      <c r="AN93" s="150">
        <f>COUNTIF(E72:E80, "&lt;-0.5")</f>
        <v>1</v>
      </c>
      <c r="AO93" s="524">
        <f t="shared" si="58"/>
        <v>0.61805555555555558</v>
      </c>
      <c r="AP93" s="59" t="s">
        <v>206</v>
      </c>
      <c r="AQ93" s="447">
        <v>0.114</v>
      </c>
      <c r="AR93" s="524">
        <f t="shared" si="59"/>
        <v>0.20833333333333334</v>
      </c>
      <c r="AS93" s="7">
        <f t="shared" si="60"/>
        <v>6.1221839819478099</v>
      </c>
      <c r="AT93" s="7">
        <v>15.036440106432904</v>
      </c>
      <c r="AU93" s="4">
        <v>3</v>
      </c>
      <c r="AV93" s="127">
        <f t="shared" si="61"/>
        <v>1</v>
      </c>
      <c r="AW93" s="124">
        <f t="shared" si="75"/>
        <v>0</v>
      </c>
      <c r="AX93" s="124">
        <f t="shared" si="76"/>
        <v>0</v>
      </c>
      <c r="AY93" s="124">
        <f t="shared" si="62"/>
        <v>1</v>
      </c>
      <c r="AZ93" s="125">
        <f t="shared" si="63"/>
        <v>4.3049999999999997</v>
      </c>
      <c r="BA93" s="125">
        <f t="shared" si="64"/>
        <v>14.899999999999999</v>
      </c>
      <c r="BB93" s="125">
        <f t="shared" si="65"/>
        <v>20.9</v>
      </c>
      <c r="BC93" s="7">
        <v>13.940595238095238</v>
      </c>
      <c r="BD93" s="7">
        <v>20.260119047619046</v>
      </c>
      <c r="BE93" s="124"/>
      <c r="BF93" s="8">
        <f t="shared" si="66"/>
        <v>51</v>
      </c>
      <c r="BG93" s="21">
        <f t="shared" si="67"/>
        <v>18.8</v>
      </c>
      <c r="BH93" s="124">
        <f t="shared" si="68"/>
        <v>0</v>
      </c>
      <c r="BI93" s="124">
        <f t="shared" si="77"/>
        <v>0</v>
      </c>
      <c r="BJ93" s="144">
        <f t="shared" si="69"/>
        <v>0</v>
      </c>
      <c r="BL93" s="99">
        <v>3</v>
      </c>
    </row>
    <row r="94" spans="1:64" ht="12.75" x14ac:dyDescent="0.2">
      <c r="A94" s="8">
        <f t="shared" si="33"/>
        <v>32</v>
      </c>
      <c r="B94" s="125">
        <f t="shared" si="34"/>
        <v>13.4</v>
      </c>
      <c r="C94" s="125">
        <f t="shared" si="35"/>
        <v>22.4</v>
      </c>
      <c r="D94" s="125">
        <f t="shared" si="70"/>
        <v>17.899999999999999</v>
      </c>
      <c r="E94" s="125">
        <f t="shared" si="36"/>
        <v>8.9999999999999982</v>
      </c>
      <c r="F94" s="7">
        <v>12.464285714285712</v>
      </c>
      <c r="G94" s="7">
        <v>21.92</v>
      </c>
      <c r="H94" s="7">
        <f t="shared" si="71"/>
        <v>17.192142857142855</v>
      </c>
      <c r="I94" s="7">
        <f t="shared" si="72"/>
        <v>9.45571428571429</v>
      </c>
      <c r="K94" s="7">
        <f t="shared" si="37"/>
        <v>10.599999999999998</v>
      </c>
      <c r="L94" s="7">
        <f t="shared" si="38"/>
        <v>19.600000000000001</v>
      </c>
      <c r="M94" s="370">
        <f t="shared" si="39"/>
        <v>2.7750000000000004</v>
      </c>
      <c r="N94" s="1">
        <f t="shared" si="40"/>
        <v>0</v>
      </c>
      <c r="O94" s="7">
        <f t="shared" si="41"/>
        <v>51.25</v>
      </c>
      <c r="P94" s="7">
        <f t="shared" si="42"/>
        <v>12.600000000000001</v>
      </c>
      <c r="Q94" s="7">
        <f t="shared" si="43"/>
        <v>22.549999999999997</v>
      </c>
      <c r="R94" s="7">
        <f t="shared" si="44"/>
        <v>18.225000000000001</v>
      </c>
      <c r="S94" s="7">
        <f t="shared" si="45"/>
        <v>9.9499999999999993</v>
      </c>
      <c r="T94" s="1">
        <v>35</v>
      </c>
      <c r="U94" s="333">
        <f t="shared" si="46"/>
        <v>1.5161290322580645</v>
      </c>
      <c r="V94" s="4">
        <v>4</v>
      </c>
      <c r="W94" s="7">
        <f t="shared" si="47"/>
        <v>1.0920000000000001</v>
      </c>
      <c r="X94" s="7">
        <f t="shared" si="48"/>
        <v>9.5550000000000015</v>
      </c>
      <c r="Y94" s="8">
        <f t="shared" si="49"/>
        <v>2</v>
      </c>
      <c r="Z94" s="7">
        <f>IF(ISBLANK(Z7),NA(),SUM($Z$4:Z7))</f>
        <v>0</v>
      </c>
      <c r="AA94" s="7">
        <f t="shared" si="73"/>
        <v>6.064516129032258</v>
      </c>
      <c r="AB94" s="26">
        <f>IF(ISBLANK(Z7),"",SUM($Z$4:Z7))</f>
        <v>0</v>
      </c>
      <c r="AC94" s="115">
        <f t="shared" si="74"/>
        <v>0</v>
      </c>
      <c r="AD94" s="8">
        <f t="shared" si="50"/>
        <v>1019.875</v>
      </c>
      <c r="AE94" s="610">
        <f t="shared" si="51"/>
        <v>1.4285243377313894</v>
      </c>
      <c r="AF94" s="524">
        <f t="shared" si="52"/>
        <v>0.1111111111111111</v>
      </c>
      <c r="AG94" s="22">
        <f>IF(ISBLANK(AP7),NA(),SUM($AP$4:AP7))</f>
        <v>35</v>
      </c>
      <c r="AH94" s="7">
        <f>SUM($AS$91:AS94)</f>
        <v>24.500807634529203</v>
      </c>
      <c r="AI94" s="115">
        <f t="shared" si="53"/>
        <v>1.4285243377313894</v>
      </c>
      <c r="AJ94" s="124">
        <f t="shared" si="54"/>
        <v>0</v>
      </c>
      <c r="AK94" s="8">
        <f t="shared" si="55"/>
        <v>1017</v>
      </c>
      <c r="AL94" s="124">
        <f t="shared" si="56"/>
        <v>0</v>
      </c>
      <c r="AM94" s="524">
        <f t="shared" si="57"/>
        <v>0.61458333333333337</v>
      </c>
      <c r="AN94" s="141">
        <f t="array" ref="AN94">MAX(FREQUENCY(IF(BI91:BI121=1,ROW(91:121)),IF(BI91:BI121&lt;&gt;1,ROW(91:121))))</f>
        <v>8</v>
      </c>
      <c r="AO94" s="524">
        <f t="shared" si="58"/>
        <v>0.58680555555555558</v>
      </c>
      <c r="AP94" s="449" t="s">
        <v>105</v>
      </c>
      <c r="AQ94" s="448">
        <v>5.3999999999999999E-2</v>
      </c>
      <c r="AR94" s="524">
        <f t="shared" si="59"/>
        <v>0.1076388888888889</v>
      </c>
      <c r="AS94" s="7">
        <f t="shared" si="60"/>
        <v>6.1149823866339279</v>
      </c>
      <c r="AT94" s="7">
        <v>15.018752569284846</v>
      </c>
      <c r="AU94" s="4">
        <v>4</v>
      </c>
      <c r="AV94" s="127">
        <f t="shared" si="61"/>
        <v>1</v>
      </c>
      <c r="AW94" s="124">
        <f t="shared" si="75"/>
        <v>0</v>
      </c>
      <c r="AX94" s="124">
        <f t="shared" si="76"/>
        <v>0</v>
      </c>
      <c r="AY94" s="124">
        <f t="shared" si="62"/>
        <v>1</v>
      </c>
      <c r="AZ94" s="125">
        <f t="shared" si="63"/>
        <v>4.3049999999999997</v>
      </c>
      <c r="BA94" s="125">
        <f t="shared" si="64"/>
        <v>14.899999999999999</v>
      </c>
      <c r="BB94" s="125">
        <f t="shared" si="65"/>
        <v>20.9</v>
      </c>
      <c r="BC94" s="7">
        <v>14.040238095238093</v>
      </c>
      <c r="BD94" s="7">
        <v>20.344047619047615</v>
      </c>
      <c r="BE94" s="124"/>
      <c r="BF94" s="8">
        <f t="shared" si="66"/>
        <v>47</v>
      </c>
      <c r="BG94" s="21">
        <f t="shared" si="67"/>
        <v>20.100000000000001</v>
      </c>
      <c r="BH94" s="124">
        <f t="shared" si="68"/>
        <v>0</v>
      </c>
      <c r="BI94" s="124">
        <f t="shared" si="77"/>
        <v>0</v>
      </c>
      <c r="BJ94" s="144">
        <f t="shared" si="69"/>
        <v>0</v>
      </c>
      <c r="BL94" s="99">
        <v>4</v>
      </c>
    </row>
    <row r="95" spans="1:64" ht="12.75" x14ac:dyDescent="0.2">
      <c r="A95" s="8">
        <f t="shared" si="33"/>
        <v>53</v>
      </c>
      <c r="B95" s="125">
        <f t="shared" si="34"/>
        <v>13.4</v>
      </c>
      <c r="C95" s="125">
        <f t="shared" si="35"/>
        <v>22.4</v>
      </c>
      <c r="D95" s="125">
        <f t="shared" si="70"/>
        <v>17.899999999999999</v>
      </c>
      <c r="E95" s="125">
        <f t="shared" si="36"/>
        <v>8.9999999999999982</v>
      </c>
      <c r="F95" s="7">
        <v>12.56785714285714</v>
      </c>
      <c r="G95" s="7">
        <v>22</v>
      </c>
      <c r="H95" s="7">
        <f t="shared" si="71"/>
        <v>17.283928571428568</v>
      </c>
      <c r="I95" s="7">
        <f t="shared" si="72"/>
        <v>9.4321428571428605</v>
      </c>
      <c r="K95" s="7">
        <f t="shared" si="37"/>
        <v>13.299999999999999</v>
      </c>
      <c r="L95" s="7">
        <f t="shared" si="38"/>
        <v>19.75</v>
      </c>
      <c r="M95" s="370">
        <f t="shared" si="39"/>
        <v>3.0200000000000005</v>
      </c>
      <c r="N95" s="1">
        <f t="shared" si="40"/>
        <v>1.5333333333333332</v>
      </c>
      <c r="O95" s="7">
        <f t="shared" si="41"/>
        <v>52.6</v>
      </c>
      <c r="P95" s="7">
        <f t="shared" si="42"/>
        <v>12.700000000000001</v>
      </c>
      <c r="Q95" s="7">
        <f t="shared" si="43"/>
        <v>23.32</v>
      </c>
      <c r="R95" s="7">
        <f t="shared" si="44"/>
        <v>18.380000000000003</v>
      </c>
      <c r="S95" s="7">
        <f t="shared" si="45"/>
        <v>10.62</v>
      </c>
      <c r="T95" s="1">
        <v>36</v>
      </c>
      <c r="U95" s="333">
        <f t="shared" si="46"/>
        <v>1.5161290322580645</v>
      </c>
      <c r="V95" s="4">
        <v>5</v>
      </c>
      <c r="W95" s="7">
        <f t="shared" si="47"/>
        <v>1.3650000000000002</v>
      </c>
      <c r="X95" s="7">
        <f t="shared" si="48"/>
        <v>9.8280000000000012</v>
      </c>
      <c r="Y95" s="8">
        <f t="shared" si="49"/>
        <v>9</v>
      </c>
      <c r="Z95" s="7">
        <f>IF(ISBLANK(Z8),NA(),SUM($Z$4:Z8))</f>
        <v>4.5999999999999996</v>
      </c>
      <c r="AA95" s="7">
        <f t="shared" si="73"/>
        <v>7.5806451612903221</v>
      </c>
      <c r="AB95" s="26">
        <f>IF(ISBLANK(Z8),"",SUM($Z$4:Z8))</f>
        <v>4.5999999999999996</v>
      </c>
      <c r="AC95" s="115">
        <f t="shared" si="74"/>
        <v>0.60680851063829788</v>
      </c>
      <c r="AD95" s="8">
        <f t="shared" si="50"/>
        <v>1018.2</v>
      </c>
      <c r="AE95" s="610">
        <f t="shared" si="51"/>
        <v>1.4375320075468374</v>
      </c>
      <c r="AF95" s="524" t="e">
        <f t="shared" si="52"/>
        <v>#N/A</v>
      </c>
      <c r="AG95" s="22">
        <f>IF(ISBLANK(AP8),NA(),SUM($AP$4:AP8))</f>
        <v>44</v>
      </c>
      <c r="AH95" s="7">
        <f>SUM($AS$91:AS95)</f>
        <v>30.60801413047243</v>
      </c>
      <c r="AI95" s="115">
        <f t="shared" si="53"/>
        <v>1.4375320075468374</v>
      </c>
      <c r="AJ95" s="124">
        <f t="shared" si="54"/>
        <v>1</v>
      </c>
      <c r="AK95" s="8">
        <f t="shared" si="55"/>
        <v>1011.5</v>
      </c>
      <c r="AL95" s="124">
        <f t="shared" si="56"/>
        <v>1</v>
      </c>
      <c r="AM95" s="524">
        <f t="shared" si="57"/>
        <v>0.64236111111111105</v>
      </c>
      <c r="AN95" s="141">
        <f t="array" ref="AN95">MAX(FREQUENCY(IF(BI91:BI121=0,ROW(91:121)),IF(BI91:BI121&lt;&gt;0,ROW(91:121))))</f>
        <v>8</v>
      </c>
      <c r="AO95" s="524">
        <f t="shared" si="58"/>
        <v>0.625</v>
      </c>
      <c r="AP95" s="449" t="s">
        <v>207</v>
      </c>
      <c r="AQ95" s="448">
        <v>3.9E-2</v>
      </c>
      <c r="AR95" s="524">
        <f t="shared" si="59"/>
        <v>0.22222222222222221</v>
      </c>
      <c r="AS95" s="7">
        <f t="shared" si="60"/>
        <v>6.1072064959432275</v>
      </c>
      <c r="AT95" s="7">
        <v>14.999654529273364</v>
      </c>
      <c r="AU95" s="4">
        <v>5</v>
      </c>
      <c r="AV95" s="127">
        <f t="shared" si="61"/>
        <v>1</v>
      </c>
      <c r="AW95" s="124">
        <f t="shared" si="75"/>
        <v>0</v>
      </c>
      <c r="AX95" s="124">
        <f t="shared" si="76"/>
        <v>0</v>
      </c>
      <c r="AY95" s="124">
        <f t="shared" si="62"/>
        <v>0</v>
      </c>
      <c r="AZ95" s="125">
        <f t="shared" si="63"/>
        <v>4.3049999999999997</v>
      </c>
      <c r="BA95" s="125">
        <f t="shared" si="64"/>
        <v>14.899999999999999</v>
      </c>
      <c r="BB95" s="125">
        <f t="shared" si="65"/>
        <v>20.9</v>
      </c>
      <c r="BC95" s="7">
        <v>14.139880952380951</v>
      </c>
      <c r="BD95" s="7">
        <v>20.427976190476187</v>
      </c>
      <c r="BE95" s="124"/>
      <c r="BF95" s="8">
        <f t="shared" si="66"/>
        <v>58</v>
      </c>
      <c r="BG95" s="21">
        <f t="shared" si="67"/>
        <v>19</v>
      </c>
      <c r="BH95" s="124">
        <f t="shared" si="68"/>
        <v>0</v>
      </c>
      <c r="BI95" s="124">
        <f t="shared" si="77"/>
        <v>1</v>
      </c>
      <c r="BJ95" s="144">
        <f t="shared" si="69"/>
        <v>1.5333333333333332</v>
      </c>
      <c r="BL95" s="99">
        <v>5</v>
      </c>
    </row>
    <row r="96" spans="1:64" ht="12.75" x14ac:dyDescent="0.2">
      <c r="A96" s="8">
        <f t="shared" si="33"/>
        <v>45</v>
      </c>
      <c r="B96" s="125">
        <f t="shared" si="34"/>
        <v>13.4</v>
      </c>
      <c r="C96" s="125">
        <f t="shared" si="35"/>
        <v>22.4</v>
      </c>
      <c r="D96" s="125">
        <f t="shared" si="70"/>
        <v>17.899999999999999</v>
      </c>
      <c r="E96" s="125">
        <f t="shared" si="36"/>
        <v>8.9999999999999982</v>
      </c>
      <c r="F96" s="7">
        <v>12.671428571428567</v>
      </c>
      <c r="G96" s="7">
        <v>22.08</v>
      </c>
      <c r="H96" s="7">
        <f t="shared" si="71"/>
        <v>17.375714285714281</v>
      </c>
      <c r="I96" s="7">
        <f t="shared" si="72"/>
        <v>9.408571428571431</v>
      </c>
      <c r="K96" s="7">
        <f t="shared" si="37"/>
        <v>6.4</v>
      </c>
      <c r="L96" s="7">
        <f t="shared" si="38"/>
        <v>16.8</v>
      </c>
      <c r="M96" s="370">
        <f t="shared" si="39"/>
        <v>3.9000000000000004</v>
      </c>
      <c r="N96" s="1">
        <f t="shared" si="40"/>
        <v>0.26666666666666666</v>
      </c>
      <c r="O96" s="7">
        <f t="shared" si="41"/>
        <v>54.833333333333336</v>
      </c>
      <c r="P96" s="7">
        <f t="shared" si="42"/>
        <v>12.850000000000001</v>
      </c>
      <c r="Q96" s="7">
        <f t="shared" si="43"/>
        <v>22.766666666666666</v>
      </c>
      <c r="R96" s="7">
        <f t="shared" si="44"/>
        <v>18.100000000000001</v>
      </c>
      <c r="S96" s="7">
        <f t="shared" si="45"/>
        <v>9.9166666666666661</v>
      </c>
      <c r="T96" s="1">
        <v>37</v>
      </c>
      <c r="U96" s="333">
        <f t="shared" si="46"/>
        <v>1.5161290322580645</v>
      </c>
      <c r="V96" s="4">
        <v>6</v>
      </c>
      <c r="W96" s="7">
        <f t="shared" si="47"/>
        <v>1.6380000000000001</v>
      </c>
      <c r="X96" s="7">
        <f t="shared" si="48"/>
        <v>10.101000000000001</v>
      </c>
      <c r="Y96" s="8">
        <f t="shared" si="49"/>
        <v>3</v>
      </c>
      <c r="Z96" s="7">
        <f>IF(ISBLANK(Z9),NA(),SUM($Z$4:Z9))</f>
        <v>5.3999999999999995</v>
      </c>
      <c r="AA96" s="7">
        <f t="shared" si="73"/>
        <v>9.0967741935483879</v>
      </c>
      <c r="AB96" s="26">
        <f>IF(ISBLANK(Z9),"",SUM($Z$4:Z9))</f>
        <v>5.3999999999999995</v>
      </c>
      <c r="AC96" s="115">
        <f t="shared" si="74"/>
        <v>0.59361702127659566</v>
      </c>
      <c r="AD96" s="8">
        <f t="shared" si="50"/>
        <v>1016.0833333333334</v>
      </c>
      <c r="AE96" s="610">
        <f t="shared" si="51"/>
        <v>1.3893853949392792</v>
      </c>
      <c r="AF96" s="524">
        <f t="shared" si="52"/>
        <v>0.27083333333333331</v>
      </c>
      <c r="AG96" s="22">
        <f>IF(ISBLANK(AP9),NA(),SUM($AP$4:AP9))</f>
        <v>51</v>
      </c>
      <c r="AH96" s="7">
        <f>SUM($AS$91:AS96)</f>
        <v>36.706877865395207</v>
      </c>
      <c r="AI96" s="115">
        <f t="shared" si="53"/>
        <v>1.3893853949392792</v>
      </c>
      <c r="AJ96" s="124">
        <f t="shared" si="54"/>
        <v>1</v>
      </c>
      <c r="AK96" s="8">
        <f t="shared" si="55"/>
        <v>1005.5</v>
      </c>
      <c r="AL96" s="124">
        <f t="shared" si="56"/>
        <v>0</v>
      </c>
      <c r="AM96" s="524">
        <f t="shared" si="57"/>
        <v>0.68402777777777779</v>
      </c>
      <c r="AN96" s="124">
        <f>COUNTIF(AU50:AU60, "&lt;-0.5")</f>
        <v>3</v>
      </c>
      <c r="AO96" s="524">
        <f t="shared" si="58"/>
        <v>0.60069444444444442</v>
      </c>
      <c r="AP96" s="449" t="s">
        <v>106</v>
      </c>
      <c r="AQ96" s="448">
        <v>1.9E-2</v>
      </c>
      <c r="AR96" s="524">
        <f t="shared" si="59"/>
        <v>0.22569444444444445</v>
      </c>
      <c r="AS96" s="7">
        <f t="shared" si="60"/>
        <v>6.0988637349227783</v>
      </c>
      <c r="AT96" s="7">
        <v>14.979164222746125</v>
      </c>
      <c r="AU96" s="4">
        <v>6</v>
      </c>
      <c r="AV96" s="127">
        <f t="shared" si="61"/>
        <v>1</v>
      </c>
      <c r="AW96" s="124">
        <f t="shared" si="75"/>
        <v>0</v>
      </c>
      <c r="AX96" s="124">
        <f t="shared" si="76"/>
        <v>0</v>
      </c>
      <c r="AY96" s="124">
        <f t="shared" si="62"/>
        <v>0</v>
      </c>
      <c r="AZ96" s="125">
        <f t="shared" si="63"/>
        <v>4.3049999999999997</v>
      </c>
      <c r="BA96" s="125">
        <f t="shared" si="64"/>
        <v>14.899999999999999</v>
      </c>
      <c r="BB96" s="125">
        <f t="shared" si="65"/>
        <v>20.9</v>
      </c>
      <c r="BC96" s="7">
        <v>14.239523809523806</v>
      </c>
      <c r="BD96" s="7">
        <v>20.511904761904756</v>
      </c>
      <c r="BE96" s="124"/>
      <c r="BF96" s="8">
        <f t="shared" si="66"/>
        <v>66</v>
      </c>
      <c r="BG96" s="21">
        <f t="shared" si="67"/>
        <v>16.7</v>
      </c>
      <c r="BH96" s="124">
        <f t="shared" si="68"/>
        <v>1</v>
      </c>
      <c r="BI96" s="124">
        <f t="shared" si="77"/>
        <v>1</v>
      </c>
      <c r="BJ96" s="144">
        <f t="shared" si="69"/>
        <v>0.26666666666666666</v>
      </c>
      <c r="BL96" s="99">
        <v>6</v>
      </c>
    </row>
    <row r="97" spans="1:64" ht="12.75" x14ac:dyDescent="0.2">
      <c r="A97" s="8">
        <f t="shared" si="33"/>
        <v>25</v>
      </c>
      <c r="B97" s="125">
        <f t="shared" si="34"/>
        <v>13.4</v>
      </c>
      <c r="C97" s="125">
        <f t="shared" si="35"/>
        <v>22.4</v>
      </c>
      <c r="D97" s="125">
        <f t="shared" si="70"/>
        <v>17.899999999999999</v>
      </c>
      <c r="E97" s="125">
        <f t="shared" si="36"/>
        <v>8.9999999999999982</v>
      </c>
      <c r="F97" s="7">
        <v>12.775</v>
      </c>
      <c r="G97" s="7">
        <v>22.16</v>
      </c>
      <c r="H97" s="7">
        <f t="shared" si="71"/>
        <v>17.467500000000001</v>
      </c>
      <c r="I97" s="7">
        <f t="shared" si="72"/>
        <v>9.3849999999999998</v>
      </c>
      <c r="K97" s="7">
        <f t="shared" si="37"/>
        <v>4.5000000000000018</v>
      </c>
      <c r="L97" s="7">
        <f t="shared" si="38"/>
        <v>16.350000000000001</v>
      </c>
      <c r="M97" s="370">
        <f t="shared" si="39"/>
        <v>4.4428571428571431</v>
      </c>
      <c r="N97" s="1">
        <f t="shared" si="40"/>
        <v>1.1666666666666667</v>
      </c>
      <c r="O97" s="7">
        <f t="shared" si="41"/>
        <v>57.571428571428569</v>
      </c>
      <c r="P97" s="7">
        <f t="shared" si="42"/>
        <v>13.028571428571428</v>
      </c>
      <c r="Q97" s="7">
        <f t="shared" si="43"/>
        <v>22.171428571428571</v>
      </c>
      <c r="R97" s="7">
        <f t="shared" si="44"/>
        <v>17.785714285714288</v>
      </c>
      <c r="S97" s="7">
        <f t="shared" si="45"/>
        <v>9.1428571428571423</v>
      </c>
      <c r="T97" s="1">
        <v>38</v>
      </c>
      <c r="U97" s="333">
        <f t="shared" si="46"/>
        <v>1.5161290322580645</v>
      </c>
      <c r="V97" s="4">
        <v>7</v>
      </c>
      <c r="W97" s="7">
        <f t="shared" si="47"/>
        <v>1.911</v>
      </c>
      <c r="X97" s="7">
        <f t="shared" si="48"/>
        <v>10.374000000000001</v>
      </c>
      <c r="Y97" s="8">
        <f t="shared" si="49"/>
        <v>2</v>
      </c>
      <c r="Z97" s="7">
        <f>IF(ISBLANK(Z10),NA(),SUM($Z$4:Z10))</f>
        <v>8.8999999999999986</v>
      </c>
      <c r="AA97" s="7">
        <f t="shared" si="73"/>
        <v>10.612903225806452</v>
      </c>
      <c r="AB97" s="26">
        <f>IF(ISBLANK(Z10),"",SUM($Z$4:Z10))</f>
        <v>8.8999999999999986</v>
      </c>
      <c r="AC97" s="115">
        <f t="shared" si="74"/>
        <v>0.83860182370820657</v>
      </c>
      <c r="AD97" s="8">
        <f t="shared" si="50"/>
        <v>1014.3571428571429</v>
      </c>
      <c r="AE97" s="610">
        <f t="shared" si="51"/>
        <v>1.2384091957530039</v>
      </c>
      <c r="AF97" s="524" t="e">
        <f t="shared" si="52"/>
        <v>#N/A</v>
      </c>
      <c r="AG97" s="22">
        <f>IF(ISBLANK(AP10),NA(),SUM($AP$4:AP10))</f>
        <v>53</v>
      </c>
      <c r="AH97" s="7">
        <f>SUM($AS$91:AS97)</f>
        <v>42.796839834327791</v>
      </c>
      <c r="AI97" s="115">
        <f t="shared" si="53"/>
        <v>1.2384091957530039</v>
      </c>
      <c r="AJ97" s="124">
        <f t="shared" si="54"/>
        <v>1</v>
      </c>
      <c r="AK97" s="8">
        <f t="shared" si="55"/>
        <v>1004</v>
      </c>
      <c r="AL97" s="124">
        <f t="shared" si="56"/>
        <v>1</v>
      </c>
      <c r="AM97" s="524">
        <f t="shared" si="57"/>
        <v>0.77083333333333337</v>
      </c>
      <c r="AN97" s="150">
        <f>COUNTIF(E48:E66,"&gt;0.5")</f>
        <v>5</v>
      </c>
      <c r="AO97" s="524">
        <f t="shared" si="58"/>
        <v>0.72222222222222221</v>
      </c>
      <c r="AP97" s="449" t="s">
        <v>208</v>
      </c>
      <c r="AQ97" s="448">
        <v>1.6E-2</v>
      </c>
      <c r="AR97" s="524">
        <f t="shared" si="59"/>
        <v>0.23958333333333334</v>
      </c>
      <c r="AS97" s="7">
        <f t="shared" si="60"/>
        <v>6.0899619689325846</v>
      </c>
      <c r="AT97" s="7">
        <v>14.957300967484979</v>
      </c>
      <c r="AU97" s="4">
        <v>7</v>
      </c>
      <c r="AV97" s="127">
        <f t="shared" si="61"/>
        <v>0</v>
      </c>
      <c r="AW97" s="124">
        <f t="shared" si="75"/>
        <v>0</v>
      </c>
      <c r="AX97" s="124">
        <f t="shared" si="76"/>
        <v>0</v>
      </c>
      <c r="AY97" s="124">
        <f t="shared" si="62"/>
        <v>0</v>
      </c>
      <c r="AZ97" s="125">
        <f t="shared" si="63"/>
        <v>4.3049999999999997</v>
      </c>
      <c r="BA97" s="125">
        <f t="shared" si="64"/>
        <v>14.899999999999999</v>
      </c>
      <c r="BB97" s="125">
        <f t="shared" si="65"/>
        <v>20.9</v>
      </c>
      <c r="BC97" s="7">
        <v>14.339166666666662</v>
      </c>
      <c r="BD97" s="7">
        <v>20.595833333333324</v>
      </c>
      <c r="BE97" s="124"/>
      <c r="BF97" s="8">
        <f t="shared" si="66"/>
        <v>74</v>
      </c>
      <c r="BG97" s="21">
        <f t="shared" si="67"/>
        <v>15.9</v>
      </c>
      <c r="BH97" s="124">
        <f t="shared" si="68"/>
        <v>1</v>
      </c>
      <c r="BI97" s="124">
        <f t="shared" si="77"/>
        <v>1</v>
      </c>
      <c r="BJ97" s="144">
        <f t="shared" si="69"/>
        <v>1.1666666666666667</v>
      </c>
      <c r="BL97" s="99">
        <v>7</v>
      </c>
    </row>
    <row r="98" spans="1:64" ht="12.75" x14ac:dyDescent="0.2">
      <c r="A98" s="8">
        <f t="shared" si="33"/>
        <v>29</v>
      </c>
      <c r="B98" s="125">
        <f t="shared" si="34"/>
        <v>13.4</v>
      </c>
      <c r="C98" s="125">
        <f t="shared" si="35"/>
        <v>22.4</v>
      </c>
      <c r="D98" s="125">
        <f t="shared" si="70"/>
        <v>17.899999999999999</v>
      </c>
      <c r="E98" s="125">
        <f t="shared" si="36"/>
        <v>8.9999999999999982</v>
      </c>
      <c r="F98" s="7">
        <v>12.878571428571423</v>
      </c>
      <c r="G98" s="7">
        <v>22.24</v>
      </c>
      <c r="H98" s="7">
        <f t="shared" si="71"/>
        <v>17.559285714285711</v>
      </c>
      <c r="I98" s="7">
        <f t="shared" si="72"/>
        <v>9.3614285714285757</v>
      </c>
      <c r="K98" s="7">
        <f t="shared" si="37"/>
        <v>4.5000000000000018</v>
      </c>
      <c r="L98" s="7">
        <f t="shared" si="38"/>
        <v>15.850000000000001</v>
      </c>
      <c r="M98" s="370">
        <f t="shared" si="39"/>
        <v>4.8500000000000005</v>
      </c>
      <c r="N98" s="1">
        <f t="shared" si="40"/>
        <v>1.0999999999999999</v>
      </c>
      <c r="O98" s="7">
        <f t="shared" si="41"/>
        <v>60</v>
      </c>
      <c r="P98" s="7">
        <f t="shared" si="42"/>
        <v>13.1</v>
      </c>
      <c r="Q98" s="7">
        <f t="shared" si="43"/>
        <v>21.662499999999998</v>
      </c>
      <c r="R98" s="7">
        <f t="shared" si="44"/>
        <v>17.5</v>
      </c>
      <c r="S98" s="7">
        <f t="shared" si="45"/>
        <v>8.5625</v>
      </c>
      <c r="T98" s="1">
        <v>39</v>
      </c>
      <c r="U98" s="333">
        <f t="shared" si="46"/>
        <v>1.5161290322580645</v>
      </c>
      <c r="V98" s="4">
        <v>8</v>
      </c>
      <c r="W98" s="7">
        <f t="shared" si="47"/>
        <v>2.1840000000000002</v>
      </c>
      <c r="X98" s="7">
        <f t="shared" si="48"/>
        <v>10.647</v>
      </c>
      <c r="Y98" s="8">
        <f t="shared" si="49"/>
        <v>4</v>
      </c>
      <c r="Z98" s="7">
        <f>IF(ISBLANK(Z11),NA(),SUM($Z$4:Z11))</f>
        <v>12.2</v>
      </c>
      <c r="AA98" s="7">
        <f t="shared" si="73"/>
        <v>12.129032258064516</v>
      </c>
      <c r="AB98" s="26">
        <f>IF(ISBLANK(Z11),"",SUM($Z$4:Z11))</f>
        <v>12.2</v>
      </c>
      <c r="AC98" s="115">
        <f t="shared" si="74"/>
        <v>1.0058510638297873</v>
      </c>
      <c r="AD98" s="8">
        <f t="shared" si="50"/>
        <v>1013.1875</v>
      </c>
      <c r="AE98" s="610">
        <f t="shared" si="51"/>
        <v>1.1354952914256904</v>
      </c>
      <c r="AF98" s="524">
        <f t="shared" si="52"/>
        <v>0.4375</v>
      </c>
      <c r="AG98" s="22">
        <f>IF(ISBLANK(AP11),NA(),SUM($AP$4:AP11))</f>
        <v>55.5</v>
      </c>
      <c r="AH98" s="7">
        <f>SUM($AS$91:AS98)</f>
        <v>48.877349310991889</v>
      </c>
      <c r="AI98" s="115">
        <f t="shared" si="53"/>
        <v>1.1354952914256904</v>
      </c>
      <c r="AJ98" s="124">
        <f t="shared" si="54"/>
        <v>1</v>
      </c>
      <c r="AK98" s="8">
        <f t="shared" si="55"/>
        <v>1005</v>
      </c>
      <c r="AL98" s="124">
        <f t="shared" si="56"/>
        <v>1</v>
      </c>
      <c r="AM98" s="524">
        <f t="shared" si="57"/>
        <v>0.77430555555555547</v>
      </c>
      <c r="AN98" s="150">
        <f>COUNTIF(E72:E80, "&gt;0.5")</f>
        <v>2</v>
      </c>
      <c r="AO98" s="524">
        <f t="shared" si="58"/>
        <v>0.59722222222222221</v>
      </c>
      <c r="AP98" s="449" t="s">
        <v>112</v>
      </c>
      <c r="AQ98" s="448">
        <v>1.0999999999999999E-2</v>
      </c>
      <c r="AR98" s="524">
        <f t="shared" si="59"/>
        <v>0.25694444444444448</v>
      </c>
      <c r="AS98" s="7">
        <f t="shared" si="60"/>
        <v>6.0805094766640959</v>
      </c>
      <c r="AT98" s="7">
        <v>14.934085096437858</v>
      </c>
      <c r="AU98" s="4">
        <v>8</v>
      </c>
      <c r="AV98" s="127">
        <f t="shared" si="61"/>
        <v>0</v>
      </c>
      <c r="AW98" s="124">
        <f t="shared" si="75"/>
        <v>0</v>
      </c>
      <c r="AX98" s="124">
        <f t="shared" si="76"/>
        <v>0</v>
      </c>
      <c r="AY98" s="124">
        <f t="shared" si="62"/>
        <v>0</v>
      </c>
      <c r="AZ98" s="125">
        <f t="shared" si="63"/>
        <v>4.3049999999999997</v>
      </c>
      <c r="BA98" s="125">
        <f t="shared" si="64"/>
        <v>14.899999999999999</v>
      </c>
      <c r="BB98" s="125">
        <f t="shared" si="65"/>
        <v>20.9</v>
      </c>
      <c r="BC98" s="7">
        <v>14.438809523809519</v>
      </c>
      <c r="BD98" s="7">
        <v>20.679761904761897</v>
      </c>
      <c r="BE98" s="124"/>
      <c r="BF98" s="8">
        <f t="shared" si="66"/>
        <v>77</v>
      </c>
      <c r="BG98" s="21">
        <f t="shared" si="67"/>
        <v>15.5</v>
      </c>
      <c r="BH98" s="124">
        <f t="shared" si="68"/>
        <v>1</v>
      </c>
      <c r="BI98" s="124">
        <f t="shared" si="77"/>
        <v>1</v>
      </c>
      <c r="BJ98" s="144">
        <f t="shared" si="69"/>
        <v>1.0999999999999999</v>
      </c>
      <c r="BL98" s="99">
        <v>8</v>
      </c>
    </row>
    <row r="99" spans="1:64" ht="12.75" x14ac:dyDescent="0.2">
      <c r="A99" s="8">
        <f t="shared" si="33"/>
        <v>35</v>
      </c>
      <c r="B99" s="125">
        <f t="shared" si="34"/>
        <v>13.4</v>
      </c>
      <c r="C99" s="125">
        <f t="shared" si="35"/>
        <v>22.4</v>
      </c>
      <c r="D99" s="125">
        <f t="shared" si="70"/>
        <v>17.899999999999999</v>
      </c>
      <c r="E99" s="125">
        <f t="shared" si="36"/>
        <v>8.9999999999999982</v>
      </c>
      <c r="F99" s="7">
        <v>12.982142857142851</v>
      </c>
      <c r="G99" s="7">
        <v>22.32</v>
      </c>
      <c r="H99" s="7">
        <f t="shared" si="71"/>
        <v>17.651071428571427</v>
      </c>
      <c r="I99" s="7">
        <f t="shared" si="72"/>
        <v>9.3378571428571497</v>
      </c>
      <c r="K99" s="7">
        <f t="shared" si="37"/>
        <v>7.9000000000000021</v>
      </c>
      <c r="L99" s="7">
        <f t="shared" si="38"/>
        <v>17.649999999999999</v>
      </c>
      <c r="M99" s="370">
        <f t="shared" si="39"/>
        <v>5.0444444444444452</v>
      </c>
      <c r="N99" s="1">
        <f t="shared" si="40"/>
        <v>0</v>
      </c>
      <c r="O99" s="7">
        <f t="shared" si="41"/>
        <v>60.888888888888886</v>
      </c>
      <c r="P99" s="7">
        <f t="shared" si="42"/>
        <v>13.166666666666666</v>
      </c>
      <c r="Q99" s="7">
        <f t="shared" si="43"/>
        <v>21.655555555555551</v>
      </c>
      <c r="R99" s="7">
        <f t="shared" si="44"/>
        <v>17.477777777777778</v>
      </c>
      <c r="S99" s="7">
        <f t="shared" si="45"/>
        <v>8.4888888888888889</v>
      </c>
      <c r="T99" s="1">
        <v>40</v>
      </c>
      <c r="U99" s="333">
        <f t="shared" si="46"/>
        <v>1.5161290322580645</v>
      </c>
      <c r="V99" s="4">
        <v>9</v>
      </c>
      <c r="W99" s="7">
        <f t="shared" si="47"/>
        <v>2.4570000000000003</v>
      </c>
      <c r="X99" s="7">
        <f t="shared" si="48"/>
        <v>10.920000000000002</v>
      </c>
      <c r="Y99" s="8">
        <f t="shared" si="49"/>
        <v>9</v>
      </c>
      <c r="Z99" s="7">
        <f>IF(ISBLANK(Z12),NA(),SUM($Z$4:Z12))</f>
        <v>12.2</v>
      </c>
      <c r="AA99" s="7">
        <f t="shared" si="73"/>
        <v>13.64516129032258</v>
      </c>
      <c r="AB99" s="26">
        <f>IF(ISBLANK(Z12),"",SUM($Z$4:Z12))</f>
        <v>12.2</v>
      </c>
      <c r="AC99" s="115">
        <f t="shared" si="74"/>
        <v>0.89408983451536639</v>
      </c>
      <c r="AD99" s="8">
        <f t="shared" si="50"/>
        <v>1013</v>
      </c>
      <c r="AE99" s="610">
        <f t="shared" si="51"/>
        <v>1.1374418436820457</v>
      </c>
      <c r="AF99" s="524">
        <f t="shared" si="52"/>
        <v>0.25694444444444448</v>
      </c>
      <c r="AG99" s="22">
        <f>IF(ISBLANK(AP12),NA(),SUM($AP$4:AP12))</f>
        <v>62.5</v>
      </c>
      <c r="AH99" s="7">
        <f>SUM($AS$91:AS99)</f>
        <v>54.947864233374304</v>
      </c>
      <c r="AI99" s="115">
        <f t="shared" si="53"/>
        <v>1.1374418436820457</v>
      </c>
      <c r="AJ99" s="124">
        <f t="shared" si="54"/>
        <v>0</v>
      </c>
      <c r="AK99" s="8">
        <f t="shared" si="55"/>
        <v>1011.5</v>
      </c>
      <c r="AL99" s="124">
        <f t="shared" si="56"/>
        <v>0</v>
      </c>
      <c r="AM99" s="524">
        <f t="shared" si="57"/>
        <v>0.65972222222222221</v>
      </c>
      <c r="AN99" s="7">
        <f>I39/3</f>
        <v>3</v>
      </c>
      <c r="AO99" s="524">
        <f t="shared" si="58"/>
        <v>0.65972222222222221</v>
      </c>
      <c r="AP99" s="449" t="s">
        <v>209</v>
      </c>
      <c r="AQ99" s="448">
        <v>1.4E-2</v>
      </c>
      <c r="AR99" s="524">
        <f t="shared" si="59"/>
        <v>0.23958333333333334</v>
      </c>
      <c r="AS99" s="7">
        <f t="shared" si="60"/>
        <v>6.070514922382416</v>
      </c>
      <c r="AT99" s="7">
        <v>14.909537889544026</v>
      </c>
      <c r="AU99" s="4">
        <v>9</v>
      </c>
      <c r="AV99" s="127">
        <f t="shared" si="61"/>
        <v>1</v>
      </c>
      <c r="AW99" s="124">
        <f t="shared" si="75"/>
        <v>0</v>
      </c>
      <c r="AX99" s="124">
        <f t="shared" si="76"/>
        <v>0</v>
      </c>
      <c r="AY99" s="124">
        <f t="shared" si="62"/>
        <v>0</v>
      </c>
      <c r="AZ99" s="125">
        <f t="shared" si="63"/>
        <v>4.3049999999999997</v>
      </c>
      <c r="BA99" s="125">
        <f t="shared" si="64"/>
        <v>14.899999999999999</v>
      </c>
      <c r="BB99" s="125">
        <f t="shared" si="65"/>
        <v>20.9</v>
      </c>
      <c r="BC99" s="7">
        <v>14.538452380952375</v>
      </c>
      <c r="BD99" s="7">
        <v>20.763690476190465</v>
      </c>
      <c r="BE99" s="124"/>
      <c r="BF99" s="8">
        <f t="shared" si="66"/>
        <v>68</v>
      </c>
      <c r="BG99" s="21">
        <f t="shared" si="67"/>
        <v>17.3</v>
      </c>
      <c r="BH99" s="124">
        <f t="shared" si="68"/>
        <v>0</v>
      </c>
      <c r="BI99" s="124">
        <f t="shared" si="77"/>
        <v>0</v>
      </c>
      <c r="BJ99" s="144">
        <f t="shared" si="69"/>
        <v>0</v>
      </c>
      <c r="BL99" s="99">
        <v>9</v>
      </c>
    </row>
    <row r="100" spans="1:64" ht="12.75" x14ac:dyDescent="0.2">
      <c r="A100" s="8">
        <f t="shared" si="33"/>
        <v>39</v>
      </c>
      <c r="B100" s="125">
        <f t="shared" si="34"/>
        <v>13.4</v>
      </c>
      <c r="C100" s="125">
        <f t="shared" si="35"/>
        <v>22.4</v>
      </c>
      <c r="D100" s="125">
        <f t="shared" si="70"/>
        <v>17.899999999999999</v>
      </c>
      <c r="E100" s="125">
        <f t="shared" si="36"/>
        <v>8.9999999999999982</v>
      </c>
      <c r="F100" s="7">
        <v>13.085714285714278</v>
      </c>
      <c r="G100" s="7">
        <v>22.4</v>
      </c>
      <c r="H100" s="7">
        <f t="shared" si="71"/>
        <v>17.74285714285714</v>
      </c>
      <c r="I100" s="7">
        <f t="shared" si="72"/>
        <v>9.3142857142857203</v>
      </c>
      <c r="K100" s="7">
        <f t="shared" si="37"/>
        <v>8.8999999999999986</v>
      </c>
      <c r="L100" s="7">
        <f t="shared" si="38"/>
        <v>17.45</v>
      </c>
      <c r="M100" s="370">
        <f t="shared" si="39"/>
        <v>4.910000000000001</v>
      </c>
      <c r="N100" s="1">
        <f t="shared" si="40"/>
        <v>0.6333333333333333</v>
      </c>
      <c r="O100" s="7">
        <f t="shared" si="41"/>
        <v>61.7</v>
      </c>
      <c r="P100" s="7">
        <f t="shared" si="42"/>
        <v>13.15</v>
      </c>
      <c r="Q100" s="7">
        <f t="shared" si="43"/>
        <v>21.68</v>
      </c>
      <c r="R100" s="7">
        <f t="shared" si="44"/>
        <v>17.48</v>
      </c>
      <c r="S100" s="7">
        <f t="shared" si="45"/>
        <v>8.5300000000000011</v>
      </c>
      <c r="T100" s="1">
        <v>41</v>
      </c>
      <c r="U100" s="333">
        <f t="shared" si="46"/>
        <v>1.5161290322580645</v>
      </c>
      <c r="V100" s="4">
        <v>10</v>
      </c>
      <c r="W100" s="7">
        <f t="shared" si="47"/>
        <v>2.7300000000000004</v>
      </c>
      <c r="X100" s="7">
        <f t="shared" si="48"/>
        <v>11.193000000000001</v>
      </c>
      <c r="Y100" s="8">
        <f t="shared" si="49"/>
        <v>2</v>
      </c>
      <c r="Z100" s="7">
        <f>IF(ISBLANK(Z13),NA(),SUM($Z$4:Z13))</f>
        <v>14.1</v>
      </c>
      <c r="AA100" s="7">
        <f t="shared" si="73"/>
        <v>15.161290322580644</v>
      </c>
      <c r="AB100" s="26">
        <f>IF(ISBLANK(Z13),"",SUM($Z$4:Z13))</f>
        <v>14.1</v>
      </c>
      <c r="AC100" s="115">
        <f t="shared" si="74"/>
        <v>0.93</v>
      </c>
      <c r="AD100" s="8">
        <f t="shared" si="50"/>
        <v>1013.5</v>
      </c>
      <c r="AE100" s="610">
        <f t="shared" si="51"/>
        <v>1.0818279665865658</v>
      </c>
      <c r="AF100" s="524">
        <f t="shared" si="52"/>
        <v>0.2673611111111111</v>
      </c>
      <c r="AG100" s="22">
        <f>IF(ISBLANK(AP13),NA(),SUM($AP$4:AP13))</f>
        <v>66</v>
      </c>
      <c r="AH100" s="7">
        <f>SUM($AS$91:AS100)</f>
        <v>61.007851560952233</v>
      </c>
      <c r="AI100" s="115">
        <f t="shared" si="53"/>
        <v>1.0818279665865658</v>
      </c>
      <c r="AJ100" s="124">
        <f t="shared" si="54"/>
        <v>1</v>
      </c>
      <c r="AK100" s="8">
        <f t="shared" si="55"/>
        <v>1018</v>
      </c>
      <c r="AL100" s="124">
        <f t="shared" si="56"/>
        <v>1</v>
      </c>
      <c r="AM100" s="524">
        <f t="shared" si="57"/>
        <v>0.77083333333333337</v>
      </c>
      <c r="AN100" s="150">
        <f>COUNTIF(E48:E66,"&lt;-0.5")</f>
        <v>6</v>
      </c>
      <c r="AO100" s="524">
        <f t="shared" si="58"/>
        <v>0.71875</v>
      </c>
      <c r="AP100" s="449" t="s">
        <v>111</v>
      </c>
      <c r="AQ100" s="448">
        <v>6.6000000000000003E-2</v>
      </c>
      <c r="AR100" s="524">
        <f t="shared" si="59"/>
        <v>0.21875</v>
      </c>
      <c r="AS100" s="7">
        <f t="shared" si="60"/>
        <v>6.0599873275779315</v>
      </c>
      <c r="AT100" s="7">
        <v>14.88368150410883</v>
      </c>
      <c r="AU100" s="4">
        <v>10</v>
      </c>
      <c r="AV100" s="127">
        <f t="shared" si="61"/>
        <v>0</v>
      </c>
      <c r="AW100" s="124">
        <f t="shared" si="75"/>
        <v>0</v>
      </c>
      <c r="AX100" s="124">
        <f t="shared" si="76"/>
        <v>0</v>
      </c>
      <c r="AY100" s="124">
        <f t="shared" si="62"/>
        <v>1</v>
      </c>
      <c r="AZ100" s="125">
        <f t="shared" si="63"/>
        <v>4.3049999999999997</v>
      </c>
      <c r="BA100" s="125">
        <f t="shared" si="64"/>
        <v>14.899999999999999</v>
      </c>
      <c r="BB100" s="125">
        <f t="shared" si="65"/>
        <v>20.9</v>
      </c>
      <c r="BC100" s="7">
        <v>14.638095238095234</v>
      </c>
      <c r="BD100" s="7">
        <v>20.847619047619048</v>
      </c>
      <c r="BE100" s="124"/>
      <c r="BF100" s="8">
        <f t="shared" si="66"/>
        <v>69</v>
      </c>
      <c r="BG100" s="21">
        <f t="shared" si="67"/>
        <v>17.5</v>
      </c>
      <c r="BH100" s="124">
        <f t="shared" si="68"/>
        <v>0</v>
      </c>
      <c r="BI100" s="124">
        <f t="shared" si="77"/>
        <v>1</v>
      </c>
      <c r="BJ100" s="144">
        <f t="shared" si="69"/>
        <v>0.6333333333333333</v>
      </c>
      <c r="BL100" s="99">
        <v>10</v>
      </c>
    </row>
    <row r="101" spans="1:64" ht="12.75" x14ac:dyDescent="0.2">
      <c r="A101" s="8">
        <f t="shared" si="33"/>
        <v>52</v>
      </c>
      <c r="B101" s="125">
        <f t="shared" si="34"/>
        <v>13.4</v>
      </c>
      <c r="C101" s="125">
        <f t="shared" si="35"/>
        <v>22.4</v>
      </c>
      <c r="D101" s="125">
        <f t="shared" si="70"/>
        <v>17.899999999999999</v>
      </c>
      <c r="E101" s="125">
        <f t="shared" si="36"/>
        <v>8.9999999999999982</v>
      </c>
      <c r="F101" s="7">
        <v>13.189285714285706</v>
      </c>
      <c r="G101" s="7">
        <v>22.44</v>
      </c>
      <c r="H101" s="7">
        <f t="shared" si="71"/>
        <v>17.814642857142854</v>
      </c>
      <c r="I101" s="7">
        <f t="shared" si="72"/>
        <v>9.2507142857142952</v>
      </c>
      <c r="K101" s="7">
        <f t="shared" si="37"/>
        <v>11.5</v>
      </c>
      <c r="L101" s="7">
        <f t="shared" si="38"/>
        <v>17.95</v>
      </c>
      <c r="M101" s="370">
        <f t="shared" si="39"/>
        <v>4.6636363636363649</v>
      </c>
      <c r="N101" s="1">
        <f t="shared" si="40"/>
        <v>0</v>
      </c>
      <c r="O101" s="7">
        <f t="shared" si="41"/>
        <v>61.909090909090907</v>
      </c>
      <c r="P101" s="7">
        <f t="shared" si="42"/>
        <v>13.063636363636363</v>
      </c>
      <c r="Q101" s="7">
        <f t="shared" si="43"/>
        <v>21.86363636363636</v>
      </c>
      <c r="R101" s="7">
        <f t="shared" si="44"/>
        <v>17.59090909090909</v>
      </c>
      <c r="S101" s="7">
        <f t="shared" si="45"/>
        <v>8.8000000000000007</v>
      </c>
      <c r="T101" s="1">
        <v>42</v>
      </c>
      <c r="U101" s="333">
        <f t="shared" si="46"/>
        <v>1.5161290322580645</v>
      </c>
      <c r="V101" s="4">
        <v>11</v>
      </c>
      <c r="W101" s="7">
        <f t="shared" si="47"/>
        <v>3.0030000000000001</v>
      </c>
      <c r="X101" s="7">
        <f t="shared" si="48"/>
        <v>11.466000000000001</v>
      </c>
      <c r="Y101" s="8">
        <f t="shared" si="49"/>
        <v>2</v>
      </c>
      <c r="Z101" s="7">
        <f>IF(ISBLANK(Z14),NA(),SUM($Z$4:Z14))</f>
        <v>14.1</v>
      </c>
      <c r="AA101" s="7">
        <f t="shared" si="73"/>
        <v>16.677419354838708</v>
      </c>
      <c r="AB101" s="26">
        <f>IF(ISBLANK(Z14),"",SUM($Z$4:Z14))</f>
        <v>14.1</v>
      </c>
      <c r="AC101" s="115">
        <f t="shared" si="74"/>
        <v>0.84545454545454546</v>
      </c>
      <c r="AD101" s="8">
        <f t="shared" si="50"/>
        <v>1014</v>
      </c>
      <c r="AE101" s="610">
        <f t="shared" si="51"/>
        <v>1.1184550092653673</v>
      </c>
      <c r="AF101" s="524">
        <f t="shared" si="52"/>
        <v>0.26041666666666669</v>
      </c>
      <c r="AG101" s="22">
        <f>IF(ISBLANK(AP14),NA(),SUM($AP$4:AP14))</f>
        <v>75</v>
      </c>
      <c r="AH101" s="7">
        <f>SUM($AS$91:AS101)</f>
        <v>67.056787603161709</v>
      </c>
      <c r="AI101" s="115">
        <f t="shared" si="53"/>
        <v>1.1184550092653673</v>
      </c>
      <c r="AJ101" s="124">
        <f t="shared" si="54"/>
        <v>0</v>
      </c>
      <c r="AK101" s="8">
        <f t="shared" si="55"/>
        <v>1019</v>
      </c>
      <c r="AL101" s="124">
        <f t="shared" si="56"/>
        <v>0</v>
      </c>
      <c r="AM101" s="524">
        <f t="shared" si="57"/>
        <v>0.69097222222222221</v>
      </c>
      <c r="AN101" s="124">
        <f>COUNTIF(AU50:AU60, "&gt;0.5")</f>
        <v>4</v>
      </c>
      <c r="AO101" s="524">
        <f t="shared" si="58"/>
        <v>0.69791666666666663</v>
      </c>
      <c r="AP101" s="449" t="s">
        <v>210</v>
      </c>
      <c r="AQ101" s="450">
        <v>0.13400000000000001</v>
      </c>
      <c r="AR101" s="524">
        <f t="shared" si="59"/>
        <v>0.23611111111111113</v>
      </c>
      <c r="AS101" s="7">
        <f t="shared" si="60"/>
        <v>6.0489360422094709</v>
      </c>
      <c r="AT101" s="7">
        <v>14.856538904175222</v>
      </c>
      <c r="AU101" s="4">
        <v>11</v>
      </c>
      <c r="AV101" s="127">
        <f t="shared" si="61"/>
        <v>1</v>
      </c>
      <c r="AW101" s="124">
        <f t="shared" si="75"/>
        <v>0</v>
      </c>
      <c r="AX101" s="124">
        <f t="shared" si="76"/>
        <v>0</v>
      </c>
      <c r="AY101" s="124">
        <f t="shared" si="62"/>
        <v>1</v>
      </c>
      <c r="AZ101" s="125">
        <f t="shared" si="63"/>
        <v>4.3049999999999997</v>
      </c>
      <c r="BA101" s="125">
        <f t="shared" si="64"/>
        <v>14.899999999999999</v>
      </c>
      <c r="BB101" s="125">
        <f t="shared" si="65"/>
        <v>20.9</v>
      </c>
      <c r="BC101" s="7">
        <v>14.73107142857142</v>
      </c>
      <c r="BD101" s="7">
        <v>20.898214285714282</v>
      </c>
      <c r="BE101" s="124"/>
      <c r="BF101" s="8">
        <f t="shared" si="66"/>
        <v>64</v>
      </c>
      <c r="BG101" s="21">
        <f t="shared" si="67"/>
        <v>18.7</v>
      </c>
      <c r="BH101" s="124">
        <f t="shared" si="68"/>
        <v>0</v>
      </c>
      <c r="BI101" s="124">
        <f t="shared" si="77"/>
        <v>0</v>
      </c>
      <c r="BJ101" s="144">
        <f t="shared" si="69"/>
        <v>0</v>
      </c>
      <c r="BL101" s="99">
        <v>11</v>
      </c>
    </row>
    <row r="102" spans="1:64" ht="12.75" x14ac:dyDescent="0.2">
      <c r="A102" s="8">
        <f t="shared" si="33"/>
        <v>21</v>
      </c>
      <c r="B102" s="125">
        <f t="shared" si="34"/>
        <v>13.4</v>
      </c>
      <c r="C102" s="125">
        <f t="shared" si="35"/>
        <v>22.4</v>
      </c>
      <c r="D102" s="125">
        <f t="shared" si="70"/>
        <v>17.899999999999999</v>
      </c>
      <c r="E102" s="125">
        <f t="shared" si="36"/>
        <v>8.9999999999999982</v>
      </c>
      <c r="F102" s="7">
        <v>13.292857142857134</v>
      </c>
      <c r="G102" s="7">
        <v>22.48</v>
      </c>
      <c r="H102" s="7">
        <f t="shared" si="71"/>
        <v>17.886428571428567</v>
      </c>
      <c r="I102" s="7">
        <f t="shared" si="72"/>
        <v>9.1871428571428666</v>
      </c>
      <c r="K102" s="7">
        <f t="shared" si="37"/>
        <v>4.5</v>
      </c>
      <c r="L102" s="7">
        <f t="shared" si="38"/>
        <v>16.55</v>
      </c>
      <c r="M102" s="370">
        <f t="shared" si="39"/>
        <v>4.7083333333333348</v>
      </c>
      <c r="N102" s="1">
        <f t="shared" si="40"/>
        <v>0</v>
      </c>
      <c r="O102" s="7">
        <f t="shared" si="41"/>
        <v>62.5</v>
      </c>
      <c r="P102" s="7">
        <f t="shared" si="42"/>
        <v>13.166666666666666</v>
      </c>
      <c r="Q102" s="7">
        <f t="shared" si="43"/>
        <v>21.608333333333331</v>
      </c>
      <c r="R102" s="7">
        <f t="shared" si="44"/>
        <v>17.516666666666666</v>
      </c>
      <c r="S102" s="7">
        <f t="shared" si="45"/>
        <v>8.4416666666666682</v>
      </c>
      <c r="T102" s="1">
        <v>43</v>
      </c>
      <c r="U102" s="333">
        <f t="shared" si="46"/>
        <v>1.5161290322580645</v>
      </c>
      <c r="V102" s="4">
        <v>12</v>
      </c>
      <c r="W102" s="7">
        <f t="shared" si="47"/>
        <v>3.2760000000000002</v>
      </c>
      <c r="X102" s="7">
        <f t="shared" si="48"/>
        <v>11.739000000000001</v>
      </c>
      <c r="Y102" s="8">
        <f t="shared" si="49"/>
        <v>3</v>
      </c>
      <c r="Z102" s="7">
        <f>IF(ISBLANK(Z15),NA(),SUM($Z$4:Z15))</f>
        <v>14.1</v>
      </c>
      <c r="AA102" s="7">
        <f t="shared" si="73"/>
        <v>18.193548387096776</v>
      </c>
      <c r="AB102" s="26">
        <f>IF(ISBLANK(Z15),"",SUM($Z$4:Z15))</f>
        <v>14.1</v>
      </c>
      <c r="AC102" s="115">
        <f t="shared" si="74"/>
        <v>0.77499999999999991</v>
      </c>
      <c r="AD102" s="8">
        <f t="shared" si="50"/>
        <v>1014.375</v>
      </c>
      <c r="AE102" s="610">
        <f t="shared" si="51"/>
        <v>1.0356504779732778</v>
      </c>
      <c r="AF102" s="524">
        <f t="shared" si="52"/>
        <v>0.3298611111111111</v>
      </c>
      <c r="AG102" s="22">
        <f>IF(ISBLANK(AP15),NA(),SUM($AP$4:AP15))</f>
        <v>75.7</v>
      </c>
      <c r="AH102" s="7">
        <f>SUM($AS$91:AS102)</f>
        <v>73.094158318877575</v>
      </c>
      <c r="AI102" s="115">
        <f t="shared" si="53"/>
        <v>1.0356504779732778</v>
      </c>
      <c r="AJ102" s="124">
        <f t="shared" si="54"/>
        <v>0</v>
      </c>
      <c r="AK102" s="8">
        <f t="shared" si="55"/>
        <v>1018.5</v>
      </c>
      <c r="AL102" s="124">
        <f t="shared" si="56"/>
        <v>0</v>
      </c>
      <c r="AM102" s="524">
        <f t="shared" si="57"/>
        <v>0.625</v>
      </c>
      <c r="AN102" s="141">
        <f t="array" ref="AN102">MAX(FREQUENCY(IF(AJ91:AJ121=1,ROW(91:121)),IF(AJ91:AJ121&lt;&gt;1,ROW(91:121))))</f>
        <v>8</v>
      </c>
      <c r="AO102" s="524">
        <f t="shared" si="58"/>
        <v>0.64583333333333337</v>
      </c>
      <c r="AP102" s="451" t="s">
        <v>110</v>
      </c>
      <c r="AQ102" s="450">
        <v>0.104</v>
      </c>
      <c r="AR102" s="524">
        <f t="shared" si="59"/>
        <v>0.30208333333333331</v>
      </c>
      <c r="AS102" s="7">
        <f t="shared" si="60"/>
        <v>6.0373707157158618</v>
      </c>
      <c r="AT102" s="7">
        <v>14.828133789326458</v>
      </c>
      <c r="AU102" s="4">
        <v>12</v>
      </c>
      <c r="AV102" s="127">
        <f t="shared" si="61"/>
        <v>0</v>
      </c>
      <c r="AW102" s="124">
        <f t="shared" si="75"/>
        <v>0</v>
      </c>
      <c r="AX102" s="124">
        <f t="shared" si="76"/>
        <v>0</v>
      </c>
      <c r="AY102" s="124">
        <f t="shared" si="62"/>
        <v>1</v>
      </c>
      <c r="AZ102" s="125">
        <f t="shared" si="63"/>
        <v>4.3049999999999997</v>
      </c>
      <c r="BA102" s="125">
        <f t="shared" si="64"/>
        <v>14.899999999999999</v>
      </c>
      <c r="BB102" s="125">
        <f t="shared" si="65"/>
        <v>20.9</v>
      </c>
      <c r="BC102" s="7">
        <v>14.824047619047613</v>
      </c>
      <c r="BD102" s="7">
        <v>20.948809523809523</v>
      </c>
      <c r="BE102" s="124"/>
      <c r="BF102" s="8">
        <f t="shared" si="66"/>
        <v>69</v>
      </c>
      <c r="BG102" s="21">
        <f t="shared" si="67"/>
        <v>16.7</v>
      </c>
      <c r="BH102" s="124">
        <f t="shared" si="68"/>
        <v>0</v>
      </c>
      <c r="BI102" s="124">
        <f t="shared" si="77"/>
        <v>0</v>
      </c>
      <c r="BJ102" s="144">
        <f t="shared" si="69"/>
        <v>0</v>
      </c>
      <c r="BL102" s="99">
        <v>12</v>
      </c>
    </row>
    <row r="103" spans="1:64" ht="12.75" x14ac:dyDescent="0.2">
      <c r="A103" s="8">
        <f t="shared" si="33"/>
        <v>31</v>
      </c>
      <c r="B103" s="125">
        <f t="shared" si="34"/>
        <v>13.4</v>
      </c>
      <c r="C103" s="125">
        <f t="shared" si="35"/>
        <v>22.4</v>
      </c>
      <c r="D103" s="125">
        <f t="shared" si="70"/>
        <v>17.899999999999999</v>
      </c>
      <c r="E103" s="125">
        <f t="shared" si="36"/>
        <v>8.9999999999999982</v>
      </c>
      <c r="F103" s="7">
        <v>13.396428571428562</v>
      </c>
      <c r="G103" s="7">
        <v>22.5</v>
      </c>
      <c r="H103" s="7">
        <f t="shared" si="71"/>
        <v>17.948214285714279</v>
      </c>
      <c r="I103" s="7">
        <f t="shared" si="72"/>
        <v>9.1035714285714384</v>
      </c>
      <c r="K103" s="7">
        <f t="shared" si="37"/>
        <v>5</v>
      </c>
      <c r="L103" s="7">
        <f t="shared" si="38"/>
        <v>14.7</v>
      </c>
      <c r="M103" s="370">
        <f t="shared" si="39"/>
        <v>4.6769230769230781</v>
      </c>
      <c r="N103" s="1">
        <f t="shared" si="40"/>
        <v>0</v>
      </c>
      <c r="O103" s="7">
        <f t="shared" si="41"/>
        <v>62.692307692307693</v>
      </c>
      <c r="P103" s="7">
        <f t="shared" si="42"/>
        <v>13.092307692307692</v>
      </c>
      <c r="Q103" s="7">
        <f t="shared" si="43"/>
        <v>21.269230769230766</v>
      </c>
      <c r="R103" s="7">
        <f t="shared" si="44"/>
        <v>17.292307692307691</v>
      </c>
      <c r="S103" s="7">
        <f t="shared" si="45"/>
        <v>8.1769230769230781</v>
      </c>
      <c r="T103" s="1">
        <v>44</v>
      </c>
      <c r="U103" s="333">
        <f t="shared" si="46"/>
        <v>1.5161290322580645</v>
      </c>
      <c r="V103" s="4">
        <v>13</v>
      </c>
      <c r="W103" s="7">
        <f t="shared" si="47"/>
        <v>3.5490000000000004</v>
      </c>
      <c r="X103" s="7">
        <f t="shared" si="48"/>
        <v>12.012</v>
      </c>
      <c r="Y103" s="8">
        <f t="shared" si="49"/>
        <v>2</v>
      </c>
      <c r="Z103" s="7">
        <f>IF(ISBLANK(Z16),NA(),SUM($Z$4:Z16))</f>
        <v>14.1</v>
      </c>
      <c r="AA103" s="7">
        <f t="shared" si="73"/>
        <v>19.70967741935484</v>
      </c>
      <c r="AB103" s="26">
        <f>IF(ISBLANK(Z16),"",SUM($Z$4:Z16))</f>
        <v>14.1</v>
      </c>
      <c r="AC103" s="115">
        <f t="shared" si="74"/>
        <v>0.71538461538461529</v>
      </c>
      <c r="AD103" s="8">
        <f t="shared" si="50"/>
        <v>1014.7307692307693</v>
      </c>
      <c r="AE103" s="610">
        <f t="shared" si="51"/>
        <v>0.9694201704678258</v>
      </c>
      <c r="AF103" s="524">
        <f t="shared" si="52"/>
        <v>0.25694444444444448</v>
      </c>
      <c r="AG103" s="22">
        <f>IF(ISBLANK(AP16),NA(),SUM($AP$4:AP16))</f>
        <v>76.7</v>
      </c>
      <c r="AH103" s="7">
        <f>SUM($AS$91:AS103)</f>
        <v>79.119459586843419</v>
      </c>
      <c r="AI103" s="115">
        <f t="shared" si="53"/>
        <v>0.9694201704678258</v>
      </c>
      <c r="AJ103" s="124">
        <f t="shared" si="54"/>
        <v>0</v>
      </c>
      <c r="AK103" s="8">
        <f t="shared" si="55"/>
        <v>1019</v>
      </c>
      <c r="AL103" s="124">
        <f t="shared" si="56"/>
        <v>0</v>
      </c>
      <c r="AM103" s="524">
        <f t="shared" si="57"/>
        <v>0.67361111111111116</v>
      </c>
      <c r="AN103" s="7">
        <f>I39/-3</f>
        <v>-3</v>
      </c>
      <c r="AO103" s="524">
        <f t="shared" si="58"/>
        <v>0.53125</v>
      </c>
      <c r="AP103" s="451" t="s">
        <v>211</v>
      </c>
      <c r="AQ103" s="450">
        <v>6.6000000000000003E-2</v>
      </c>
      <c r="AR103" s="524">
        <f t="shared" si="59"/>
        <v>0.23611111111111113</v>
      </c>
      <c r="AS103" s="7">
        <f t="shared" si="60"/>
        <v>6.025301267965844</v>
      </c>
      <c r="AT103" s="7">
        <v>14.798490523337394</v>
      </c>
      <c r="AU103" s="4">
        <v>13</v>
      </c>
      <c r="AV103" s="127">
        <f t="shared" si="61"/>
        <v>0</v>
      </c>
      <c r="AW103" s="124">
        <f t="shared" si="75"/>
        <v>1</v>
      </c>
      <c r="AX103" s="124">
        <f t="shared" si="76"/>
        <v>0</v>
      </c>
      <c r="AY103" s="124">
        <f t="shared" si="62"/>
        <v>1</v>
      </c>
      <c r="AZ103" s="125">
        <f t="shared" si="63"/>
        <v>4.3049999999999997</v>
      </c>
      <c r="BA103" s="125">
        <f t="shared" si="64"/>
        <v>14.899999999999999</v>
      </c>
      <c r="BB103" s="125">
        <f t="shared" si="65"/>
        <v>20.9</v>
      </c>
      <c r="BC103" s="7">
        <v>14.913690476190466</v>
      </c>
      <c r="BD103" s="7">
        <v>20.982738095238091</v>
      </c>
      <c r="BE103" s="124"/>
      <c r="BF103" s="8">
        <f t="shared" si="66"/>
        <v>65</v>
      </c>
      <c r="BG103" s="21">
        <f t="shared" si="67"/>
        <v>14.6</v>
      </c>
      <c r="BH103" s="124">
        <f t="shared" si="68"/>
        <v>0</v>
      </c>
      <c r="BI103" s="124">
        <f t="shared" si="77"/>
        <v>0</v>
      </c>
      <c r="BJ103" s="144">
        <f t="shared" si="69"/>
        <v>0</v>
      </c>
      <c r="BL103" s="99">
        <v>13</v>
      </c>
    </row>
    <row r="104" spans="1:64" ht="12.75" x14ac:dyDescent="0.2">
      <c r="A104" s="8">
        <f t="shared" si="33"/>
        <v>38</v>
      </c>
      <c r="B104" s="125">
        <f t="shared" si="34"/>
        <v>13.4</v>
      </c>
      <c r="C104" s="125">
        <f t="shared" si="35"/>
        <v>22.4</v>
      </c>
      <c r="D104" s="125">
        <f t="shared" si="70"/>
        <v>17.899999999999999</v>
      </c>
      <c r="E104" s="125">
        <f t="shared" si="36"/>
        <v>8.9999999999999982</v>
      </c>
      <c r="F104" s="7">
        <v>13.5</v>
      </c>
      <c r="G104" s="7">
        <v>22.52</v>
      </c>
      <c r="H104" s="7">
        <f t="shared" si="71"/>
        <v>18.009999999999998</v>
      </c>
      <c r="I104" s="7">
        <f t="shared" si="72"/>
        <v>9.02</v>
      </c>
      <c r="K104" s="7">
        <f t="shared" si="37"/>
        <v>11</v>
      </c>
      <c r="L104" s="7">
        <f t="shared" si="38"/>
        <v>17.2</v>
      </c>
      <c r="M104" s="370">
        <f t="shared" si="39"/>
        <v>4.6000000000000005</v>
      </c>
      <c r="N104" s="1">
        <f t="shared" si="40"/>
        <v>0</v>
      </c>
      <c r="O104" s="7">
        <f t="shared" si="41"/>
        <v>62.214285714285715</v>
      </c>
      <c r="P104" s="7">
        <f t="shared" si="42"/>
        <v>12.992857142857142</v>
      </c>
      <c r="Q104" s="7">
        <f t="shared" si="43"/>
        <v>21.371428571428567</v>
      </c>
      <c r="R104" s="7">
        <f t="shared" si="44"/>
        <v>17.257142857142856</v>
      </c>
      <c r="S104" s="7">
        <f t="shared" si="45"/>
        <v>8.3785714285714299</v>
      </c>
      <c r="T104" s="1">
        <v>45</v>
      </c>
      <c r="U104" s="333">
        <f t="shared" si="46"/>
        <v>1.5161290322580645</v>
      </c>
      <c r="V104" s="4">
        <v>14</v>
      </c>
      <c r="W104" s="7">
        <f t="shared" si="47"/>
        <v>3.8220000000000001</v>
      </c>
      <c r="X104" s="7">
        <f t="shared" si="48"/>
        <v>12.285</v>
      </c>
      <c r="Y104" s="8">
        <f t="shared" si="49"/>
        <v>3</v>
      </c>
      <c r="Z104" s="7">
        <f>IF(ISBLANK(Z17),NA(),SUM($Z$4:Z17))</f>
        <v>14.1</v>
      </c>
      <c r="AA104" s="7">
        <f t="shared" si="73"/>
        <v>21.225806451612904</v>
      </c>
      <c r="AB104" s="26">
        <f>IF(ISBLANK(Z17),"",SUM($Z$4:Z17))</f>
        <v>14.1</v>
      </c>
      <c r="AC104" s="115">
        <f t="shared" si="74"/>
        <v>0.66428571428571426</v>
      </c>
      <c r="AD104" s="8">
        <f t="shared" si="50"/>
        <v>1015</v>
      </c>
      <c r="AE104" s="610">
        <f t="shared" si="51"/>
        <v>0.94206425306696395</v>
      </c>
      <c r="AF104" s="524">
        <f t="shared" si="52"/>
        <v>0.3263888888888889</v>
      </c>
      <c r="AG104" s="22">
        <f>IF(ISBLANK(AP17),NA(),SUM($AP$4:AP17))</f>
        <v>80.2</v>
      </c>
      <c r="AH104" s="7">
        <f>SUM($AS$91:AS104)</f>
        <v>85.132197447151427</v>
      </c>
      <c r="AI104" s="115">
        <f t="shared" si="53"/>
        <v>0.94206425306696395</v>
      </c>
      <c r="AJ104" s="124">
        <f t="shared" si="54"/>
        <v>0</v>
      </c>
      <c r="AK104" s="8">
        <f t="shared" si="55"/>
        <v>1018.5</v>
      </c>
      <c r="AL104" s="124">
        <f t="shared" si="56"/>
        <v>0</v>
      </c>
      <c r="AM104" s="524">
        <f t="shared" si="57"/>
        <v>0.70138888888888884</v>
      </c>
      <c r="AN104" s="25">
        <f>AP39/E34</f>
        <v>5.967741935483871</v>
      </c>
      <c r="AO104" s="524">
        <f t="shared" si="58"/>
        <v>0.73958333333333337</v>
      </c>
      <c r="AP104" s="451" t="s">
        <v>114</v>
      </c>
      <c r="AQ104" s="452">
        <v>4.2999999999999997E-2</v>
      </c>
      <c r="AR104" s="524">
        <f t="shared" si="59"/>
        <v>0.26041666666666669</v>
      </c>
      <c r="AS104" s="7">
        <f t="shared" si="60"/>
        <v>6.0127378603080057</v>
      </c>
      <c r="AT104" s="7">
        <v>14.767634063071446</v>
      </c>
      <c r="AU104" s="4">
        <v>14</v>
      </c>
      <c r="AV104" s="127">
        <f t="shared" si="61"/>
        <v>0</v>
      </c>
      <c r="AW104" s="124">
        <f t="shared" si="75"/>
        <v>0</v>
      </c>
      <c r="AX104" s="124">
        <f t="shared" si="76"/>
        <v>0</v>
      </c>
      <c r="AY104" s="124">
        <f t="shared" si="62"/>
        <v>1</v>
      </c>
      <c r="AZ104" s="125">
        <f t="shared" si="63"/>
        <v>4.3049999999999997</v>
      </c>
      <c r="BA104" s="125">
        <f t="shared" si="64"/>
        <v>14.899999999999999</v>
      </c>
      <c r="BB104" s="125">
        <f t="shared" si="65"/>
        <v>20.9</v>
      </c>
      <c r="BC104" s="7">
        <v>15.003333333333332</v>
      </c>
      <c r="BD104" s="7">
        <v>21.016666666666666</v>
      </c>
      <c r="BE104" s="124"/>
      <c r="BF104" s="8">
        <f t="shared" si="66"/>
        <v>56</v>
      </c>
      <c r="BG104" s="21">
        <f t="shared" si="67"/>
        <v>16.8</v>
      </c>
      <c r="BH104" s="124">
        <f t="shared" si="68"/>
        <v>0</v>
      </c>
      <c r="BI104" s="124">
        <f t="shared" si="77"/>
        <v>0</v>
      </c>
      <c r="BJ104" s="144">
        <f t="shared" si="69"/>
        <v>0</v>
      </c>
      <c r="BL104" s="99">
        <v>14</v>
      </c>
    </row>
    <row r="105" spans="1:64" ht="12.75" x14ac:dyDescent="0.2">
      <c r="A105" s="8">
        <f t="shared" si="33"/>
        <v>44</v>
      </c>
      <c r="B105" s="125">
        <f t="shared" si="34"/>
        <v>13.4</v>
      </c>
      <c r="C105" s="125">
        <f t="shared" si="35"/>
        <v>22.4</v>
      </c>
      <c r="D105" s="125">
        <f t="shared" si="70"/>
        <v>17.899999999999999</v>
      </c>
      <c r="E105" s="125">
        <f t="shared" si="36"/>
        <v>8.9999999999999982</v>
      </c>
      <c r="F105" s="7">
        <v>13.55</v>
      </c>
      <c r="G105" s="7">
        <v>22.54</v>
      </c>
      <c r="H105" s="7">
        <f t="shared" si="71"/>
        <v>18.045000000000002</v>
      </c>
      <c r="I105" s="7">
        <f t="shared" si="72"/>
        <v>8.9899999999999984</v>
      </c>
      <c r="K105" s="7">
        <f t="shared" si="37"/>
        <v>12.2</v>
      </c>
      <c r="L105" s="7">
        <f t="shared" si="38"/>
        <v>17.899999999999999</v>
      </c>
      <c r="M105" s="370">
        <f t="shared" si="39"/>
        <v>4.6266666666666669</v>
      </c>
      <c r="N105" s="1">
        <f t="shared" si="40"/>
        <v>0</v>
      </c>
      <c r="O105" s="7">
        <f t="shared" si="41"/>
        <v>61.666666666666664</v>
      </c>
      <c r="P105" s="7">
        <f t="shared" si="42"/>
        <v>12.913333333333332</v>
      </c>
      <c r="Q105" s="7">
        <f t="shared" si="43"/>
        <v>21.546666666666663</v>
      </c>
      <c r="R105" s="7">
        <f t="shared" si="44"/>
        <v>17.353333333333335</v>
      </c>
      <c r="S105" s="7">
        <f t="shared" si="45"/>
        <v>8.6333333333333329</v>
      </c>
      <c r="T105" s="1">
        <v>46</v>
      </c>
      <c r="U105" s="333">
        <f t="shared" si="46"/>
        <v>1.5161290322580645</v>
      </c>
      <c r="V105" s="4">
        <v>15</v>
      </c>
      <c r="W105" s="7">
        <f t="shared" si="47"/>
        <v>4.0950000000000006</v>
      </c>
      <c r="X105" s="7">
        <f t="shared" si="48"/>
        <v>12.558000000000002</v>
      </c>
      <c r="Y105" s="8">
        <f t="shared" si="49"/>
        <v>6</v>
      </c>
      <c r="Z105" s="7">
        <f>IF(ISBLANK(Z18),NA(),SUM($Z$4:Z18))</f>
        <v>14.1</v>
      </c>
      <c r="AA105" s="7">
        <f t="shared" si="73"/>
        <v>22.741935483870968</v>
      </c>
      <c r="AB105" s="26">
        <f>IF(ISBLANK(Z18),"",SUM($Z$4:Z18))</f>
        <v>14.1</v>
      </c>
      <c r="AC105" s="115">
        <f t="shared" si="74"/>
        <v>0.62</v>
      </c>
      <c r="AD105" s="8">
        <f t="shared" si="50"/>
        <v>1015</v>
      </c>
      <c r="AE105" s="610">
        <f t="shared" si="51"/>
        <v>0.978801182003741</v>
      </c>
      <c r="AF105" s="524">
        <f t="shared" si="52"/>
        <v>0.27777777777777779</v>
      </c>
      <c r="AG105" s="22">
        <f>IF(ISBLANK(AP18),NA(),SUM($AP$4:AP18))</f>
        <v>89.2</v>
      </c>
      <c r="AH105" s="7">
        <f>SUM($AS$91:AS105)</f>
        <v>91.131888314024408</v>
      </c>
      <c r="AI105" s="115">
        <f t="shared" si="53"/>
        <v>0.978801182003741</v>
      </c>
      <c r="AJ105" s="124">
        <f t="shared" si="54"/>
        <v>0</v>
      </c>
      <c r="AK105" s="8">
        <f t="shared" si="55"/>
        <v>1015</v>
      </c>
      <c r="AL105" s="124">
        <f t="shared" si="56"/>
        <v>0</v>
      </c>
      <c r="AM105" s="524">
        <f t="shared" si="57"/>
        <v>0.73611111111111116</v>
      </c>
      <c r="AN105" s="1">
        <f t="array" ref="AN105">MAX(IF(F4:F34=$F$85,E4:E34,0))</f>
        <v>30</v>
      </c>
      <c r="AO105" s="524">
        <f t="shared" si="58"/>
        <v>0.61111111111111105</v>
      </c>
      <c r="AP105" s="451" t="s">
        <v>212</v>
      </c>
      <c r="AQ105" s="450">
        <v>6.6000000000000003E-2</v>
      </c>
      <c r="AR105" s="524">
        <f t="shared" si="59"/>
        <v>0.24305555555555555</v>
      </c>
      <c r="AS105" s="7">
        <f t="shared" si="60"/>
        <v>5.9996908668729771</v>
      </c>
      <c r="AT105" s="7">
        <v>14.735589887997111</v>
      </c>
      <c r="AU105" s="4">
        <v>15</v>
      </c>
      <c r="AV105" s="127">
        <f t="shared" si="61"/>
        <v>1</v>
      </c>
      <c r="AW105" s="124">
        <f t="shared" si="75"/>
        <v>0</v>
      </c>
      <c r="AX105" s="124">
        <f t="shared" si="76"/>
        <v>0</v>
      </c>
      <c r="AY105" s="124">
        <f t="shared" si="62"/>
        <v>0</v>
      </c>
      <c r="AZ105" s="125">
        <f t="shared" si="63"/>
        <v>4.3049999999999997</v>
      </c>
      <c r="BA105" s="125">
        <f t="shared" si="64"/>
        <v>14.899999999999999</v>
      </c>
      <c r="BB105" s="125">
        <f t="shared" si="65"/>
        <v>20.9</v>
      </c>
      <c r="BC105" s="7">
        <v>15.048333333333336</v>
      </c>
      <c r="BD105" s="7">
        <v>21.041666666666668</v>
      </c>
      <c r="BE105" s="124"/>
      <c r="BF105" s="8">
        <f t="shared" si="66"/>
        <v>54</v>
      </c>
      <c r="BG105" s="21">
        <f t="shared" si="67"/>
        <v>18.7</v>
      </c>
      <c r="BH105" s="124">
        <f t="shared" si="68"/>
        <v>0</v>
      </c>
      <c r="BI105" s="124">
        <f t="shared" si="77"/>
        <v>0</v>
      </c>
      <c r="BJ105" s="144">
        <f t="shared" si="69"/>
        <v>0</v>
      </c>
      <c r="BL105" s="99">
        <v>15</v>
      </c>
    </row>
    <row r="106" spans="1:64" ht="12.75" x14ac:dyDescent="0.2">
      <c r="A106" s="8">
        <f t="shared" si="33"/>
        <v>23</v>
      </c>
      <c r="B106" s="125">
        <f t="shared" si="34"/>
        <v>13.4</v>
      </c>
      <c r="C106" s="125">
        <f t="shared" si="35"/>
        <v>22.4</v>
      </c>
      <c r="D106" s="125">
        <f t="shared" si="70"/>
        <v>17.899999999999999</v>
      </c>
      <c r="E106" s="125">
        <f t="shared" si="36"/>
        <v>8.9999999999999982</v>
      </c>
      <c r="F106" s="7">
        <v>13.6</v>
      </c>
      <c r="G106" s="7">
        <v>22.57</v>
      </c>
      <c r="H106" s="7">
        <f t="shared" si="71"/>
        <v>18.085000000000001</v>
      </c>
      <c r="I106" s="7">
        <f t="shared" si="72"/>
        <v>8.9700000000000006</v>
      </c>
      <c r="K106" s="7">
        <f t="shared" si="37"/>
        <v>5.8000000000000007</v>
      </c>
      <c r="L106" s="7">
        <f t="shared" si="38"/>
        <v>16.100000000000001</v>
      </c>
      <c r="M106" s="370">
        <f t="shared" si="39"/>
        <v>4.7625000000000002</v>
      </c>
      <c r="N106" s="1">
        <f t="shared" si="40"/>
        <v>4.5666666666666664</v>
      </c>
      <c r="O106" s="7">
        <f t="shared" si="41"/>
        <v>62.9375</v>
      </c>
      <c r="P106" s="7">
        <f t="shared" si="42"/>
        <v>12.931249999999999</v>
      </c>
      <c r="Q106" s="7">
        <f t="shared" si="43"/>
        <v>21.387499999999996</v>
      </c>
      <c r="R106" s="7">
        <f t="shared" si="44"/>
        <v>17.268750000000001</v>
      </c>
      <c r="S106" s="7">
        <f t="shared" si="45"/>
        <v>8.4562500000000007</v>
      </c>
      <c r="T106" s="1">
        <v>47</v>
      </c>
      <c r="U106" s="333">
        <f t="shared" si="46"/>
        <v>1.5161290322580645</v>
      </c>
      <c r="V106" s="4">
        <v>16</v>
      </c>
      <c r="W106" s="7">
        <f t="shared" si="47"/>
        <v>4.3680000000000003</v>
      </c>
      <c r="X106" s="7">
        <f t="shared" si="48"/>
        <v>12.831000000000001</v>
      </c>
      <c r="Y106" s="8">
        <f t="shared" si="49"/>
        <v>17</v>
      </c>
      <c r="Z106" s="7">
        <f>IF(ISBLANK(Z19),NA(),SUM($Z$4:Z19))</f>
        <v>27.799999999999997</v>
      </c>
      <c r="AA106" s="7">
        <f t="shared" si="73"/>
        <v>24.258064516129032</v>
      </c>
      <c r="AB106" s="26">
        <f>IF(ISBLANK(Z19),"",SUM($Z$4:Z19))</f>
        <v>27.799999999999997</v>
      </c>
      <c r="AC106" s="115">
        <f t="shared" si="74"/>
        <v>1.1460106382978723</v>
      </c>
      <c r="AD106" s="8">
        <f t="shared" si="50"/>
        <v>1014.28125</v>
      </c>
      <c r="AE106" s="610">
        <f t="shared" si="51"/>
        <v>0.93906324723266654</v>
      </c>
      <c r="AF106" s="524" t="e">
        <f t="shared" si="52"/>
        <v>#N/A</v>
      </c>
      <c r="AG106" s="22">
        <f>IF(ISBLANK(AP19),NA(),SUM($AP$4:AP19))</f>
        <v>91.2</v>
      </c>
      <c r="AH106" s="7">
        <f>SUM($AS$91:AS106)</f>
        <v>97.118059160294109</v>
      </c>
      <c r="AI106" s="115">
        <f t="shared" si="53"/>
        <v>0.93906324723266654</v>
      </c>
      <c r="AJ106" s="124">
        <f t="shared" si="54"/>
        <v>1</v>
      </c>
      <c r="AK106" s="8">
        <f t="shared" si="55"/>
        <v>1003.5</v>
      </c>
      <c r="AL106" s="124">
        <f t="shared" si="56"/>
        <v>1</v>
      </c>
      <c r="AM106" s="524">
        <f t="shared" si="57"/>
        <v>0.72222222222222221</v>
      </c>
      <c r="AN106" s="1">
        <f t="array" ref="AN106">MAX(IF(G4:G34=$G$86,E4:E34,0))</f>
        <v>5</v>
      </c>
      <c r="AO106" s="524">
        <f t="shared" si="58"/>
        <v>0.71875</v>
      </c>
      <c r="AP106" s="451" t="s">
        <v>128</v>
      </c>
      <c r="AQ106" s="450">
        <v>0.06</v>
      </c>
      <c r="AR106" s="524">
        <f t="shared" si="59"/>
        <v>0.1875</v>
      </c>
      <c r="AS106" s="7">
        <f t="shared" si="60"/>
        <v>5.9861708462697072</v>
      </c>
      <c r="AT106" s="7">
        <v>14.702383930672363</v>
      </c>
      <c r="AU106" s="4">
        <v>16</v>
      </c>
      <c r="AV106" s="127">
        <f t="shared" si="61"/>
        <v>0</v>
      </c>
      <c r="AW106" s="124">
        <f t="shared" si="75"/>
        <v>0</v>
      </c>
      <c r="AX106" s="124">
        <f t="shared" si="76"/>
        <v>0</v>
      </c>
      <c r="AY106" s="124">
        <f t="shared" si="62"/>
        <v>0</v>
      </c>
      <c r="AZ106" s="125">
        <f t="shared" si="63"/>
        <v>4.3049999999999997</v>
      </c>
      <c r="BA106" s="125">
        <f t="shared" si="64"/>
        <v>14.899999999999999</v>
      </c>
      <c r="BB106" s="125">
        <f t="shared" si="65"/>
        <v>20.9</v>
      </c>
      <c r="BC106" s="7">
        <v>15.095000000000001</v>
      </c>
      <c r="BD106" s="7">
        <v>21.074999999999999</v>
      </c>
      <c r="BE106" s="124"/>
      <c r="BF106" s="8">
        <f t="shared" si="66"/>
        <v>82</v>
      </c>
      <c r="BG106" s="21">
        <f t="shared" si="67"/>
        <v>16</v>
      </c>
      <c r="BH106" s="124">
        <f t="shared" si="68"/>
        <v>1</v>
      </c>
      <c r="BI106" s="124">
        <f t="shared" si="77"/>
        <v>1</v>
      </c>
      <c r="BJ106" s="144">
        <f t="shared" si="69"/>
        <v>4.5666666666666664</v>
      </c>
      <c r="BL106" s="99">
        <v>16</v>
      </c>
    </row>
    <row r="107" spans="1:64" ht="12.75" x14ac:dyDescent="0.2">
      <c r="A107" s="8">
        <f t="shared" si="33"/>
        <v>21</v>
      </c>
      <c r="B107" s="125">
        <f t="shared" si="34"/>
        <v>13.4</v>
      </c>
      <c r="C107" s="125">
        <f t="shared" si="35"/>
        <v>22.4</v>
      </c>
      <c r="D107" s="125">
        <f t="shared" si="70"/>
        <v>17.899999999999999</v>
      </c>
      <c r="E107" s="125">
        <f t="shared" si="36"/>
        <v>8.9999999999999982</v>
      </c>
      <c r="F107" s="7">
        <v>13.65</v>
      </c>
      <c r="G107" s="7">
        <v>22.59</v>
      </c>
      <c r="H107" s="7">
        <f t="shared" si="71"/>
        <v>18.12</v>
      </c>
      <c r="I107" s="7">
        <f t="shared" si="72"/>
        <v>8.94</v>
      </c>
      <c r="K107" s="7">
        <f t="shared" si="37"/>
        <v>6.0999999999999979</v>
      </c>
      <c r="L107" s="7">
        <f t="shared" si="38"/>
        <v>15.85</v>
      </c>
      <c r="M107" s="370">
        <f t="shared" si="39"/>
        <v>4.8999999999999995</v>
      </c>
      <c r="N107" s="1">
        <f t="shared" si="40"/>
        <v>1.0999999999999999</v>
      </c>
      <c r="O107" s="7">
        <f t="shared" si="41"/>
        <v>63.764705882352942</v>
      </c>
      <c r="P107" s="7">
        <f t="shared" si="42"/>
        <v>12.923529411764704</v>
      </c>
      <c r="Q107" s="7">
        <f t="shared" si="43"/>
        <v>21.241176470588229</v>
      </c>
      <c r="R107" s="7">
        <f t="shared" si="44"/>
        <v>17.170588235294119</v>
      </c>
      <c r="S107" s="7">
        <f t="shared" si="45"/>
        <v>8.3176470588235301</v>
      </c>
      <c r="T107" s="1">
        <v>48</v>
      </c>
      <c r="U107" s="333">
        <f t="shared" si="46"/>
        <v>1.5161290322580645</v>
      </c>
      <c r="V107" s="4">
        <v>17</v>
      </c>
      <c r="W107" s="7">
        <f t="shared" si="47"/>
        <v>4.641</v>
      </c>
      <c r="X107" s="7">
        <f t="shared" si="48"/>
        <v>13.104000000000001</v>
      </c>
      <c r="Y107" s="8">
        <f t="shared" si="49"/>
        <v>3</v>
      </c>
      <c r="Z107" s="7">
        <f>IF(ISBLANK(Z20),NA(),SUM($Z$4:Z20))</f>
        <v>31.099999999999998</v>
      </c>
      <c r="AA107" s="7">
        <f t="shared" si="73"/>
        <v>25.774193548387096</v>
      </c>
      <c r="AB107" s="26">
        <f>IF(ISBLANK(Z20),"",SUM($Z$4:Z20))</f>
        <v>31.099999999999998</v>
      </c>
      <c r="AC107" s="115">
        <f t="shared" si="74"/>
        <v>1.2066332916145182</v>
      </c>
      <c r="AD107" s="8">
        <f t="shared" si="50"/>
        <v>1013.1176470588235</v>
      </c>
      <c r="AE107" s="610">
        <f t="shared" si="51"/>
        <v>0.90406223772624328</v>
      </c>
      <c r="AF107" s="524">
        <f t="shared" si="52"/>
        <v>0.27430555555555552</v>
      </c>
      <c r="AG107" s="22">
        <f>IF(ISBLANK(AP20),NA(),SUM($AP$4:AP20))</f>
        <v>93.2</v>
      </c>
      <c r="AH107" s="7">
        <f>SUM($AS$91:AS107)</f>
        <v>103.09024767410057</v>
      </c>
      <c r="AI107" s="115">
        <f t="shared" si="53"/>
        <v>0.90406223772624328</v>
      </c>
      <c r="AJ107" s="124">
        <f t="shared" si="54"/>
        <v>1</v>
      </c>
      <c r="AK107" s="8">
        <f t="shared" si="55"/>
        <v>994.5</v>
      </c>
      <c r="AL107" s="124">
        <f t="shared" si="56"/>
        <v>1</v>
      </c>
      <c r="AM107" s="524">
        <f t="shared" si="57"/>
        <v>0.77430555555555547</v>
      </c>
      <c r="AN107" s="7">
        <f>C85-G39</f>
        <v>-5.1999999999999993</v>
      </c>
      <c r="AO107" s="524">
        <f t="shared" si="58"/>
        <v>0.55555555555555558</v>
      </c>
      <c r="AP107" s="449" t="s">
        <v>213</v>
      </c>
      <c r="AQ107" s="448">
        <v>7.1999999999999995E-2</v>
      </c>
      <c r="AR107" s="524">
        <f t="shared" si="59"/>
        <v>0.22569444444444445</v>
      </c>
      <c r="AS107" s="7">
        <f t="shared" si="60"/>
        <v>5.9721885138064641</v>
      </c>
      <c r="AT107" s="7">
        <v>14.668042508517832</v>
      </c>
      <c r="AU107" s="4">
        <v>17</v>
      </c>
      <c r="AV107" s="127">
        <f t="shared" si="61"/>
        <v>0</v>
      </c>
      <c r="AW107" s="124">
        <f t="shared" si="75"/>
        <v>0</v>
      </c>
      <c r="AX107" s="124">
        <f t="shared" si="76"/>
        <v>0</v>
      </c>
      <c r="AY107" s="124">
        <f t="shared" si="62"/>
        <v>0</v>
      </c>
      <c r="AZ107" s="125">
        <f t="shared" si="63"/>
        <v>4.3049999999999997</v>
      </c>
      <c r="BA107" s="125">
        <f t="shared" si="64"/>
        <v>14.899999999999999</v>
      </c>
      <c r="BB107" s="125">
        <f t="shared" si="65"/>
        <v>20.9</v>
      </c>
      <c r="BC107" s="7">
        <v>15.14</v>
      </c>
      <c r="BD107" s="7">
        <v>21.1</v>
      </c>
      <c r="BE107" s="124"/>
      <c r="BF107" s="8">
        <f t="shared" si="66"/>
        <v>77</v>
      </c>
      <c r="BG107" s="21">
        <f t="shared" si="67"/>
        <v>15.6</v>
      </c>
      <c r="BH107" s="124">
        <f t="shared" si="68"/>
        <v>1</v>
      </c>
      <c r="BI107" s="124">
        <f t="shared" si="77"/>
        <v>1</v>
      </c>
      <c r="BJ107" s="144">
        <f t="shared" si="69"/>
        <v>1.0999999999999999</v>
      </c>
      <c r="BL107" s="99">
        <v>17</v>
      </c>
    </row>
    <row r="108" spans="1:64" ht="12.75" x14ac:dyDescent="0.2">
      <c r="A108" s="8">
        <f t="shared" si="33"/>
        <v>26</v>
      </c>
      <c r="B108" s="125">
        <f t="shared" si="34"/>
        <v>13.4</v>
      </c>
      <c r="C108" s="125">
        <f t="shared" si="35"/>
        <v>22.4</v>
      </c>
      <c r="D108" s="125">
        <f t="shared" si="70"/>
        <v>17.899999999999999</v>
      </c>
      <c r="E108" s="125">
        <f t="shared" si="36"/>
        <v>8.9999999999999982</v>
      </c>
      <c r="F108" s="7">
        <v>13.7</v>
      </c>
      <c r="G108" s="7">
        <v>22.63</v>
      </c>
      <c r="H108" s="7">
        <f t="shared" si="71"/>
        <v>18.164999999999999</v>
      </c>
      <c r="I108" s="7">
        <f t="shared" si="72"/>
        <v>8.93</v>
      </c>
      <c r="K108" s="7">
        <f t="shared" si="37"/>
        <v>5.1999999999999993</v>
      </c>
      <c r="L108" s="7">
        <f t="shared" si="38"/>
        <v>15.799999999999999</v>
      </c>
      <c r="M108" s="370">
        <f t="shared" si="39"/>
        <v>5.0277777777777777</v>
      </c>
      <c r="N108" s="1">
        <f t="shared" si="40"/>
        <v>2.3666666666666667</v>
      </c>
      <c r="O108" s="7">
        <f t="shared" si="41"/>
        <v>64.611111111111114</v>
      </c>
      <c r="P108" s="7">
        <f t="shared" si="42"/>
        <v>12.938888888888888</v>
      </c>
      <c r="Q108" s="7">
        <f t="shared" si="43"/>
        <v>21.083333333333329</v>
      </c>
      <c r="R108" s="7">
        <f t="shared" si="44"/>
        <v>17.055555555555557</v>
      </c>
      <c r="S108" s="7">
        <f t="shared" si="45"/>
        <v>8.1444444444444439</v>
      </c>
      <c r="T108" s="1">
        <v>49</v>
      </c>
      <c r="U108" s="333">
        <f t="shared" si="46"/>
        <v>1.5161290322580645</v>
      </c>
      <c r="V108" s="4">
        <v>18</v>
      </c>
      <c r="W108" s="7">
        <f t="shared" si="47"/>
        <v>4.9140000000000006</v>
      </c>
      <c r="X108" s="7">
        <f t="shared" si="48"/>
        <v>13.377000000000001</v>
      </c>
      <c r="Y108" s="8">
        <f t="shared" si="49"/>
        <v>5</v>
      </c>
      <c r="Z108" s="7">
        <f>IF(ISBLANK(Z21),NA(),SUM($Z$4:Z21))</f>
        <v>38.199999999999996</v>
      </c>
      <c r="AA108" s="7">
        <f t="shared" si="73"/>
        <v>27.29032258064516</v>
      </c>
      <c r="AB108" s="26">
        <f>IF(ISBLANK(Z21),"",SUM($Z$4:Z21))</f>
        <v>38.199999999999996</v>
      </c>
      <c r="AC108" s="115">
        <f t="shared" si="74"/>
        <v>1.3997635933806145</v>
      </c>
      <c r="AD108" s="8">
        <f t="shared" si="50"/>
        <v>1012.25</v>
      </c>
      <c r="AE108" s="610">
        <f t="shared" si="51"/>
        <v>0.86200570337041682</v>
      </c>
      <c r="AF108" s="524" t="e">
        <f t="shared" si="52"/>
        <v>#N/A</v>
      </c>
      <c r="AG108" s="22">
        <f>IF(ISBLANK(AP21),NA(),SUM($AP$4:AP21))</f>
        <v>94</v>
      </c>
      <c r="AH108" s="7">
        <f>SUM($AS$91:AS108)</f>
        <v>109.04800238845611</v>
      </c>
      <c r="AI108" s="115">
        <f t="shared" si="53"/>
        <v>0.86200570337041682</v>
      </c>
      <c r="AJ108" s="124">
        <f t="shared" si="54"/>
        <v>1</v>
      </c>
      <c r="AK108" s="8">
        <f t="shared" si="55"/>
        <v>997.5</v>
      </c>
      <c r="AL108" s="124">
        <f t="shared" si="56"/>
        <v>1</v>
      </c>
      <c r="AM108" s="524">
        <f t="shared" si="57"/>
        <v>0.64583333333333337</v>
      </c>
      <c r="AN108" s="124">
        <f t="array" ref="AN108">SUM(IF(Z4:Z34&gt;10,1,0))</f>
        <v>1</v>
      </c>
      <c r="AO108" s="524">
        <f t="shared" si="58"/>
        <v>0.63888888888888895</v>
      </c>
      <c r="AP108" s="303"/>
      <c r="AQ108" s="303"/>
      <c r="AR108" s="524">
        <f t="shared" si="59"/>
        <v>0.22916666666666666</v>
      </c>
      <c r="AS108" s="7">
        <f t="shared" si="60"/>
        <v>5.9577547143555396</v>
      </c>
      <c r="AT108" s="7">
        <v>14.63259225717092</v>
      </c>
      <c r="AU108" s="4">
        <v>18</v>
      </c>
      <c r="AV108" s="127">
        <f t="shared" si="61"/>
        <v>0</v>
      </c>
      <c r="AW108" s="124">
        <f t="shared" si="75"/>
        <v>0</v>
      </c>
      <c r="AX108" s="124">
        <f t="shared" si="76"/>
        <v>0</v>
      </c>
      <c r="AY108" s="124">
        <f t="shared" si="62"/>
        <v>0</v>
      </c>
      <c r="AZ108" s="125">
        <f t="shared" si="63"/>
        <v>4.3049999999999997</v>
      </c>
      <c r="BA108" s="125">
        <f t="shared" si="64"/>
        <v>14.899999999999999</v>
      </c>
      <c r="BB108" s="125">
        <f t="shared" si="65"/>
        <v>20.9</v>
      </c>
      <c r="BC108" s="7">
        <v>15.188333333333334</v>
      </c>
      <c r="BD108" s="7">
        <v>21.141666666666666</v>
      </c>
      <c r="BE108" s="124"/>
      <c r="BF108" s="8">
        <f t="shared" si="66"/>
        <v>79</v>
      </c>
      <c r="BG108" s="21">
        <f t="shared" si="67"/>
        <v>15.1</v>
      </c>
      <c r="BH108" s="124">
        <f t="shared" si="68"/>
        <v>1</v>
      </c>
      <c r="BI108" s="124">
        <f t="shared" si="77"/>
        <v>1</v>
      </c>
      <c r="BJ108" s="144">
        <f t="shared" si="69"/>
        <v>2.3666666666666667</v>
      </c>
      <c r="BL108" s="99">
        <v>18</v>
      </c>
    </row>
    <row r="109" spans="1:64" ht="12.75" x14ac:dyDescent="0.2">
      <c r="A109" s="8">
        <f t="shared" si="33"/>
        <v>32</v>
      </c>
      <c r="B109" s="125">
        <f t="shared" si="34"/>
        <v>13.4</v>
      </c>
      <c r="C109" s="125">
        <f t="shared" si="35"/>
        <v>22.4</v>
      </c>
      <c r="D109" s="125">
        <f t="shared" si="70"/>
        <v>17.899999999999999</v>
      </c>
      <c r="E109" s="125">
        <f t="shared" si="36"/>
        <v>8.9999999999999982</v>
      </c>
      <c r="F109" s="7">
        <v>13.75</v>
      </c>
      <c r="G109" s="7">
        <v>22.65</v>
      </c>
      <c r="H109" s="7">
        <f t="shared" si="71"/>
        <v>18.2</v>
      </c>
      <c r="I109" s="7">
        <f t="shared" si="72"/>
        <v>8.8999999999999986</v>
      </c>
      <c r="K109" s="7">
        <f t="shared" si="37"/>
        <v>7.9999999999999982</v>
      </c>
      <c r="L109" s="7">
        <f t="shared" si="38"/>
        <v>15.899999999999999</v>
      </c>
      <c r="M109" s="370">
        <f t="shared" si="39"/>
        <v>4.9368421052631577</v>
      </c>
      <c r="N109" s="1">
        <f t="shared" si="40"/>
        <v>1</v>
      </c>
      <c r="O109" s="7">
        <f t="shared" si="41"/>
        <v>65.631578947368425</v>
      </c>
      <c r="P109" s="7">
        <f t="shared" si="42"/>
        <v>12.884210526315789</v>
      </c>
      <c r="Q109" s="7">
        <f t="shared" si="43"/>
        <v>21.021052631578939</v>
      </c>
      <c r="R109" s="7">
        <f t="shared" si="44"/>
        <v>16.963157894736845</v>
      </c>
      <c r="S109" s="7">
        <f t="shared" si="45"/>
        <v>8.1368421052631579</v>
      </c>
      <c r="T109" s="1">
        <v>50</v>
      </c>
      <c r="U109" s="333">
        <f t="shared" si="46"/>
        <v>1.5161290322580645</v>
      </c>
      <c r="V109" s="4">
        <v>19</v>
      </c>
      <c r="W109" s="7">
        <f t="shared" si="47"/>
        <v>5.1870000000000003</v>
      </c>
      <c r="X109" s="7">
        <f t="shared" si="48"/>
        <v>13.65</v>
      </c>
      <c r="Y109" s="8">
        <f t="shared" si="49"/>
        <v>8</v>
      </c>
      <c r="Z109" s="7">
        <f>IF(ISBLANK(Z22),NA(),SUM($Z$4:Z22))</f>
        <v>41.199999999999996</v>
      </c>
      <c r="AA109" s="7">
        <f t="shared" si="73"/>
        <v>28.806451612903224</v>
      </c>
      <c r="AB109" s="26">
        <f>IF(ISBLANK(Z22),"",SUM($Z$4:Z22))</f>
        <v>41.199999999999996</v>
      </c>
      <c r="AC109" s="115">
        <f t="shared" si="74"/>
        <v>1.4302351623740202</v>
      </c>
      <c r="AD109" s="8">
        <f t="shared" si="50"/>
        <v>1011.8157894736842</v>
      </c>
      <c r="AE109" s="610">
        <f t="shared" si="51"/>
        <v>0.84354513724229341</v>
      </c>
      <c r="AF109" s="524">
        <f t="shared" si="52"/>
        <v>0.23958333333333334</v>
      </c>
      <c r="AG109" s="22">
        <f>IF(ISBLANK(AP22),NA(),SUM($AP$4:AP22))</f>
        <v>97</v>
      </c>
      <c r="AH109" s="7">
        <f>SUM($AS$91:AS109)</f>
        <v>114.99088278442468</v>
      </c>
      <c r="AI109" s="115">
        <f t="shared" si="53"/>
        <v>0.84354513724229341</v>
      </c>
      <c r="AJ109" s="124">
        <f t="shared" si="54"/>
        <v>1</v>
      </c>
      <c r="AK109" s="8">
        <f t="shared" si="55"/>
        <v>1004</v>
      </c>
      <c r="AL109" s="124">
        <f t="shared" si="56"/>
        <v>1</v>
      </c>
      <c r="AM109" s="524">
        <f t="shared" si="57"/>
        <v>0.59722222222222221</v>
      </c>
      <c r="AO109" s="524">
        <f t="shared" si="58"/>
        <v>0.59027777777777779</v>
      </c>
      <c r="AP109" s="423" t="s">
        <v>129</v>
      </c>
      <c r="AQ109" s="453">
        <f>MAX(AQ92:AQ107)</f>
        <v>0.13400000000000001</v>
      </c>
      <c r="AR109" s="524">
        <f t="shared" si="59"/>
        <v>0.23611111111111113</v>
      </c>
      <c r="AS109" s="7">
        <f t="shared" si="60"/>
        <v>5.9428803959685697</v>
      </c>
      <c r="AT109" s="7">
        <v>14.596060065683506</v>
      </c>
      <c r="AU109" s="4">
        <v>19</v>
      </c>
      <c r="AV109" s="127">
        <f t="shared" si="61"/>
        <v>0</v>
      </c>
      <c r="AW109" s="124">
        <f t="shared" si="75"/>
        <v>0</v>
      </c>
      <c r="AX109" s="124">
        <f t="shared" si="76"/>
        <v>0</v>
      </c>
      <c r="AY109" s="124">
        <f t="shared" si="62"/>
        <v>0</v>
      </c>
      <c r="AZ109" s="125">
        <f t="shared" si="63"/>
        <v>4.3049999999999997</v>
      </c>
      <c r="BA109" s="125">
        <f t="shared" si="64"/>
        <v>14.899999999999999</v>
      </c>
      <c r="BB109" s="125">
        <f t="shared" si="65"/>
        <v>20.9</v>
      </c>
      <c r="BC109" s="7">
        <v>15.233333333333338</v>
      </c>
      <c r="BD109" s="7">
        <v>21.166666666666668</v>
      </c>
      <c r="BE109" s="124"/>
      <c r="BF109" s="8">
        <f t="shared" si="66"/>
        <v>84</v>
      </c>
      <c r="BG109" s="21">
        <f t="shared" si="67"/>
        <v>15.3</v>
      </c>
      <c r="BH109" s="124">
        <f t="shared" si="68"/>
        <v>1</v>
      </c>
      <c r="BI109" s="124">
        <f t="shared" si="77"/>
        <v>1</v>
      </c>
      <c r="BJ109" s="144">
        <f t="shared" si="69"/>
        <v>1</v>
      </c>
      <c r="BL109" s="99">
        <v>19</v>
      </c>
    </row>
    <row r="110" spans="1:64" ht="12.75" x14ac:dyDescent="0.2">
      <c r="A110" s="8">
        <f t="shared" si="33"/>
        <v>37</v>
      </c>
      <c r="B110" s="125">
        <f t="shared" si="34"/>
        <v>13.4</v>
      </c>
      <c r="C110" s="125">
        <f t="shared" si="35"/>
        <v>22.4</v>
      </c>
      <c r="D110" s="125">
        <f t="shared" si="70"/>
        <v>17.899999999999999</v>
      </c>
      <c r="E110" s="125">
        <f t="shared" si="36"/>
        <v>8.9999999999999982</v>
      </c>
      <c r="F110" s="7">
        <v>13.8</v>
      </c>
      <c r="G110" s="7">
        <v>22.66</v>
      </c>
      <c r="H110" s="7">
        <f t="shared" si="71"/>
        <v>18.23</v>
      </c>
      <c r="I110" s="7">
        <f t="shared" si="72"/>
        <v>8.86</v>
      </c>
      <c r="K110" s="7">
        <f t="shared" si="37"/>
        <v>6.5</v>
      </c>
      <c r="L110" s="7">
        <f t="shared" si="38"/>
        <v>15.850000000000001</v>
      </c>
      <c r="M110" s="370">
        <f t="shared" si="39"/>
        <v>4.8100000000000005</v>
      </c>
      <c r="N110" s="1">
        <f t="shared" si="40"/>
        <v>1.8333333333333333</v>
      </c>
      <c r="O110" s="7">
        <f t="shared" si="41"/>
        <v>66.25</v>
      </c>
      <c r="P110" s="7">
        <f t="shared" si="42"/>
        <v>12.87</v>
      </c>
      <c r="Q110" s="7">
        <f t="shared" si="43"/>
        <v>20.924999999999994</v>
      </c>
      <c r="R110" s="7">
        <f t="shared" si="44"/>
        <v>16.880000000000003</v>
      </c>
      <c r="S110" s="7">
        <f t="shared" si="45"/>
        <v>8.0549999999999997</v>
      </c>
      <c r="T110" s="1">
        <v>51</v>
      </c>
      <c r="U110" s="333">
        <f t="shared" si="46"/>
        <v>1.5161290322580645</v>
      </c>
      <c r="V110" s="4">
        <v>20</v>
      </c>
      <c r="W110" s="7">
        <f t="shared" si="47"/>
        <v>5.4600000000000009</v>
      </c>
      <c r="X110" s="7">
        <f t="shared" si="48"/>
        <v>13.923000000000002</v>
      </c>
      <c r="Y110" s="8">
        <f t="shared" si="49"/>
        <v>2</v>
      </c>
      <c r="Z110" s="7">
        <f>IF(ISBLANK(Z23),NA(),SUM($Z$4:Z23))</f>
        <v>46.699999999999996</v>
      </c>
      <c r="AA110" s="7">
        <f t="shared" si="73"/>
        <v>30.322580645161288</v>
      </c>
      <c r="AB110" s="26">
        <f>IF(ISBLANK(Z23),"",SUM($Z$4:Z23))</f>
        <v>46.699999999999996</v>
      </c>
      <c r="AC110" s="115">
        <f t="shared" si="74"/>
        <v>1.5401063829787234</v>
      </c>
      <c r="AD110" s="8">
        <f t="shared" si="50"/>
        <v>1011.675</v>
      </c>
      <c r="AE110" s="610">
        <f t="shared" si="51"/>
        <v>0.8063285002884194</v>
      </c>
      <c r="AF110" s="524">
        <f t="shared" si="52"/>
        <v>0.25347222222222221</v>
      </c>
      <c r="AG110" s="22">
        <f>IF(ISBLANK(AP23),NA(),SUM($AP$4:AP23))</f>
        <v>97.5</v>
      </c>
      <c r="AH110" s="7">
        <f>SUM($AS$91:AS110)</f>
        <v>120.91845936876194</v>
      </c>
      <c r="AI110" s="115">
        <f t="shared" si="53"/>
        <v>0.8063285002884194</v>
      </c>
      <c r="AJ110" s="124">
        <f t="shared" si="54"/>
        <v>1</v>
      </c>
      <c r="AK110" s="8">
        <f t="shared" si="55"/>
        <v>1009</v>
      </c>
      <c r="AL110" s="124">
        <f t="shared" si="56"/>
        <v>1</v>
      </c>
      <c r="AM110" s="524">
        <f t="shared" si="57"/>
        <v>0.59722222222222221</v>
      </c>
      <c r="AO110" s="524">
        <f t="shared" si="58"/>
        <v>0.55902777777777779</v>
      </c>
      <c r="AR110" s="524">
        <f t="shared" si="59"/>
        <v>9.375E-2</v>
      </c>
      <c r="AS110" s="7">
        <f t="shared" si="60"/>
        <v>5.9275765843372579</v>
      </c>
      <c r="AT110" s="7">
        <v>14.558473013795997</v>
      </c>
      <c r="AU110" s="4">
        <v>20</v>
      </c>
      <c r="AV110" s="127">
        <f t="shared" si="61"/>
        <v>0</v>
      </c>
      <c r="AW110" s="124">
        <f t="shared" si="75"/>
        <v>0</v>
      </c>
      <c r="AX110" s="124">
        <f t="shared" si="76"/>
        <v>0</v>
      </c>
      <c r="AY110" s="124">
        <f t="shared" si="62"/>
        <v>0</v>
      </c>
      <c r="AZ110" s="125">
        <f t="shared" si="63"/>
        <v>4.3049999999999997</v>
      </c>
      <c r="BA110" s="125">
        <f t="shared" si="64"/>
        <v>14.899999999999999</v>
      </c>
      <c r="BB110" s="125">
        <f t="shared" si="65"/>
        <v>20.9</v>
      </c>
      <c r="BC110" s="7">
        <v>15.276666666666673</v>
      </c>
      <c r="BD110" s="7">
        <v>21.183333333333337</v>
      </c>
      <c r="BE110" s="124"/>
      <c r="BF110" s="8">
        <f t="shared" si="66"/>
        <v>78</v>
      </c>
      <c r="BG110" s="21">
        <f t="shared" si="67"/>
        <v>15.3</v>
      </c>
      <c r="BH110" s="124">
        <f t="shared" si="68"/>
        <v>1</v>
      </c>
      <c r="BI110" s="124">
        <f t="shared" si="77"/>
        <v>1</v>
      </c>
      <c r="BJ110" s="144">
        <f t="shared" si="69"/>
        <v>1.8333333333333333</v>
      </c>
      <c r="BL110" s="99">
        <v>20</v>
      </c>
    </row>
    <row r="111" spans="1:64" ht="12.75" x14ac:dyDescent="0.2">
      <c r="A111" s="8">
        <f t="shared" si="33"/>
        <v>27</v>
      </c>
      <c r="B111" s="125">
        <f t="shared" si="34"/>
        <v>13.4</v>
      </c>
      <c r="C111" s="125">
        <f t="shared" si="35"/>
        <v>22.4</v>
      </c>
      <c r="D111" s="125">
        <f t="shared" si="70"/>
        <v>17.899999999999999</v>
      </c>
      <c r="E111" s="125">
        <f t="shared" si="36"/>
        <v>8.9999999999999982</v>
      </c>
      <c r="F111" s="7">
        <v>13.85</v>
      </c>
      <c r="G111" s="7">
        <v>22.67</v>
      </c>
      <c r="H111" s="7">
        <f t="shared" si="71"/>
        <v>18.260000000000002</v>
      </c>
      <c r="I111" s="7">
        <f t="shared" si="72"/>
        <v>8.8200000000000021</v>
      </c>
      <c r="K111" s="7">
        <f t="shared" si="37"/>
        <v>6.2</v>
      </c>
      <c r="L111" s="7">
        <f t="shared" si="38"/>
        <v>16.2</v>
      </c>
      <c r="M111" s="370">
        <f t="shared" si="39"/>
        <v>4.6952380952380954</v>
      </c>
      <c r="N111" s="1">
        <f t="shared" si="40"/>
        <v>1.2666666666666666</v>
      </c>
      <c r="O111" s="7">
        <f t="shared" si="41"/>
        <v>67.285714285714292</v>
      </c>
      <c r="P111" s="7">
        <f t="shared" si="42"/>
        <v>12.880952380952381</v>
      </c>
      <c r="Q111" s="7">
        <f t="shared" si="43"/>
        <v>20.847619047619041</v>
      </c>
      <c r="R111" s="7">
        <f t="shared" si="44"/>
        <v>16.785714285714288</v>
      </c>
      <c r="S111" s="7">
        <f t="shared" si="45"/>
        <v>7.9666666666666659</v>
      </c>
      <c r="T111" s="1">
        <v>52</v>
      </c>
      <c r="U111" s="333">
        <f t="shared" si="46"/>
        <v>1.5161290322580645</v>
      </c>
      <c r="V111" s="4">
        <v>21</v>
      </c>
      <c r="W111" s="7">
        <f t="shared" si="47"/>
        <v>5.7330000000000005</v>
      </c>
      <c r="X111" s="7">
        <f t="shared" si="48"/>
        <v>14.196000000000002</v>
      </c>
      <c r="Y111" s="8">
        <f t="shared" si="49"/>
        <v>6</v>
      </c>
      <c r="Z111" s="7">
        <f>IF(ISBLANK(Z24),NA(),SUM($Z$4:Z24))</f>
        <v>50.499999999999993</v>
      </c>
      <c r="AA111" s="7">
        <f t="shared" si="73"/>
        <v>31.838709677419356</v>
      </c>
      <c r="AB111" s="26">
        <f>IF(ISBLANK(Z24),"",SUM($Z$4:Z24))</f>
        <v>50.499999999999993</v>
      </c>
      <c r="AC111" s="115">
        <f t="shared" si="74"/>
        <v>1.5861195542046602</v>
      </c>
      <c r="AD111" s="8">
        <f t="shared" si="50"/>
        <v>1011.7380952380952</v>
      </c>
      <c r="AE111" s="610">
        <f t="shared" si="51"/>
        <v>0.77032057344225058</v>
      </c>
      <c r="AF111" s="524">
        <f t="shared" si="52"/>
        <v>0.33402777777777781</v>
      </c>
      <c r="AG111" s="22">
        <f>IF(ISBLANK(AP24),NA(),SUM($AP$4:AP24))</f>
        <v>97.7</v>
      </c>
      <c r="AH111" s="7">
        <f>SUM($AS$91:AS111)</f>
        <v>126.83031372694394</v>
      </c>
      <c r="AI111" s="115">
        <f t="shared" si="53"/>
        <v>0.77032057344225058</v>
      </c>
      <c r="AJ111" s="124">
        <f t="shared" si="54"/>
        <v>1</v>
      </c>
      <c r="AK111" s="8">
        <f t="shared" si="55"/>
        <v>1013</v>
      </c>
      <c r="AL111" s="124">
        <f t="shared" si="56"/>
        <v>1</v>
      </c>
      <c r="AM111" s="524">
        <f t="shared" si="57"/>
        <v>0.63749999999999996</v>
      </c>
      <c r="AO111" s="524">
        <f t="shared" si="58"/>
        <v>0.64027777777777783</v>
      </c>
      <c r="AQ111" s="377">
        <f>SUM(AQ92:AQ107)</f>
        <v>1.004</v>
      </c>
      <c r="AR111" s="524">
        <f t="shared" si="59"/>
        <v>0.11041666666666666</v>
      </c>
      <c r="AS111" s="7">
        <f t="shared" si="60"/>
        <v>5.9118543581820022</v>
      </c>
      <c r="AT111" s="7">
        <v>14.519858311490355</v>
      </c>
      <c r="AU111" s="4">
        <v>21</v>
      </c>
      <c r="AV111" s="127">
        <f t="shared" si="61"/>
        <v>0</v>
      </c>
      <c r="AW111" s="124">
        <f t="shared" si="75"/>
        <v>0</v>
      </c>
      <c r="AX111" s="124">
        <f t="shared" si="76"/>
        <v>0</v>
      </c>
      <c r="AY111" s="124">
        <f t="shared" si="62"/>
        <v>0</v>
      </c>
      <c r="AZ111" s="125">
        <f t="shared" si="63"/>
        <v>4.3049999999999997</v>
      </c>
      <c r="BA111" s="125">
        <f t="shared" si="64"/>
        <v>14.899999999999999</v>
      </c>
      <c r="BB111" s="125">
        <f t="shared" si="65"/>
        <v>20.9</v>
      </c>
      <c r="BC111" s="7">
        <v>15.32</v>
      </c>
      <c r="BD111" s="7">
        <v>21.2</v>
      </c>
      <c r="BE111" s="124"/>
      <c r="BF111" s="8">
        <f t="shared" si="66"/>
        <v>88</v>
      </c>
      <c r="BG111" s="21">
        <f t="shared" si="67"/>
        <v>14.9</v>
      </c>
      <c r="BH111" s="124">
        <f t="shared" si="68"/>
        <v>0</v>
      </c>
      <c r="BI111" s="124">
        <f t="shared" si="77"/>
        <v>1</v>
      </c>
      <c r="BJ111" s="144">
        <f t="shared" si="69"/>
        <v>1.2666666666666666</v>
      </c>
      <c r="BL111" s="99">
        <v>21</v>
      </c>
    </row>
    <row r="112" spans="1:64" ht="12.75" x14ac:dyDescent="0.2">
      <c r="A112" s="8">
        <f t="shared" si="33"/>
        <v>49</v>
      </c>
      <c r="B112" s="125">
        <f t="shared" si="34"/>
        <v>13.4</v>
      </c>
      <c r="C112" s="125">
        <f t="shared" si="35"/>
        <v>22.4</v>
      </c>
      <c r="D112" s="125">
        <f t="shared" si="70"/>
        <v>17.899999999999999</v>
      </c>
      <c r="E112" s="125">
        <f t="shared" si="36"/>
        <v>8.9999999999999982</v>
      </c>
      <c r="F112" s="7">
        <v>13.9</v>
      </c>
      <c r="G112" s="7">
        <v>22.67</v>
      </c>
      <c r="H112" s="7">
        <f t="shared" si="71"/>
        <v>18.285</v>
      </c>
      <c r="I112" s="7">
        <f t="shared" si="72"/>
        <v>8.7700000000000014</v>
      </c>
      <c r="K112" s="7">
        <f t="shared" si="37"/>
        <v>9.6999999999999993</v>
      </c>
      <c r="L112" s="7">
        <f t="shared" si="38"/>
        <v>15.35</v>
      </c>
      <c r="M112" s="370">
        <f t="shared" si="39"/>
        <v>4.6409090909090915</v>
      </c>
      <c r="N112" s="1">
        <f t="shared" si="40"/>
        <v>0.3666666666666667</v>
      </c>
      <c r="O112" s="7">
        <f t="shared" si="41"/>
        <v>67.36363636363636</v>
      </c>
      <c r="P112" s="7">
        <f t="shared" si="42"/>
        <v>12.772727272727273</v>
      </c>
      <c r="Q112" s="7">
        <f t="shared" si="43"/>
        <v>20.818181818181813</v>
      </c>
      <c r="R112" s="7">
        <f t="shared" si="44"/>
        <v>16.736363636363638</v>
      </c>
      <c r="S112" s="7">
        <f t="shared" si="45"/>
        <v>8.045454545454545</v>
      </c>
      <c r="T112" s="1">
        <v>53</v>
      </c>
      <c r="U112" s="333">
        <f t="shared" si="46"/>
        <v>1.5161290322580645</v>
      </c>
      <c r="V112" s="4">
        <v>22</v>
      </c>
      <c r="W112" s="7">
        <f t="shared" si="47"/>
        <v>6.0060000000000002</v>
      </c>
      <c r="X112" s="7">
        <f t="shared" si="48"/>
        <v>14.469000000000001</v>
      </c>
      <c r="Y112" s="8">
        <f t="shared" si="49"/>
        <v>2</v>
      </c>
      <c r="Z112" s="7">
        <f>IF(ISBLANK(Z25),NA(),SUM($Z$4:Z25))</f>
        <v>51.599999999999994</v>
      </c>
      <c r="AA112" s="7">
        <f t="shared" si="73"/>
        <v>33.354838709677416</v>
      </c>
      <c r="AB112" s="26">
        <f>IF(ISBLANK(Z25),"",SUM($Z$4:Z25))</f>
        <v>51.599999999999994</v>
      </c>
      <c r="AC112" s="115">
        <f t="shared" si="74"/>
        <v>1.5470019342359767</v>
      </c>
      <c r="AD112" s="8">
        <f t="shared" si="50"/>
        <v>1011.9318181818181</v>
      </c>
      <c r="AE112" s="610">
        <f t="shared" si="51"/>
        <v>0.79637726818859345</v>
      </c>
      <c r="AF112" s="524">
        <f t="shared" si="52"/>
        <v>0.14722222222222223</v>
      </c>
      <c r="AG112" s="22">
        <f>IF(ISBLANK(AP25),NA(),SUM($AP$4:AP25))</f>
        <v>105.7</v>
      </c>
      <c r="AH112" s="7">
        <f>SUM($AS$91:AS112)</f>
        <v>132.72603855258302</v>
      </c>
      <c r="AI112" s="115">
        <f t="shared" si="53"/>
        <v>0.79637726818859345</v>
      </c>
      <c r="AJ112" s="124">
        <f t="shared" si="54"/>
        <v>1</v>
      </c>
      <c r="AK112" s="8">
        <f t="shared" si="55"/>
        <v>1016</v>
      </c>
      <c r="AL112" s="124">
        <f t="shared" si="56"/>
        <v>1</v>
      </c>
      <c r="AM112" s="524">
        <f t="shared" si="57"/>
        <v>0.76875000000000004</v>
      </c>
      <c r="AO112" s="524">
        <f t="shared" si="58"/>
        <v>0.56805555555555554</v>
      </c>
      <c r="AR112" s="524">
        <f t="shared" si="59"/>
        <v>0.24374999999999999</v>
      </c>
      <c r="AS112" s="7">
        <f t="shared" si="60"/>
        <v>5.8957248256390722</v>
      </c>
      <c r="AT112" s="7">
        <v>14.48024324099563</v>
      </c>
      <c r="AU112" s="4">
        <v>22</v>
      </c>
      <c r="AV112" s="127">
        <f t="shared" si="61"/>
        <v>1</v>
      </c>
      <c r="AW112" s="124">
        <f t="shared" si="75"/>
        <v>1</v>
      </c>
      <c r="AX112" s="124">
        <f t="shared" si="76"/>
        <v>0</v>
      </c>
      <c r="AY112" s="124">
        <f t="shared" si="62"/>
        <v>1</v>
      </c>
      <c r="AZ112" s="125">
        <f t="shared" si="63"/>
        <v>4.3049999999999997</v>
      </c>
      <c r="BA112" s="125">
        <f t="shared" si="64"/>
        <v>14.899999999999999</v>
      </c>
      <c r="BB112" s="125">
        <f t="shared" si="65"/>
        <v>20.9</v>
      </c>
      <c r="BC112" s="7">
        <v>15.361666666666673</v>
      </c>
      <c r="BD112" s="7">
        <v>21.208333333333336</v>
      </c>
      <c r="BE112" s="124"/>
      <c r="BF112" s="8">
        <f t="shared" si="66"/>
        <v>69</v>
      </c>
      <c r="BG112" s="21">
        <f t="shared" si="67"/>
        <v>15.7</v>
      </c>
      <c r="BH112" s="124">
        <f t="shared" si="68"/>
        <v>0</v>
      </c>
      <c r="BI112" s="124">
        <f t="shared" si="77"/>
        <v>1</v>
      </c>
      <c r="BJ112" s="144">
        <f t="shared" si="69"/>
        <v>0.3666666666666667</v>
      </c>
      <c r="BL112" s="99">
        <v>22</v>
      </c>
    </row>
    <row r="113" spans="1:64" ht="12.75" x14ac:dyDescent="0.2">
      <c r="A113" s="8">
        <f t="shared" si="33"/>
        <v>45</v>
      </c>
      <c r="B113" s="125">
        <f t="shared" si="34"/>
        <v>13.4</v>
      </c>
      <c r="C113" s="125">
        <f t="shared" si="35"/>
        <v>22.4</v>
      </c>
      <c r="D113" s="125">
        <f t="shared" si="70"/>
        <v>17.899999999999999</v>
      </c>
      <c r="E113" s="125">
        <f t="shared" si="36"/>
        <v>8.9999999999999982</v>
      </c>
      <c r="F113" s="7">
        <v>13.95</v>
      </c>
      <c r="G113" s="7">
        <v>22.67</v>
      </c>
      <c r="H113" s="7">
        <f t="shared" si="71"/>
        <v>18.310000000000002</v>
      </c>
      <c r="I113" s="7">
        <f t="shared" si="72"/>
        <v>8.7200000000000024</v>
      </c>
      <c r="K113" s="7">
        <f t="shared" si="37"/>
        <v>7.1</v>
      </c>
      <c r="L113" s="7">
        <f t="shared" si="38"/>
        <v>14.45</v>
      </c>
      <c r="M113" s="370">
        <f t="shared" si="39"/>
        <v>4.5869565217391308</v>
      </c>
      <c r="N113" s="1">
        <f t="shared" si="40"/>
        <v>0.3666666666666667</v>
      </c>
      <c r="O113" s="7">
        <f t="shared" si="41"/>
        <v>67.217391304347828</v>
      </c>
      <c r="P113" s="7">
        <f t="shared" si="42"/>
        <v>12.691304347826087</v>
      </c>
      <c r="Q113" s="7">
        <f t="shared" si="43"/>
        <v>20.695652173913039</v>
      </c>
      <c r="R113" s="7">
        <f t="shared" si="44"/>
        <v>16.656521739130437</v>
      </c>
      <c r="S113" s="7">
        <f t="shared" si="45"/>
        <v>8.0043478260869545</v>
      </c>
      <c r="T113" s="1">
        <v>54</v>
      </c>
      <c r="U113" s="333">
        <f t="shared" si="46"/>
        <v>1.5161290322580645</v>
      </c>
      <c r="V113" s="4">
        <v>23</v>
      </c>
      <c r="W113" s="7">
        <f t="shared" si="47"/>
        <v>6.2790000000000008</v>
      </c>
      <c r="X113" s="7">
        <f t="shared" si="48"/>
        <v>14.742000000000001</v>
      </c>
      <c r="Y113" s="8">
        <f t="shared" si="49"/>
        <v>3</v>
      </c>
      <c r="Z113" s="7">
        <f>IF(ISBLANK(Z26),NA(),SUM($Z$4:Z26))</f>
        <v>52.699999999999996</v>
      </c>
      <c r="AA113" s="7">
        <f t="shared" si="73"/>
        <v>34.87096774193548</v>
      </c>
      <c r="AB113" s="26">
        <f>IF(ISBLANK(Z26),"",SUM($Z$4:Z26))</f>
        <v>52.699999999999996</v>
      </c>
      <c r="AC113" s="115">
        <f t="shared" si="74"/>
        <v>1.5112858464384828</v>
      </c>
      <c r="AD113" s="8">
        <f t="shared" si="50"/>
        <v>1012</v>
      </c>
      <c r="AE113" s="610">
        <f t="shared" si="51"/>
        <v>0.79145638257636275</v>
      </c>
      <c r="AF113" s="524">
        <f t="shared" si="52"/>
        <v>0.29166666666666669</v>
      </c>
      <c r="AG113" s="22">
        <f>IF(ISBLANK(AP26),NA(),SUM($AP$4:AP26))</f>
        <v>109.7</v>
      </c>
      <c r="AH113" s="7">
        <f>SUM($AS$91:AS113)</f>
        <v>138.6052376542882</v>
      </c>
      <c r="AI113" s="115">
        <f t="shared" si="53"/>
        <v>0.79145638257636275</v>
      </c>
      <c r="AJ113" s="124">
        <f t="shared" si="54"/>
        <v>1</v>
      </c>
      <c r="AK113" s="8">
        <f t="shared" si="55"/>
        <v>1013.5</v>
      </c>
      <c r="AL113" s="124">
        <f t="shared" si="56"/>
        <v>1</v>
      </c>
      <c r="AM113" s="524">
        <f t="shared" si="57"/>
        <v>0.66597222222222219</v>
      </c>
      <c r="AO113" s="524">
        <f t="shared" si="58"/>
        <v>0.72152777777777777</v>
      </c>
      <c r="AR113" s="524">
        <f t="shared" si="59"/>
        <v>0.27013888888888887</v>
      </c>
      <c r="AS113" s="7">
        <f t="shared" si="60"/>
        <v>5.8791991017051686</v>
      </c>
      <c r="AT113" s="7">
        <v>14.439655101390501</v>
      </c>
      <c r="AU113" s="4">
        <v>23</v>
      </c>
      <c r="AV113" s="127">
        <f t="shared" si="61"/>
        <v>1</v>
      </c>
      <c r="AW113" s="124">
        <f t="shared" si="75"/>
        <v>1</v>
      </c>
      <c r="AX113" s="124">
        <f t="shared" si="76"/>
        <v>0</v>
      </c>
      <c r="AY113" s="124">
        <f t="shared" si="62"/>
        <v>0</v>
      </c>
      <c r="AZ113" s="125">
        <f t="shared" si="63"/>
        <v>4.3049999999999997</v>
      </c>
      <c r="BA113" s="125">
        <f t="shared" si="64"/>
        <v>14.899999999999999</v>
      </c>
      <c r="BB113" s="125">
        <f t="shared" si="65"/>
        <v>20.9</v>
      </c>
      <c r="BC113" s="7">
        <v>15.403333333333332</v>
      </c>
      <c r="BD113" s="7">
        <v>21.216666666666665</v>
      </c>
      <c r="BE113" s="124"/>
      <c r="BF113" s="8">
        <f t="shared" si="66"/>
        <v>64</v>
      </c>
      <c r="BG113" s="21">
        <f t="shared" si="67"/>
        <v>14.9</v>
      </c>
      <c r="BH113" s="124">
        <f t="shared" si="68"/>
        <v>0</v>
      </c>
      <c r="BI113" s="124">
        <f t="shared" si="77"/>
        <v>1</v>
      </c>
      <c r="BJ113" s="144">
        <f t="shared" si="69"/>
        <v>0.3666666666666667</v>
      </c>
      <c r="BL113" s="99">
        <v>23</v>
      </c>
    </row>
    <row r="114" spans="1:64" ht="12.75" x14ac:dyDescent="0.2">
      <c r="A114" s="8">
        <f t="shared" si="33"/>
        <v>48</v>
      </c>
      <c r="B114" s="125">
        <f t="shared" si="34"/>
        <v>13.4</v>
      </c>
      <c r="C114" s="125">
        <f t="shared" si="35"/>
        <v>22.4</v>
      </c>
      <c r="D114" s="125">
        <f t="shared" si="70"/>
        <v>17.899999999999999</v>
      </c>
      <c r="E114" s="125">
        <f t="shared" si="36"/>
        <v>8.9999999999999982</v>
      </c>
      <c r="F114" s="7">
        <v>13.95</v>
      </c>
      <c r="G114" s="7">
        <v>22.67</v>
      </c>
      <c r="H114" s="7">
        <f t="shared" si="71"/>
        <v>18.310000000000002</v>
      </c>
      <c r="I114" s="7">
        <f t="shared" si="72"/>
        <v>8.7200000000000024</v>
      </c>
      <c r="K114" s="7">
        <f t="shared" si="37"/>
        <v>12.6</v>
      </c>
      <c r="L114" s="7">
        <f t="shared" si="38"/>
        <v>16.899999999999999</v>
      </c>
      <c r="M114" s="370">
        <f t="shared" si="39"/>
        <v>4.5666666666666673</v>
      </c>
      <c r="N114" s="1">
        <f t="shared" si="40"/>
        <v>0</v>
      </c>
      <c r="O114" s="7">
        <f t="shared" si="41"/>
        <v>66.666666666666671</v>
      </c>
      <c r="P114" s="7">
        <f t="shared" si="42"/>
        <v>12.604166666666666</v>
      </c>
      <c r="Q114" s="7">
        <f t="shared" si="43"/>
        <v>20.799999999999994</v>
      </c>
      <c r="R114" s="7">
        <f t="shared" si="44"/>
        <v>16.666666666666668</v>
      </c>
      <c r="S114" s="7">
        <f t="shared" si="45"/>
        <v>8.1958333333333311</v>
      </c>
      <c r="T114" s="1">
        <v>55</v>
      </c>
      <c r="U114" s="333">
        <f t="shared" si="46"/>
        <v>1.5161290322580645</v>
      </c>
      <c r="V114" s="4">
        <v>24</v>
      </c>
      <c r="W114" s="7">
        <f t="shared" si="47"/>
        <v>6.5520000000000005</v>
      </c>
      <c r="X114" s="7">
        <f t="shared" si="48"/>
        <v>15.015000000000001</v>
      </c>
      <c r="Y114" s="8">
        <f t="shared" si="49"/>
        <v>4</v>
      </c>
      <c r="Z114" s="7">
        <f>IF(ISBLANK(Z27),NA(),SUM($Z$4:Z27))</f>
        <v>52.699999999999996</v>
      </c>
      <c r="AA114" s="7">
        <f t="shared" si="73"/>
        <v>36.387096774193552</v>
      </c>
      <c r="AB114" s="26">
        <f>IF(ISBLANK(Z27),"",SUM($Z$4:Z27))</f>
        <v>52.699999999999996</v>
      </c>
      <c r="AC114" s="115">
        <f t="shared" si="74"/>
        <v>1.4483156028368791</v>
      </c>
      <c r="AD114" s="8">
        <f t="shared" si="50"/>
        <v>1011.9166666666666</v>
      </c>
      <c r="AE114" s="610">
        <f t="shared" si="51"/>
        <v>0.849325820461869</v>
      </c>
      <c r="AF114" s="524">
        <f t="shared" si="52"/>
        <v>0.28194444444444444</v>
      </c>
      <c r="AG114" s="22">
        <f>IF(ISBLANK(AP27),NA(),SUM($AP$4:AP27))</f>
        <v>122.7</v>
      </c>
      <c r="AH114" s="7">
        <f>SUM($AS$91:AS114)</f>
        <v>144.46752594107517</v>
      </c>
      <c r="AI114" s="115">
        <f t="shared" si="53"/>
        <v>0.849325820461869</v>
      </c>
      <c r="AJ114" s="124">
        <f t="shared" si="54"/>
        <v>0</v>
      </c>
      <c r="AK114" s="8">
        <f t="shared" si="55"/>
        <v>1010</v>
      </c>
      <c r="AL114" s="124">
        <f t="shared" si="56"/>
        <v>0</v>
      </c>
      <c r="AM114" s="524">
        <f t="shared" si="57"/>
        <v>0.70972222222222225</v>
      </c>
      <c r="AO114" s="524">
        <f t="shared" si="58"/>
        <v>0.75763888888888886</v>
      </c>
      <c r="AR114" s="524">
        <f t="shared" si="59"/>
        <v>0.24444444444444446</v>
      </c>
      <c r="AS114" s="7">
        <f t="shared" si="60"/>
        <v>5.8622882867869714</v>
      </c>
      <c r="AT114" s="7">
        <v>14.398121155919698</v>
      </c>
      <c r="AU114" s="4">
        <v>24</v>
      </c>
      <c r="AV114" s="127">
        <f t="shared" si="61"/>
        <v>1</v>
      </c>
      <c r="AW114" s="124">
        <f t="shared" si="75"/>
        <v>0</v>
      </c>
      <c r="AX114" s="124">
        <f t="shared" si="76"/>
        <v>0</v>
      </c>
      <c r="AY114" s="124">
        <f t="shared" si="62"/>
        <v>0</v>
      </c>
      <c r="AZ114" s="125">
        <f t="shared" si="63"/>
        <v>4.3049999999999997</v>
      </c>
      <c r="BA114" s="125">
        <f t="shared" si="64"/>
        <v>14.899999999999999</v>
      </c>
      <c r="BB114" s="125">
        <f t="shared" si="65"/>
        <v>20.9</v>
      </c>
      <c r="BC114" s="7">
        <v>15.403333333333332</v>
      </c>
      <c r="BD114" s="7">
        <v>21.216666666666665</v>
      </c>
      <c r="BE114" s="124"/>
      <c r="BF114" s="8">
        <f t="shared" si="66"/>
        <v>54</v>
      </c>
      <c r="BG114" s="21">
        <f t="shared" si="67"/>
        <v>16.899999999999999</v>
      </c>
      <c r="BH114" s="124">
        <f t="shared" si="68"/>
        <v>1</v>
      </c>
      <c r="BI114" s="124">
        <f t="shared" si="77"/>
        <v>0</v>
      </c>
      <c r="BJ114" s="144">
        <f t="shared" si="69"/>
        <v>0</v>
      </c>
      <c r="BL114" s="99">
        <v>24</v>
      </c>
    </row>
    <row r="115" spans="1:64" ht="12.75" x14ac:dyDescent="0.2">
      <c r="A115" s="8">
        <f t="shared" si="33"/>
        <v>30</v>
      </c>
      <c r="B115" s="125">
        <f t="shared" si="34"/>
        <v>13.4</v>
      </c>
      <c r="C115" s="125">
        <f t="shared" si="35"/>
        <v>22.4</v>
      </c>
      <c r="D115" s="125">
        <f t="shared" si="70"/>
        <v>17.899999999999999</v>
      </c>
      <c r="E115" s="125">
        <f t="shared" si="36"/>
        <v>8.9999999999999982</v>
      </c>
      <c r="F115" s="7">
        <v>13.95</v>
      </c>
      <c r="G115" s="7">
        <v>22.67</v>
      </c>
      <c r="H115" s="7">
        <f t="shared" si="71"/>
        <v>18.310000000000002</v>
      </c>
      <c r="I115" s="7">
        <f t="shared" si="72"/>
        <v>8.7200000000000024</v>
      </c>
      <c r="K115" s="7">
        <f t="shared" si="37"/>
        <v>12.6</v>
      </c>
      <c r="L115" s="7">
        <f t="shared" si="38"/>
        <v>16.7</v>
      </c>
      <c r="M115" s="370">
        <f t="shared" si="39"/>
        <v>4.5120000000000005</v>
      </c>
      <c r="N115" s="1">
        <f t="shared" si="40"/>
        <v>0</v>
      </c>
      <c r="O115" s="7">
        <f t="shared" si="41"/>
        <v>66.16</v>
      </c>
      <c r="P115" s="7">
        <f t="shared" si="42"/>
        <v>12.515999999999998</v>
      </c>
      <c r="Q115" s="7">
        <f t="shared" si="43"/>
        <v>20.887999999999991</v>
      </c>
      <c r="R115" s="7">
        <f t="shared" si="44"/>
        <v>16.684000000000001</v>
      </c>
      <c r="S115" s="7">
        <f t="shared" si="45"/>
        <v>8.3719999999999981</v>
      </c>
      <c r="T115" s="1">
        <v>56</v>
      </c>
      <c r="U115" s="333">
        <f t="shared" si="46"/>
        <v>1.5161290322580645</v>
      </c>
      <c r="V115" s="4">
        <v>25</v>
      </c>
      <c r="W115" s="7">
        <f t="shared" si="47"/>
        <v>6.8250000000000002</v>
      </c>
      <c r="X115" s="7">
        <f t="shared" si="48"/>
        <v>15.288</v>
      </c>
      <c r="Y115" s="8">
        <f t="shared" si="49"/>
        <v>4</v>
      </c>
      <c r="Z115" s="7">
        <f>IF(ISBLANK(Z28),NA(),SUM($Z$4:Z28))</f>
        <v>52.699999999999996</v>
      </c>
      <c r="AA115" s="7">
        <f t="shared" si="73"/>
        <v>37.903225806451616</v>
      </c>
      <c r="AB115" s="26">
        <f>IF(ISBLANK(Z28),"",SUM($Z$4:Z28))</f>
        <v>52.699999999999996</v>
      </c>
      <c r="AC115" s="115">
        <f t="shared" si="74"/>
        <v>1.3903829787234041</v>
      </c>
      <c r="AD115" s="8">
        <f t="shared" si="50"/>
        <v>1011.84</v>
      </c>
      <c r="AE115" s="610">
        <f t="shared" si="51"/>
        <v>0.86952165952239679</v>
      </c>
      <c r="AF115" s="524">
        <f t="shared" si="52"/>
        <v>0.25208333333333333</v>
      </c>
      <c r="AG115" s="22">
        <f>IF(ISBLANK(AP28),NA(),SUM($AP$4:AP28))</f>
        <v>130.69999999999999</v>
      </c>
      <c r="AH115" s="7">
        <f>SUM($AS$91:AS115)</f>
        <v>150.31252938746775</v>
      </c>
      <c r="AI115" s="115">
        <f t="shared" si="53"/>
        <v>0.86952165952239679</v>
      </c>
      <c r="AJ115" s="124">
        <f t="shared" si="54"/>
        <v>0</v>
      </c>
      <c r="AK115" s="8">
        <f t="shared" si="55"/>
        <v>1010</v>
      </c>
      <c r="AL115" s="124">
        <f t="shared" si="56"/>
        <v>0</v>
      </c>
      <c r="AM115" s="524">
        <f t="shared" si="57"/>
        <v>0.65347222222222223</v>
      </c>
      <c r="AO115" s="524">
        <f t="shared" si="58"/>
        <v>0.68819444444444444</v>
      </c>
      <c r="AR115" s="524">
        <f t="shared" si="59"/>
        <v>0.12986111111111112</v>
      </c>
      <c r="AS115" s="7">
        <f t="shared" si="60"/>
        <v>5.8450034463925675</v>
      </c>
      <c r="AT115" s="7">
        <v>14.355668582114978</v>
      </c>
      <c r="AU115" s="4">
        <v>25</v>
      </c>
      <c r="AV115" s="127">
        <f t="shared" si="61"/>
        <v>1</v>
      </c>
      <c r="AW115" s="124">
        <f t="shared" si="75"/>
        <v>0</v>
      </c>
      <c r="AX115" s="124">
        <f t="shared" si="76"/>
        <v>0</v>
      </c>
      <c r="AY115" s="124">
        <f t="shared" si="62"/>
        <v>0</v>
      </c>
      <c r="AZ115" s="125">
        <f t="shared" si="63"/>
        <v>4.3049999999999997</v>
      </c>
      <c r="BA115" s="125">
        <f t="shared" si="64"/>
        <v>14.899999999999999</v>
      </c>
      <c r="BB115" s="125">
        <f t="shared" si="65"/>
        <v>20.9</v>
      </c>
      <c r="BC115" s="7">
        <v>15.403333333333332</v>
      </c>
      <c r="BD115" s="7">
        <v>21.216666666666665</v>
      </c>
      <c r="BF115" s="8">
        <f t="shared" si="66"/>
        <v>54</v>
      </c>
      <c r="BG115" s="21">
        <f t="shared" si="67"/>
        <v>17.100000000000001</v>
      </c>
      <c r="BH115" s="124">
        <f t="shared" si="68"/>
        <v>1</v>
      </c>
      <c r="BI115" s="124">
        <f t="shared" si="77"/>
        <v>0</v>
      </c>
      <c r="BJ115" s="144">
        <f t="shared" si="69"/>
        <v>0</v>
      </c>
      <c r="BL115" s="99">
        <v>25</v>
      </c>
    </row>
    <row r="116" spans="1:64" ht="12.75" x14ac:dyDescent="0.2">
      <c r="A116" s="8">
        <f t="shared" si="33"/>
        <v>34</v>
      </c>
      <c r="B116" s="125">
        <f t="shared" si="34"/>
        <v>13.4</v>
      </c>
      <c r="C116" s="125">
        <f t="shared" si="35"/>
        <v>22.4</v>
      </c>
      <c r="D116" s="125">
        <f t="shared" si="70"/>
        <v>17.899999999999999</v>
      </c>
      <c r="E116" s="125">
        <f t="shared" si="36"/>
        <v>8.9999999999999982</v>
      </c>
      <c r="F116" s="7">
        <v>13.95</v>
      </c>
      <c r="G116" s="7">
        <v>22.67</v>
      </c>
      <c r="H116" s="7">
        <f t="shared" si="71"/>
        <v>18.310000000000002</v>
      </c>
      <c r="I116" s="7">
        <f t="shared" si="72"/>
        <v>8.7200000000000024</v>
      </c>
      <c r="K116" s="7">
        <f t="shared" si="37"/>
        <v>7.9</v>
      </c>
      <c r="L116" s="7">
        <f t="shared" si="38"/>
        <v>15.95</v>
      </c>
      <c r="M116" s="370">
        <f t="shared" si="39"/>
        <v>4.4423076923076925</v>
      </c>
      <c r="N116" s="1">
        <f t="shared" si="40"/>
        <v>0</v>
      </c>
      <c r="O116" s="7">
        <f t="shared" si="41"/>
        <v>66.34615384615384</v>
      </c>
      <c r="P116" s="7">
        <f t="shared" si="42"/>
        <v>12.496153846153845</v>
      </c>
      <c r="Q116" s="7">
        <f t="shared" si="43"/>
        <v>20.849999999999991</v>
      </c>
      <c r="R116" s="7">
        <f t="shared" si="44"/>
        <v>16.669230769230772</v>
      </c>
      <c r="S116" s="7">
        <f t="shared" si="45"/>
        <v>8.3538461538461526</v>
      </c>
      <c r="T116" s="1">
        <v>57</v>
      </c>
      <c r="U116" s="333">
        <f t="shared" si="46"/>
        <v>1.5161290322580645</v>
      </c>
      <c r="V116" s="4">
        <v>26</v>
      </c>
      <c r="W116" s="7">
        <f t="shared" si="47"/>
        <v>7.0980000000000008</v>
      </c>
      <c r="X116" s="7">
        <f t="shared" si="48"/>
        <v>15.561000000000002</v>
      </c>
      <c r="Y116" s="8">
        <f t="shared" si="49"/>
        <v>7</v>
      </c>
      <c r="Z116" s="7">
        <f>IF(ISBLANK(Z29),NA(),SUM($Z$4:Z29))</f>
        <v>52.699999999999996</v>
      </c>
      <c r="AA116" s="7">
        <f t="shared" si="73"/>
        <v>39.41935483870968</v>
      </c>
      <c r="AB116" s="26">
        <f>IF(ISBLANK(Z29),"",SUM($Z$4:Z29))</f>
        <v>52.699999999999996</v>
      </c>
      <c r="AC116" s="115">
        <f t="shared" si="74"/>
        <v>1.3369067103109655</v>
      </c>
      <c r="AD116" s="8">
        <f t="shared" si="50"/>
        <v>1011.9807692307693</v>
      </c>
      <c r="AE116" s="610">
        <f t="shared" si="51"/>
        <v>0.84155307285698466</v>
      </c>
      <c r="AF116" s="524">
        <f t="shared" si="52"/>
        <v>0.29444444444444445</v>
      </c>
      <c r="AG116" s="22">
        <f>IF(ISBLANK(AP29),NA(),SUM($AP$4:AP29))</f>
        <v>131.39999999999998</v>
      </c>
      <c r="AH116" s="7">
        <f>SUM($AS$91:AS116)</f>
        <v>156.13988497945914</v>
      </c>
      <c r="AI116" s="115">
        <f t="shared" si="53"/>
        <v>0.84155307285698466</v>
      </c>
      <c r="AJ116" s="124">
        <f t="shared" si="54"/>
        <v>0</v>
      </c>
      <c r="AK116" s="8">
        <f t="shared" si="55"/>
        <v>1015.5</v>
      </c>
      <c r="AL116" s="124">
        <f t="shared" si="56"/>
        <v>0</v>
      </c>
      <c r="AM116" s="524">
        <f t="shared" si="57"/>
        <v>0.69236111111111109</v>
      </c>
      <c r="AO116" s="524">
        <f t="shared" si="58"/>
        <v>0.68402777777777779</v>
      </c>
      <c r="AR116" s="524">
        <f t="shared" si="59"/>
        <v>0.23333333333333331</v>
      </c>
      <c r="AS116" s="7">
        <f t="shared" si="60"/>
        <v>5.8273555919913989</v>
      </c>
      <c r="AT116" s="7">
        <v>14.312324424786047</v>
      </c>
      <c r="AU116" s="4">
        <v>26</v>
      </c>
      <c r="AV116" s="127">
        <f t="shared" si="61"/>
        <v>0</v>
      </c>
      <c r="AW116" s="124">
        <f t="shared" si="75"/>
        <v>0</v>
      </c>
      <c r="AX116" s="124">
        <f t="shared" si="76"/>
        <v>0</v>
      </c>
      <c r="AY116" s="124">
        <f t="shared" si="62"/>
        <v>0</v>
      </c>
      <c r="AZ116" s="125">
        <f t="shared" si="63"/>
        <v>4.3049999999999997</v>
      </c>
      <c r="BA116" s="125">
        <f t="shared" si="64"/>
        <v>14.899999999999999</v>
      </c>
      <c r="BB116" s="125">
        <f t="shared" si="65"/>
        <v>20.9</v>
      </c>
      <c r="BC116" s="7">
        <v>15.403333333333332</v>
      </c>
      <c r="BD116" s="7">
        <v>21.216666666666665</v>
      </c>
      <c r="BF116" s="8">
        <f t="shared" si="66"/>
        <v>71</v>
      </c>
      <c r="BG116" s="21">
        <f t="shared" si="67"/>
        <v>16.3</v>
      </c>
      <c r="BH116" s="124">
        <f t="shared" si="68"/>
        <v>0</v>
      </c>
      <c r="BI116" s="124">
        <f t="shared" si="77"/>
        <v>0</v>
      </c>
      <c r="BJ116" s="144">
        <f t="shared" si="69"/>
        <v>0</v>
      </c>
      <c r="BL116" s="99">
        <v>26</v>
      </c>
    </row>
    <row r="117" spans="1:64" ht="12.75" x14ac:dyDescent="0.2">
      <c r="A117" s="8">
        <f t="shared" si="33"/>
        <v>25</v>
      </c>
      <c r="B117" s="125">
        <f t="shared" si="34"/>
        <v>13.4</v>
      </c>
      <c r="C117" s="125">
        <f t="shared" si="35"/>
        <v>22.4</v>
      </c>
      <c r="D117" s="125">
        <f t="shared" si="70"/>
        <v>17.899999999999999</v>
      </c>
      <c r="E117" s="125">
        <f t="shared" si="36"/>
        <v>8.9999999999999982</v>
      </c>
      <c r="F117" s="7">
        <v>13.95</v>
      </c>
      <c r="G117" s="7">
        <v>22.67</v>
      </c>
      <c r="H117" s="7">
        <f t="shared" si="71"/>
        <v>18.310000000000002</v>
      </c>
      <c r="I117" s="7">
        <f t="shared" si="72"/>
        <v>8.7200000000000024</v>
      </c>
      <c r="K117" s="7">
        <f t="shared" si="37"/>
        <v>5.7</v>
      </c>
      <c r="L117" s="7">
        <f t="shared" si="38"/>
        <v>17.25</v>
      </c>
      <c r="M117" s="370">
        <f t="shared" si="39"/>
        <v>4.3925925925925933</v>
      </c>
      <c r="N117" s="1">
        <f t="shared" si="40"/>
        <v>0</v>
      </c>
      <c r="O117" s="7">
        <f t="shared" si="41"/>
        <v>66.555555555555557</v>
      </c>
      <c r="P117" s="7">
        <f t="shared" si="42"/>
        <v>12.566666666666665</v>
      </c>
      <c r="Q117" s="7">
        <f t="shared" si="43"/>
        <v>20.822222222222216</v>
      </c>
      <c r="R117" s="7">
        <f t="shared" si="44"/>
        <v>16.674074074074074</v>
      </c>
      <c r="S117" s="7">
        <f t="shared" si="45"/>
        <v>8.2555555555555529</v>
      </c>
      <c r="T117" s="1">
        <v>58</v>
      </c>
      <c r="U117" s="333">
        <f t="shared" si="46"/>
        <v>1.5161290322580645</v>
      </c>
      <c r="V117" s="4">
        <v>27</v>
      </c>
      <c r="W117" s="7">
        <f t="shared" si="47"/>
        <v>7.3710000000000004</v>
      </c>
      <c r="X117" s="7">
        <f t="shared" si="48"/>
        <v>15.834000000000001</v>
      </c>
      <c r="Y117" s="8">
        <f t="shared" si="49"/>
        <v>3</v>
      </c>
      <c r="Z117" s="7">
        <f>IF(ISBLANK(Z30),NA(),SUM($Z$4:Z30))</f>
        <v>52.699999999999996</v>
      </c>
      <c r="AA117" s="7">
        <f t="shared" si="73"/>
        <v>40.935483870967744</v>
      </c>
      <c r="AB117" s="26">
        <f>IF(ISBLANK(Z30),"",SUM($Z$4:Z30))</f>
        <v>52.699999999999996</v>
      </c>
      <c r="AC117" s="115">
        <f t="shared" si="74"/>
        <v>1.2873916469661149</v>
      </c>
      <c r="AD117" s="8">
        <f t="shared" si="50"/>
        <v>1012.2962962962963</v>
      </c>
      <c r="AE117" s="610">
        <f t="shared" si="51"/>
        <v>0.82062749706470439</v>
      </c>
      <c r="AF117" s="524">
        <f t="shared" si="52"/>
        <v>0.3125</v>
      </c>
      <c r="AG117" s="22">
        <f>IF(ISBLANK(AP30),NA(),SUM($AP$4:AP30))</f>
        <v>132.89999999999998</v>
      </c>
      <c r="AH117" s="7">
        <f>SUM($AS$91:AS117)</f>
        <v>161.94924064251913</v>
      </c>
      <c r="AI117" s="115">
        <f t="shared" si="53"/>
        <v>0.82062749706470439</v>
      </c>
      <c r="AJ117" s="124">
        <f t="shared" si="54"/>
        <v>0</v>
      </c>
      <c r="AK117" s="8">
        <f t="shared" si="55"/>
        <v>1020.5</v>
      </c>
      <c r="AL117" s="124">
        <f t="shared" si="56"/>
        <v>0</v>
      </c>
      <c r="AM117" s="524">
        <f t="shared" si="57"/>
        <v>0.7</v>
      </c>
      <c r="AO117" s="524">
        <f t="shared" si="58"/>
        <v>0.69444444444444453</v>
      </c>
      <c r="AR117" s="524">
        <f t="shared" si="59"/>
        <v>0.22916666666666666</v>
      </c>
      <c r="AS117" s="7">
        <f t="shared" si="60"/>
        <v>5.8093556630599981</v>
      </c>
      <c r="AT117" s="7">
        <v>14.268115551923824</v>
      </c>
      <c r="AU117" s="4">
        <v>27</v>
      </c>
      <c r="AV117" s="127">
        <f t="shared" si="61"/>
        <v>0</v>
      </c>
      <c r="AW117" s="124">
        <f t="shared" si="75"/>
        <v>0</v>
      </c>
      <c r="AX117" s="124">
        <f t="shared" si="76"/>
        <v>0</v>
      </c>
      <c r="AY117" s="124">
        <f t="shared" si="62"/>
        <v>1</v>
      </c>
      <c r="AZ117" s="125">
        <f t="shared" si="63"/>
        <v>4.3049999999999997</v>
      </c>
      <c r="BA117" s="125">
        <f t="shared" si="64"/>
        <v>14.899999999999999</v>
      </c>
      <c r="BB117" s="125">
        <f t="shared" si="65"/>
        <v>20.9</v>
      </c>
      <c r="BC117" s="7">
        <v>15.403333333333332</v>
      </c>
      <c r="BD117" s="7">
        <v>21.216666666666665</v>
      </c>
      <c r="BF117" s="8">
        <f t="shared" si="66"/>
        <v>72</v>
      </c>
      <c r="BG117" s="21">
        <f t="shared" si="67"/>
        <v>16.8</v>
      </c>
      <c r="BH117" s="124">
        <f t="shared" si="68"/>
        <v>0</v>
      </c>
      <c r="BI117" s="124">
        <f t="shared" si="77"/>
        <v>0</v>
      </c>
      <c r="BJ117" s="144">
        <f t="shared" si="69"/>
        <v>0</v>
      </c>
      <c r="BL117" s="99">
        <v>27</v>
      </c>
    </row>
    <row r="118" spans="1:64" ht="12.75" x14ac:dyDescent="0.2">
      <c r="A118" s="8">
        <f t="shared" si="33"/>
        <v>39</v>
      </c>
      <c r="B118" s="125">
        <f t="shared" si="34"/>
        <v>13.4</v>
      </c>
      <c r="C118" s="125">
        <f t="shared" si="35"/>
        <v>22.4</v>
      </c>
      <c r="D118" s="125">
        <f t="shared" si="70"/>
        <v>17.899999999999999</v>
      </c>
      <c r="E118" s="125">
        <f t="shared" si="36"/>
        <v>8.9999999999999982</v>
      </c>
      <c r="F118" s="7">
        <v>13.95</v>
      </c>
      <c r="G118" s="7">
        <v>22.67</v>
      </c>
      <c r="H118" s="7">
        <f t="shared" si="71"/>
        <v>18.310000000000002</v>
      </c>
      <c r="I118" s="7">
        <f t="shared" si="72"/>
        <v>8.7200000000000024</v>
      </c>
      <c r="K118" s="7">
        <f t="shared" si="37"/>
        <v>9.1999999999999993</v>
      </c>
      <c r="L118" s="7">
        <f t="shared" si="38"/>
        <v>19</v>
      </c>
      <c r="M118" s="370">
        <f t="shared" si="39"/>
        <v>4.3285714285714283</v>
      </c>
      <c r="N118" s="1">
        <f t="shared" si="40"/>
        <v>0</v>
      </c>
      <c r="O118" s="7">
        <f t="shared" si="41"/>
        <v>66.571428571428569</v>
      </c>
      <c r="P118" s="7">
        <f t="shared" si="42"/>
        <v>12.632142857142854</v>
      </c>
      <c r="Q118" s="7">
        <f t="shared" si="43"/>
        <v>20.921428571428567</v>
      </c>
      <c r="R118" s="7">
        <f t="shared" si="44"/>
        <v>16.75357142857143</v>
      </c>
      <c r="S118" s="7">
        <f t="shared" si="45"/>
        <v>8.2892857142857128</v>
      </c>
      <c r="T118" s="1">
        <v>59</v>
      </c>
      <c r="U118" s="333">
        <f t="shared" si="46"/>
        <v>1.5161290322580645</v>
      </c>
      <c r="V118" s="4">
        <v>28</v>
      </c>
      <c r="W118" s="7">
        <f t="shared" si="47"/>
        <v>7.6440000000000001</v>
      </c>
      <c r="X118" s="7">
        <f t="shared" si="48"/>
        <v>16.107000000000003</v>
      </c>
      <c r="Y118" s="8">
        <f t="shared" si="49"/>
        <v>2</v>
      </c>
      <c r="Z118" s="7">
        <f>IF(ISBLANK(Z31),NA(),SUM($Z$4:Z31))</f>
        <v>52.699999999999996</v>
      </c>
      <c r="AA118" s="7">
        <f t="shared" si="73"/>
        <v>42.451612903225808</v>
      </c>
      <c r="AB118" s="26">
        <f>IF(ISBLANK(Z31),"",SUM($Z$4:Z31))</f>
        <v>52.699999999999996</v>
      </c>
      <c r="AC118" s="115">
        <f t="shared" si="74"/>
        <v>1.2414133738601822</v>
      </c>
      <c r="AD118" s="8">
        <f t="shared" si="50"/>
        <v>1012.6428571428571</v>
      </c>
      <c r="AE118" s="610">
        <f t="shared" si="51"/>
        <v>0.83104678643168839</v>
      </c>
      <c r="AF118" s="524">
        <f t="shared" si="52"/>
        <v>0.28125</v>
      </c>
      <c r="AG118" s="22">
        <f>IF(ISBLANK(AP31),NA(),SUM($AP$4:AP31))</f>
        <v>139.39999999999998</v>
      </c>
      <c r="AH118" s="7">
        <f>SUM($AS$91:AS118)</f>
        <v>167.740255152841</v>
      </c>
      <c r="AI118" s="115">
        <f t="shared" si="53"/>
        <v>0.83104678643168839</v>
      </c>
      <c r="AJ118" s="124">
        <f t="shared" si="54"/>
        <v>0</v>
      </c>
      <c r="AK118" s="8">
        <f t="shared" si="55"/>
        <v>1022</v>
      </c>
      <c r="AL118" s="124">
        <f t="shared" si="56"/>
        <v>0</v>
      </c>
      <c r="AM118" s="524">
        <f t="shared" si="57"/>
        <v>0.80902777777777779</v>
      </c>
      <c r="AO118" s="524">
        <f t="shared" si="58"/>
        <v>0.78611111111111109</v>
      </c>
      <c r="AR118" s="524">
        <f t="shared" si="59"/>
        <v>1.3888888888888888E-2</v>
      </c>
      <c r="AS118" s="7">
        <f t="shared" si="60"/>
        <v>5.7910145103218609</v>
      </c>
      <c r="AT118" s="7">
        <v>14.223068613536618</v>
      </c>
      <c r="AU118" s="4">
        <v>28</v>
      </c>
      <c r="AV118" s="127">
        <f t="shared" si="61"/>
        <v>1</v>
      </c>
      <c r="AW118" s="124">
        <f t="shared" si="75"/>
        <v>0</v>
      </c>
      <c r="AX118" s="124">
        <f t="shared" si="76"/>
        <v>0</v>
      </c>
      <c r="AY118" s="124">
        <f t="shared" si="62"/>
        <v>1</v>
      </c>
      <c r="AZ118" s="125">
        <f t="shared" si="63"/>
        <v>4.3049999999999997</v>
      </c>
      <c r="BA118" s="125">
        <f t="shared" si="64"/>
        <v>14.899999999999999</v>
      </c>
      <c r="BB118" s="125">
        <f t="shared" si="65"/>
        <v>20.9</v>
      </c>
      <c r="BC118" s="7">
        <v>15.403333333333332</v>
      </c>
      <c r="BD118" s="7">
        <v>21.216666666666665</v>
      </c>
      <c r="BF118" s="8">
        <f t="shared" si="66"/>
        <v>67</v>
      </c>
      <c r="BG118" s="21">
        <f t="shared" si="67"/>
        <v>18.899999999999999</v>
      </c>
      <c r="BH118" s="124">
        <f t="shared" si="68"/>
        <v>0</v>
      </c>
      <c r="BI118" s="124">
        <f t="shared" si="77"/>
        <v>0</v>
      </c>
      <c r="BJ118" s="144">
        <f t="shared" si="69"/>
        <v>0</v>
      </c>
      <c r="BL118" s="99">
        <v>28</v>
      </c>
    </row>
    <row r="119" spans="1:64" ht="12.75" x14ac:dyDescent="0.2">
      <c r="A119" s="8">
        <f t="shared" si="33"/>
        <v>28</v>
      </c>
      <c r="B119" s="125">
        <f t="shared" si="34"/>
        <v>13.4</v>
      </c>
      <c r="C119" s="125">
        <f t="shared" si="35"/>
        <v>22.4</v>
      </c>
      <c r="D119" s="125">
        <f t="shared" si="70"/>
        <v>17.899999999999999</v>
      </c>
      <c r="E119" s="125">
        <f t="shared" si="36"/>
        <v>8.9999999999999982</v>
      </c>
      <c r="F119" s="7">
        <v>13.914999999999999</v>
      </c>
      <c r="G119" s="7">
        <v>22.67</v>
      </c>
      <c r="H119" s="7">
        <f t="shared" si="71"/>
        <v>18.2925</v>
      </c>
      <c r="I119" s="7">
        <f t="shared" si="72"/>
        <v>8.7550000000000026</v>
      </c>
      <c r="K119" s="7">
        <f t="shared" si="37"/>
        <v>7.1</v>
      </c>
      <c r="L119" s="7">
        <f t="shared" si="38"/>
        <v>16.95</v>
      </c>
      <c r="M119" s="370">
        <f t="shared" si="39"/>
        <v>4.2896551724137932</v>
      </c>
      <c r="N119" s="1">
        <f t="shared" si="40"/>
        <v>0</v>
      </c>
      <c r="O119" s="7">
        <f t="shared" si="41"/>
        <v>66.758620689655174</v>
      </c>
      <c r="P119" s="7">
        <f t="shared" si="42"/>
        <v>12.658620689655169</v>
      </c>
      <c r="Q119" s="7">
        <f t="shared" si="43"/>
        <v>20.906896551724131</v>
      </c>
      <c r="R119" s="7">
        <f t="shared" si="44"/>
        <v>16.751724137931035</v>
      </c>
      <c r="S119" s="7">
        <f t="shared" si="45"/>
        <v>8.2482758620689633</v>
      </c>
      <c r="T119" s="1">
        <v>60</v>
      </c>
      <c r="U119" s="333">
        <f t="shared" si="46"/>
        <v>1.5161290322580645</v>
      </c>
      <c r="V119" s="4">
        <v>29</v>
      </c>
      <c r="W119" s="7">
        <f t="shared" si="47"/>
        <v>7.9170000000000007</v>
      </c>
      <c r="X119" s="7">
        <f t="shared" si="48"/>
        <v>16.380000000000003</v>
      </c>
      <c r="Y119" s="8">
        <f t="shared" si="49"/>
        <v>3</v>
      </c>
      <c r="Z119" s="7">
        <f>IF(ISBLANK(Z32),NA(),SUM($Z$4:Z32))</f>
        <v>52.699999999999996</v>
      </c>
      <c r="AA119" s="7">
        <f t="shared" si="73"/>
        <v>43.967741935483872</v>
      </c>
      <c r="AB119" s="26">
        <f>IF(ISBLANK(Z32),"",SUM($Z$4:Z32))</f>
        <v>52.699999999999996</v>
      </c>
      <c r="AC119" s="115">
        <f t="shared" si="74"/>
        <v>1.1986060161408656</v>
      </c>
      <c r="AD119" s="8">
        <f t="shared" si="50"/>
        <v>1013.0172413793103</v>
      </c>
      <c r="AE119" s="610">
        <f t="shared" si="51"/>
        <v>0.82645295860712165</v>
      </c>
      <c r="AF119" s="524">
        <f t="shared" si="52"/>
        <v>0.24861111111111112</v>
      </c>
      <c r="AG119" s="22">
        <f>IF(ISBLANK(AP32),NA(),SUM($AP$4:AP32))</f>
        <v>143.39999999999998</v>
      </c>
      <c r="AH119" s="7">
        <f>SUM($AS$91:AS119)</f>
        <v>173.51259803302287</v>
      </c>
      <c r="AI119" s="115">
        <f t="shared" si="53"/>
        <v>0.82645295860712165</v>
      </c>
      <c r="AJ119" s="124">
        <f t="shared" si="54"/>
        <v>0</v>
      </c>
      <c r="AK119" s="8">
        <f t="shared" si="55"/>
        <v>1023.5</v>
      </c>
      <c r="AL119" s="124">
        <f t="shared" si="56"/>
        <v>0</v>
      </c>
      <c r="AM119" s="524">
        <f t="shared" si="57"/>
        <v>0.70625000000000004</v>
      </c>
      <c r="AO119" s="524">
        <f t="shared" si="58"/>
        <v>0.55763888888888891</v>
      </c>
      <c r="AR119" s="524">
        <f t="shared" si="59"/>
        <v>0.21111111111111111</v>
      </c>
      <c r="AS119" s="7">
        <f t="shared" si="60"/>
        <v>5.7723428801818732</v>
      </c>
      <c r="AT119" s="7">
        <v>14.177210003420157</v>
      </c>
      <c r="AU119" s="4">
        <v>29</v>
      </c>
      <c r="AV119" s="127">
        <f t="shared" si="61"/>
        <v>1</v>
      </c>
      <c r="AW119" s="124">
        <f t="shared" si="75"/>
        <v>0</v>
      </c>
      <c r="AX119" s="124">
        <f t="shared" si="76"/>
        <v>0</v>
      </c>
      <c r="AY119" s="124">
        <f t="shared" si="62"/>
        <v>1</v>
      </c>
      <c r="AZ119" s="125">
        <f t="shared" si="63"/>
        <v>4.3049999999999997</v>
      </c>
      <c r="BA119" s="125">
        <f t="shared" si="64"/>
        <v>14.899999999999999</v>
      </c>
      <c r="BB119" s="125">
        <f t="shared" si="65"/>
        <v>20.9</v>
      </c>
      <c r="BC119" s="7">
        <v>15.374166666666667</v>
      </c>
      <c r="BD119" s="7">
        <v>21.210833333333333</v>
      </c>
      <c r="BF119" s="8">
        <f t="shared" si="66"/>
        <v>72</v>
      </c>
      <c r="BG119" s="21">
        <f t="shared" si="67"/>
        <v>16.7</v>
      </c>
      <c r="BH119" s="124">
        <f t="shared" si="68"/>
        <v>0</v>
      </c>
      <c r="BI119" s="124">
        <f t="shared" si="77"/>
        <v>0</v>
      </c>
      <c r="BJ119" s="144">
        <f t="shared" si="69"/>
        <v>0</v>
      </c>
      <c r="BL119" s="99">
        <v>29</v>
      </c>
    </row>
    <row r="120" spans="1:64" ht="12.75" x14ac:dyDescent="0.2">
      <c r="A120" s="8">
        <f t="shared" si="33"/>
        <v>43</v>
      </c>
      <c r="B120" s="125">
        <f t="shared" si="34"/>
        <v>13.4</v>
      </c>
      <c r="C120" s="125">
        <f t="shared" si="35"/>
        <v>22.4</v>
      </c>
      <c r="D120" s="125">
        <f t="shared" si="70"/>
        <v>17.899999999999999</v>
      </c>
      <c r="E120" s="125">
        <f t="shared" si="36"/>
        <v>8.9999999999999982</v>
      </c>
      <c r="F120" s="7">
        <v>13.88</v>
      </c>
      <c r="G120" s="7">
        <v>22.67</v>
      </c>
      <c r="H120" s="7">
        <f t="shared" si="71"/>
        <v>18.275000000000002</v>
      </c>
      <c r="I120" s="7">
        <f t="shared" si="72"/>
        <v>8.7900000000000009</v>
      </c>
      <c r="K120" s="7">
        <f t="shared" si="37"/>
        <v>12.7</v>
      </c>
      <c r="L120" s="7">
        <f t="shared" si="38"/>
        <v>15.45</v>
      </c>
      <c r="M120" s="370">
        <f t="shared" si="39"/>
        <v>4.2366666666666672</v>
      </c>
      <c r="N120" s="1">
        <f t="shared" si="40"/>
        <v>0</v>
      </c>
      <c r="O120" s="7">
        <f t="shared" si="41"/>
        <v>66.466666666666669</v>
      </c>
      <c r="P120" s="7">
        <f t="shared" si="42"/>
        <v>12.539999999999997</v>
      </c>
      <c r="Q120" s="7">
        <f t="shared" si="43"/>
        <v>20.93666666666666</v>
      </c>
      <c r="R120" s="7">
        <f t="shared" si="44"/>
        <v>16.743333333333332</v>
      </c>
      <c r="S120" s="7">
        <f t="shared" si="45"/>
        <v>8.3966666666666647</v>
      </c>
      <c r="T120" s="1">
        <v>61</v>
      </c>
      <c r="U120" s="333">
        <f t="shared" si="46"/>
        <v>1.5161290322580645</v>
      </c>
      <c r="V120" s="4">
        <v>30</v>
      </c>
      <c r="W120" s="7">
        <f t="shared" si="47"/>
        <v>8.1900000000000013</v>
      </c>
      <c r="X120" s="7">
        <f t="shared" si="48"/>
        <v>16.653000000000002</v>
      </c>
      <c r="Y120" s="8">
        <f t="shared" si="49"/>
        <v>7</v>
      </c>
      <c r="Z120" s="7">
        <f>IF(ISBLANK(Z33),NA(),SUM($Z$4:Z33))</f>
        <v>52.699999999999996</v>
      </c>
      <c r="AA120" s="7">
        <f t="shared" si="73"/>
        <v>45.483870967741936</v>
      </c>
      <c r="AB120" s="26">
        <f>IF(ISBLANK(Z33),"",SUM($Z$4:Z33))</f>
        <v>52.699999999999996</v>
      </c>
      <c r="AC120" s="115">
        <f t="shared" si="74"/>
        <v>1.1586524822695035</v>
      </c>
      <c r="AD120" s="8">
        <f t="shared" si="50"/>
        <v>1013.3</v>
      </c>
      <c r="AE120" s="610">
        <f t="shared" si="51"/>
        <v>0.86129016965035354</v>
      </c>
      <c r="AF120" s="524">
        <f t="shared" si="52"/>
        <v>0.2902777777777778</v>
      </c>
      <c r="AG120" s="22">
        <f>IF(ISBLANK(AP33),NA(),SUM($AP$4:AP33))</f>
        <v>154.39999999999998</v>
      </c>
      <c r="AH120" s="7">
        <f>SUM($AS$91:AS120)</f>
        <v>179.26594943337119</v>
      </c>
      <c r="AI120" s="115">
        <f t="shared" si="53"/>
        <v>0.86129016965035354</v>
      </c>
      <c r="AJ120" s="124">
        <f t="shared" si="54"/>
        <v>0</v>
      </c>
      <c r="AK120" s="8">
        <f t="shared" si="55"/>
        <v>1021.5</v>
      </c>
      <c r="AL120" s="124">
        <f t="shared" si="56"/>
        <v>0</v>
      </c>
      <c r="AM120" s="524">
        <f t="shared" si="57"/>
        <v>0.77777777777777779</v>
      </c>
      <c r="AO120" s="524">
        <f t="shared" si="58"/>
        <v>0.76249999999999996</v>
      </c>
      <c r="AR120" s="524">
        <f t="shared" si="59"/>
        <v>0.24791666666666667</v>
      </c>
      <c r="AS120" s="7">
        <f t="shared" si="60"/>
        <v>5.7533514003483095</v>
      </c>
      <c r="AT120" s="7">
        <v>14.130565823844382</v>
      </c>
      <c r="AU120" s="4">
        <v>30</v>
      </c>
      <c r="AV120" s="127">
        <f t="shared" si="61"/>
        <v>1</v>
      </c>
      <c r="AW120" s="124">
        <f t="shared" si="75"/>
        <v>0</v>
      </c>
      <c r="AX120" s="124">
        <f t="shared" si="76"/>
        <v>0</v>
      </c>
      <c r="AY120" s="124">
        <f t="shared" si="62"/>
        <v>1</v>
      </c>
      <c r="AZ120" s="125">
        <f t="shared" si="63"/>
        <v>4.3049999999999997</v>
      </c>
      <c r="BA120" s="125">
        <f t="shared" si="64"/>
        <v>14.899999999999999</v>
      </c>
      <c r="BB120" s="125">
        <f t="shared" si="65"/>
        <v>20.9</v>
      </c>
      <c r="BC120" s="7">
        <v>15.345000000000001</v>
      </c>
      <c r="BD120" s="7">
        <v>21.204999999999998</v>
      </c>
      <c r="BF120" s="8">
        <f t="shared" si="66"/>
        <v>58</v>
      </c>
      <c r="BG120" s="21">
        <f t="shared" si="67"/>
        <v>16.5</v>
      </c>
      <c r="BH120" s="124">
        <f t="shared" si="68"/>
        <v>0</v>
      </c>
      <c r="BI120" s="124">
        <f t="shared" si="77"/>
        <v>0</v>
      </c>
      <c r="BJ120" s="144">
        <f t="shared" si="69"/>
        <v>0</v>
      </c>
      <c r="BL120" s="99">
        <v>30</v>
      </c>
    </row>
    <row r="121" spans="1:64" ht="12.75" customHeight="1" x14ac:dyDescent="0.2">
      <c r="A121" s="8">
        <f t="shared" si="33"/>
        <v>44</v>
      </c>
      <c r="B121" s="125">
        <f t="shared" si="34"/>
        <v>13.4</v>
      </c>
      <c r="C121" s="125">
        <f t="shared" si="35"/>
        <v>22.4</v>
      </c>
      <c r="D121" s="125">
        <f t="shared" si="70"/>
        <v>17.899999999999999</v>
      </c>
      <c r="E121" s="125">
        <f t="shared" si="36"/>
        <v>8.9999999999999982</v>
      </c>
      <c r="F121" s="7">
        <v>13.845000000000001</v>
      </c>
      <c r="G121" s="7">
        <v>22.67</v>
      </c>
      <c r="H121" s="7">
        <f t="shared" si="71"/>
        <v>18.2575</v>
      </c>
      <c r="I121" s="7">
        <f t="shared" si="72"/>
        <v>8.8250000000000011</v>
      </c>
      <c r="K121" s="7">
        <f t="shared" si="37"/>
        <v>12.7</v>
      </c>
      <c r="L121" s="7">
        <f t="shared" si="38"/>
        <v>18.350000000000001</v>
      </c>
      <c r="M121" s="370">
        <f t="shared" si="39"/>
        <v>4.2225806451612904</v>
      </c>
      <c r="N121" s="1">
        <f t="shared" si="40"/>
        <v>0</v>
      </c>
      <c r="O121" s="7">
        <f t="shared" si="41"/>
        <v>66.225806451612897</v>
      </c>
      <c r="P121" s="7">
        <f t="shared" si="42"/>
        <v>12.522580645161288</v>
      </c>
      <c r="Q121" s="7">
        <f t="shared" si="43"/>
        <v>21.058064516129026</v>
      </c>
      <c r="R121" s="7">
        <f t="shared" si="44"/>
        <v>16.822580645161292</v>
      </c>
      <c r="S121" s="7">
        <f t="shared" si="45"/>
        <v>8.5354838709677399</v>
      </c>
      <c r="T121" s="1">
        <v>62</v>
      </c>
      <c r="U121" s="333">
        <f t="shared" si="46"/>
        <v>1.5161290322580645</v>
      </c>
      <c r="V121" s="4">
        <v>31</v>
      </c>
      <c r="W121" s="7">
        <f t="shared" si="47"/>
        <v>8.463000000000001</v>
      </c>
      <c r="X121" s="7">
        <f t="shared" si="48"/>
        <v>16.926000000000002</v>
      </c>
      <c r="Y121" s="8">
        <f t="shared" si="49"/>
        <v>4</v>
      </c>
      <c r="Z121" s="7">
        <f>IF(ISBLANK(Z34),NA(),SUM($Z$4:Z34))</f>
        <v>52.699999999999996</v>
      </c>
      <c r="AA121" s="7">
        <f t="shared" si="73"/>
        <v>47</v>
      </c>
      <c r="AB121" s="26">
        <f>IF(ISBLANK(Z6),"",SUM($Z$4:Z34))</f>
        <v>52.699999999999996</v>
      </c>
      <c r="AC121" s="115">
        <f t="shared" si="74"/>
        <v>1.1212765957446809</v>
      </c>
      <c r="AD121" s="8">
        <f t="shared" si="50"/>
        <v>1013.3870967741935</v>
      </c>
      <c r="AE121" s="610">
        <f t="shared" si="51"/>
        <v>0.89945945945945882</v>
      </c>
      <c r="AF121" s="524">
        <f t="shared" si="52"/>
        <v>0.28333333333333333</v>
      </c>
      <c r="AG121" s="22">
        <f>IF(ISBLANK(AP34),NA(),SUM($AP$4:AP34))</f>
        <v>166.39999999999998</v>
      </c>
      <c r="AH121" s="7">
        <f>SUM($AS$91:AS121)</f>
        <v>185.00000000000011</v>
      </c>
      <c r="AI121" s="115">
        <f t="shared" si="53"/>
        <v>0.89945945945945882</v>
      </c>
      <c r="AJ121" s="124">
        <f t="shared" si="54"/>
        <v>0</v>
      </c>
      <c r="AK121" s="8">
        <f t="shared" si="55"/>
        <v>1016</v>
      </c>
      <c r="AL121" s="124">
        <f t="shared" si="56"/>
        <v>0</v>
      </c>
      <c r="AM121" s="524">
        <f t="shared" si="57"/>
        <v>0.7583333333333333</v>
      </c>
      <c r="AO121" s="524">
        <f t="shared" si="58"/>
        <v>0.6791666666666667</v>
      </c>
      <c r="AR121" s="524">
        <f t="shared" si="59"/>
        <v>0.26041666666666669</v>
      </c>
      <c r="AS121" s="7">
        <f t="shared" si="60"/>
        <v>5.734050566628909</v>
      </c>
      <c r="AT121" s="7">
        <v>14.083161853123846</v>
      </c>
      <c r="AU121" s="4">
        <v>31</v>
      </c>
      <c r="AV121" s="127">
        <f t="shared" si="61"/>
        <v>1</v>
      </c>
      <c r="AW121" s="124">
        <f t="shared" si="75"/>
        <v>0</v>
      </c>
      <c r="AX121" s="124">
        <f t="shared" si="76"/>
        <v>0</v>
      </c>
      <c r="AY121" s="124">
        <f t="shared" si="62"/>
        <v>1</v>
      </c>
      <c r="AZ121" s="125">
        <f t="shared" si="63"/>
        <v>4.3049999999999997</v>
      </c>
      <c r="BA121" s="125">
        <f t="shared" si="64"/>
        <v>14.899999999999999</v>
      </c>
      <c r="BB121" s="125">
        <f t="shared" si="65"/>
        <v>20.9</v>
      </c>
      <c r="BC121" s="7">
        <v>15.315833333333334</v>
      </c>
      <c r="BD121" s="7">
        <v>21.199166666666667</v>
      </c>
      <c r="BF121" s="8">
        <f t="shared" si="66"/>
        <v>59</v>
      </c>
      <c r="BG121" s="21">
        <f t="shared" si="67"/>
        <v>19.2</v>
      </c>
      <c r="BH121" s="124">
        <f t="shared" si="68"/>
        <v>0</v>
      </c>
      <c r="BI121" s="124">
        <f t="shared" si="77"/>
        <v>0</v>
      </c>
      <c r="BJ121" s="144">
        <f t="shared" si="69"/>
        <v>0</v>
      </c>
      <c r="BL121" s="99"/>
    </row>
    <row r="122" spans="1:64" ht="6" customHeight="1" x14ac:dyDescent="0.2">
      <c r="C122" s="1"/>
      <c r="D122" s="125"/>
      <c r="E122" s="125"/>
      <c r="F122" s="125"/>
      <c r="G122" s="125"/>
      <c r="H122" s="21"/>
      <c r="I122" s="7"/>
      <c r="K122" s="7"/>
      <c r="M122" s="8"/>
      <c r="N122" s="8"/>
      <c r="P122" s="125"/>
      <c r="R122" s="8"/>
      <c r="S122" s="8"/>
      <c r="U122" s="333"/>
      <c r="V122" s="4"/>
      <c r="W122" s="7"/>
      <c r="Z122" s="7"/>
      <c r="AA122" s="7"/>
      <c r="AB122" s="127"/>
      <c r="AC122" s="7"/>
      <c r="AD122" s="115"/>
      <c r="AE122" s="115"/>
      <c r="AG122" s="22"/>
      <c r="AH122" s="8"/>
      <c r="AI122" s="115"/>
      <c r="AJ122" s="124"/>
      <c r="AK122" s="67"/>
      <c r="AL122" s="124"/>
      <c r="AQ122" s="7"/>
      <c r="AS122" s="7"/>
      <c r="AT122" s="7"/>
      <c r="AU122" s="8"/>
      <c r="AV122" s="127"/>
      <c r="AW122" s="124"/>
      <c r="AX122" s="124"/>
      <c r="AY122" s="124"/>
      <c r="AZ122" s="127"/>
      <c r="BA122" s="125"/>
      <c r="BG122" s="127"/>
      <c r="BH122" s="124"/>
      <c r="BI122" s="124"/>
      <c r="BJ122" s="144"/>
      <c r="BL122" s="99"/>
    </row>
    <row r="123" spans="1:64" ht="12.75" x14ac:dyDescent="0.2">
      <c r="C123" s="1"/>
      <c r="R123" s="8"/>
      <c r="S123" s="8"/>
      <c r="V123" s="11" t="s">
        <v>4</v>
      </c>
      <c r="W123" s="7">
        <f>IF(Z38&lt;1,"",AVERAGE(AB4:AB33))</f>
        <v>1.3692307692307693</v>
      </c>
      <c r="X123" s="7">
        <f>MAX(AB4:AB34)</f>
        <v>3</v>
      </c>
      <c r="AH123" s="115">
        <f>MIN(AE95:AE121)</f>
        <v>0.77032057344225058</v>
      </c>
      <c r="AI123" s="115">
        <f>MAX(AE95:AE121)</f>
        <v>1.4375320075468374</v>
      </c>
      <c r="AJ123" s="117"/>
      <c r="AK123" s="240"/>
      <c r="AL123" s="117"/>
      <c r="AS123" s="7">
        <f>SUM(AS91:AS121)</f>
        <v>185.00000000000011</v>
      </c>
      <c r="AT123" s="7">
        <f>SUM(AT91:AT121)</f>
        <v>454.37076505581587</v>
      </c>
      <c r="AV123" s="124"/>
      <c r="AW123" s="124"/>
      <c r="AX123" s="124"/>
      <c r="AY123" s="124"/>
      <c r="AZ123" s="124"/>
      <c r="BA123" s="124"/>
      <c r="BE123" s="124"/>
      <c r="BG123" s="7"/>
      <c r="BH123" s="124"/>
      <c r="BL123" s="4"/>
    </row>
    <row r="124" spans="1:64" s="95" customFormat="1" ht="18.75" customHeight="1" x14ac:dyDescent="0.2">
      <c r="C124" s="116"/>
      <c r="R124" s="325"/>
      <c r="S124" s="325"/>
      <c r="AY124" s="326"/>
      <c r="AZ124" s="326"/>
      <c r="BA124" s="326"/>
      <c r="BB124" s="326"/>
      <c r="BC124" s="326"/>
      <c r="BD124" s="326"/>
      <c r="BE124" s="326"/>
      <c r="BF124" s="326"/>
      <c r="BH124" s="326"/>
      <c r="BL124" s="81"/>
    </row>
    <row r="125" spans="1:64" ht="12.75" hidden="1" x14ac:dyDescent="0.2">
      <c r="AY125" s="124"/>
      <c r="AZ125" s="124"/>
      <c r="BA125" s="124"/>
      <c r="BB125" s="124"/>
      <c r="BC125" s="124"/>
      <c r="BD125" s="124"/>
      <c r="BE125" s="124"/>
      <c r="BF125" s="124"/>
      <c r="BG125" s="124"/>
      <c r="BH125" s="124"/>
    </row>
    <row r="126" spans="1:64" ht="12.75" hidden="1" x14ac:dyDescent="0.2">
      <c r="AY126" s="124"/>
      <c r="AZ126" s="124"/>
      <c r="BA126" s="124"/>
      <c r="BB126" s="124"/>
      <c r="BC126" s="124"/>
      <c r="BD126" s="124"/>
      <c r="BE126" s="124"/>
      <c r="BF126" s="124"/>
      <c r="BG126" s="124"/>
      <c r="BH126" s="124"/>
    </row>
    <row r="127" spans="1:64" ht="12.75" hidden="1" x14ac:dyDescent="0.2">
      <c r="AY127" s="124"/>
      <c r="AZ127" s="124"/>
      <c r="BA127" s="124"/>
      <c r="BB127" s="124"/>
      <c r="BC127" s="124"/>
      <c r="BD127" s="124"/>
      <c r="BE127" s="124"/>
      <c r="BF127" s="124"/>
      <c r="BG127" s="124"/>
      <c r="BH127" s="124"/>
    </row>
    <row r="128" spans="1:64" ht="12.75" hidden="1" x14ac:dyDescent="0.2">
      <c r="AY128" s="124"/>
      <c r="AZ128" s="124"/>
      <c r="BA128" s="124"/>
      <c r="BB128" s="124"/>
      <c r="BC128" s="124"/>
      <c r="BD128" s="124"/>
      <c r="BE128" s="124"/>
      <c r="BF128" s="124"/>
      <c r="BG128" s="124"/>
      <c r="BH128" s="124"/>
    </row>
    <row r="129" spans="13:60" ht="12.75" hidden="1" x14ac:dyDescent="0.2">
      <c r="AY129" s="124"/>
      <c r="AZ129" s="124"/>
      <c r="BA129" s="124"/>
      <c r="BB129" s="124"/>
      <c r="BC129" s="124"/>
      <c r="BD129" s="124"/>
      <c r="BE129" s="124"/>
      <c r="BF129" s="124"/>
      <c r="BG129" s="124"/>
      <c r="BH129" s="124"/>
    </row>
    <row r="130" spans="13:60" ht="12.75" hidden="1" x14ac:dyDescent="0.2"/>
    <row r="131" spans="13:60" ht="12.75" hidden="1" x14ac:dyDescent="0.2"/>
    <row r="132" spans="13:60" ht="12.75" hidden="1" x14ac:dyDescent="0.2"/>
    <row r="133" spans="13:60" ht="12.75" hidden="1" x14ac:dyDescent="0.2"/>
    <row r="134" spans="13:60" ht="12.75" hidden="1" x14ac:dyDescent="0.2">
      <c r="M134" s="10"/>
    </row>
  </sheetData>
  <sheetCalcPr fullCalcOnLoad="1"/>
  <mergeCells count="173">
    <mergeCell ref="AP82:AQ84"/>
    <mergeCell ref="U57:U58"/>
    <mergeCell ref="V57:V58"/>
    <mergeCell ref="AG58:AJ58"/>
    <mergeCell ref="AG73:AJ73"/>
    <mergeCell ref="AH72:AI72"/>
    <mergeCell ref="Q76:AB76"/>
    <mergeCell ref="AG74:AJ74"/>
    <mergeCell ref="W57:W58"/>
    <mergeCell ref="X57:X58"/>
    <mergeCell ref="Z57:AB57"/>
    <mergeCell ref="AC57:AE57"/>
    <mergeCell ref="AH57:AI57"/>
    <mergeCell ref="Q73:AB73"/>
    <mergeCell ref="AG71:AJ71"/>
    <mergeCell ref="W90:X90"/>
    <mergeCell ref="Q81:AB81"/>
    <mergeCell ref="AH79:AI79"/>
    <mergeCell ref="AD73:AE73"/>
    <mergeCell ref="Q74:AB74"/>
    <mergeCell ref="AP59:AQ59"/>
    <mergeCell ref="AP60:AQ62"/>
    <mergeCell ref="AP63:AQ68"/>
    <mergeCell ref="AP73:AQ75"/>
    <mergeCell ref="AH65:AI65"/>
    <mergeCell ref="AH75:AI75"/>
    <mergeCell ref="AG67:AJ67"/>
    <mergeCell ref="AG66:AJ66"/>
    <mergeCell ref="BF84:BJ84"/>
    <mergeCell ref="BB81:BC81"/>
    <mergeCell ref="AS58:AT58"/>
    <mergeCell ref="AS63:AT63"/>
    <mergeCell ref="AS60:AT60"/>
    <mergeCell ref="AS59:AT59"/>
    <mergeCell ref="AS62:AT62"/>
    <mergeCell ref="B82:D82"/>
    <mergeCell ref="H82:H83"/>
    <mergeCell ref="AH82:AI82"/>
    <mergeCell ref="B83:D83"/>
    <mergeCell ref="Q82:AB82"/>
    <mergeCell ref="B76:D76"/>
    <mergeCell ref="H76:H77"/>
    <mergeCell ref="B77:D77"/>
    <mergeCell ref="B80:D80"/>
    <mergeCell ref="H80:H81"/>
    <mergeCell ref="B81:D81"/>
    <mergeCell ref="B78:D78"/>
    <mergeCell ref="H78:H79"/>
    <mergeCell ref="B79:D79"/>
    <mergeCell ref="B74:D74"/>
    <mergeCell ref="H74:H75"/>
    <mergeCell ref="B75:D75"/>
    <mergeCell ref="Q75:AB75"/>
    <mergeCell ref="B71:D71"/>
    <mergeCell ref="H71:I71"/>
    <mergeCell ref="B73:D73"/>
    <mergeCell ref="B72:D72"/>
    <mergeCell ref="H69:I69"/>
    <mergeCell ref="B69:D69"/>
    <mergeCell ref="B68:D68"/>
    <mergeCell ref="H68:I68"/>
    <mergeCell ref="AH68:AI68"/>
    <mergeCell ref="H70:I70"/>
    <mergeCell ref="AP69:AQ72"/>
    <mergeCell ref="B65:D65"/>
    <mergeCell ref="B66:D66"/>
    <mergeCell ref="H66:I66"/>
    <mergeCell ref="B67:D67"/>
    <mergeCell ref="H67:I67"/>
    <mergeCell ref="B64:D64"/>
    <mergeCell ref="H64:I64"/>
    <mergeCell ref="AG64:AJ64"/>
    <mergeCell ref="B63:D63"/>
    <mergeCell ref="H63:I63"/>
    <mergeCell ref="B61:D61"/>
    <mergeCell ref="B62:D62"/>
    <mergeCell ref="H62:I62"/>
    <mergeCell ref="B59:D59"/>
    <mergeCell ref="H59:I59"/>
    <mergeCell ref="AG59:AJ59"/>
    <mergeCell ref="B60:D60"/>
    <mergeCell ref="H60:I60"/>
    <mergeCell ref="AH60:AI60"/>
    <mergeCell ref="H51:I51"/>
    <mergeCell ref="AS55:AT55"/>
    <mergeCell ref="B57:D57"/>
    <mergeCell ref="H57:I58"/>
    <mergeCell ref="K57:N57"/>
    <mergeCell ref="P57:S57"/>
    <mergeCell ref="B58:D58"/>
    <mergeCell ref="AP52:AQ52"/>
    <mergeCell ref="B53:D53"/>
    <mergeCell ref="Q53:R53"/>
    <mergeCell ref="B56:D56"/>
    <mergeCell ref="AG56:AJ56"/>
    <mergeCell ref="B55:D55"/>
    <mergeCell ref="AA54:AA55"/>
    <mergeCell ref="B54:D54"/>
    <mergeCell ref="Z54:Z55"/>
    <mergeCell ref="BF46:BJ46"/>
    <mergeCell ref="BF47:BJ47"/>
    <mergeCell ref="AY47:BD47"/>
    <mergeCell ref="AS48:AU48"/>
    <mergeCell ref="AS46:AX46"/>
    <mergeCell ref="AS50:AT50"/>
    <mergeCell ref="Q52:R52"/>
    <mergeCell ref="Q51:R51"/>
    <mergeCell ref="H50:I50"/>
    <mergeCell ref="B52:D52"/>
    <mergeCell ref="AS57:AT57"/>
    <mergeCell ref="AS52:AT52"/>
    <mergeCell ref="AS53:AT53"/>
    <mergeCell ref="AS54:AT54"/>
    <mergeCell ref="AS56:AT56"/>
    <mergeCell ref="AS51:AT51"/>
    <mergeCell ref="AS49:AT49"/>
    <mergeCell ref="Z49:AA49"/>
    <mergeCell ref="B48:D48"/>
    <mergeCell ref="B46:E46"/>
    <mergeCell ref="B47:D47"/>
    <mergeCell ref="K48:N48"/>
    <mergeCell ref="Z46:Z47"/>
    <mergeCell ref="AA46:AA47"/>
    <mergeCell ref="AG49:AJ49"/>
    <mergeCell ref="B49:D49"/>
    <mergeCell ref="BA36:BB36"/>
    <mergeCell ref="BA1:BD1"/>
    <mergeCell ref="AS1:AY1"/>
    <mergeCell ref="B38:C38"/>
    <mergeCell ref="B36:C36"/>
    <mergeCell ref="P1:S1"/>
    <mergeCell ref="U1:X1"/>
    <mergeCell ref="AL38:AL43"/>
    <mergeCell ref="AD1:AE1"/>
    <mergeCell ref="Z1:AC1"/>
    <mergeCell ref="BF1:BJ1"/>
    <mergeCell ref="D4:D43"/>
    <mergeCell ref="BA37:BB37"/>
    <mergeCell ref="BA40:BB40"/>
    <mergeCell ref="AL1:AL2"/>
    <mergeCell ref="AN1:AN2"/>
    <mergeCell ref="AP1:AP2"/>
    <mergeCell ref="AQ1:AQ2"/>
    <mergeCell ref="BA38:BB38"/>
    <mergeCell ref="AG1:AJ1"/>
    <mergeCell ref="B42:C42"/>
    <mergeCell ref="B1:B2"/>
    <mergeCell ref="C1:C2"/>
    <mergeCell ref="F1:I1"/>
    <mergeCell ref="K1:N1"/>
    <mergeCell ref="AA50:AA51"/>
    <mergeCell ref="Z50:Z51"/>
    <mergeCell ref="Q50:R50"/>
    <mergeCell ref="B50:D50"/>
    <mergeCell ref="B51:D51"/>
    <mergeCell ref="Z52:Z53"/>
    <mergeCell ref="AC50:AD50"/>
    <mergeCell ref="AH50:AI50"/>
    <mergeCell ref="AA52:AA53"/>
    <mergeCell ref="AG51:AJ51"/>
    <mergeCell ref="AD51:AD52"/>
    <mergeCell ref="AC51:AC52"/>
    <mergeCell ref="AG52:AJ52"/>
    <mergeCell ref="AP53:AQ53"/>
    <mergeCell ref="AH53:AI53"/>
    <mergeCell ref="Q77:AB77"/>
    <mergeCell ref="AP79:AQ81"/>
    <mergeCell ref="Q79:AB79"/>
    <mergeCell ref="Q80:AB80"/>
    <mergeCell ref="AG81:AJ81"/>
    <mergeCell ref="Q78:AB78"/>
    <mergeCell ref="AP76:AQ78"/>
    <mergeCell ref="AG78:AJ78"/>
  </mergeCells>
  <phoneticPr fontId="4" type="noConversion"/>
  <conditionalFormatting sqref="C4:C34">
    <cfRule type="cellIs" dxfId="819" priority="1" stopIfTrue="1" operator="notEqual">
      <formula>G4</formula>
    </cfRule>
  </conditionalFormatting>
  <conditionalFormatting sqref="AC4:AC34">
    <cfRule type="cellIs" dxfId="818" priority="2" stopIfTrue="1" operator="equal">
      <formula>$AC$86</formula>
    </cfRule>
    <cfRule type="cellIs" dxfId="817" priority="3" stopIfTrue="1" operator="equal">
      <formula>0</formula>
    </cfRule>
    <cfRule type="expression" dxfId="816" priority="4" stopIfTrue="1">
      <formula>Z4=0.1</formula>
    </cfRule>
  </conditionalFormatting>
  <conditionalFormatting sqref="W46:W53">
    <cfRule type="expression" dxfId="815" priority="5" stopIfTrue="1">
      <formula>X46=$X$55</formula>
    </cfRule>
  </conditionalFormatting>
  <conditionalFormatting sqref="B4:B34">
    <cfRule type="cellIs" dxfId="814" priority="6" stopIfTrue="1" operator="notEqual">
      <formula>F4</formula>
    </cfRule>
  </conditionalFormatting>
  <conditionalFormatting sqref="AP92:AP107">
    <cfRule type="expression" dxfId="813" priority="7" stopIfTrue="1">
      <formula>AQ92=$AQ$109</formula>
    </cfRule>
  </conditionalFormatting>
  <conditionalFormatting sqref="BG49:BG79">
    <cfRule type="expression" dxfId="812" priority="8" stopIfTrue="1">
      <formula>IF(J4=1,1,0)</formula>
    </cfRule>
  </conditionalFormatting>
  <conditionalFormatting sqref="B72:D80 B48:C66 D48 D51:D52 D54:D66">
    <cfRule type="expression" dxfId="811" priority="9" stopIfTrue="1">
      <formula>IF(F48&gt;0.5,1,0)</formula>
    </cfRule>
    <cfRule type="expression" dxfId="810" priority="10" stopIfTrue="1">
      <formula>IF(F48&lt;0.2,1,0)</formula>
    </cfRule>
  </conditionalFormatting>
  <conditionalFormatting sqref="AS50:AT60">
    <cfRule type="expression" dxfId="809" priority="11" stopIfTrue="1">
      <formula>IF(AV50&gt;0.5,1,0)</formula>
    </cfRule>
    <cfRule type="expression" dxfId="808" priority="12" stopIfTrue="1">
      <formula>IF(AV50&lt;0.2,1,0)</formula>
    </cfRule>
  </conditionalFormatting>
  <conditionalFormatting sqref="BD35">
    <cfRule type="cellIs" dxfId="807" priority="13" stopIfTrue="1" operator="equal">
      <formula>#REF!</formula>
    </cfRule>
    <cfRule type="expression" dxfId="806" priority="14" stopIfTrue="1">
      <formula>AY123=1</formula>
    </cfRule>
    <cfRule type="expression" dxfId="805" priority="15" stopIfTrue="1">
      <formula>BH123=1</formula>
    </cfRule>
  </conditionalFormatting>
  <conditionalFormatting sqref="F4:F34">
    <cfRule type="cellIs" dxfId="804" priority="16" stopIfTrue="1" operator="equal">
      <formula>$F$85</formula>
    </cfRule>
    <cfRule type="cellIs" dxfId="803" priority="17" stopIfTrue="1" operator="equal">
      <formula>$F$86</formula>
    </cfRule>
    <cfRule type="expression" dxfId="802" priority="18" stopIfTrue="1">
      <formula>IF(B4&lt;0,1,0)</formula>
    </cfRule>
  </conditionalFormatting>
  <conditionalFormatting sqref="BF49:BF79">
    <cfRule type="cellIs" dxfId="801" priority="19" stopIfTrue="1" operator="greaterThan">
      <formula>0.9</formula>
    </cfRule>
    <cfRule type="expression" dxfId="800" priority="20" stopIfTrue="1">
      <formula>IF(O4=1,1,0)</formula>
    </cfRule>
  </conditionalFormatting>
  <conditionalFormatting sqref="D53">
    <cfRule type="expression" dxfId="799" priority="21" stopIfTrue="1">
      <formula>IF(H50&gt;0.5,1,0)</formula>
    </cfRule>
    <cfRule type="expression" dxfId="798" priority="22" stopIfTrue="1">
      <formula>IF(H50&lt;0.2,1,0)</formula>
    </cfRule>
  </conditionalFormatting>
  <conditionalFormatting sqref="D49:D50">
    <cfRule type="expression" dxfId="797" priority="23" stopIfTrue="1">
      <formula>IF(L53&gt;0.5,1,0)</formula>
    </cfRule>
    <cfRule type="expression" dxfId="796" priority="24" stopIfTrue="1">
      <formula>IF(L53&lt;0.2,1,0)</formula>
    </cfRule>
  </conditionalFormatting>
  <conditionalFormatting sqref="BA49:BA79">
    <cfRule type="cellIs" dxfId="795" priority="25" stopIfTrue="1" operator="equal">
      <formula>$BB$86</formula>
    </cfRule>
    <cfRule type="expression" dxfId="794" priority="26" stopIfTrue="1">
      <formula>IF(AX91=1,1,0)</formula>
    </cfRule>
    <cfRule type="expression" dxfId="793" priority="27" stopIfTrue="1">
      <formula>IF(AW91=1,1,0)</formula>
    </cfRule>
  </conditionalFormatting>
  <conditionalFormatting sqref="AQ92:AQ107">
    <cfRule type="cellIs" dxfId="792" priority="28" stopIfTrue="1" operator="equal">
      <formula>$AQ$109</formula>
    </cfRule>
  </conditionalFormatting>
  <conditionalFormatting sqref="AB91:AB121">
    <cfRule type="cellIs" dxfId="791" priority="29" stopIfTrue="1" operator="equal">
      <formula>0</formula>
    </cfRule>
  </conditionalFormatting>
  <conditionalFormatting sqref="AM4:AM34">
    <cfRule type="cellIs" dxfId="790" priority="30" stopIfTrue="1" operator="equal">
      <formula>$AH$86</formula>
    </cfRule>
    <cfRule type="cellIs" dxfId="789" priority="31" stopIfTrue="1" operator="equal">
      <formula>$AH$85</formula>
    </cfRule>
  </conditionalFormatting>
  <conditionalFormatting sqref="AE4:AE34">
    <cfRule type="cellIs" dxfId="788" priority="32" stopIfTrue="1" operator="equal">
      <formula>$AD$86</formula>
    </cfRule>
    <cfRule type="cellIs" dxfId="787" priority="33" stopIfTrue="1" operator="equal">
      <formula>0</formula>
    </cfRule>
  </conditionalFormatting>
  <conditionalFormatting sqref="AY49:AZ79">
    <cfRule type="cellIs" dxfId="786" priority="34" stopIfTrue="1" operator="equal">
      <formula>$BA$84</formula>
    </cfRule>
    <cfRule type="cellIs" dxfId="785" priority="35" stopIfTrue="1" operator="equal">
      <formula>$BB$84</formula>
    </cfRule>
  </conditionalFormatting>
  <conditionalFormatting sqref="AW4:AW34 BI35">
    <cfRule type="cellIs" dxfId="784" priority="36" stopIfTrue="1" operator="equal">
      <formula>$AW$85</formula>
    </cfRule>
    <cfRule type="cellIs" dxfId="783" priority="37" stopIfTrue="1" operator="equal">
      <formula>$AW$86</formula>
    </cfRule>
  </conditionalFormatting>
  <conditionalFormatting sqref="BC35 BD4:BD34">
    <cfRule type="cellIs" dxfId="782" priority="38" stopIfTrue="1" operator="equal">
      <formula>$BD$85</formula>
    </cfRule>
    <cfRule type="cellIs" dxfId="781" priority="39" stopIfTrue="1" operator="equal">
      <formula>$BD$86</formula>
    </cfRule>
  </conditionalFormatting>
  <conditionalFormatting sqref="BC49:BC80">
    <cfRule type="cellIs" dxfId="780" priority="40" stopIfTrue="1" operator="equal">
      <formula>$AU$85</formula>
    </cfRule>
    <cfRule type="cellIs" dxfId="779" priority="41" stopIfTrue="1" operator="equal">
      <formula>$AU$86</formula>
    </cfRule>
  </conditionalFormatting>
  <conditionalFormatting sqref="BD49:BD80">
    <cfRule type="cellIs" dxfId="778" priority="42" stopIfTrue="1" operator="equal">
      <formula>#REF!</formula>
    </cfRule>
    <cfRule type="cellIs" dxfId="777" priority="43" stopIfTrue="1" operator="equal">
      <formula>#REF!</formula>
    </cfRule>
  </conditionalFormatting>
  <conditionalFormatting sqref="BF35 BF4:BG34">
    <cfRule type="cellIs" dxfId="776" priority="44" stopIfTrue="1" operator="equal">
      <formula>$BF$85</formula>
    </cfRule>
    <cfRule type="cellIs" dxfId="775" priority="45" stopIfTrue="1" operator="equal">
      <formula>$BF$86</formula>
    </cfRule>
  </conditionalFormatting>
  <conditionalFormatting sqref="BG35">
    <cfRule type="cellIs" dxfId="774" priority="46" stopIfTrue="1" operator="equal">
      <formula>$BG$85</formula>
    </cfRule>
    <cfRule type="cellIs" dxfId="773" priority="47" stopIfTrue="1" operator="equal">
      <formula>$BG$86</formula>
    </cfRule>
  </conditionalFormatting>
  <conditionalFormatting sqref="BH4:BH35">
    <cfRule type="cellIs" dxfId="772" priority="48" stopIfTrue="1" operator="equal">
      <formula>$BH$85</formula>
    </cfRule>
    <cfRule type="cellIs" dxfId="771" priority="49" stopIfTrue="1" operator="equal">
      <formula>$BH$86</formula>
    </cfRule>
  </conditionalFormatting>
  <conditionalFormatting sqref="BA4:BA35 BB4:BB34">
    <cfRule type="cellIs" dxfId="770" priority="50" stopIfTrue="1" operator="equal">
      <formula>$BA$85</formula>
    </cfRule>
    <cfRule type="cellIs" dxfId="769" priority="51" stopIfTrue="1" operator="equal">
      <formula>$BA$86</formula>
    </cfRule>
  </conditionalFormatting>
  <conditionalFormatting sqref="BF80">
    <cfRule type="cellIs" dxfId="768" priority="52" stopIfTrue="1" operator="greaterThan">
      <formula>0.9</formula>
    </cfRule>
  </conditionalFormatting>
  <conditionalFormatting sqref="BG80">
    <cfRule type="cellIs" dxfId="767" priority="53" stopIfTrue="1" operator="lessThan">
      <formula>0.3</formula>
    </cfRule>
  </conditionalFormatting>
  <conditionalFormatting sqref="BJ8:BJ35">
    <cfRule type="cellIs" dxfId="766" priority="54" stopIfTrue="1" operator="equal">
      <formula>$BJ$85</formula>
    </cfRule>
    <cfRule type="cellIs" dxfId="765" priority="55" stopIfTrue="1" operator="equal">
      <formula>$BJ$86</formula>
    </cfRule>
  </conditionalFormatting>
  <conditionalFormatting sqref="BI4:BI34">
    <cfRule type="cellIs" dxfId="764" priority="56" stopIfTrue="1" operator="equal">
      <formula>$BI$86</formula>
    </cfRule>
    <cfRule type="cellIs" dxfId="763" priority="57" stopIfTrue="1" operator="equal">
      <formula>$BI$85</formula>
    </cfRule>
  </conditionalFormatting>
  <conditionalFormatting sqref="AY35:AZ35">
    <cfRule type="cellIs" dxfId="762" priority="58" stopIfTrue="1" operator="equal">
      <formula>$AY$85</formula>
    </cfRule>
    <cfRule type="cellIs" dxfId="761" priority="59" stopIfTrue="1" operator="equal">
      <formula>$AY$86</formula>
    </cfRule>
  </conditionalFormatting>
  <conditionalFormatting sqref="AY4:AY34">
    <cfRule type="cellIs" dxfId="760" priority="60" stopIfTrue="1" operator="equal">
      <formula>$AY$85</formula>
    </cfRule>
    <cfRule type="cellIs" dxfId="759" priority="61" stopIfTrue="1" operator="equal">
      <formula>$AY$86</formula>
    </cfRule>
  </conditionalFormatting>
  <conditionalFormatting sqref="AR4:AR34">
    <cfRule type="cellIs" dxfId="758" priority="62" stopIfTrue="1" operator="equal">
      <formula>$M$92</formula>
    </cfRule>
  </conditionalFormatting>
  <conditionalFormatting sqref="AV50:AV60 F72:F80 F48:F66">
    <cfRule type="cellIs" dxfId="757" priority="63" stopIfTrue="1" operator="between">
      <formula>0.45</formula>
      <formula>0.55</formula>
    </cfRule>
  </conditionalFormatting>
  <conditionalFormatting sqref="AS8:AS34">
    <cfRule type="cellIs" dxfId="756" priority="64" stopIfTrue="1" operator="equal">
      <formula>$AS$85</formula>
    </cfRule>
    <cfRule type="cellIs" dxfId="755" priority="65" stopIfTrue="1" operator="equal">
      <formula>$AS$86</formula>
    </cfRule>
  </conditionalFormatting>
  <conditionalFormatting sqref="AI4:AI35">
    <cfRule type="cellIs" dxfId="754" priority="66" stopIfTrue="1" operator="equal">
      <formula>$AI$85</formula>
    </cfRule>
    <cfRule type="cellIs" dxfId="753" priority="67" stopIfTrue="1" operator="equal">
      <formula>$AI$86</formula>
    </cfRule>
  </conditionalFormatting>
  <conditionalFormatting sqref="AJ4:AJ35">
    <cfRule type="cellIs" dxfId="752" priority="68" stopIfTrue="1" operator="equal">
      <formula>$AJ$85</formula>
    </cfRule>
    <cfRule type="cellIs" dxfId="751" priority="69" stopIfTrue="1" operator="equal">
      <formula>$AJ$86</formula>
    </cfRule>
  </conditionalFormatting>
  <conditionalFormatting sqref="AT4:AT35">
    <cfRule type="cellIs" dxfId="750" priority="70" stopIfTrue="1" operator="equal">
      <formula>$AT$85</formula>
    </cfRule>
    <cfRule type="cellIs" dxfId="749" priority="71" stopIfTrue="1" operator="equal">
      <formula>$AT$86</formula>
    </cfRule>
  </conditionalFormatting>
  <conditionalFormatting sqref="AU4:AU35">
    <cfRule type="cellIs" dxfId="748" priority="72" stopIfTrue="1" operator="equal">
      <formula>$AU$85</formula>
    </cfRule>
    <cfRule type="cellIs" dxfId="747" priority="73" stopIfTrue="1" operator="equal">
      <formula>$AU$86</formula>
    </cfRule>
  </conditionalFormatting>
  <conditionalFormatting sqref="AV35:AW35 AV4:AV34">
    <cfRule type="cellIs" dxfId="746" priority="74" stopIfTrue="1" operator="equal">
      <formula>$AV$85</formula>
    </cfRule>
    <cfRule type="cellIs" dxfId="745" priority="75" stopIfTrue="1" operator="equal">
      <formula>$AV$86</formula>
    </cfRule>
  </conditionalFormatting>
  <conditionalFormatting sqref="AX4:AX35">
    <cfRule type="cellIs" dxfId="744" priority="76" stopIfTrue="1" operator="equal">
      <formula>$AX$85</formula>
    </cfRule>
    <cfRule type="cellIs" dxfId="743" priority="77" stopIfTrue="1" operator="equal">
      <formula>$AX$86</formula>
    </cfRule>
  </conditionalFormatting>
  <conditionalFormatting sqref="AG4:AG34">
    <cfRule type="cellIs" dxfId="742" priority="78" stopIfTrue="1" operator="equal">
      <formula>$AG$85</formula>
    </cfRule>
    <cfRule type="cellIs" dxfId="741" priority="79" stopIfTrue="1" operator="equal">
      <formula>$AG$86</formula>
    </cfRule>
  </conditionalFormatting>
  <conditionalFormatting sqref="AH4:AH35">
    <cfRule type="cellIs" dxfId="740" priority="80" stopIfTrue="1" operator="equal">
      <formula>$AH$85</formula>
    </cfRule>
    <cfRule type="cellIs" dxfId="739" priority="81" stopIfTrue="1" operator="equal">
      <formula>$AH$86</formula>
    </cfRule>
  </conditionalFormatting>
  <conditionalFormatting sqref="AP4:AP34">
    <cfRule type="cellIs" dxfId="738" priority="82" stopIfTrue="1" operator="equal">
      <formula>$AP$86</formula>
    </cfRule>
    <cfRule type="cellIs" dxfId="737" priority="83" stopIfTrue="1" operator="equal">
      <formula>0.001</formula>
    </cfRule>
  </conditionalFormatting>
  <conditionalFormatting sqref="BH49:BH79">
    <cfRule type="cellIs" dxfId="736" priority="84" stopIfTrue="1" operator="greaterThan">
      <formula>0.9</formula>
    </cfRule>
  </conditionalFormatting>
  <conditionalFormatting sqref="BI49:BI79">
    <cfRule type="cellIs" dxfId="735" priority="85" stopIfTrue="1" operator="greaterThan">
      <formula>0.5</formula>
    </cfRule>
  </conditionalFormatting>
  <conditionalFormatting sqref="X46:X53">
    <cfRule type="cellIs" dxfId="734" priority="86" stopIfTrue="1" operator="equal">
      <formula>$X$55</formula>
    </cfRule>
  </conditionalFormatting>
  <conditionalFormatting sqref="L4:L34">
    <cfRule type="cellIs" dxfId="733" priority="87" stopIfTrue="1" operator="equal">
      <formula>98</formula>
    </cfRule>
    <cfRule type="cellIs" dxfId="732" priority="88" stopIfTrue="1" operator="equal">
      <formula>$L$85</formula>
    </cfRule>
    <cfRule type="cellIs" dxfId="731" priority="89" stopIfTrue="1" operator="equal">
      <formula>$L$86</formula>
    </cfRule>
  </conditionalFormatting>
  <conditionalFormatting sqref="K4:K34">
    <cfRule type="cellIs" dxfId="730" priority="90" stopIfTrue="1" operator="equal">
      <formula>$K$85</formula>
    </cfRule>
    <cfRule type="cellIs" dxfId="729" priority="91" stopIfTrue="1" operator="equal">
      <formula>$K$86</formula>
    </cfRule>
  </conditionalFormatting>
  <conditionalFormatting sqref="X6:X22 X4 X31:X34">
    <cfRule type="cellIs" dxfId="728" priority="92" stopIfTrue="1" operator="equal">
      <formula>10</formula>
    </cfRule>
    <cfRule type="cellIs" priority="93" stopIfTrue="1" operator="equal">
      <formula>0</formula>
    </cfRule>
  </conditionalFormatting>
  <conditionalFormatting sqref="X30">
    <cfRule type="cellIs" dxfId="727" priority="94" stopIfTrue="1" operator="equal">
      <formula>$AW$85</formula>
    </cfRule>
    <cfRule type="cellIs" dxfId="726" priority="95" stopIfTrue="1" operator="equal">
      <formula>$AW$86</formula>
    </cfRule>
  </conditionalFormatting>
  <conditionalFormatting sqref="I4:I34">
    <cfRule type="cellIs" dxfId="725" priority="96" stopIfTrue="1" operator="equal">
      <formula>$I$85</formula>
    </cfRule>
    <cfRule type="cellIs" dxfId="724" priority="97" stopIfTrue="1" operator="equal">
      <formula>$I$86</formula>
    </cfRule>
  </conditionalFormatting>
  <conditionalFormatting sqref="N4:N34">
    <cfRule type="cellIs" dxfId="723" priority="98" stopIfTrue="1" operator="equal">
      <formula>$N$85</formula>
    </cfRule>
    <cfRule type="cellIs" dxfId="722" priority="99" stopIfTrue="1" operator="equal">
      <formula>$N$86</formula>
    </cfRule>
  </conditionalFormatting>
  <conditionalFormatting sqref="AA4:AA33 AA34:AB34">
    <cfRule type="cellIs" dxfId="721" priority="100" stopIfTrue="1" operator="equal">
      <formula>$AA$86</formula>
    </cfRule>
  </conditionalFormatting>
  <conditionalFormatting sqref="P4:P34">
    <cfRule type="cellIs" dxfId="720" priority="101" stopIfTrue="1" operator="equal">
      <formula>$P$85</formula>
    </cfRule>
    <cfRule type="cellIs" dxfId="719" priority="102" stopIfTrue="1" operator="equal">
      <formula>$P$86</formula>
    </cfRule>
  </conditionalFormatting>
  <conditionalFormatting sqref="S4:S34">
    <cfRule type="cellIs" dxfId="718" priority="103" stopIfTrue="1" operator="equal">
      <formula>$S$85</formula>
    </cfRule>
    <cfRule type="cellIs" dxfId="717" priority="104" stopIfTrue="1" operator="equal">
      <formula>$S$86</formula>
    </cfRule>
  </conditionalFormatting>
  <conditionalFormatting sqref="R4:R34">
    <cfRule type="cellIs" dxfId="716" priority="105" stopIfTrue="1" operator="equal">
      <formula>$R$85</formula>
    </cfRule>
    <cfRule type="cellIs" dxfId="715" priority="106" stopIfTrue="1" operator="equal">
      <formula>$R$86</formula>
    </cfRule>
  </conditionalFormatting>
  <conditionalFormatting sqref="Q4:Q34">
    <cfRule type="cellIs" dxfId="714" priority="107" stopIfTrue="1" operator="equal">
      <formula>$Q$85</formula>
    </cfRule>
    <cfRule type="cellIs" dxfId="713" priority="108" stopIfTrue="1" operator="equal">
      <formula>$Q$86</formula>
    </cfRule>
  </conditionalFormatting>
  <conditionalFormatting sqref="U47 U49:U50 U53:U56">
    <cfRule type="cellIs" dxfId="712" priority="109" stopIfTrue="1" operator="equal">
      <formula>$W$86</formula>
    </cfRule>
    <cfRule type="cellIs" dxfId="711" priority="110" stopIfTrue="1" operator="equal">
      <formula>$W$85</formula>
    </cfRule>
  </conditionalFormatting>
  <conditionalFormatting sqref="H4:H35">
    <cfRule type="cellIs" dxfId="710" priority="111" stopIfTrue="1" operator="equal">
      <formula>$H$85</formula>
    </cfRule>
    <cfRule type="cellIs" dxfId="709" priority="112" stopIfTrue="1" operator="equal">
      <formula>$H$86</formula>
    </cfRule>
  </conditionalFormatting>
  <conditionalFormatting sqref="M4:M34">
    <cfRule type="cellIs" dxfId="708" priority="113" stopIfTrue="1" operator="equal">
      <formula>$M$85</formula>
    </cfRule>
    <cfRule type="cellIs" dxfId="707" priority="114" stopIfTrue="1" operator="equal">
      <formula>$M$86</formula>
    </cfRule>
  </conditionalFormatting>
  <conditionalFormatting sqref="AB4:AB33">
    <cfRule type="cellIs" dxfId="706" priority="115" stopIfTrue="1" operator="equal">
      <formula>$X$123</formula>
    </cfRule>
  </conditionalFormatting>
  <conditionalFormatting sqref="G4:G34">
    <cfRule type="cellIs" dxfId="705" priority="116" stopIfTrue="1" operator="equal">
      <formula>$G$86</formula>
    </cfRule>
    <cfRule type="cellIs" dxfId="704" priority="117" stopIfTrue="1" operator="equal">
      <formula>$G$85</formula>
    </cfRule>
    <cfRule type="cellIs" dxfId="703" priority="118" stopIfTrue="1" operator="greaterThan">
      <formula>25</formula>
    </cfRule>
  </conditionalFormatting>
  <conditionalFormatting sqref="AD4:AD34">
    <cfRule type="cellIs" dxfId="702" priority="119" stopIfTrue="1" operator="equal">
      <formula>$AE$86</formula>
    </cfRule>
    <cfRule type="cellIs" dxfId="701" priority="120" stopIfTrue="1" operator="equal">
      <formula>$AE$85</formula>
    </cfRule>
  </conditionalFormatting>
  <conditionalFormatting sqref="AQ4:AQ34">
    <cfRule type="cellIs" dxfId="700" priority="121" stopIfTrue="1" operator="equal">
      <formula>0</formula>
    </cfRule>
    <cfRule type="cellIs" dxfId="699" priority="122" stopIfTrue="1" operator="equal">
      <formula>$AQ$86</formula>
    </cfRule>
    <cfRule type="cellIs" dxfId="698" priority="123" stopIfTrue="1" operator="between">
      <formula>0.1</formula>
      <formula>0.4</formula>
    </cfRule>
  </conditionalFormatting>
  <conditionalFormatting sqref="U4:U34">
    <cfRule type="cellIs" dxfId="697" priority="124" stopIfTrue="1" operator="equal">
      <formula>$U$86</formula>
    </cfRule>
    <cfRule type="cellIs" dxfId="696" priority="125" stopIfTrue="1" operator="equal">
      <formula>$U$85</formula>
    </cfRule>
  </conditionalFormatting>
  <conditionalFormatting sqref="V4:V34">
    <cfRule type="cellIs" dxfId="695" priority="126" stopIfTrue="1" operator="equal">
      <formula>$V$86</formula>
    </cfRule>
    <cfRule type="cellIs" dxfId="694" priority="127" stopIfTrue="1" operator="equal">
      <formula>$V$85</formula>
    </cfRule>
  </conditionalFormatting>
  <conditionalFormatting sqref="W4:W34">
    <cfRule type="cellIs" dxfId="693" priority="128" stopIfTrue="1" operator="equal">
      <formula>$W$86</formula>
    </cfRule>
    <cfRule type="cellIs" dxfId="692" priority="129" stopIfTrue="1" operator="equal">
      <formula>$W$85</formula>
    </cfRule>
  </conditionalFormatting>
  <conditionalFormatting sqref="Z4:Z34">
    <cfRule type="cellIs" dxfId="691" priority="130" stopIfTrue="1" operator="equal">
      <formula>0</formula>
    </cfRule>
    <cfRule type="cellIs" dxfId="690" priority="131" stopIfTrue="1" operator="equal">
      <formula>$Z$86</formula>
    </cfRule>
    <cfRule type="cellIs" dxfId="689" priority="132" stopIfTrue="1" operator="lessThan">
      <formula>0.2</formula>
    </cfRule>
  </conditionalFormatting>
  <conditionalFormatting sqref="E48:E66 AU50:AU60">
    <cfRule type="cellIs" dxfId="688" priority="133" stopIfTrue="1" operator="notBetween">
      <formula>-0.5</formula>
      <formula>0.5</formula>
    </cfRule>
    <cfRule type="cellIs" dxfId="687" priority="134" stopIfTrue="1" operator="between">
      <formula>-0.2</formula>
      <formula>0.2</formula>
    </cfRule>
  </conditionalFormatting>
  <conditionalFormatting sqref="E72:E80">
    <cfRule type="cellIs" dxfId="686" priority="135" stopIfTrue="1" operator="notBetween">
      <formula>-0.5</formula>
      <formula>0.5</formula>
    </cfRule>
    <cfRule type="cellIs" dxfId="685" priority="136" stopIfTrue="1" operator="between">
      <formula>-0.2</formula>
      <formula>0.2</formula>
    </cfRule>
  </conditionalFormatting>
  <conditionalFormatting sqref="BC4:BC34">
    <cfRule type="cellIs" dxfId="684" priority="137" stopIfTrue="1" operator="equal">
      <formula>$BC$85</formula>
    </cfRule>
    <cfRule type="cellIs" dxfId="683" priority="138" stopIfTrue="1" operator="equal">
      <formula>$BC$86</formula>
    </cfRule>
  </conditionalFormatting>
  <pageMargins left="0.75" right="0.75" top="1" bottom="1" header="0.5" footer="0.5"/>
  <pageSetup paperSize="9" orientation="portrait" horizontalDpi="4294967293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tabColor indexed="51"/>
  </sheetPr>
  <dimension ref="AA6"/>
  <sheetViews>
    <sheetView zoomScale="75" workbookViewId="0">
      <selection activeCell="AA6" sqref="AA6"/>
    </sheetView>
  </sheetViews>
  <sheetFormatPr defaultRowHeight="12.75" x14ac:dyDescent="0.2"/>
  <sheetData>
    <row r="6" spans="27:27" ht="15.75" x14ac:dyDescent="0.25">
      <c r="AA6" s="614" t="s">
        <v>504</v>
      </c>
    </row>
  </sheetData>
  <phoneticPr fontId="4" type="noConversion"/>
  <pageMargins left="0.75" right="0.75" top="1" bottom="1" header="0.5" footer="0.5"/>
  <headerFooter alignWithMargins="0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>
    <tabColor indexed="52"/>
  </sheetPr>
  <dimension ref="A1:CK134"/>
  <sheetViews>
    <sheetView zoomScale="90" workbookViewId="0">
      <pane xSplit="1" topLeftCell="B1" activePane="topRight" state="frozen"/>
      <selection activeCell="AN72" sqref="AN72"/>
      <selection pane="topRight"/>
    </sheetView>
  </sheetViews>
  <sheetFormatPr defaultRowHeight="0" customHeight="1" zeroHeight="1" x14ac:dyDescent="0.2"/>
  <cols>
    <col min="1" max="1" width="2.85546875" style="1" customWidth="1"/>
    <col min="2" max="2" width="5.42578125" style="1" customWidth="1"/>
    <col min="3" max="3" width="5.140625" style="7" customWidth="1"/>
    <col min="4" max="4" width="10.5703125" style="1" customWidth="1"/>
    <col min="5" max="5" width="8.85546875" style="1" customWidth="1"/>
    <col min="6" max="9" width="9.28515625" style="1" customWidth="1"/>
    <col min="10" max="10" width="0.7109375" style="1" customWidth="1"/>
    <col min="11" max="13" width="8.5703125" style="1" customWidth="1"/>
    <col min="14" max="14" width="7.85546875" style="1" customWidth="1"/>
    <col min="15" max="15" width="1" style="1" customWidth="1"/>
    <col min="16" max="17" width="7.28515625" style="1" customWidth="1"/>
    <col min="18" max="18" width="8.5703125" style="1" customWidth="1"/>
    <col min="19" max="19" width="7.140625" style="1" customWidth="1"/>
    <col min="20" max="20" width="0.7109375" style="1" customWidth="1"/>
    <col min="21" max="22" width="9.28515625" style="1" customWidth="1"/>
    <col min="23" max="23" width="9.7109375" style="1" customWidth="1"/>
    <col min="24" max="24" width="9.28515625" style="1" customWidth="1"/>
    <col min="25" max="25" width="0.85546875" style="1" customWidth="1"/>
    <col min="26" max="26" width="10.42578125" style="1" customWidth="1"/>
    <col min="27" max="27" width="9.42578125" style="1" customWidth="1"/>
    <col min="28" max="28" width="10.5703125" style="1" customWidth="1"/>
    <col min="29" max="29" width="9.28515625" style="1" customWidth="1"/>
    <col min="30" max="30" width="9.85546875" style="1" customWidth="1"/>
    <col min="31" max="31" width="10.140625" style="1" customWidth="1"/>
    <col min="32" max="32" width="0.85546875" style="1" customWidth="1"/>
    <col min="33" max="34" width="8.42578125" style="1" customWidth="1"/>
    <col min="35" max="35" width="8.85546875" style="1" customWidth="1"/>
    <col min="36" max="36" width="8.42578125" style="1" customWidth="1"/>
    <col min="37" max="37" width="0.5703125" style="1" customWidth="1"/>
    <col min="38" max="38" width="8.140625" style="1" customWidth="1"/>
    <col min="39" max="39" width="0.42578125" style="1" customWidth="1"/>
    <col min="40" max="40" width="43.42578125" style="1" customWidth="1"/>
    <col min="41" max="41" width="0.7109375" style="1" customWidth="1"/>
    <col min="42" max="43" width="7.85546875" style="1" customWidth="1"/>
    <col min="44" max="44" width="0.7109375" style="1" customWidth="1"/>
    <col min="45" max="48" width="8.85546875" style="1" customWidth="1"/>
    <col min="49" max="49" width="8.5703125" style="1" customWidth="1"/>
    <col min="50" max="51" width="9.140625" style="1" customWidth="1"/>
    <col min="52" max="52" width="0.5703125" style="1" customWidth="1"/>
    <col min="53" max="53" width="8.28515625" style="1" customWidth="1"/>
    <col min="54" max="54" width="7.7109375" style="1" customWidth="1"/>
    <col min="55" max="55" width="8.5703125" style="1" customWidth="1"/>
    <col min="56" max="56" width="8.85546875" style="1" customWidth="1"/>
    <col min="57" max="57" width="0.5703125" style="1" customWidth="1"/>
    <col min="58" max="62" width="8.85546875" style="1" customWidth="1"/>
    <col min="63" max="63" width="1" style="1" customWidth="1"/>
    <col min="64" max="64" width="2.140625" style="1" customWidth="1"/>
    <col min="65" max="89" width="1.140625" style="1" hidden="1" customWidth="1"/>
    <col min="90" max="91" width="0" style="1" hidden="1" customWidth="1"/>
    <col min="92" max="16384" width="9.140625" style="1"/>
  </cols>
  <sheetData>
    <row r="1" spans="1:64" ht="13.5" customHeight="1" x14ac:dyDescent="0.2">
      <c r="A1" s="88">
        <v>1</v>
      </c>
      <c r="B1" s="676" t="s">
        <v>100</v>
      </c>
      <c r="C1" s="677" t="s">
        <v>99</v>
      </c>
      <c r="D1" s="109">
        <f ca="1">D2/E1</f>
        <v>77.752610000384252</v>
      </c>
      <c r="E1" s="98">
        <f ca="1">COUNT(A3:BL88)</f>
        <v>2549</v>
      </c>
      <c r="F1" s="678" t="s">
        <v>186</v>
      </c>
      <c r="G1" s="678"/>
      <c r="H1" s="678"/>
      <c r="I1" s="678"/>
      <c r="J1" s="6"/>
      <c r="K1" s="679" t="s">
        <v>147</v>
      </c>
      <c r="L1" s="679"/>
      <c r="M1" s="679"/>
      <c r="N1" s="680"/>
      <c r="O1" s="2"/>
      <c r="P1" s="664" t="s">
        <v>0</v>
      </c>
      <c r="Q1" s="664"/>
      <c r="R1" s="664"/>
      <c r="S1" s="665"/>
      <c r="T1" s="3"/>
      <c r="U1" s="666" t="s">
        <v>139</v>
      </c>
      <c r="V1" s="666"/>
      <c r="W1" s="666"/>
      <c r="X1" s="666"/>
      <c r="Y1" s="86"/>
      <c r="Z1" s="674" t="s">
        <v>107</v>
      </c>
      <c r="AA1" s="674"/>
      <c r="AB1" s="674"/>
      <c r="AC1" s="675"/>
      <c r="AD1" s="673" t="s">
        <v>198</v>
      </c>
      <c r="AE1" s="673"/>
      <c r="AF1" s="137"/>
      <c r="AG1" s="672" t="s">
        <v>157</v>
      </c>
      <c r="AH1" s="672"/>
      <c r="AI1" s="672"/>
      <c r="AJ1" s="672"/>
      <c r="AK1" s="6"/>
      <c r="AL1" s="690" t="s">
        <v>252</v>
      </c>
      <c r="AM1" s="86"/>
      <c r="AN1" s="667" t="s">
        <v>1</v>
      </c>
      <c r="AO1" s="399"/>
      <c r="AP1" s="691" t="s">
        <v>122</v>
      </c>
      <c r="AQ1" s="671" t="s">
        <v>192</v>
      </c>
      <c r="AR1" s="86"/>
      <c r="AS1" s="670" t="s">
        <v>12</v>
      </c>
      <c r="AT1" s="670"/>
      <c r="AU1" s="670"/>
      <c r="AV1" s="670"/>
      <c r="AW1" s="670"/>
      <c r="AX1" s="670"/>
      <c r="AY1" s="670"/>
      <c r="AZ1" s="6"/>
      <c r="BA1" s="667" t="s">
        <v>366</v>
      </c>
      <c r="BB1" s="667"/>
      <c r="BC1" s="667"/>
      <c r="BD1" s="667"/>
      <c r="BE1" s="67"/>
      <c r="BF1" s="667" t="s">
        <v>20</v>
      </c>
      <c r="BG1" s="667"/>
      <c r="BH1" s="667"/>
      <c r="BI1" s="667"/>
      <c r="BJ1" s="667"/>
      <c r="BK1" s="88"/>
      <c r="BL1" s="78"/>
    </row>
    <row r="2" spans="1:64" ht="12.75" customHeight="1" x14ac:dyDescent="0.2">
      <c r="A2" s="67"/>
      <c r="B2" s="676"/>
      <c r="C2" s="677"/>
      <c r="D2" s="104">
        <f ca="1">SUM(A3:BL88)</f>
        <v>198191.40289097946</v>
      </c>
      <c r="E2" s="292" t="s">
        <v>150</v>
      </c>
      <c r="F2" s="468" t="s">
        <v>101</v>
      </c>
      <c r="G2" s="469" t="s">
        <v>102</v>
      </c>
      <c r="H2" s="470" t="s">
        <v>156</v>
      </c>
      <c r="I2" s="471" t="s">
        <v>5</v>
      </c>
      <c r="J2" s="6"/>
      <c r="K2" s="212" t="s">
        <v>2</v>
      </c>
      <c r="L2" s="213" t="s">
        <v>3</v>
      </c>
      <c r="M2" s="395" t="s">
        <v>156</v>
      </c>
      <c r="N2" s="398" t="s">
        <v>5</v>
      </c>
      <c r="O2" s="20"/>
      <c r="P2" s="264" t="s">
        <v>2</v>
      </c>
      <c r="Q2" s="258" t="s">
        <v>3</v>
      </c>
      <c r="R2" s="265" t="s">
        <v>4</v>
      </c>
      <c r="S2" s="4" t="s">
        <v>5</v>
      </c>
      <c r="T2" s="67"/>
      <c r="U2" s="217" t="s">
        <v>156</v>
      </c>
      <c r="V2" s="97" t="s">
        <v>3</v>
      </c>
      <c r="W2" s="97" t="s">
        <v>154</v>
      </c>
      <c r="X2" s="217" t="s">
        <v>104</v>
      </c>
      <c r="Y2" s="133"/>
      <c r="Z2" s="424" t="s">
        <v>152</v>
      </c>
      <c r="AA2" s="458" t="s">
        <v>108</v>
      </c>
      <c r="AB2" s="458" t="s">
        <v>197</v>
      </c>
      <c r="AC2" s="508" t="s">
        <v>141</v>
      </c>
      <c r="AD2" s="179" t="s">
        <v>4</v>
      </c>
      <c r="AE2" s="179" t="s">
        <v>3</v>
      </c>
      <c r="AF2" s="68"/>
      <c r="AG2" s="299" t="s">
        <v>2</v>
      </c>
      <c r="AH2" s="309" t="s">
        <v>3</v>
      </c>
      <c r="AI2" s="308" t="s">
        <v>156</v>
      </c>
      <c r="AJ2" s="99" t="s">
        <v>5</v>
      </c>
      <c r="AK2" s="310"/>
      <c r="AL2" s="690"/>
      <c r="AM2" s="86"/>
      <c r="AN2" s="667"/>
      <c r="AO2" s="399"/>
      <c r="AP2" s="692"/>
      <c r="AQ2" s="671"/>
      <c r="AR2" s="86"/>
      <c r="AS2" s="181" t="s">
        <v>21</v>
      </c>
      <c r="AT2" s="294" t="s">
        <v>22</v>
      </c>
      <c r="AU2" s="295" t="s">
        <v>23</v>
      </c>
      <c r="AV2" s="365" t="s">
        <v>24</v>
      </c>
      <c r="AW2" s="263" t="s">
        <v>187</v>
      </c>
      <c r="AX2" s="374" t="s">
        <v>188</v>
      </c>
      <c r="AY2" s="371" t="s">
        <v>124</v>
      </c>
      <c r="AZ2" s="6"/>
      <c r="BA2" s="181" t="s">
        <v>21</v>
      </c>
      <c r="BB2" s="294" t="s">
        <v>22</v>
      </c>
      <c r="BC2" s="295" t="s">
        <v>23</v>
      </c>
      <c r="BD2" s="365" t="s">
        <v>24</v>
      </c>
      <c r="BE2" s="67"/>
      <c r="BF2" s="181" t="s">
        <v>21</v>
      </c>
      <c r="BG2" s="294" t="s">
        <v>25</v>
      </c>
      <c r="BH2" s="365" t="s">
        <v>24</v>
      </c>
      <c r="BI2" s="179" t="s">
        <v>7</v>
      </c>
      <c r="BJ2" s="419" t="s">
        <v>196</v>
      </c>
      <c r="BK2" s="88"/>
      <c r="BL2" s="78"/>
    </row>
    <row r="3" spans="1:64" ht="1.5" customHeight="1" x14ac:dyDescent="0.2">
      <c r="A3" s="67"/>
      <c r="B3" s="128"/>
      <c r="C3" s="283"/>
      <c r="D3" s="67"/>
      <c r="E3" s="68"/>
      <c r="F3" s="68"/>
      <c r="G3" s="68"/>
      <c r="H3" s="68"/>
      <c r="I3" s="68"/>
      <c r="J3" s="6"/>
      <c r="K3" s="68"/>
      <c r="L3" s="68"/>
      <c r="M3" s="68"/>
      <c r="N3" s="84"/>
      <c r="O3" s="20"/>
      <c r="P3" s="257"/>
      <c r="Q3" s="68"/>
      <c r="R3" s="68"/>
      <c r="S3" s="68"/>
      <c r="T3" s="67"/>
      <c r="U3" s="63"/>
      <c r="V3" s="63"/>
      <c r="W3" s="63"/>
      <c r="X3" s="63"/>
      <c r="Y3" s="67"/>
      <c r="Z3" s="425"/>
      <c r="AA3" s="500"/>
      <c r="AB3" s="500"/>
      <c r="AC3" s="509"/>
      <c r="AD3" s="63"/>
      <c r="AE3" s="63"/>
      <c r="AF3" s="67"/>
      <c r="AG3" s="63"/>
      <c r="AH3" s="63"/>
      <c r="AI3" s="63"/>
      <c r="AJ3" s="63"/>
      <c r="AK3" s="67"/>
      <c r="AL3" s="132"/>
      <c r="AM3" s="6"/>
      <c r="AN3" s="67"/>
      <c r="AO3" s="88"/>
      <c r="AP3" s="63"/>
      <c r="AQ3" s="63"/>
      <c r="AR3" s="67"/>
      <c r="AS3" s="67"/>
      <c r="AT3" s="67"/>
      <c r="AU3" s="67"/>
      <c r="AV3" s="366"/>
      <c r="AW3" s="67"/>
      <c r="AX3" s="375"/>
      <c r="AY3" s="372"/>
      <c r="AZ3" s="6"/>
      <c r="BA3" s="67"/>
      <c r="BB3" s="67"/>
      <c r="BC3" s="6"/>
      <c r="BD3" s="366"/>
      <c r="BE3" s="67"/>
      <c r="BF3" s="67"/>
      <c r="BG3" s="67"/>
      <c r="BH3" s="366"/>
      <c r="BI3" s="6"/>
      <c r="BJ3" s="87"/>
      <c r="BK3" s="88"/>
      <c r="BL3" s="78"/>
    </row>
    <row r="4" spans="1:64" ht="12.75" customHeight="1" x14ac:dyDescent="0.2">
      <c r="A4" s="277">
        <v>1</v>
      </c>
      <c r="B4" s="131">
        <v>13.8</v>
      </c>
      <c r="C4" s="282">
        <v>28.2</v>
      </c>
      <c r="D4" s="685" t="s">
        <v>225</v>
      </c>
      <c r="E4" s="113">
        <v>1</v>
      </c>
      <c r="F4" s="23">
        <v>13.8</v>
      </c>
      <c r="G4" s="23">
        <v>28.2</v>
      </c>
      <c r="H4" s="23">
        <v>21.4</v>
      </c>
      <c r="I4" s="23">
        <v>14.4</v>
      </c>
      <c r="J4" s="6">
        <f t="shared" ref="J4:J34" si="0">IF(C4=G4,0,1)</f>
        <v>0</v>
      </c>
      <c r="K4" s="24">
        <v>33</v>
      </c>
      <c r="L4" s="24">
        <v>69</v>
      </c>
      <c r="M4" s="554">
        <v>51</v>
      </c>
      <c r="N4" s="24">
        <v>36</v>
      </c>
      <c r="O4" s="50">
        <f t="shared" ref="O4:O34" si="1">IF(B4=F4,0,1)</f>
        <v>0</v>
      </c>
      <c r="P4" s="24">
        <v>1012</v>
      </c>
      <c r="Q4" s="24">
        <v>1014</v>
      </c>
      <c r="R4" s="24">
        <f>IF(AND(P4&gt;900,P4&lt;1100),AVERAGE(P4:Q4),"")</f>
        <v>1013</v>
      </c>
      <c r="S4" s="24">
        <f>IF(AND(P4&gt;800,P4&lt;1100),Q4-P4,"")</f>
        <v>2</v>
      </c>
      <c r="T4" s="50">
        <v>0</v>
      </c>
      <c r="U4" s="553">
        <v>3.4</v>
      </c>
      <c r="V4" s="553">
        <v>11.8</v>
      </c>
      <c r="W4" s="553">
        <v>15.2</v>
      </c>
      <c r="X4" s="485" t="s">
        <v>111</v>
      </c>
      <c r="Y4" s="72">
        <f>IF(OR(H4&lt;-20,H4&gt;40),"",IF(AQ4&lt;0.5,0,IF(Z4=0,0,IF(Z4&lt;1,1,2))))</f>
        <v>0</v>
      </c>
      <c r="Z4" s="539">
        <v>0</v>
      </c>
      <c r="AA4" s="23" t="s">
        <v>619</v>
      </c>
      <c r="AB4" s="23"/>
      <c r="AC4" s="510" t="str">
        <f>IF(AND(Z4&lt;300,Z4&gt;0),Z4/$Z$38,"")</f>
        <v/>
      </c>
      <c r="AD4" s="7" t="str">
        <f>IF(OR(Z4&lt;0.3,Z4&gt;300),"",Z4/AQ4)</f>
        <v/>
      </c>
      <c r="AE4" s="485" t="s">
        <v>619</v>
      </c>
      <c r="AF4" s="54"/>
      <c r="AG4" s="553">
        <v>6.2</v>
      </c>
      <c r="AH4" s="553">
        <v>14.3</v>
      </c>
      <c r="AI4" s="553">
        <v>10.4</v>
      </c>
      <c r="AJ4" s="7">
        <f>IF(AND(AG4&gt;-40,AG4&lt;30),AH4-AG4,"")</f>
        <v>8.1000000000000014</v>
      </c>
      <c r="AK4" s="6"/>
      <c r="AL4" s="554" t="s">
        <v>620</v>
      </c>
      <c r="AM4" s="54"/>
      <c r="AN4" s="47" t="s">
        <v>16</v>
      </c>
      <c r="AO4" s="400"/>
      <c r="AP4" s="485">
        <v>8</v>
      </c>
      <c r="AQ4" s="485">
        <v>0</v>
      </c>
      <c r="AR4" s="134"/>
      <c r="AS4" s="26">
        <f>IF(ISBLANK(F4),"",(AVERAGE($F$4:F4)))</f>
        <v>13.8</v>
      </c>
      <c r="AT4" s="25">
        <f>IF(ISBLANK(G4),"",(AVERAGE($G$4:G4)))</f>
        <v>28.2</v>
      </c>
      <c r="AU4" s="25">
        <f>IF(ISBLANK(H4),"",(AVERAGE($H$4:H4)))</f>
        <v>21.4</v>
      </c>
      <c r="AV4" s="367">
        <f>IF(ISBLANK(G4),"",(AVERAGE($I$4:I4)))</f>
        <v>14.4</v>
      </c>
      <c r="AW4" s="22">
        <f>IF(ISBLANK(M4),"",AVERAGE($M$4:M4))</f>
        <v>51</v>
      </c>
      <c r="AX4" s="376">
        <f>IF(ISBLANK(P4),"",(AVERAGE($R$4:R4)))</f>
        <v>1013</v>
      </c>
      <c r="AY4" s="368">
        <f>IF(ISBLANK(U4),"",(AVERAGE($U$4:U4)))</f>
        <v>3.4</v>
      </c>
      <c r="AZ4" s="6"/>
      <c r="BA4" s="25">
        <f>IF(ISBLANK(F4),"",F4-F91)</f>
        <v>-9.9999999999997868E-3</v>
      </c>
      <c r="BB4" s="25">
        <f>IF(ISBLANK(G4),"",G4-G91)</f>
        <v>5.5299999999999976</v>
      </c>
      <c r="BC4" s="25">
        <f>IF(ISBLANK(G4),"",AVERAGE(BA4:BB4))</f>
        <v>2.7599999999999989</v>
      </c>
      <c r="BD4" s="367">
        <f>IF(ISBLANK(G4),"",BB4-BA4)</f>
        <v>5.5399999999999974</v>
      </c>
      <c r="BE4" s="67"/>
      <c r="BF4" s="25">
        <f>IF(ISBLANK(F4),"",AS4-AVERAGE($F$91:F91))</f>
        <v>-9.9999999999997868E-3</v>
      </c>
      <c r="BG4" s="25">
        <f>IF(ISBLANK(G4),"",AT4-AVERAGE($G$91:G91))</f>
        <v>5.5299999999999976</v>
      </c>
      <c r="BH4" s="367">
        <f>IF(ISBLANK(G4),"",BG4-BF4)</f>
        <v>5.5399999999999974</v>
      </c>
      <c r="BI4" s="115">
        <f t="shared" ref="BI4:BI33" si="2">IF(ISBLANK(Z4),"",AB91/AA91)</f>
        <v>0</v>
      </c>
      <c r="BJ4" s="115">
        <f t="shared" ref="BJ4:BJ34" si="3">IF(ISBLANK(AP4),"",AG91/AH91)</f>
        <v>1.2839885595665184</v>
      </c>
      <c r="BK4" s="402"/>
      <c r="BL4" s="572">
        <v>1</v>
      </c>
    </row>
    <row r="5" spans="1:64" ht="12.75" customHeight="1" x14ac:dyDescent="0.2">
      <c r="A5" s="278">
        <f t="shared" ref="A5:A33" si="4">SUM(A4+1)</f>
        <v>2</v>
      </c>
      <c r="B5" s="131">
        <v>18</v>
      </c>
      <c r="C5" s="282">
        <v>27.8</v>
      </c>
      <c r="D5" s="685"/>
      <c r="E5" s="99">
        <f t="shared" ref="E5:E33" si="5">SUM(E4+1)</f>
        <v>2</v>
      </c>
      <c r="F5" s="23">
        <v>18</v>
      </c>
      <c r="G5" s="23">
        <v>27.8</v>
      </c>
      <c r="H5" s="23">
        <v>22.6</v>
      </c>
      <c r="I5" s="23">
        <v>9.8000000000000007</v>
      </c>
      <c r="J5" s="6">
        <f t="shared" si="0"/>
        <v>0</v>
      </c>
      <c r="K5" s="24">
        <v>40</v>
      </c>
      <c r="L5" s="24">
        <v>79</v>
      </c>
      <c r="M5" s="554">
        <v>55</v>
      </c>
      <c r="N5" s="24">
        <v>39</v>
      </c>
      <c r="O5" s="50">
        <f t="shared" si="1"/>
        <v>0</v>
      </c>
      <c r="P5" s="24">
        <v>1013</v>
      </c>
      <c r="Q5" s="24">
        <v>1015</v>
      </c>
      <c r="R5" s="24">
        <f t="shared" ref="R5:R34" si="6">IF(AND(P5&gt;900,P5&lt;1100),AVERAGE(P5:Q5),"")</f>
        <v>1014</v>
      </c>
      <c r="S5" s="24">
        <f t="shared" ref="S5:S34" si="7">IF(AND(P5&gt;800,P5&lt;1100),Q5-P5,"")</f>
        <v>2</v>
      </c>
      <c r="T5" s="50">
        <v>0</v>
      </c>
      <c r="U5" s="553">
        <v>2.2000000000000002</v>
      </c>
      <c r="V5" s="553">
        <v>10.199999999999999</v>
      </c>
      <c r="W5" s="553">
        <v>13</v>
      </c>
      <c r="X5" s="562" t="s">
        <v>111</v>
      </c>
      <c r="Y5" s="72">
        <f t="shared" ref="Y5:Y34" si="8">IF(OR(H5&lt;-20,H5&gt;40),"",IF(AQ5&lt;0.5,0,IF(Z5=0,0,IF(Z5&lt;1,1,2))))</f>
        <v>1</v>
      </c>
      <c r="Z5" s="539">
        <v>0.3</v>
      </c>
      <c r="AA5" s="23">
        <v>0.3</v>
      </c>
      <c r="AB5" s="23" t="s">
        <v>8</v>
      </c>
      <c r="AC5" s="510">
        <f t="shared" ref="AC5:AC34" si="9">IF(AND(Z5&lt;300,Z5&gt;0),Z5/$Z$38,"")</f>
        <v>4.1095890410958909E-3</v>
      </c>
      <c r="AD5" s="7">
        <f t="shared" ref="AD5:AD34" si="10">IF(OR(Z5&lt;0.3,Z5&gt;300),"",Z5/AQ5)</f>
        <v>0.6</v>
      </c>
      <c r="AE5" s="485" t="s">
        <v>8</v>
      </c>
      <c r="AF5" s="54"/>
      <c r="AG5" s="553">
        <v>7.4</v>
      </c>
      <c r="AH5" s="553">
        <v>16</v>
      </c>
      <c r="AI5" s="553">
        <v>12.7</v>
      </c>
      <c r="AJ5" s="7">
        <f t="shared" ref="AJ5:AJ34" si="11">IF(AND(AG5&gt;-40,AG5&lt;30),AH5-AG5,"")</f>
        <v>8.6</v>
      </c>
      <c r="AK5" s="6"/>
      <c r="AL5" s="485" t="s">
        <v>621</v>
      </c>
      <c r="AM5" s="54"/>
      <c r="AN5" s="47" t="s">
        <v>622</v>
      </c>
      <c r="AO5" s="400"/>
      <c r="AP5" s="485">
        <v>6.5</v>
      </c>
      <c r="AQ5" s="485">
        <v>0.5</v>
      </c>
      <c r="AR5" s="134"/>
      <c r="AS5" s="26">
        <f>IF(ISBLANK(F5),"",(AVERAGE($F$4:F5)))</f>
        <v>15.9</v>
      </c>
      <c r="AT5" s="26">
        <f>IF(ISBLANK(G5),"",(AVERAGE($G$4:G5)))</f>
        <v>28</v>
      </c>
      <c r="AU5" s="25">
        <f>IF(ISBLANK(H5),"",(AVERAGE($H$4:H5)))</f>
        <v>22</v>
      </c>
      <c r="AV5" s="368">
        <f>IF(ISBLANK(G5),"",(AVERAGE($I$4:I5)))</f>
        <v>12.100000000000001</v>
      </c>
      <c r="AW5" s="22">
        <f>IF(ISBLANK(M5),"",AVERAGE($M$4:M5))</f>
        <v>53</v>
      </c>
      <c r="AX5" s="376">
        <f>IF(ISBLANK(P5),"",(AVERAGE($R$4:R5)))</f>
        <v>1013.5</v>
      </c>
      <c r="AY5" s="368">
        <f>IF(ISBLANK(U5),"",(AVERAGE($U$4:U5)))</f>
        <v>2.8</v>
      </c>
      <c r="AZ5" s="6"/>
      <c r="BA5" s="25">
        <f t="shared" ref="BA5:BA34" si="12">IF(ISBLANK(F5),"",F5-F92)</f>
        <v>4.2249999999999996</v>
      </c>
      <c r="BB5" s="25">
        <f t="shared" ref="BB5:BB34" si="13">IF(ISBLANK(G5),"",G5-G92)</f>
        <v>5.129999999999999</v>
      </c>
      <c r="BC5" s="25">
        <f>IF(ISBLANK(G5),"",AVERAGE(BA5:BB5))</f>
        <v>4.6774999999999993</v>
      </c>
      <c r="BD5" s="367">
        <f>IF(ISBLANK(G5),"",BB5-BA5)</f>
        <v>0.90499999999999936</v>
      </c>
      <c r="BE5" s="72"/>
      <c r="BF5" s="25">
        <f>IF(ISBLANK(F5),"",AS5-AVERAGE($F$91:F92))</f>
        <v>2.1074999999999999</v>
      </c>
      <c r="BG5" s="25">
        <f>IF(ISBLANK(G5),"",AT5-AVERAGE($G$91:G92))</f>
        <v>5.3299999999999983</v>
      </c>
      <c r="BH5" s="367">
        <f t="shared" ref="BH5:BH10" si="14">IF(ISBLANK(G5),"",BG5-BF5)</f>
        <v>3.2224999999999984</v>
      </c>
      <c r="BI5" s="115">
        <f t="shared" si="2"/>
        <v>7.4999999999999997E-2</v>
      </c>
      <c r="BJ5" s="115">
        <f t="shared" si="3"/>
        <v>1.1656430909925988</v>
      </c>
      <c r="BK5" s="420"/>
      <c r="BL5" s="572">
        <v>2</v>
      </c>
    </row>
    <row r="6" spans="1:64" ht="12.75" customHeight="1" x14ac:dyDescent="0.2">
      <c r="A6" s="278">
        <f t="shared" si="4"/>
        <v>3</v>
      </c>
      <c r="B6" s="131">
        <v>15.7</v>
      </c>
      <c r="C6" s="282">
        <v>29.6</v>
      </c>
      <c r="D6" s="685"/>
      <c r="E6" s="99">
        <f t="shared" si="5"/>
        <v>3</v>
      </c>
      <c r="F6" s="23">
        <v>15.7</v>
      </c>
      <c r="G6" s="23">
        <v>29.6</v>
      </c>
      <c r="H6" s="23">
        <v>22.3</v>
      </c>
      <c r="I6" s="23">
        <v>13.9</v>
      </c>
      <c r="J6" s="6">
        <f t="shared" si="0"/>
        <v>0</v>
      </c>
      <c r="K6" s="24">
        <v>34</v>
      </c>
      <c r="L6" s="24">
        <v>77</v>
      </c>
      <c r="M6" s="554">
        <v>54</v>
      </c>
      <c r="N6" s="24">
        <v>43</v>
      </c>
      <c r="O6" s="50">
        <f t="shared" si="1"/>
        <v>0</v>
      </c>
      <c r="P6" s="24">
        <v>1014</v>
      </c>
      <c r="Q6" s="24">
        <v>1015</v>
      </c>
      <c r="R6" s="24">
        <f t="shared" si="6"/>
        <v>1014.5</v>
      </c>
      <c r="S6" s="24">
        <f t="shared" si="7"/>
        <v>1</v>
      </c>
      <c r="T6" s="50">
        <v>0</v>
      </c>
      <c r="U6" s="553">
        <v>3.4</v>
      </c>
      <c r="V6" s="553">
        <v>13.7</v>
      </c>
      <c r="W6" s="553">
        <v>17.5</v>
      </c>
      <c r="X6" s="485" t="s">
        <v>110</v>
      </c>
      <c r="Y6" s="72">
        <f t="shared" si="8"/>
        <v>0</v>
      </c>
      <c r="Z6" s="539">
        <v>0</v>
      </c>
      <c r="AA6" s="23" t="s">
        <v>619</v>
      </c>
      <c r="AB6" s="23"/>
      <c r="AC6" s="510" t="str">
        <f t="shared" si="9"/>
        <v/>
      </c>
      <c r="AD6" s="7" t="str">
        <f t="shared" si="10"/>
        <v/>
      </c>
      <c r="AE6" s="485" t="s">
        <v>619</v>
      </c>
      <c r="AF6" s="54"/>
      <c r="AG6" s="553">
        <v>10</v>
      </c>
      <c r="AH6" s="553">
        <v>14.4</v>
      </c>
      <c r="AI6" s="553">
        <v>11.9</v>
      </c>
      <c r="AJ6" s="7">
        <f t="shared" si="11"/>
        <v>4.4000000000000004</v>
      </c>
      <c r="AK6" s="6"/>
      <c r="AL6" s="485" t="s">
        <v>623</v>
      </c>
      <c r="AM6" s="54"/>
      <c r="AN6" s="47" t="s">
        <v>16</v>
      </c>
      <c r="AO6" s="400"/>
      <c r="AP6" s="485">
        <v>9</v>
      </c>
      <c r="AQ6" s="485">
        <v>0</v>
      </c>
      <c r="AR6" s="134"/>
      <c r="AS6" s="26">
        <f>IF(ISBLANK(F6),"",(AVERAGE($F$4:F6)))</f>
        <v>15.833333333333334</v>
      </c>
      <c r="AT6" s="26">
        <f>IF(ISBLANK(G6),"",(AVERAGE($G$4:G6)))</f>
        <v>28.533333333333331</v>
      </c>
      <c r="AU6" s="25">
        <f>IF(ISBLANK(H6),"",(AVERAGE($H$4:H6)))</f>
        <v>22.099999999999998</v>
      </c>
      <c r="AV6" s="368">
        <f>IF(ISBLANK(G6),"",(AVERAGE($I$4:I6)))</f>
        <v>12.700000000000001</v>
      </c>
      <c r="AW6" s="22">
        <f>IF(ISBLANK(M6),"",AVERAGE($M$4:M6))</f>
        <v>53.333333333333336</v>
      </c>
      <c r="AX6" s="376">
        <f>IF(ISBLANK(P6),"",(AVERAGE($R$4:R6)))</f>
        <v>1013.8333333333334</v>
      </c>
      <c r="AY6" s="368">
        <f>IF(ISBLANK(U6),"",(AVERAGE($U$4:U6)))</f>
        <v>3</v>
      </c>
      <c r="AZ6" s="6"/>
      <c r="BA6" s="25">
        <f t="shared" si="12"/>
        <v>1.9599999999999991</v>
      </c>
      <c r="BB6" s="25">
        <f t="shared" si="13"/>
        <v>6.9500000000000028</v>
      </c>
      <c r="BC6" s="25">
        <f>IF(ISBLANK(G6),"",AVERAGE(BA6:BB6))</f>
        <v>4.455000000000001</v>
      </c>
      <c r="BD6" s="367">
        <f t="shared" ref="BD6:BD34" si="15">IF(ISBLANK(G6),"",BB6-BA6)</f>
        <v>4.9900000000000038</v>
      </c>
      <c r="BE6" s="72"/>
      <c r="BF6" s="25">
        <f>IF(ISBLANK(F6),"",AS6-AVERAGE($F$91:F93))</f>
        <v>2.0583333333333336</v>
      </c>
      <c r="BG6" s="25">
        <f>IF(ISBLANK(G6),"",AT6-AVERAGE($G$91:G93))</f>
        <v>5.8699999999999939</v>
      </c>
      <c r="BH6" s="367">
        <f t="shared" si="14"/>
        <v>3.8116666666666603</v>
      </c>
      <c r="BI6" s="115">
        <f t="shared" si="2"/>
        <v>4.9999999999999996E-2</v>
      </c>
      <c r="BJ6" s="115">
        <f t="shared" si="3"/>
        <v>1.2616503765947309</v>
      </c>
      <c r="BK6" s="402"/>
      <c r="BL6" s="572">
        <v>3</v>
      </c>
    </row>
    <row r="7" spans="1:64" ht="12.75" customHeight="1" x14ac:dyDescent="0.2">
      <c r="A7" s="278">
        <f t="shared" si="4"/>
        <v>4</v>
      </c>
      <c r="B7" s="131">
        <v>16.899999999999999</v>
      </c>
      <c r="C7" s="282">
        <v>20.2</v>
      </c>
      <c r="D7" s="685"/>
      <c r="E7" s="99">
        <f t="shared" si="5"/>
        <v>4</v>
      </c>
      <c r="F7" s="23">
        <v>16.600000000000001</v>
      </c>
      <c r="G7" s="23">
        <v>20.2</v>
      </c>
      <c r="H7" s="23">
        <v>18.2</v>
      </c>
      <c r="I7" s="23">
        <v>3.6</v>
      </c>
      <c r="J7" s="6">
        <f t="shared" si="0"/>
        <v>0</v>
      </c>
      <c r="K7" s="24">
        <v>58</v>
      </c>
      <c r="L7" s="24">
        <v>93</v>
      </c>
      <c r="M7" s="554">
        <v>82</v>
      </c>
      <c r="N7" s="24">
        <v>35</v>
      </c>
      <c r="O7" s="50">
        <f t="shared" si="1"/>
        <v>1</v>
      </c>
      <c r="P7" s="24">
        <v>1007</v>
      </c>
      <c r="Q7" s="24">
        <v>1014</v>
      </c>
      <c r="R7" s="24">
        <f t="shared" si="6"/>
        <v>1010.5</v>
      </c>
      <c r="S7" s="24">
        <f t="shared" si="7"/>
        <v>7</v>
      </c>
      <c r="T7" s="50">
        <v>0</v>
      </c>
      <c r="U7" s="553">
        <v>5.9</v>
      </c>
      <c r="V7" s="553">
        <v>10.9</v>
      </c>
      <c r="W7" s="553">
        <v>16.8</v>
      </c>
      <c r="X7" s="485" t="s">
        <v>110</v>
      </c>
      <c r="Y7" s="72">
        <f t="shared" si="8"/>
        <v>2</v>
      </c>
      <c r="Z7" s="539">
        <v>11.6</v>
      </c>
      <c r="AA7" s="23">
        <v>3.1</v>
      </c>
      <c r="AB7" s="23">
        <v>1.1000000000000001</v>
      </c>
      <c r="AC7" s="510">
        <f t="shared" si="9"/>
        <v>0.15890410958904111</v>
      </c>
      <c r="AD7" s="7">
        <f t="shared" si="10"/>
        <v>1.9333333333333333</v>
      </c>
      <c r="AE7" s="485">
        <v>15</v>
      </c>
      <c r="AF7" s="54"/>
      <c r="AG7" s="553">
        <v>10.199999999999999</v>
      </c>
      <c r="AH7" s="553">
        <v>18.100000000000001</v>
      </c>
      <c r="AI7" s="553">
        <v>14.9</v>
      </c>
      <c r="AJ7" s="7">
        <f t="shared" si="11"/>
        <v>7.9000000000000021</v>
      </c>
      <c r="AK7" s="6"/>
      <c r="AL7" s="485" t="s">
        <v>374</v>
      </c>
      <c r="AM7" s="54"/>
      <c r="AN7" s="23" t="s">
        <v>624</v>
      </c>
      <c r="AO7" s="400"/>
      <c r="AP7" s="485">
        <v>1</v>
      </c>
      <c r="AQ7" s="485">
        <v>6</v>
      </c>
      <c r="AR7" s="134"/>
      <c r="AS7" s="26">
        <f>IF(ISBLANK(F7),"",(AVERAGE($F$4:F7)))</f>
        <v>16.024999999999999</v>
      </c>
      <c r="AT7" s="26">
        <f>IF(ISBLANK(G7),"",(AVERAGE($G$4:G7)))</f>
        <v>26.45</v>
      </c>
      <c r="AU7" s="25">
        <f>IF(ISBLANK(H7),"",(AVERAGE($H$4:H7)))</f>
        <v>21.125</v>
      </c>
      <c r="AV7" s="368">
        <f>IF(ISBLANK(G7),"",(AVERAGE($I$4:I7)))</f>
        <v>10.425000000000001</v>
      </c>
      <c r="AW7" s="22">
        <f>IF(ISBLANK(M7),"",AVERAGE($M$4:M7))</f>
        <v>60.5</v>
      </c>
      <c r="AX7" s="376">
        <f>IF(ISBLANK(P7),"",(AVERAGE($R$4:R7)))</f>
        <v>1013</v>
      </c>
      <c r="AY7" s="368">
        <f>IF(ISBLANK(U7),"",(AVERAGE($U$4:U7)))</f>
        <v>3.7250000000000001</v>
      </c>
      <c r="AZ7" s="6"/>
      <c r="BA7" s="25">
        <f t="shared" si="12"/>
        <v>2.8950000000000014</v>
      </c>
      <c r="BB7" s="25">
        <f t="shared" si="13"/>
        <v>-2.4299999999999997</v>
      </c>
      <c r="BC7" s="25">
        <f t="shared" ref="BC7:BC34" si="16">IF(ISBLANK(G7),"",AVERAGE(BA7:BB7))</f>
        <v>0.23250000000000082</v>
      </c>
      <c r="BD7" s="367">
        <f t="shared" si="15"/>
        <v>-5.3250000000000011</v>
      </c>
      <c r="BE7" s="72"/>
      <c r="BF7" s="25">
        <f>IF(ISBLANK(F7),"",AS7-AVERAGE($F$91:F94))</f>
        <v>2.2674999999999983</v>
      </c>
      <c r="BG7" s="25">
        <f>IF(ISBLANK(G7),"",AT7-AVERAGE($G$91:G94))</f>
        <v>3.7949999999999982</v>
      </c>
      <c r="BH7" s="367">
        <f t="shared" si="14"/>
        <v>1.5274999999999999</v>
      </c>
      <c r="BI7" s="115">
        <f t="shared" si="2"/>
        <v>1.4875</v>
      </c>
      <c r="BJ7" s="115">
        <f t="shared" si="3"/>
        <v>0.98826085768242777</v>
      </c>
      <c r="BK7" s="402"/>
      <c r="BL7" s="572">
        <v>4</v>
      </c>
    </row>
    <row r="8" spans="1:64" ht="12.75" customHeight="1" x14ac:dyDescent="0.2">
      <c r="A8" s="278">
        <f t="shared" si="4"/>
        <v>5</v>
      </c>
      <c r="B8" s="131">
        <v>14.7</v>
      </c>
      <c r="C8" s="282">
        <v>24.7</v>
      </c>
      <c r="D8" s="685"/>
      <c r="E8" s="99">
        <f t="shared" si="5"/>
        <v>5</v>
      </c>
      <c r="F8" s="23">
        <v>14.7</v>
      </c>
      <c r="G8" s="23">
        <v>24.7</v>
      </c>
      <c r="H8" s="23">
        <v>19.3</v>
      </c>
      <c r="I8" s="23">
        <v>10</v>
      </c>
      <c r="J8" s="6">
        <f t="shared" si="0"/>
        <v>0</v>
      </c>
      <c r="K8" s="24">
        <v>42</v>
      </c>
      <c r="L8" s="24">
        <v>90</v>
      </c>
      <c r="M8" s="554">
        <v>68</v>
      </c>
      <c r="N8" s="24">
        <v>48</v>
      </c>
      <c r="O8" s="50">
        <f t="shared" si="1"/>
        <v>0</v>
      </c>
      <c r="P8" s="24">
        <v>1009</v>
      </c>
      <c r="Q8" s="24">
        <v>1013</v>
      </c>
      <c r="R8" s="24">
        <f t="shared" si="6"/>
        <v>1011</v>
      </c>
      <c r="S8" s="24">
        <f t="shared" si="7"/>
        <v>4</v>
      </c>
      <c r="T8" s="50">
        <v>0</v>
      </c>
      <c r="U8" s="553">
        <v>3.9</v>
      </c>
      <c r="V8" s="553">
        <v>9.8000000000000007</v>
      </c>
      <c r="W8" s="553">
        <v>14.3</v>
      </c>
      <c r="X8" s="485" t="s">
        <v>110</v>
      </c>
      <c r="Y8" s="72">
        <f t="shared" si="8"/>
        <v>0</v>
      </c>
      <c r="Z8" s="539">
        <v>0</v>
      </c>
      <c r="AA8" s="23"/>
      <c r="AB8" s="23"/>
      <c r="AC8" s="510" t="str">
        <f t="shared" si="9"/>
        <v/>
      </c>
      <c r="AD8" s="7" t="str">
        <f t="shared" si="10"/>
        <v/>
      </c>
      <c r="AE8" s="485" t="s">
        <v>619</v>
      </c>
      <c r="AF8" s="54"/>
      <c r="AG8" s="553">
        <v>9.3000000000000007</v>
      </c>
      <c r="AH8" s="553">
        <v>15.6</v>
      </c>
      <c r="AI8" s="553">
        <v>12.8</v>
      </c>
      <c r="AJ8" s="7">
        <f t="shared" si="11"/>
        <v>6.2999999999999989</v>
      </c>
      <c r="AK8" s="6"/>
      <c r="AL8" s="485" t="s">
        <v>625</v>
      </c>
      <c r="AM8" s="54"/>
      <c r="AN8" s="23" t="s">
        <v>8</v>
      </c>
      <c r="AO8" s="400"/>
      <c r="AP8" s="485">
        <v>6</v>
      </c>
      <c r="AQ8" s="485">
        <v>0</v>
      </c>
      <c r="AR8" s="134"/>
      <c r="AS8" s="26">
        <f>IF(ISBLANK(F8),"",(AVERAGE($F$4:F8)))</f>
        <v>15.76</v>
      </c>
      <c r="AT8" s="26">
        <f>IF(ISBLANK(G8),"",(AVERAGE($G$4:G8)))</f>
        <v>26.1</v>
      </c>
      <c r="AU8" s="25">
        <f>IF(ISBLANK(H8),"",(AVERAGE($H$4:H8)))</f>
        <v>20.759999999999998</v>
      </c>
      <c r="AV8" s="368">
        <f>IF(ISBLANK(G8),"",(AVERAGE($I$4:I8)))</f>
        <v>10.34</v>
      </c>
      <c r="AW8" s="22">
        <f>IF(ISBLANK(M8),"",AVERAGE($M$4:M8))</f>
        <v>62</v>
      </c>
      <c r="AX8" s="376">
        <f>IF(ISBLANK(P8),"",(AVERAGE($R$4:R8)))</f>
        <v>1012.6</v>
      </c>
      <c r="AY8" s="368">
        <f>IF(ISBLANK(U8),"",(AVERAGE($U$4:U8)))</f>
        <v>3.7600000000000002</v>
      </c>
      <c r="AZ8" s="6"/>
      <c r="BA8" s="25">
        <f t="shared" si="12"/>
        <v>1.0299999999999994</v>
      </c>
      <c r="BB8" s="25">
        <f t="shared" si="13"/>
        <v>2.0799999999999983</v>
      </c>
      <c r="BC8" s="25">
        <f t="shared" si="16"/>
        <v>1.5549999999999988</v>
      </c>
      <c r="BD8" s="367">
        <f t="shared" si="15"/>
        <v>1.0499999999999989</v>
      </c>
      <c r="BE8" s="72"/>
      <c r="BF8" s="25">
        <f>IF(ISBLANK(F8),"",AS8-AVERAGE($F$91:F95))</f>
        <v>2.0199999999999996</v>
      </c>
      <c r="BG8" s="25">
        <f>IF(ISBLANK(G8),"",AT8-AVERAGE($G$91:G95))</f>
        <v>3.4519999999999982</v>
      </c>
      <c r="BH8" s="367">
        <f t="shared" si="14"/>
        <v>1.4319999999999986</v>
      </c>
      <c r="BI8" s="115">
        <f t="shared" si="2"/>
        <v>1.19</v>
      </c>
      <c r="BJ8" s="115">
        <f t="shared" si="3"/>
        <v>0.98599914924643317</v>
      </c>
      <c r="BK8" s="420"/>
      <c r="BL8" s="572">
        <v>5</v>
      </c>
    </row>
    <row r="9" spans="1:64" ht="12.75" customHeight="1" x14ac:dyDescent="0.2">
      <c r="A9" s="394">
        <f t="shared" si="4"/>
        <v>6</v>
      </c>
      <c r="B9" s="131">
        <v>15.2</v>
      </c>
      <c r="C9" s="282">
        <v>19.899999999999999</v>
      </c>
      <c r="D9" s="685"/>
      <c r="E9" s="97">
        <f t="shared" si="5"/>
        <v>6</v>
      </c>
      <c r="F9" s="23">
        <v>14.8</v>
      </c>
      <c r="G9" s="23">
        <v>19.899999999999999</v>
      </c>
      <c r="H9" s="23">
        <v>17.399999999999999</v>
      </c>
      <c r="I9" s="23">
        <v>5.0999999999999996</v>
      </c>
      <c r="J9" s="6">
        <f t="shared" si="0"/>
        <v>0</v>
      </c>
      <c r="K9" s="24">
        <v>52</v>
      </c>
      <c r="L9" s="24">
        <v>79</v>
      </c>
      <c r="M9" s="554">
        <v>67</v>
      </c>
      <c r="N9" s="24">
        <v>27</v>
      </c>
      <c r="O9" s="50">
        <f t="shared" si="1"/>
        <v>1</v>
      </c>
      <c r="P9" s="24">
        <v>1000</v>
      </c>
      <c r="Q9" s="24">
        <v>1009</v>
      </c>
      <c r="R9" s="24">
        <f t="shared" si="6"/>
        <v>1004.5</v>
      </c>
      <c r="S9" s="24">
        <f t="shared" si="7"/>
        <v>9</v>
      </c>
      <c r="T9" s="50">
        <v>0</v>
      </c>
      <c r="U9" s="553">
        <v>5.2</v>
      </c>
      <c r="V9" s="553">
        <v>13</v>
      </c>
      <c r="W9" s="553">
        <v>21.3</v>
      </c>
      <c r="X9" s="485" t="s">
        <v>110</v>
      </c>
      <c r="Y9" s="72">
        <f t="shared" si="8"/>
        <v>0</v>
      </c>
      <c r="Z9" s="539">
        <v>0.1</v>
      </c>
      <c r="AA9" s="23" t="s">
        <v>619</v>
      </c>
      <c r="AB9" s="23"/>
      <c r="AC9" s="510">
        <f t="shared" si="9"/>
        <v>1.3698630136986306E-3</v>
      </c>
      <c r="AD9" s="7" t="str">
        <f t="shared" si="10"/>
        <v/>
      </c>
      <c r="AE9" s="485" t="s">
        <v>619</v>
      </c>
      <c r="AF9" s="54"/>
      <c r="AG9" s="553">
        <v>9.3000000000000007</v>
      </c>
      <c r="AH9" s="553">
        <v>12.6</v>
      </c>
      <c r="AI9" s="553">
        <v>10.9</v>
      </c>
      <c r="AJ9" s="7">
        <f t="shared" si="11"/>
        <v>3.2999999999999989</v>
      </c>
      <c r="AK9" s="6"/>
      <c r="AL9" s="485" t="s">
        <v>626</v>
      </c>
      <c r="AM9" s="54"/>
      <c r="AN9" s="302" t="s">
        <v>627</v>
      </c>
      <c r="AO9" s="400"/>
      <c r="AP9" s="485">
        <v>1</v>
      </c>
      <c r="AQ9" s="485">
        <v>0.2</v>
      </c>
      <c r="AR9" s="134"/>
      <c r="AS9" s="26">
        <f>IF(ISBLANK(F9),"",(AVERAGE($F$4:F9)))</f>
        <v>15.6</v>
      </c>
      <c r="AT9" s="26">
        <f>IF(ISBLANK(G9),"",(AVERAGE($G$4:G9)))</f>
        <v>25.066666666666666</v>
      </c>
      <c r="AU9" s="25">
        <f>IF(ISBLANK(H9),"",(AVERAGE($H$4:H9)))</f>
        <v>20.2</v>
      </c>
      <c r="AV9" s="368">
        <f>IF(ISBLANK(G9),"",(AVERAGE($I$4:I9)))</f>
        <v>9.4666666666666668</v>
      </c>
      <c r="AW9" s="22">
        <f>IF(ISBLANK(M9),"",AVERAGE($M$4:M9))</f>
        <v>62.833333333333336</v>
      </c>
      <c r="AX9" s="376">
        <f>IF(ISBLANK(P9),"",(AVERAGE($R$4:R9)))</f>
        <v>1011.25</v>
      </c>
      <c r="AY9" s="368">
        <f>IF(ISBLANK(U9),"",(AVERAGE($U$4:U9)))</f>
        <v>4</v>
      </c>
      <c r="AZ9" s="6"/>
      <c r="BA9" s="25">
        <f t="shared" si="12"/>
        <v>1.2000000000000011</v>
      </c>
      <c r="BB9" s="25">
        <f t="shared" si="13"/>
        <v>-2.7100000000000009</v>
      </c>
      <c r="BC9" s="25">
        <f t="shared" si="16"/>
        <v>-0.75499999999999989</v>
      </c>
      <c r="BD9" s="367">
        <f t="shared" si="15"/>
        <v>-3.9100000000000019</v>
      </c>
      <c r="BE9" s="72"/>
      <c r="BF9" s="25">
        <f>IF(ISBLANK(F9),"",AS9-AVERAGE($F$91:F96))</f>
        <v>1.8833333333333329</v>
      </c>
      <c r="BG9" s="25">
        <f>IF(ISBLANK(G9),"",AT9-AVERAGE($G$91:G96))</f>
        <v>2.4249999999999972</v>
      </c>
      <c r="BH9" s="367">
        <f t="shared" si="14"/>
        <v>0.5416666666666643</v>
      </c>
      <c r="BI9" s="115">
        <f t="shared" si="2"/>
        <v>1</v>
      </c>
      <c r="BJ9" s="115">
        <f t="shared" si="3"/>
        <v>0.85014927115057248</v>
      </c>
      <c r="BK9" s="402"/>
      <c r="BL9" s="572">
        <v>6</v>
      </c>
    </row>
    <row r="10" spans="1:64" ht="12.75" customHeight="1" x14ac:dyDescent="0.2">
      <c r="A10" s="394">
        <f t="shared" si="4"/>
        <v>7</v>
      </c>
      <c r="B10" s="131">
        <v>13</v>
      </c>
      <c r="C10" s="282">
        <v>20.399999999999999</v>
      </c>
      <c r="D10" s="685"/>
      <c r="E10" s="97">
        <f t="shared" si="5"/>
        <v>7</v>
      </c>
      <c r="F10" s="23">
        <v>13</v>
      </c>
      <c r="G10" s="23">
        <v>20.399999999999999</v>
      </c>
      <c r="H10" s="23">
        <v>15.6</v>
      </c>
      <c r="I10" s="23">
        <v>7.4</v>
      </c>
      <c r="J10" s="6">
        <f t="shared" si="0"/>
        <v>0</v>
      </c>
      <c r="K10" s="24">
        <v>47</v>
      </c>
      <c r="L10" s="24">
        <v>83</v>
      </c>
      <c r="M10" s="554">
        <v>72</v>
      </c>
      <c r="N10" s="24">
        <v>36</v>
      </c>
      <c r="O10" s="50">
        <f t="shared" si="1"/>
        <v>0</v>
      </c>
      <c r="P10" s="24">
        <v>1001</v>
      </c>
      <c r="Q10" s="24">
        <v>1003</v>
      </c>
      <c r="R10" s="24">
        <f t="shared" si="6"/>
        <v>1002</v>
      </c>
      <c r="S10" s="24">
        <f t="shared" si="7"/>
        <v>2</v>
      </c>
      <c r="T10" s="50">
        <v>0</v>
      </c>
      <c r="U10" s="553">
        <v>5.7</v>
      </c>
      <c r="V10" s="553">
        <v>17</v>
      </c>
      <c r="W10" s="553">
        <v>23.9</v>
      </c>
      <c r="X10" s="485" t="s">
        <v>110</v>
      </c>
      <c r="Y10" s="72">
        <f t="shared" si="8"/>
        <v>2</v>
      </c>
      <c r="Z10" s="539">
        <v>4.4000000000000004</v>
      </c>
      <c r="AA10" s="23">
        <v>3.6</v>
      </c>
      <c r="AB10" s="23">
        <v>1.4</v>
      </c>
      <c r="AC10" s="510">
        <f t="shared" si="9"/>
        <v>6.0273972602739742E-2</v>
      </c>
      <c r="AD10" s="7">
        <f t="shared" si="10"/>
        <v>2.2000000000000002</v>
      </c>
      <c r="AE10" s="485">
        <v>20</v>
      </c>
      <c r="AF10" s="54"/>
      <c r="AG10" s="553">
        <v>8.6</v>
      </c>
      <c r="AH10" s="553">
        <v>12.5</v>
      </c>
      <c r="AI10" s="553">
        <v>10.4</v>
      </c>
      <c r="AJ10" s="7">
        <f t="shared" si="11"/>
        <v>3.9000000000000004</v>
      </c>
      <c r="AK10" s="6"/>
      <c r="AL10" s="485" t="s">
        <v>628</v>
      </c>
      <c r="AM10" s="54"/>
      <c r="AN10" s="23" t="s">
        <v>629</v>
      </c>
      <c r="AO10" s="400"/>
      <c r="AP10" s="485">
        <v>5</v>
      </c>
      <c r="AQ10" s="485">
        <v>2</v>
      </c>
      <c r="AR10" s="134"/>
      <c r="AS10" s="26">
        <f>IF(ISBLANK(F10),"",(AVERAGE($F$4:F10)))</f>
        <v>15.228571428571428</v>
      </c>
      <c r="AT10" s="26">
        <f>IF(ISBLANK(G10),"",(AVERAGE($G$4:G10)))</f>
        <v>24.400000000000002</v>
      </c>
      <c r="AU10" s="25">
        <f>IF(ISBLANK(H10),"",(AVERAGE($H$4:H10)))</f>
        <v>19.542857142857141</v>
      </c>
      <c r="AV10" s="368">
        <f>IF(ISBLANK(G10),"",(AVERAGE($I$4:I10)))</f>
        <v>9.1714285714285726</v>
      </c>
      <c r="AW10" s="22">
        <f>IF(ISBLANK(M10),"",AVERAGE($M$4:M10))</f>
        <v>64.142857142857139</v>
      </c>
      <c r="AX10" s="376">
        <f>IF(ISBLANK(P10),"",(AVERAGE($R$4:R10)))</f>
        <v>1009.9285714285714</v>
      </c>
      <c r="AY10" s="368">
        <f>IF(ISBLANK(U10),"",(AVERAGE($U$4:U10)))</f>
        <v>4.2428571428571429</v>
      </c>
      <c r="AZ10" s="6"/>
      <c r="BA10" s="25">
        <f t="shared" si="12"/>
        <v>-0.57499999999999929</v>
      </c>
      <c r="BB10" s="25">
        <f t="shared" si="13"/>
        <v>-2.2000000000000028</v>
      </c>
      <c r="BC10" s="25">
        <f t="shared" si="16"/>
        <v>-1.3875000000000011</v>
      </c>
      <c r="BD10" s="367">
        <f t="shared" si="15"/>
        <v>-1.6250000000000036</v>
      </c>
      <c r="BE10" s="72"/>
      <c r="BF10" s="25">
        <f>IF(ISBLANK(F10),"",AS10-AVERAGE($F$91:F97))</f>
        <v>1.5321428571428566</v>
      </c>
      <c r="BG10" s="25">
        <f>IF(ISBLANK(G10),"",AT10-AVERAGE($G$91:G97))</f>
        <v>1.7642857142857125</v>
      </c>
      <c r="BH10" s="367">
        <f t="shared" si="14"/>
        <v>0.23214285714285587</v>
      </c>
      <c r="BI10" s="115">
        <f t="shared" si="2"/>
        <v>1.1714285714285713</v>
      </c>
      <c r="BJ10" s="115">
        <f t="shared" si="3"/>
        <v>0.84591693749284236</v>
      </c>
      <c r="BK10" s="402"/>
      <c r="BL10" s="572">
        <v>7</v>
      </c>
    </row>
    <row r="11" spans="1:64" ht="12.75" customHeight="1" x14ac:dyDescent="0.2">
      <c r="A11" s="394">
        <f t="shared" si="4"/>
        <v>8</v>
      </c>
      <c r="B11" s="131">
        <v>11.7</v>
      </c>
      <c r="C11" s="282">
        <v>20.7</v>
      </c>
      <c r="D11" s="685"/>
      <c r="E11" s="97">
        <f t="shared" si="5"/>
        <v>8</v>
      </c>
      <c r="F11" s="23">
        <v>11.7</v>
      </c>
      <c r="G11" s="23">
        <v>20.7</v>
      </c>
      <c r="H11" s="23">
        <v>16.399999999999999</v>
      </c>
      <c r="I11" s="23">
        <v>9</v>
      </c>
      <c r="J11" s="6">
        <f t="shared" si="0"/>
        <v>0</v>
      </c>
      <c r="K11" s="24">
        <v>40</v>
      </c>
      <c r="L11" s="24">
        <v>90</v>
      </c>
      <c r="M11" s="554">
        <v>67</v>
      </c>
      <c r="N11" s="24">
        <v>50</v>
      </c>
      <c r="O11" s="50">
        <f t="shared" si="1"/>
        <v>0</v>
      </c>
      <c r="P11" s="24">
        <v>1000</v>
      </c>
      <c r="Q11" s="24">
        <v>1015</v>
      </c>
      <c r="R11" s="24">
        <f t="shared" si="6"/>
        <v>1007.5</v>
      </c>
      <c r="S11" s="24">
        <f t="shared" si="7"/>
        <v>15</v>
      </c>
      <c r="T11" s="50">
        <v>0</v>
      </c>
      <c r="U11" s="553">
        <v>6.4</v>
      </c>
      <c r="V11" s="553">
        <v>18.100000000000001</v>
      </c>
      <c r="W11" s="553">
        <v>26.3</v>
      </c>
      <c r="X11" s="485" t="s">
        <v>114</v>
      </c>
      <c r="Y11" s="72">
        <f t="shared" si="8"/>
        <v>1</v>
      </c>
      <c r="Z11" s="539">
        <v>0.8</v>
      </c>
      <c r="AA11" s="23">
        <v>0.5</v>
      </c>
      <c r="AB11" s="23">
        <v>0.5</v>
      </c>
      <c r="AC11" s="510">
        <f t="shared" si="9"/>
        <v>1.0958904109589045E-2</v>
      </c>
      <c r="AD11" s="7">
        <f t="shared" si="10"/>
        <v>0.8</v>
      </c>
      <c r="AE11" s="485">
        <v>4</v>
      </c>
      <c r="AF11" s="54"/>
      <c r="AG11" s="553">
        <v>6.3</v>
      </c>
      <c r="AH11" s="553">
        <v>12.2</v>
      </c>
      <c r="AI11" s="553">
        <v>9.8000000000000007</v>
      </c>
      <c r="AJ11" s="7">
        <f t="shared" si="11"/>
        <v>5.8999999999999995</v>
      </c>
      <c r="AK11" s="6"/>
      <c r="AL11" s="485" t="s">
        <v>630</v>
      </c>
      <c r="AM11" s="54"/>
      <c r="AN11" s="391" t="s">
        <v>631</v>
      </c>
      <c r="AO11" s="400"/>
      <c r="AP11" s="485">
        <v>6</v>
      </c>
      <c r="AQ11" s="485">
        <v>1</v>
      </c>
      <c r="AR11" s="134"/>
      <c r="AS11" s="26">
        <f>IF(ISBLANK(F11),"",(AVERAGE($F$4:F11)))</f>
        <v>14.7875</v>
      </c>
      <c r="AT11" s="26">
        <f>IF(ISBLANK(G11),"",(AVERAGE($G$4:G11)))</f>
        <v>23.9375</v>
      </c>
      <c r="AU11" s="25">
        <f>IF(ISBLANK(H11),"",(AVERAGE($H$4:H11)))</f>
        <v>19.149999999999999</v>
      </c>
      <c r="AV11" s="368">
        <f>IF(ISBLANK(G11),"",(AVERAGE($I$4:I11)))</f>
        <v>9.15</v>
      </c>
      <c r="AW11" s="22">
        <f>IF(ISBLANK(M11),"",AVERAGE($M$4:M11))</f>
        <v>64.5</v>
      </c>
      <c r="AX11" s="376">
        <f>IF(ISBLANK(P11),"",(AVERAGE($R$4:R11)))</f>
        <v>1009.625</v>
      </c>
      <c r="AY11" s="368">
        <f>IF(ISBLANK(U11),"",(AVERAGE($U$4:U11)))</f>
        <v>4.5125000000000002</v>
      </c>
      <c r="AZ11" s="6"/>
      <c r="BA11" s="25">
        <f t="shared" si="12"/>
        <v>-1.8500000000000014</v>
      </c>
      <c r="BB11" s="25">
        <f t="shared" si="13"/>
        <v>-1.8669230769230758</v>
      </c>
      <c r="BC11" s="25">
        <f t="shared" si="16"/>
        <v>-1.8584615384615386</v>
      </c>
      <c r="BD11" s="367">
        <f t="shared" si="15"/>
        <v>-1.6923076923074376E-2</v>
      </c>
      <c r="BE11" s="72"/>
      <c r="BF11" s="25">
        <f>IF(ISBLANK(F11),"",AS11-AVERAGE($F$91:F98))</f>
        <v>1.109375</v>
      </c>
      <c r="BG11" s="25">
        <f>IF(ISBLANK(G11),"",AT11-AVERAGE($G$91:G98))</f>
        <v>1.3103846153846135</v>
      </c>
      <c r="BH11" s="367">
        <f t="shared" ref="BH11:BH20" si="17">IF(ISBLANK(G11),"",BG11-BF11)</f>
        <v>0.20100961538461348</v>
      </c>
      <c r="BI11" s="115">
        <f t="shared" si="2"/>
        <v>1.075</v>
      </c>
      <c r="BJ11" s="115">
        <f t="shared" si="3"/>
        <v>0.86344871892191455</v>
      </c>
      <c r="BK11" s="420"/>
      <c r="BL11" s="572">
        <v>8</v>
      </c>
    </row>
    <row r="12" spans="1:64" ht="12.75" customHeight="1" x14ac:dyDescent="0.2">
      <c r="A12" s="394">
        <f t="shared" si="4"/>
        <v>9</v>
      </c>
      <c r="B12" s="131">
        <v>11.6</v>
      </c>
      <c r="C12" s="282">
        <v>21.1</v>
      </c>
      <c r="D12" s="685"/>
      <c r="E12" s="97">
        <f t="shared" si="5"/>
        <v>9</v>
      </c>
      <c r="F12" s="23">
        <v>11.6</v>
      </c>
      <c r="G12" s="23">
        <v>21.1</v>
      </c>
      <c r="H12" s="23">
        <v>16.100000000000001</v>
      </c>
      <c r="I12" s="23">
        <v>9.5</v>
      </c>
      <c r="J12" s="6">
        <f t="shared" si="0"/>
        <v>0</v>
      </c>
      <c r="K12" s="24">
        <v>37</v>
      </c>
      <c r="L12" s="24">
        <v>71</v>
      </c>
      <c r="M12" s="554">
        <v>55</v>
      </c>
      <c r="N12" s="24">
        <v>34</v>
      </c>
      <c r="O12" s="50">
        <f t="shared" si="1"/>
        <v>0</v>
      </c>
      <c r="P12" s="24">
        <v>1015</v>
      </c>
      <c r="Q12" s="24">
        <v>1026</v>
      </c>
      <c r="R12" s="24">
        <f t="shared" si="6"/>
        <v>1020.5</v>
      </c>
      <c r="S12" s="24">
        <f t="shared" si="7"/>
        <v>11</v>
      </c>
      <c r="T12" s="50">
        <v>0</v>
      </c>
      <c r="U12" s="553">
        <v>4.4000000000000004</v>
      </c>
      <c r="V12" s="553">
        <v>12.3</v>
      </c>
      <c r="W12" s="553">
        <v>19.399999999999999</v>
      </c>
      <c r="X12" s="485" t="s">
        <v>128</v>
      </c>
      <c r="Y12" s="72">
        <f t="shared" si="8"/>
        <v>0</v>
      </c>
      <c r="Z12" s="539">
        <v>0</v>
      </c>
      <c r="AA12" s="23" t="s">
        <v>619</v>
      </c>
      <c r="AB12" s="23"/>
      <c r="AC12" s="510" t="str">
        <f t="shared" si="9"/>
        <v/>
      </c>
      <c r="AD12" s="7" t="str">
        <f t="shared" si="10"/>
        <v/>
      </c>
      <c r="AE12" s="485" t="s">
        <v>619</v>
      </c>
      <c r="AF12" s="54"/>
      <c r="AG12" s="553">
        <v>4.8</v>
      </c>
      <c r="AH12" s="553">
        <v>10.5</v>
      </c>
      <c r="AI12" s="553">
        <v>6.7</v>
      </c>
      <c r="AJ12" s="7">
        <f t="shared" si="11"/>
        <v>5.7</v>
      </c>
      <c r="AK12" s="6"/>
      <c r="AL12" s="485" t="s">
        <v>632</v>
      </c>
      <c r="AM12" s="54"/>
      <c r="AN12" s="555" t="s">
        <v>8</v>
      </c>
      <c r="AO12" s="400"/>
      <c r="AP12" s="485">
        <v>9</v>
      </c>
      <c r="AQ12" s="485">
        <v>0</v>
      </c>
      <c r="AR12" s="134"/>
      <c r="AS12" s="26">
        <f>IF(ISBLANK(F12),"",(AVERAGE($F$4:F12)))</f>
        <v>14.433333333333334</v>
      </c>
      <c r="AT12" s="26">
        <f>IF(ISBLANK(G12),"",(AVERAGE($G$4:G12)))</f>
        <v>23.62222222222222</v>
      </c>
      <c r="AU12" s="25">
        <f>IF(ISBLANK(H12),"",(AVERAGE($H$4:H12)))</f>
        <v>18.81111111111111</v>
      </c>
      <c r="AV12" s="368">
        <f>IF(ISBLANK(G12),"",(AVERAGE($I$4:I12)))</f>
        <v>9.18888888888889</v>
      </c>
      <c r="AW12" s="22">
        <f>IF(ISBLANK(M12),"",AVERAGE($M$4:M12))</f>
        <v>63.444444444444443</v>
      </c>
      <c r="AX12" s="376">
        <f>IF(ISBLANK(P12),"",(AVERAGE($R$4:R12)))</f>
        <v>1010.8333333333334</v>
      </c>
      <c r="AY12" s="368">
        <f>IF(ISBLANK(U12),"",(AVERAGE($U$4:U12)))</f>
        <v>4.5</v>
      </c>
      <c r="AZ12" s="6"/>
      <c r="BA12" s="25">
        <f t="shared" si="12"/>
        <v>-1.9250000000000007</v>
      </c>
      <c r="BB12" s="25">
        <f t="shared" si="13"/>
        <v>-1.4338461538461509</v>
      </c>
      <c r="BC12" s="25">
        <f t="shared" si="16"/>
        <v>-1.6794230769230758</v>
      </c>
      <c r="BD12" s="367">
        <f t="shared" si="15"/>
        <v>0.49115384615384983</v>
      </c>
      <c r="BE12" s="72"/>
      <c r="BF12" s="25">
        <f>IF(ISBLANK(F12),"",AS12-AVERAGE($F$91:F99))</f>
        <v>0.77222222222222214</v>
      </c>
      <c r="BG12" s="25">
        <f>IF(ISBLANK(G12),"",AT12-AVERAGE($G$91:G99))</f>
        <v>1.0054700854700798</v>
      </c>
      <c r="BH12" s="367">
        <f t="shared" si="17"/>
        <v>0.23324786324785762</v>
      </c>
      <c r="BI12" s="115">
        <f t="shared" si="2"/>
        <v>0.95555555555555549</v>
      </c>
      <c r="BJ12" s="115">
        <f t="shared" si="3"/>
        <v>0.93178260412833247</v>
      </c>
      <c r="BK12" s="402"/>
      <c r="BL12" s="572">
        <v>9</v>
      </c>
    </row>
    <row r="13" spans="1:64" ht="12.75" customHeight="1" x14ac:dyDescent="0.2">
      <c r="A13" s="394">
        <f t="shared" si="4"/>
        <v>10</v>
      </c>
      <c r="B13" s="131">
        <v>9.1999999999999993</v>
      </c>
      <c r="C13" s="282">
        <v>23</v>
      </c>
      <c r="D13" s="685"/>
      <c r="E13" s="97">
        <f t="shared" si="5"/>
        <v>10</v>
      </c>
      <c r="F13" s="23">
        <v>9.1999999999999993</v>
      </c>
      <c r="G13" s="23">
        <v>23</v>
      </c>
      <c r="H13" s="23">
        <v>16.8</v>
      </c>
      <c r="I13" s="23">
        <v>13.8</v>
      </c>
      <c r="J13" s="6">
        <f t="shared" si="0"/>
        <v>0</v>
      </c>
      <c r="K13" s="24">
        <v>44</v>
      </c>
      <c r="L13" s="24">
        <v>79</v>
      </c>
      <c r="M13" s="554">
        <v>60</v>
      </c>
      <c r="N13" s="24">
        <v>35</v>
      </c>
      <c r="O13" s="50">
        <f t="shared" si="1"/>
        <v>0</v>
      </c>
      <c r="P13" s="24">
        <v>1016</v>
      </c>
      <c r="Q13" s="24">
        <v>1027</v>
      </c>
      <c r="R13" s="24">
        <f t="shared" si="6"/>
        <v>1021.5</v>
      </c>
      <c r="S13" s="24">
        <f t="shared" si="7"/>
        <v>11</v>
      </c>
      <c r="T13" s="50">
        <v>0</v>
      </c>
      <c r="U13" s="553">
        <v>5.8</v>
      </c>
      <c r="V13" s="553">
        <v>15.9</v>
      </c>
      <c r="W13" s="553">
        <v>24.2</v>
      </c>
      <c r="X13" s="485" t="s">
        <v>110</v>
      </c>
      <c r="Y13" s="72">
        <f t="shared" si="8"/>
        <v>0</v>
      </c>
      <c r="Z13" s="539">
        <v>0</v>
      </c>
      <c r="AA13" s="23" t="s">
        <v>619</v>
      </c>
      <c r="AB13" s="23"/>
      <c r="AC13" s="510" t="str">
        <f t="shared" si="9"/>
        <v/>
      </c>
      <c r="AD13" s="7" t="str">
        <f t="shared" si="10"/>
        <v/>
      </c>
      <c r="AE13" s="485" t="s">
        <v>619</v>
      </c>
      <c r="AF13" s="54"/>
      <c r="AG13" s="553">
        <v>5</v>
      </c>
      <c r="AH13" s="553">
        <v>11.7</v>
      </c>
      <c r="AI13" s="553">
        <v>8.6</v>
      </c>
      <c r="AJ13" s="7">
        <f t="shared" si="11"/>
        <v>6.6999999999999993</v>
      </c>
      <c r="AK13" s="6"/>
      <c r="AL13" s="485" t="s">
        <v>633</v>
      </c>
      <c r="AM13" s="54"/>
      <c r="AN13" s="555" t="s">
        <v>8</v>
      </c>
      <c r="AO13" s="400"/>
      <c r="AP13" s="485">
        <v>8</v>
      </c>
      <c r="AQ13" s="485">
        <v>0</v>
      </c>
      <c r="AR13" s="134"/>
      <c r="AS13" s="26">
        <f>IF(ISBLANK(F13),"",(AVERAGE($F$4:F13)))</f>
        <v>13.91</v>
      </c>
      <c r="AT13" s="26">
        <f>IF(ISBLANK(G13),"",(AVERAGE($G$4:G13)))</f>
        <v>23.56</v>
      </c>
      <c r="AU13" s="25">
        <f>IF(ISBLANK(H13),"",(AVERAGE($H$4:H13)))</f>
        <v>18.61</v>
      </c>
      <c r="AV13" s="368">
        <f>IF(ISBLANK(G13),"",(AVERAGE($I$4:I13)))</f>
        <v>9.65</v>
      </c>
      <c r="AW13" s="22">
        <f>IF(ISBLANK(M13),"",AVERAGE($M$4:M13))</f>
        <v>63.1</v>
      </c>
      <c r="AX13" s="376">
        <f>IF(ISBLANK(P13),"",(AVERAGE($R$4:R13)))</f>
        <v>1011.9</v>
      </c>
      <c r="AY13" s="368">
        <f>IF(ISBLANK(U13),"",(AVERAGE($U$4:U13)))</f>
        <v>4.63</v>
      </c>
      <c r="AZ13" s="6"/>
      <c r="BA13" s="25">
        <f t="shared" si="12"/>
        <v>-4.3000000000000007</v>
      </c>
      <c r="BB13" s="25">
        <f t="shared" si="13"/>
        <v>0.49923076923077048</v>
      </c>
      <c r="BC13" s="25">
        <f t="shared" si="16"/>
        <v>-1.9003846153846151</v>
      </c>
      <c r="BD13" s="367">
        <f t="shared" si="15"/>
        <v>4.7992307692307712</v>
      </c>
      <c r="BE13" s="72"/>
      <c r="BF13" s="25">
        <f>IF(ISBLANK(F13),"",AS13-AVERAGE($F$91:F100))</f>
        <v>0.26500000000000057</v>
      </c>
      <c r="BG13" s="25">
        <f>IF(ISBLANK(G13),"",AT13-AVERAGE($G$91:G100))</f>
        <v>0.95484615384615168</v>
      </c>
      <c r="BH13" s="367">
        <f t="shared" si="17"/>
        <v>0.68984615384615111</v>
      </c>
      <c r="BI13" s="115">
        <f t="shared" si="2"/>
        <v>0.86</v>
      </c>
      <c r="BJ13" s="115">
        <f t="shared" si="3"/>
        <v>0.97070338836189618</v>
      </c>
      <c r="BK13" s="402"/>
      <c r="BL13" s="572">
        <v>10</v>
      </c>
    </row>
    <row r="14" spans="1:64" ht="12.75" customHeight="1" x14ac:dyDescent="0.2">
      <c r="A14" s="394">
        <f t="shared" si="4"/>
        <v>11</v>
      </c>
      <c r="B14" s="131">
        <v>15.1</v>
      </c>
      <c r="C14" s="282">
        <v>21.7</v>
      </c>
      <c r="D14" s="685"/>
      <c r="E14" s="97">
        <f t="shared" si="5"/>
        <v>11</v>
      </c>
      <c r="F14" s="23">
        <v>15.1</v>
      </c>
      <c r="G14" s="23">
        <v>21.7</v>
      </c>
      <c r="H14" s="23">
        <v>17.600000000000001</v>
      </c>
      <c r="I14" s="23">
        <v>6.6</v>
      </c>
      <c r="J14" s="6">
        <f t="shared" si="0"/>
        <v>0</v>
      </c>
      <c r="K14" s="24">
        <v>67</v>
      </c>
      <c r="L14" s="24">
        <v>89</v>
      </c>
      <c r="M14" s="554">
        <v>78</v>
      </c>
      <c r="N14" s="24">
        <v>22</v>
      </c>
      <c r="O14" s="50">
        <f t="shared" si="1"/>
        <v>0</v>
      </c>
      <c r="P14" s="24">
        <v>1008</v>
      </c>
      <c r="Q14" s="24">
        <v>1016</v>
      </c>
      <c r="R14" s="24">
        <f t="shared" si="6"/>
        <v>1012</v>
      </c>
      <c r="S14" s="24">
        <f t="shared" si="7"/>
        <v>8</v>
      </c>
      <c r="T14" s="50">
        <v>0</v>
      </c>
      <c r="U14" s="553">
        <v>6.8</v>
      </c>
      <c r="V14" s="553">
        <v>13.7</v>
      </c>
      <c r="W14" s="553">
        <v>19.899999999999999</v>
      </c>
      <c r="X14" s="485" t="s">
        <v>110</v>
      </c>
      <c r="Y14" s="72">
        <f t="shared" si="8"/>
        <v>2</v>
      </c>
      <c r="Z14" s="539">
        <v>4.5999999999999996</v>
      </c>
      <c r="AA14" s="23">
        <v>3</v>
      </c>
      <c r="AB14" s="23"/>
      <c r="AC14" s="510">
        <f t="shared" si="9"/>
        <v>6.3013698630136991E-2</v>
      </c>
      <c r="AD14" s="7">
        <f t="shared" si="10"/>
        <v>2.2999999999999998</v>
      </c>
      <c r="AE14" s="485">
        <v>40</v>
      </c>
      <c r="AF14" s="54"/>
      <c r="AG14" s="553">
        <v>10.6</v>
      </c>
      <c r="AH14" s="553">
        <v>17.600000000000001</v>
      </c>
      <c r="AI14" s="553">
        <v>13.6</v>
      </c>
      <c r="AJ14" s="7">
        <f t="shared" si="11"/>
        <v>7.0000000000000018</v>
      </c>
      <c r="AK14" s="6"/>
      <c r="AL14" s="485" t="s">
        <v>374</v>
      </c>
      <c r="AM14" s="54"/>
      <c r="AN14" s="555" t="s">
        <v>634</v>
      </c>
      <c r="AO14" s="400"/>
      <c r="AP14" s="485">
        <v>3</v>
      </c>
      <c r="AQ14" s="485">
        <v>2</v>
      </c>
      <c r="AR14" s="134"/>
      <c r="AS14" s="26">
        <f>IF(ISBLANK(F14),"",(AVERAGE($F$4:F14)))</f>
        <v>14.018181818181818</v>
      </c>
      <c r="AT14" s="26">
        <f>IF(ISBLANK(G14),"",(AVERAGE($G$4:G14)))</f>
        <v>23.390909090909091</v>
      </c>
      <c r="AU14" s="25">
        <f>IF(ISBLANK(H14),"",(AVERAGE($H$4:H14)))</f>
        <v>18.518181818181816</v>
      </c>
      <c r="AV14" s="368">
        <f>IF(ISBLANK(G14),"",(AVERAGE($I$4:I14)))</f>
        <v>9.372727272727273</v>
      </c>
      <c r="AW14" s="22">
        <f>IF(ISBLANK(M14),"",AVERAGE($M$4:M14))</f>
        <v>64.454545454545453</v>
      </c>
      <c r="AX14" s="376">
        <f>IF(ISBLANK(P14),"",(AVERAGE($R$4:R14)))</f>
        <v>1011.9090909090909</v>
      </c>
      <c r="AY14" s="368">
        <f>IF(ISBLANK(U14),"",(AVERAGE($U$4:U14)))</f>
        <v>4.8272727272727272</v>
      </c>
      <c r="AZ14" s="6"/>
      <c r="BA14" s="25">
        <f t="shared" si="12"/>
        <v>1.625</v>
      </c>
      <c r="BB14" s="25">
        <f t="shared" si="13"/>
        <v>-0.76769230769230745</v>
      </c>
      <c r="BC14" s="25">
        <f t="shared" si="16"/>
        <v>0.42865384615384627</v>
      </c>
      <c r="BD14" s="367">
        <f t="shared" si="15"/>
        <v>-2.3926923076923075</v>
      </c>
      <c r="BE14" s="72"/>
      <c r="BF14" s="25">
        <f>IF(ISBLANK(F14),"",AS14-AVERAGE($F$91:F101))</f>
        <v>0.38863636363636545</v>
      </c>
      <c r="BG14" s="25">
        <f>IF(ISBLANK(G14),"",AT14-AVERAGE($G$91:G101))</f>
        <v>0.79825174825174372</v>
      </c>
      <c r="BH14" s="367">
        <f t="shared" si="17"/>
        <v>0.40961538461537828</v>
      </c>
      <c r="BI14" s="115">
        <f t="shared" si="2"/>
        <v>0.99090909090909074</v>
      </c>
      <c r="BJ14" s="115">
        <f t="shared" si="3"/>
        <v>0.92871810522079323</v>
      </c>
      <c r="BK14" s="402"/>
      <c r="BL14" s="572">
        <v>11</v>
      </c>
    </row>
    <row r="15" spans="1:64" ht="12.75" customHeight="1" x14ac:dyDescent="0.2">
      <c r="A15" s="278">
        <f t="shared" si="4"/>
        <v>12</v>
      </c>
      <c r="B15" s="131">
        <v>16</v>
      </c>
      <c r="C15" s="282">
        <v>22.3</v>
      </c>
      <c r="D15" s="685"/>
      <c r="E15" s="99">
        <f t="shared" si="5"/>
        <v>12</v>
      </c>
      <c r="F15" s="23">
        <v>16</v>
      </c>
      <c r="G15" s="23">
        <v>22.3</v>
      </c>
      <c r="H15" s="23">
        <v>18.899999999999999</v>
      </c>
      <c r="I15" s="23">
        <v>6.3</v>
      </c>
      <c r="J15" s="6">
        <f t="shared" si="0"/>
        <v>0</v>
      </c>
      <c r="K15" s="24">
        <v>58</v>
      </c>
      <c r="L15" s="24">
        <v>90</v>
      </c>
      <c r="M15" s="554">
        <v>76</v>
      </c>
      <c r="N15" s="24">
        <v>32</v>
      </c>
      <c r="O15" s="50">
        <f t="shared" si="1"/>
        <v>0</v>
      </c>
      <c r="P15" s="24">
        <v>1009</v>
      </c>
      <c r="Q15" s="24">
        <v>1011</v>
      </c>
      <c r="R15" s="24">
        <f t="shared" si="6"/>
        <v>1010</v>
      </c>
      <c r="S15" s="24">
        <f t="shared" si="7"/>
        <v>2</v>
      </c>
      <c r="T15" s="50">
        <v>0</v>
      </c>
      <c r="U15" s="553">
        <v>4.5</v>
      </c>
      <c r="V15" s="553">
        <v>9.6999999999999993</v>
      </c>
      <c r="W15" s="553">
        <v>12.8</v>
      </c>
      <c r="X15" s="485" t="s">
        <v>110</v>
      </c>
      <c r="Y15" s="72">
        <f t="shared" si="8"/>
        <v>0</v>
      </c>
      <c r="Z15" s="539">
        <v>0</v>
      </c>
      <c r="AA15" s="23" t="s">
        <v>619</v>
      </c>
      <c r="AB15" s="23"/>
      <c r="AC15" s="510" t="str">
        <f t="shared" si="9"/>
        <v/>
      </c>
      <c r="AD15" s="7" t="str">
        <f t="shared" si="10"/>
        <v/>
      </c>
      <c r="AE15" s="485" t="s">
        <v>619</v>
      </c>
      <c r="AF15" s="54"/>
      <c r="AG15" s="553">
        <v>13.4</v>
      </c>
      <c r="AH15" s="553">
        <v>16</v>
      </c>
      <c r="AI15" s="553">
        <v>14.5</v>
      </c>
      <c r="AJ15" s="7">
        <f t="shared" si="11"/>
        <v>2.5999999999999996</v>
      </c>
      <c r="AK15" s="6"/>
      <c r="AL15" s="485" t="s">
        <v>395</v>
      </c>
      <c r="AM15" s="54"/>
      <c r="AN15" s="555" t="s">
        <v>8</v>
      </c>
      <c r="AO15" s="400"/>
      <c r="AP15" s="485">
        <v>0.5</v>
      </c>
      <c r="AQ15" s="485">
        <v>0</v>
      </c>
      <c r="AR15" s="134"/>
      <c r="AS15" s="26">
        <f>IF(ISBLANK(F15),"",(AVERAGE($F$4:F15)))</f>
        <v>14.183333333333332</v>
      </c>
      <c r="AT15" s="26">
        <f>IF(ISBLANK(G15),"",(AVERAGE($G$4:G15)))</f>
        <v>23.3</v>
      </c>
      <c r="AU15" s="25">
        <f>IF(ISBLANK(H15),"",(AVERAGE($H$4:H15)))</f>
        <v>18.55</v>
      </c>
      <c r="AV15" s="368">
        <f>IF(ISBLANK(G15),"",(AVERAGE($I$4:I15)))</f>
        <v>9.1166666666666654</v>
      </c>
      <c r="AW15" s="22">
        <f>IF(ISBLANK(M15),"",AVERAGE($M$4:M15))</f>
        <v>65.416666666666671</v>
      </c>
      <c r="AX15" s="376">
        <f>IF(ISBLANK(P15),"",(AVERAGE($R$4:R15)))</f>
        <v>1011.75</v>
      </c>
      <c r="AY15" s="368">
        <f>IF(ISBLANK(U15),"",(AVERAGE($U$4:U15)))</f>
        <v>4.8</v>
      </c>
      <c r="AZ15" s="6"/>
      <c r="BA15" s="25">
        <f t="shared" si="12"/>
        <v>2.5500000000000007</v>
      </c>
      <c r="BB15" s="25">
        <f t="shared" si="13"/>
        <v>-0.13461538461538325</v>
      </c>
      <c r="BC15" s="25">
        <f t="shared" si="16"/>
        <v>1.2076923076923087</v>
      </c>
      <c r="BD15" s="367">
        <f t="shared" si="15"/>
        <v>-2.684615384615384</v>
      </c>
      <c r="BE15" s="72"/>
      <c r="BF15" s="25">
        <f>IF(ISBLANK(F15),"",AS15-AVERAGE($F$91:F102))</f>
        <v>0.56875000000000142</v>
      </c>
      <c r="BG15" s="25">
        <f>IF(ISBLANK(G15),"",AT15-AVERAGE($G$91:G102))</f>
        <v>0.72051282051281618</v>
      </c>
      <c r="BH15" s="367">
        <f t="shared" si="17"/>
        <v>0.15176282051281476</v>
      </c>
      <c r="BI15" s="115">
        <f t="shared" si="2"/>
        <v>0.90833333333333321</v>
      </c>
      <c r="BJ15" s="115">
        <f t="shared" si="3"/>
        <v>0.85978537654602294</v>
      </c>
      <c r="BK15" s="402"/>
      <c r="BL15" s="572">
        <v>12</v>
      </c>
    </row>
    <row r="16" spans="1:64" ht="12.75" customHeight="1" x14ac:dyDescent="0.2">
      <c r="A16" s="278">
        <f t="shared" si="4"/>
        <v>13</v>
      </c>
      <c r="B16" s="131">
        <v>16.100000000000001</v>
      </c>
      <c r="C16" s="282">
        <v>21.2</v>
      </c>
      <c r="D16" s="685"/>
      <c r="E16" s="99">
        <f t="shared" si="5"/>
        <v>13</v>
      </c>
      <c r="F16" s="23">
        <v>16.100000000000001</v>
      </c>
      <c r="G16" s="23">
        <v>21.2</v>
      </c>
      <c r="H16" s="23">
        <v>18.3</v>
      </c>
      <c r="I16" s="23">
        <v>5.0999999999999996</v>
      </c>
      <c r="J16" s="6">
        <f t="shared" si="0"/>
        <v>0</v>
      </c>
      <c r="K16" s="24">
        <v>57</v>
      </c>
      <c r="L16" s="24">
        <v>93</v>
      </c>
      <c r="M16" s="554">
        <v>76</v>
      </c>
      <c r="N16" s="24">
        <v>36</v>
      </c>
      <c r="O16" s="50">
        <f t="shared" si="1"/>
        <v>0</v>
      </c>
      <c r="P16" s="24">
        <v>1006</v>
      </c>
      <c r="Q16" s="24">
        <v>1009</v>
      </c>
      <c r="R16" s="24">
        <f t="shared" si="6"/>
        <v>1007.5</v>
      </c>
      <c r="S16" s="24">
        <f t="shared" si="7"/>
        <v>3</v>
      </c>
      <c r="T16" s="50">
        <v>0</v>
      </c>
      <c r="U16" s="553">
        <v>5.4</v>
      </c>
      <c r="V16" s="553">
        <v>11.8</v>
      </c>
      <c r="W16" s="553">
        <v>15.6</v>
      </c>
      <c r="X16" s="485" t="s">
        <v>110</v>
      </c>
      <c r="Y16" s="72">
        <f t="shared" si="8"/>
        <v>2</v>
      </c>
      <c r="Z16" s="539">
        <v>1.9</v>
      </c>
      <c r="AA16" s="23">
        <v>1.7</v>
      </c>
      <c r="AB16" s="23">
        <v>0.8</v>
      </c>
      <c r="AC16" s="510">
        <f t="shared" si="9"/>
        <v>2.6027397260273977E-2</v>
      </c>
      <c r="AD16" s="7">
        <f t="shared" si="10"/>
        <v>1.9</v>
      </c>
      <c r="AE16" s="485">
        <v>5</v>
      </c>
      <c r="AF16" s="54"/>
      <c r="AG16" s="553">
        <v>11.8</v>
      </c>
      <c r="AH16" s="553">
        <v>17.899999999999999</v>
      </c>
      <c r="AI16" s="553">
        <v>13.8</v>
      </c>
      <c r="AJ16" s="7">
        <f t="shared" si="11"/>
        <v>6.0999999999999979</v>
      </c>
      <c r="AK16" s="6"/>
      <c r="AL16" s="485" t="s">
        <v>635</v>
      </c>
      <c r="AM16" s="54"/>
      <c r="AN16" s="555" t="s">
        <v>636</v>
      </c>
      <c r="AO16" s="400"/>
      <c r="AP16" s="485">
        <v>3</v>
      </c>
      <c r="AQ16" s="485">
        <v>1</v>
      </c>
      <c r="AR16" s="134"/>
      <c r="AS16" s="26">
        <f>IF(ISBLANK(F16),"",(AVERAGE($F$4:F16)))</f>
        <v>14.33076923076923</v>
      </c>
      <c r="AT16" s="26">
        <f>IF(ISBLANK(G16),"",(AVERAGE($G$4:G16)))</f>
        <v>23.138461538461538</v>
      </c>
      <c r="AU16" s="25">
        <f>IF(ISBLANK(H16),"",(AVERAGE($H$4:H16)))</f>
        <v>18.530769230769231</v>
      </c>
      <c r="AV16" s="368">
        <f>IF(ISBLANK(G16),"",(AVERAGE($I$4:I16)))</f>
        <v>8.8076923076923066</v>
      </c>
      <c r="AW16" s="22">
        <f>IF(ISBLANK(M16),"",AVERAGE($M$4:M16))</f>
        <v>66.230769230769226</v>
      </c>
      <c r="AX16" s="376">
        <f>IF(ISBLANK(P16),"",(AVERAGE($R$4:R16)))</f>
        <v>1011.4230769230769</v>
      </c>
      <c r="AY16" s="368">
        <f>IF(ISBLANK(U16),"",(AVERAGE($U$4:U16)))</f>
        <v>4.8461538461538458</v>
      </c>
      <c r="AZ16" s="6"/>
      <c r="BA16" s="25">
        <f t="shared" si="12"/>
        <v>2.6750000000000007</v>
      </c>
      <c r="BB16" s="25">
        <f t="shared" si="13"/>
        <v>-1.2015384615384619</v>
      </c>
      <c r="BC16" s="25">
        <f t="shared" si="16"/>
        <v>0.73673076923076941</v>
      </c>
      <c r="BD16" s="367">
        <f t="shared" si="15"/>
        <v>-3.8765384615384626</v>
      </c>
      <c r="BE16" s="72"/>
      <c r="BF16" s="25">
        <f>IF(ISBLANK(F16),"",AS16-AVERAGE($F$91:F103))</f>
        <v>0.73076923076923173</v>
      </c>
      <c r="BG16" s="25">
        <f>IF(ISBLANK(G16),"",AT16-AVERAGE($G$91:G103))</f>
        <v>0.57266272189348655</v>
      </c>
      <c r="BH16" s="367">
        <f t="shared" si="17"/>
        <v>-0.15810650887574518</v>
      </c>
      <c r="BI16" s="115">
        <f t="shared" si="2"/>
        <v>0.91153846153846141</v>
      </c>
      <c r="BJ16" s="115">
        <f t="shared" si="3"/>
        <v>0.83305284182777783</v>
      </c>
      <c r="BK16" s="402"/>
      <c r="BL16" s="572">
        <v>13</v>
      </c>
    </row>
    <row r="17" spans="1:64" ht="12.75" customHeight="1" x14ac:dyDescent="0.2">
      <c r="A17" s="278">
        <f t="shared" si="4"/>
        <v>14</v>
      </c>
      <c r="B17" s="131">
        <v>15.1</v>
      </c>
      <c r="C17" s="282">
        <v>22.4</v>
      </c>
      <c r="D17" s="685"/>
      <c r="E17" s="99">
        <f t="shared" si="5"/>
        <v>14</v>
      </c>
      <c r="F17" s="23">
        <v>15.1</v>
      </c>
      <c r="G17" s="23">
        <v>22.4</v>
      </c>
      <c r="H17" s="23">
        <v>18.3</v>
      </c>
      <c r="I17" s="23">
        <v>7.3</v>
      </c>
      <c r="J17" s="6">
        <f t="shared" si="0"/>
        <v>0</v>
      </c>
      <c r="K17" s="24">
        <v>43</v>
      </c>
      <c r="L17" s="24">
        <v>83</v>
      </c>
      <c r="M17" s="554">
        <v>63</v>
      </c>
      <c r="N17" s="24">
        <v>40</v>
      </c>
      <c r="O17" s="50">
        <f t="shared" si="1"/>
        <v>0</v>
      </c>
      <c r="P17" s="24">
        <v>1005</v>
      </c>
      <c r="Q17" s="24">
        <v>1011</v>
      </c>
      <c r="R17" s="24">
        <f t="shared" si="6"/>
        <v>1008</v>
      </c>
      <c r="S17" s="24">
        <f t="shared" si="7"/>
        <v>6</v>
      </c>
      <c r="T17" s="50">
        <v>0</v>
      </c>
      <c r="U17" s="553">
        <v>4.4000000000000004</v>
      </c>
      <c r="V17" s="553">
        <v>10.7</v>
      </c>
      <c r="W17" s="553">
        <v>15.6</v>
      </c>
      <c r="X17" s="485" t="s">
        <v>114</v>
      </c>
      <c r="Y17" s="72">
        <f t="shared" si="8"/>
        <v>0</v>
      </c>
      <c r="Z17" s="539">
        <v>0</v>
      </c>
      <c r="AA17" s="23" t="s">
        <v>619</v>
      </c>
      <c r="AB17" s="23"/>
      <c r="AC17" s="510" t="str">
        <f t="shared" si="9"/>
        <v/>
      </c>
      <c r="AD17" s="7" t="str">
        <f t="shared" si="10"/>
        <v/>
      </c>
      <c r="AE17" s="485" t="s">
        <v>619</v>
      </c>
      <c r="AF17" s="54"/>
      <c r="AG17" s="553">
        <v>7.2</v>
      </c>
      <c r="AH17" s="553">
        <v>12.9</v>
      </c>
      <c r="AI17" s="553">
        <v>10.7</v>
      </c>
      <c r="AJ17" s="7">
        <f t="shared" si="11"/>
        <v>5.7</v>
      </c>
      <c r="AK17" s="6"/>
      <c r="AL17" s="485" t="s">
        <v>361</v>
      </c>
      <c r="AM17" s="54">
        <v>1013.25</v>
      </c>
      <c r="AN17" s="555" t="s">
        <v>8</v>
      </c>
      <c r="AO17" s="400"/>
      <c r="AP17" s="485">
        <v>4</v>
      </c>
      <c r="AQ17" s="485">
        <v>0</v>
      </c>
      <c r="AR17" s="134"/>
      <c r="AS17" s="26">
        <f>IF(ISBLANK(F17),"",(AVERAGE($F$4:F17)))</f>
        <v>14.385714285714284</v>
      </c>
      <c r="AT17" s="26">
        <f>IF(ISBLANK(G17),"",(AVERAGE($G$4:G17)))</f>
        <v>23.085714285714285</v>
      </c>
      <c r="AU17" s="25">
        <f>IF(ISBLANK(H17),"",(AVERAGE($H$4:H17)))</f>
        <v>18.514285714285712</v>
      </c>
      <c r="AV17" s="368">
        <f>IF(ISBLANK(G17),"",(AVERAGE($I$4:I17)))</f>
        <v>8.6999999999999993</v>
      </c>
      <c r="AW17" s="22">
        <f>IF(ISBLANK(M17),"",AVERAGE($M$4:M17))</f>
        <v>66</v>
      </c>
      <c r="AX17" s="376">
        <f>IF(ISBLANK(P17),"",(AVERAGE($R$4:R17)))</f>
        <v>1011.1785714285714</v>
      </c>
      <c r="AY17" s="368">
        <f>IF(ISBLANK(U17),"",(AVERAGE($U$4:U17)))</f>
        <v>4.8142857142857141</v>
      </c>
      <c r="AZ17" s="6"/>
      <c r="BA17" s="25">
        <f t="shared" si="12"/>
        <v>1.6999999999999993</v>
      </c>
      <c r="BB17" s="25">
        <f t="shared" si="13"/>
        <v>3.1538461538460183E-2</v>
      </c>
      <c r="BC17" s="25">
        <f t="shared" si="16"/>
        <v>0.86576923076922974</v>
      </c>
      <c r="BD17" s="367">
        <f t="shared" si="15"/>
        <v>-1.6684615384615391</v>
      </c>
      <c r="BE17" s="72"/>
      <c r="BF17" s="25">
        <f>IF(ISBLANK(F17),"",AS17-AVERAGE($F$91:F104))</f>
        <v>0.79999999999999893</v>
      </c>
      <c r="BG17" s="25">
        <f>IF(ISBLANK(G17),"",AT17-AVERAGE($G$91:G104))</f>
        <v>0.5340109890109872</v>
      </c>
      <c r="BH17" s="367">
        <f t="shared" si="17"/>
        <v>-0.26598901098901173</v>
      </c>
      <c r="BI17" s="115">
        <f t="shared" si="2"/>
        <v>0.84642857142857131</v>
      </c>
      <c r="BJ17" s="115">
        <f t="shared" si="3"/>
        <v>0.82203462286045692</v>
      </c>
      <c r="BK17" s="402"/>
      <c r="BL17" s="572">
        <v>14</v>
      </c>
    </row>
    <row r="18" spans="1:64" ht="12.75" customHeight="1" x14ac:dyDescent="0.2">
      <c r="A18" s="394">
        <f t="shared" si="4"/>
        <v>15</v>
      </c>
      <c r="B18" s="131">
        <v>12.1</v>
      </c>
      <c r="C18" s="282">
        <v>21.6</v>
      </c>
      <c r="D18" s="685"/>
      <c r="E18" s="97">
        <f t="shared" si="5"/>
        <v>15</v>
      </c>
      <c r="F18" s="23">
        <v>12.1</v>
      </c>
      <c r="G18" s="23">
        <v>21.6</v>
      </c>
      <c r="H18" s="23">
        <v>17.399999999999999</v>
      </c>
      <c r="I18" s="23">
        <v>9.5</v>
      </c>
      <c r="J18" s="6">
        <f t="shared" si="0"/>
        <v>0</v>
      </c>
      <c r="K18" s="24">
        <v>41</v>
      </c>
      <c r="L18" s="24">
        <v>76</v>
      </c>
      <c r="M18" s="554">
        <v>58</v>
      </c>
      <c r="N18" s="24">
        <v>35</v>
      </c>
      <c r="O18" s="50">
        <f t="shared" si="1"/>
        <v>0</v>
      </c>
      <c r="P18" s="24">
        <v>1011</v>
      </c>
      <c r="Q18" s="24">
        <v>1018</v>
      </c>
      <c r="R18" s="24">
        <f t="shared" si="6"/>
        <v>1014.5</v>
      </c>
      <c r="S18" s="24">
        <f t="shared" si="7"/>
        <v>7</v>
      </c>
      <c r="T18" s="50">
        <v>0</v>
      </c>
      <c r="U18" s="553">
        <v>4.7</v>
      </c>
      <c r="V18" s="553">
        <v>12.1</v>
      </c>
      <c r="W18" s="553">
        <v>14.5</v>
      </c>
      <c r="X18" s="485" t="s">
        <v>114</v>
      </c>
      <c r="Y18" s="72">
        <f t="shared" si="8"/>
        <v>1</v>
      </c>
      <c r="Z18" s="539">
        <v>0.1</v>
      </c>
      <c r="AA18" s="23" t="s">
        <v>619</v>
      </c>
      <c r="AB18" s="23"/>
      <c r="AC18" s="510">
        <f t="shared" si="9"/>
        <v>1.3698630136986306E-3</v>
      </c>
      <c r="AD18" s="7" t="str">
        <f t="shared" si="10"/>
        <v/>
      </c>
      <c r="AE18" s="485" t="s">
        <v>619</v>
      </c>
      <c r="AF18" s="54"/>
      <c r="AG18" s="553">
        <v>6.8</v>
      </c>
      <c r="AH18" s="553">
        <v>11.5</v>
      </c>
      <c r="AI18" s="553">
        <v>8.6999999999999993</v>
      </c>
      <c r="AJ18" s="7">
        <f t="shared" si="11"/>
        <v>4.7</v>
      </c>
      <c r="AK18" s="6"/>
      <c r="AL18" s="485" t="s">
        <v>637</v>
      </c>
      <c r="AM18" s="54">
        <v>1013.25</v>
      </c>
      <c r="AN18" s="566" t="s">
        <v>638</v>
      </c>
      <c r="AO18" s="400"/>
      <c r="AP18" s="485">
        <v>7</v>
      </c>
      <c r="AQ18" s="485">
        <v>2</v>
      </c>
      <c r="AR18" s="134"/>
      <c r="AS18" s="26">
        <f>IF(ISBLANK(F18),"",(AVERAGE($F$4:F18)))</f>
        <v>14.233333333333331</v>
      </c>
      <c r="AT18" s="26">
        <f>IF(ISBLANK(G18),"",(AVERAGE($G$4:G18)))</f>
        <v>22.986666666666668</v>
      </c>
      <c r="AU18" s="25">
        <f>IF(ISBLANK(H18),"",(AVERAGE($H$4:H18)))</f>
        <v>18.439999999999998</v>
      </c>
      <c r="AV18" s="368">
        <f>IF(ISBLANK(G18),"",(AVERAGE($I$4:I18)))</f>
        <v>8.7533333333333321</v>
      </c>
      <c r="AW18" s="22">
        <f>IF(ISBLANK(M18),"",AVERAGE($M$4:M18))</f>
        <v>65.466666666666669</v>
      </c>
      <c r="AX18" s="376">
        <f>IF(ISBLANK(P18),"",(AVERAGE($R$4:R18)))</f>
        <v>1011.4</v>
      </c>
      <c r="AY18" s="368">
        <f>IF(ISBLANK(U18),"",(AVERAGE($U$4:U18)))</f>
        <v>4.8066666666666666</v>
      </c>
      <c r="AZ18" s="6"/>
      <c r="BA18" s="25">
        <f t="shared" si="12"/>
        <v>-1.2444444444444454</v>
      </c>
      <c r="BB18" s="25">
        <f t="shared" si="13"/>
        <v>-0.73538461538461419</v>
      </c>
      <c r="BC18" s="25">
        <f t="shared" si="16"/>
        <v>-0.98991452991452977</v>
      </c>
      <c r="BD18" s="367">
        <f t="shared" si="15"/>
        <v>0.50905982905983116</v>
      </c>
      <c r="BE18" s="72"/>
      <c r="BF18" s="25">
        <f>IF(ISBLANK(F18),"",AS18-AVERAGE($F$91:F105))</f>
        <v>0.66370370370370324</v>
      </c>
      <c r="BG18" s="25">
        <f>IF(ISBLANK(G18),"",AT18-AVERAGE($G$91:G105))</f>
        <v>0.44938461538461638</v>
      </c>
      <c r="BH18" s="367">
        <f t="shared" si="17"/>
        <v>-0.21431908831908686</v>
      </c>
      <c r="BI18" s="115">
        <f t="shared" si="2"/>
        <v>0.79333333333333322</v>
      </c>
      <c r="BJ18" s="115">
        <f t="shared" si="3"/>
        <v>0.8456185699923835</v>
      </c>
      <c r="BK18" s="402"/>
      <c r="BL18" s="572">
        <v>15</v>
      </c>
    </row>
    <row r="19" spans="1:64" ht="12.75" customHeight="1" x14ac:dyDescent="0.2">
      <c r="A19" s="394">
        <f t="shared" si="4"/>
        <v>16</v>
      </c>
      <c r="B19" s="131">
        <v>14.7</v>
      </c>
      <c r="C19" s="282">
        <v>20.2</v>
      </c>
      <c r="D19" s="685"/>
      <c r="E19" s="97">
        <f t="shared" si="5"/>
        <v>16</v>
      </c>
      <c r="F19" s="23">
        <v>14.7</v>
      </c>
      <c r="G19" s="23">
        <v>20.2</v>
      </c>
      <c r="H19" s="23">
        <v>17.3</v>
      </c>
      <c r="I19" s="23">
        <v>5.5</v>
      </c>
      <c r="J19" s="6">
        <f t="shared" si="0"/>
        <v>0</v>
      </c>
      <c r="K19" s="24">
        <v>68</v>
      </c>
      <c r="L19" s="24">
        <v>83</v>
      </c>
      <c r="M19" s="554">
        <v>75</v>
      </c>
      <c r="N19" s="24">
        <v>15</v>
      </c>
      <c r="O19" s="50">
        <f t="shared" si="1"/>
        <v>0</v>
      </c>
      <c r="P19" s="24">
        <v>1015</v>
      </c>
      <c r="Q19" s="24">
        <v>1018</v>
      </c>
      <c r="R19" s="24">
        <f t="shared" si="6"/>
        <v>1016.5</v>
      </c>
      <c r="S19" s="24">
        <f t="shared" si="7"/>
        <v>3</v>
      </c>
      <c r="T19" s="50">
        <v>0</v>
      </c>
      <c r="U19" s="553">
        <v>5.9</v>
      </c>
      <c r="V19" s="553">
        <v>13</v>
      </c>
      <c r="W19" s="553">
        <v>19.899999999999999</v>
      </c>
      <c r="X19" s="485" t="s">
        <v>110</v>
      </c>
      <c r="Y19" s="72">
        <f t="shared" si="8"/>
        <v>0</v>
      </c>
      <c r="Z19" s="539">
        <v>0</v>
      </c>
      <c r="AA19" s="23" t="s">
        <v>619</v>
      </c>
      <c r="AB19" s="23"/>
      <c r="AC19" s="510" t="str">
        <f t="shared" si="9"/>
        <v/>
      </c>
      <c r="AD19" s="7" t="str">
        <f t="shared" si="10"/>
        <v/>
      </c>
      <c r="AE19" s="485" t="s">
        <v>619</v>
      </c>
      <c r="AF19" s="54"/>
      <c r="AG19" s="553">
        <v>11.1</v>
      </c>
      <c r="AH19" s="553">
        <v>14.3</v>
      </c>
      <c r="AI19" s="553">
        <v>12.8</v>
      </c>
      <c r="AJ19" s="7">
        <f t="shared" si="11"/>
        <v>3.2000000000000011</v>
      </c>
      <c r="AK19" s="6"/>
      <c r="AL19" s="485" t="s">
        <v>639</v>
      </c>
      <c r="AM19" s="54">
        <v>1013.25</v>
      </c>
      <c r="AN19" s="555" t="s">
        <v>8</v>
      </c>
      <c r="AO19" s="400"/>
      <c r="AP19" s="485">
        <v>1</v>
      </c>
      <c r="AQ19" s="485">
        <v>0</v>
      </c>
      <c r="AR19" s="134"/>
      <c r="AS19" s="26">
        <f>IF(ISBLANK(F19),"",(AVERAGE($F$4:F19)))</f>
        <v>14.262499999999998</v>
      </c>
      <c r="AT19" s="26">
        <f>IF(ISBLANK(G19),"",(AVERAGE($G$4:G19)))</f>
        <v>22.8125</v>
      </c>
      <c r="AU19" s="25">
        <f>IF(ISBLANK(H19),"",(AVERAGE($H$4:H19)))</f>
        <v>18.368749999999999</v>
      </c>
      <c r="AV19" s="368">
        <f>IF(ISBLANK(G19),"",(AVERAGE($I$4:I19)))</f>
        <v>8.5499999999999989</v>
      </c>
      <c r="AW19" s="22">
        <f>IF(ISBLANK(M19),"",AVERAGE($M$4:M19))</f>
        <v>66.0625</v>
      </c>
      <c r="AX19" s="376">
        <f>IF(ISBLANK(P19),"",(AVERAGE($R$4:R19)))</f>
        <v>1011.71875</v>
      </c>
      <c r="AY19" s="368">
        <f>IF(ISBLANK(U19),"",(AVERAGE($U$4:U19)))</f>
        <v>4.875</v>
      </c>
      <c r="AZ19" s="6"/>
      <c r="BA19" s="25">
        <f t="shared" si="12"/>
        <v>1.4111111111111097</v>
      </c>
      <c r="BB19" s="25">
        <f t="shared" si="13"/>
        <v>-2.1023076923076935</v>
      </c>
      <c r="BC19" s="25">
        <f t="shared" si="16"/>
        <v>-0.34559829059829195</v>
      </c>
      <c r="BD19" s="367">
        <f t="shared" si="15"/>
        <v>-3.5134188034188032</v>
      </c>
      <c r="BE19" s="72"/>
      <c r="BF19" s="25">
        <f>IF(ISBLANK(F19),"",AS19-AVERAGE($F$91:F106))</f>
        <v>0.71041666666666536</v>
      </c>
      <c r="BG19" s="25">
        <f>IF(ISBLANK(G19),"",AT19-AVERAGE($G$91:G106))</f>
        <v>0.28990384615384457</v>
      </c>
      <c r="BH19" s="367">
        <f t="shared" si="17"/>
        <v>-0.4205128205128208</v>
      </c>
      <c r="BI19" s="115">
        <f t="shared" si="2"/>
        <v>0.74374999999999991</v>
      </c>
      <c r="BJ19" s="115">
        <f t="shared" si="3"/>
        <v>0.80465791809469656</v>
      </c>
      <c r="BK19" s="402"/>
      <c r="BL19" s="572">
        <v>16</v>
      </c>
    </row>
    <row r="20" spans="1:64" ht="12.75" customHeight="1" x14ac:dyDescent="0.2">
      <c r="A20" s="394">
        <f t="shared" si="4"/>
        <v>17</v>
      </c>
      <c r="B20" s="131">
        <v>12.3</v>
      </c>
      <c r="C20" s="282">
        <v>20.2</v>
      </c>
      <c r="D20" s="685"/>
      <c r="E20" s="97">
        <f t="shared" si="5"/>
        <v>17</v>
      </c>
      <c r="F20" s="23">
        <v>12.3</v>
      </c>
      <c r="G20" s="23">
        <v>20.2</v>
      </c>
      <c r="H20" s="23">
        <v>15.9</v>
      </c>
      <c r="I20" s="23">
        <v>7.9</v>
      </c>
      <c r="J20" s="6">
        <f t="shared" si="0"/>
        <v>0</v>
      </c>
      <c r="K20" s="24">
        <v>47</v>
      </c>
      <c r="L20" s="24">
        <v>89</v>
      </c>
      <c r="M20" s="554">
        <v>70</v>
      </c>
      <c r="N20" s="24">
        <v>42</v>
      </c>
      <c r="O20" s="50">
        <f t="shared" si="1"/>
        <v>0</v>
      </c>
      <c r="P20" s="24">
        <v>1016</v>
      </c>
      <c r="Q20" s="24">
        <v>1018</v>
      </c>
      <c r="R20" s="24">
        <f t="shared" si="6"/>
        <v>1017</v>
      </c>
      <c r="S20" s="24">
        <f t="shared" si="7"/>
        <v>2</v>
      </c>
      <c r="T20" s="50">
        <v>0</v>
      </c>
      <c r="U20" s="553">
        <v>3.2</v>
      </c>
      <c r="V20" s="553">
        <v>9.8000000000000007</v>
      </c>
      <c r="W20" s="553">
        <v>12.1</v>
      </c>
      <c r="X20" s="485" t="s">
        <v>105</v>
      </c>
      <c r="Y20" s="72">
        <f t="shared" si="8"/>
        <v>1</v>
      </c>
      <c r="Z20" s="539">
        <v>0.8</v>
      </c>
      <c r="AA20" s="23">
        <v>0.8</v>
      </c>
      <c r="AB20" s="23">
        <v>0.3</v>
      </c>
      <c r="AC20" s="510">
        <f t="shared" si="9"/>
        <v>1.0958904109589045E-2</v>
      </c>
      <c r="AD20" s="7">
        <f t="shared" si="10"/>
        <v>0.53333333333333333</v>
      </c>
      <c r="AE20" s="485">
        <v>1.1000000000000001</v>
      </c>
      <c r="AF20" s="54"/>
      <c r="AG20" s="553">
        <v>7.5</v>
      </c>
      <c r="AH20" s="553">
        <v>13.6</v>
      </c>
      <c r="AI20" s="553">
        <v>10.199999999999999</v>
      </c>
      <c r="AJ20" s="7">
        <f t="shared" si="11"/>
        <v>6.1</v>
      </c>
      <c r="AK20" s="6"/>
      <c r="AL20" s="485" t="s">
        <v>640</v>
      </c>
      <c r="AM20" s="54">
        <v>1013.25</v>
      </c>
      <c r="AN20" s="609" t="s">
        <v>641</v>
      </c>
      <c r="AO20" s="400"/>
      <c r="AP20" s="485">
        <v>1</v>
      </c>
      <c r="AQ20" s="485">
        <v>1.5</v>
      </c>
      <c r="AR20" s="134"/>
      <c r="AS20" s="26">
        <f>IF(ISBLANK(F20),"",(AVERAGE($F$4:F20)))</f>
        <v>14.147058823529409</v>
      </c>
      <c r="AT20" s="26">
        <f>IF(ISBLANK(G20),"",(AVERAGE($G$4:G20)))</f>
        <v>22.658823529411762</v>
      </c>
      <c r="AU20" s="25">
        <f>IF(ISBLANK(H20),"",(AVERAGE($H$4:H20)))</f>
        <v>18.223529411764702</v>
      </c>
      <c r="AV20" s="368">
        <f>IF(ISBLANK(G20),"",(AVERAGE($I$4:I20)))</f>
        <v>8.5117647058823529</v>
      </c>
      <c r="AW20" s="22">
        <f>IF(ISBLANK(M20),"",AVERAGE($M$4:M20))</f>
        <v>66.294117647058826</v>
      </c>
      <c r="AX20" s="376">
        <f>IF(ISBLANK(P20),"",(AVERAGE($R$4:R20)))</f>
        <v>1012.0294117647059</v>
      </c>
      <c r="AY20" s="368">
        <f>IF(ISBLANK(U20),"",(AVERAGE($U$4:U20)))</f>
        <v>4.776470588235294</v>
      </c>
      <c r="AZ20" s="6"/>
      <c r="BA20" s="25">
        <f t="shared" si="12"/>
        <v>-0.93333333333333357</v>
      </c>
      <c r="BB20" s="25">
        <f t="shared" si="13"/>
        <v>-2.0692307692307708</v>
      </c>
      <c r="BC20" s="25">
        <f t="shared" si="16"/>
        <v>-1.5012820512820522</v>
      </c>
      <c r="BD20" s="367">
        <f t="shared" si="15"/>
        <v>-1.1358974358974372</v>
      </c>
      <c r="BE20" s="72"/>
      <c r="BF20" s="25">
        <f>IF(ISBLANK(F20),"",AS20-AVERAGE($F$91:F107))</f>
        <v>0.61372549019607625</v>
      </c>
      <c r="BG20" s="25">
        <f>IF(ISBLANK(G20),"",AT20-AVERAGE($G$91:G107))</f>
        <v>0.15113122171945292</v>
      </c>
      <c r="BH20" s="367">
        <f t="shared" si="17"/>
        <v>-0.46259426847662333</v>
      </c>
      <c r="BI20" s="115">
        <f t="shared" si="2"/>
        <v>0.72352941176470587</v>
      </c>
      <c r="BJ20" s="115">
        <f t="shared" si="3"/>
        <v>0.76856929649016315</v>
      </c>
      <c r="BK20" s="402"/>
      <c r="BL20" s="572">
        <v>17</v>
      </c>
    </row>
    <row r="21" spans="1:64" ht="12.75" customHeight="1" x14ac:dyDescent="0.2">
      <c r="A21" s="394">
        <f t="shared" si="4"/>
        <v>18</v>
      </c>
      <c r="B21" s="131">
        <v>13</v>
      </c>
      <c r="C21" s="282">
        <v>17.100000000000001</v>
      </c>
      <c r="D21" s="685"/>
      <c r="E21" s="97">
        <f t="shared" si="5"/>
        <v>18</v>
      </c>
      <c r="F21" s="23">
        <v>11.6</v>
      </c>
      <c r="G21" s="23">
        <v>17.100000000000001</v>
      </c>
      <c r="H21" s="23">
        <v>13.7</v>
      </c>
      <c r="I21" s="23">
        <v>5.5</v>
      </c>
      <c r="J21" s="6">
        <f t="shared" si="0"/>
        <v>0</v>
      </c>
      <c r="K21" s="24">
        <v>62</v>
      </c>
      <c r="L21" s="24">
        <v>93</v>
      </c>
      <c r="M21" s="554">
        <v>82</v>
      </c>
      <c r="N21" s="24">
        <v>31</v>
      </c>
      <c r="O21" s="50">
        <f t="shared" si="1"/>
        <v>1</v>
      </c>
      <c r="P21" s="24">
        <v>1013</v>
      </c>
      <c r="Q21" s="24">
        <v>1017</v>
      </c>
      <c r="R21" s="24">
        <f t="shared" si="6"/>
        <v>1015</v>
      </c>
      <c r="S21" s="24">
        <f t="shared" si="7"/>
        <v>4</v>
      </c>
      <c r="T21" s="50">
        <v>0</v>
      </c>
      <c r="U21" s="553">
        <v>4.9000000000000004</v>
      </c>
      <c r="V21" s="553">
        <v>13.5</v>
      </c>
      <c r="W21" s="553">
        <v>19.399999999999999</v>
      </c>
      <c r="X21" s="485" t="s">
        <v>105</v>
      </c>
      <c r="Y21" s="72">
        <f t="shared" si="8"/>
        <v>2</v>
      </c>
      <c r="Z21" s="539">
        <v>14.6</v>
      </c>
      <c r="AA21" s="23">
        <v>9.3000000000000007</v>
      </c>
      <c r="AB21" s="23">
        <v>3.3</v>
      </c>
      <c r="AC21" s="510">
        <f t="shared" si="9"/>
        <v>0.20000000000000004</v>
      </c>
      <c r="AD21" s="7">
        <f t="shared" si="10"/>
        <v>5.84</v>
      </c>
      <c r="AE21" s="485">
        <v>60</v>
      </c>
      <c r="AF21" s="54"/>
      <c r="AG21" s="553">
        <v>9.6</v>
      </c>
      <c r="AH21" s="553">
        <v>11.5</v>
      </c>
      <c r="AI21" s="553">
        <v>10.5</v>
      </c>
      <c r="AJ21" s="7">
        <f t="shared" si="11"/>
        <v>1.9000000000000004</v>
      </c>
      <c r="AK21" s="6"/>
      <c r="AL21" s="485" t="s">
        <v>239</v>
      </c>
      <c r="AM21" s="54">
        <v>1013.25</v>
      </c>
      <c r="AN21" s="555" t="s">
        <v>642</v>
      </c>
      <c r="AO21" s="400"/>
      <c r="AP21" s="565">
        <v>0</v>
      </c>
      <c r="AQ21" s="485">
        <v>2.5</v>
      </c>
      <c r="AR21" s="134"/>
      <c r="AS21" s="26">
        <f>IF(ISBLANK(F21),"",(AVERAGE($F$4:F21)))</f>
        <v>14.005555555555553</v>
      </c>
      <c r="AT21" s="26">
        <f>IF(ISBLANK(G21),"",(AVERAGE($G$4:G21)))</f>
        <v>22.35</v>
      </c>
      <c r="AU21" s="25">
        <f>IF(ISBLANK(H21),"",(AVERAGE($H$4:H21)))</f>
        <v>17.972222222222218</v>
      </c>
      <c r="AV21" s="368">
        <f>IF(ISBLANK(G21),"",(AVERAGE($I$4:I21)))</f>
        <v>8.3444444444444432</v>
      </c>
      <c r="AW21" s="22">
        <f>IF(ISBLANK(M21),"",AVERAGE($M$4:M21))</f>
        <v>67.166666666666671</v>
      </c>
      <c r="AX21" s="376">
        <f>IF(ISBLANK(P21),"",(AVERAGE($R$4:R21)))</f>
        <v>1012.1944444444445</v>
      </c>
      <c r="AY21" s="368">
        <f>IF(ISBLANK(U21),"",(AVERAGE($U$4:U21)))</f>
        <v>4.7833333333333341</v>
      </c>
      <c r="AZ21" s="6"/>
      <c r="BA21" s="25">
        <f t="shared" si="12"/>
        <v>-1.5777777777777793</v>
      </c>
      <c r="BB21" s="25">
        <f t="shared" si="13"/>
        <v>-5.1361538461538458</v>
      </c>
      <c r="BC21" s="25">
        <f t="shared" si="16"/>
        <v>-3.3569658119658126</v>
      </c>
      <c r="BD21" s="367">
        <f t="shared" si="15"/>
        <v>-3.5583760683760666</v>
      </c>
      <c r="BE21" s="72"/>
      <c r="BF21" s="25">
        <f>IF(ISBLANK(F21),"",AS21-AVERAGE($F$91:F108))</f>
        <v>0.49197530864197248</v>
      </c>
      <c r="BG21" s="25">
        <f>IF(ISBLANK(G21),"",AT21-AVERAGE($G$91:G108))</f>
        <v>-0.1426068376068379</v>
      </c>
      <c r="BH21" s="367">
        <f t="shared" ref="BH21:BH29" si="18">IF(ISBLANK(G21),"",BG21-BF21)</f>
        <v>-0.63458214624881037</v>
      </c>
      <c r="BI21" s="115">
        <f t="shared" si="2"/>
        <v>1.0888888888888888</v>
      </c>
      <c r="BJ21" s="115">
        <f t="shared" si="3"/>
        <v>0.72733434217579074</v>
      </c>
      <c r="BK21" s="402"/>
      <c r="BL21" s="572">
        <v>18</v>
      </c>
    </row>
    <row r="22" spans="1:64" ht="12.75" customHeight="1" x14ac:dyDescent="0.2">
      <c r="A22" s="394">
        <f t="shared" si="4"/>
        <v>19</v>
      </c>
      <c r="B22" s="131">
        <v>9.1</v>
      </c>
      <c r="C22" s="282">
        <v>21.3</v>
      </c>
      <c r="D22" s="685"/>
      <c r="E22" s="97">
        <f t="shared" si="5"/>
        <v>19</v>
      </c>
      <c r="F22" s="23">
        <v>9.1</v>
      </c>
      <c r="G22" s="23">
        <v>21.3</v>
      </c>
      <c r="H22" s="23">
        <v>15.6</v>
      </c>
      <c r="I22" s="23">
        <v>12.2</v>
      </c>
      <c r="J22" s="6">
        <f t="shared" si="0"/>
        <v>0</v>
      </c>
      <c r="K22" s="24">
        <v>47</v>
      </c>
      <c r="L22" s="24">
        <v>97</v>
      </c>
      <c r="M22" s="554">
        <v>73</v>
      </c>
      <c r="N22" s="24">
        <v>50</v>
      </c>
      <c r="O22" s="50">
        <f t="shared" si="1"/>
        <v>0</v>
      </c>
      <c r="P22" s="24">
        <v>1015</v>
      </c>
      <c r="Q22" s="24">
        <v>1020</v>
      </c>
      <c r="R22" s="24">
        <f t="shared" si="6"/>
        <v>1017.5</v>
      </c>
      <c r="S22" s="24">
        <f t="shared" si="7"/>
        <v>5</v>
      </c>
      <c r="T22" s="50">
        <v>0</v>
      </c>
      <c r="U22" s="553">
        <v>3.7</v>
      </c>
      <c r="V22" s="553">
        <v>10.5</v>
      </c>
      <c r="W22" s="553">
        <v>14.7</v>
      </c>
      <c r="X22" s="485" t="s">
        <v>110</v>
      </c>
      <c r="Y22" s="72">
        <f t="shared" si="8"/>
        <v>0</v>
      </c>
      <c r="Z22" s="539">
        <v>0</v>
      </c>
      <c r="AA22" s="23" t="s">
        <v>619</v>
      </c>
      <c r="AB22" s="23"/>
      <c r="AC22" s="510" t="str">
        <f t="shared" si="9"/>
        <v/>
      </c>
      <c r="AD22" s="7" t="str">
        <f t="shared" si="10"/>
        <v/>
      </c>
      <c r="AE22" s="485" t="s">
        <v>619</v>
      </c>
      <c r="AF22" s="54"/>
      <c r="AG22" s="553">
        <v>8.1999999999999993</v>
      </c>
      <c r="AH22" s="553">
        <v>13</v>
      </c>
      <c r="AI22" s="553">
        <v>10.199999999999999</v>
      </c>
      <c r="AJ22" s="7">
        <f t="shared" si="11"/>
        <v>4.8000000000000007</v>
      </c>
      <c r="AK22" s="6"/>
      <c r="AL22" s="485" t="s">
        <v>643</v>
      </c>
      <c r="AM22" s="54">
        <v>1013.25</v>
      </c>
      <c r="AN22" s="23" t="s">
        <v>8</v>
      </c>
      <c r="AO22" s="400"/>
      <c r="AP22" s="485">
        <v>10</v>
      </c>
      <c r="AQ22" s="485">
        <v>0</v>
      </c>
      <c r="AR22" s="134"/>
      <c r="AS22" s="26">
        <f>IF(ISBLANK(F22),"",(AVERAGE($F$4:F22)))</f>
        <v>13.747368421052631</v>
      </c>
      <c r="AT22" s="26">
        <f>IF(ISBLANK(G22),"",(AVERAGE($G$4:G22)))</f>
        <v>22.294736842105266</v>
      </c>
      <c r="AU22" s="25">
        <f>IF(ISBLANK(H22),"",(AVERAGE($H$4:H22)))</f>
        <v>17.847368421052629</v>
      </c>
      <c r="AV22" s="368">
        <f>IF(ISBLANK(G22),"",(AVERAGE($I$4:I22)))</f>
        <v>8.5473684210526297</v>
      </c>
      <c r="AW22" s="22">
        <f>IF(ISBLANK(M22),"",AVERAGE($M$4:M22))</f>
        <v>67.473684210526315</v>
      </c>
      <c r="AX22" s="376">
        <f>IF(ISBLANK(P22),"",(AVERAGE($R$4:R22)))</f>
        <v>1012.4736842105264</v>
      </c>
      <c r="AY22" s="368">
        <f>IF(ISBLANK(U22),"",(AVERAGE($U$4:U22)))</f>
        <v>4.7263157894736851</v>
      </c>
      <c r="AZ22" s="6"/>
      <c r="BA22" s="25">
        <f t="shared" si="12"/>
        <v>-4.0222222222222239</v>
      </c>
      <c r="BB22" s="25">
        <f t="shared" si="13"/>
        <v>-0.90307692307692378</v>
      </c>
      <c r="BC22" s="25">
        <f t="shared" si="16"/>
        <v>-2.4626495726495738</v>
      </c>
      <c r="BD22" s="367">
        <f t="shared" si="15"/>
        <v>3.1191452991453001</v>
      </c>
      <c r="BE22" s="72"/>
      <c r="BF22" s="25">
        <f>IF(ISBLANK(F22),"",AS22-AVERAGE($F$91:F109))</f>
        <v>0.25438596491227905</v>
      </c>
      <c r="BG22" s="25">
        <f>IF(ISBLANK(G22),"",AT22-AVERAGE($G$91:G109))</f>
        <v>-0.18263157894736892</v>
      </c>
      <c r="BH22" s="367">
        <f t="shared" si="18"/>
        <v>-0.43701754385964797</v>
      </c>
      <c r="BI22" s="115">
        <f t="shared" si="2"/>
        <v>1.0315789473684209</v>
      </c>
      <c r="BJ22" s="115">
        <f t="shared" si="3"/>
        <v>0.77785187802816458</v>
      </c>
      <c r="BK22" s="402"/>
      <c r="BL22" s="572">
        <v>19</v>
      </c>
    </row>
    <row r="23" spans="1:64" ht="12.75" customHeight="1" x14ac:dyDescent="0.2">
      <c r="A23" s="394">
        <f t="shared" si="4"/>
        <v>20</v>
      </c>
      <c r="B23" s="131">
        <v>14.4</v>
      </c>
      <c r="C23" s="282">
        <v>21.7</v>
      </c>
      <c r="D23" s="685"/>
      <c r="E23" s="97">
        <f t="shared" si="5"/>
        <v>20</v>
      </c>
      <c r="F23" s="23">
        <v>13.2</v>
      </c>
      <c r="G23" s="23">
        <v>21.7</v>
      </c>
      <c r="H23" s="23">
        <v>17</v>
      </c>
      <c r="I23" s="23">
        <v>8.5</v>
      </c>
      <c r="J23" s="6">
        <f t="shared" si="0"/>
        <v>0</v>
      </c>
      <c r="K23" s="24">
        <v>59</v>
      </c>
      <c r="L23" s="24">
        <v>88</v>
      </c>
      <c r="M23" s="554">
        <v>75</v>
      </c>
      <c r="N23" s="24">
        <v>29</v>
      </c>
      <c r="O23" s="50">
        <f t="shared" si="1"/>
        <v>1</v>
      </c>
      <c r="P23" s="24">
        <v>1015</v>
      </c>
      <c r="Q23" s="24">
        <v>1020</v>
      </c>
      <c r="R23" s="24">
        <f t="shared" si="6"/>
        <v>1017.5</v>
      </c>
      <c r="S23" s="24">
        <f t="shared" si="7"/>
        <v>5</v>
      </c>
      <c r="T23" s="50">
        <v>0</v>
      </c>
      <c r="U23" s="553">
        <v>3.3</v>
      </c>
      <c r="V23" s="553">
        <v>12.8</v>
      </c>
      <c r="W23" s="553">
        <v>17.600000000000001</v>
      </c>
      <c r="X23" s="485" t="s">
        <v>110</v>
      </c>
      <c r="Y23" s="72">
        <f t="shared" si="8"/>
        <v>2</v>
      </c>
      <c r="Z23" s="539">
        <v>4.5999999999999996</v>
      </c>
      <c r="AA23" s="23">
        <v>3.6</v>
      </c>
      <c r="AB23" s="23">
        <v>1.4</v>
      </c>
      <c r="AC23" s="510">
        <f t="shared" si="9"/>
        <v>6.3013698630136991E-2</v>
      </c>
      <c r="AD23" s="7">
        <f t="shared" si="10"/>
        <v>2.2999999999999998</v>
      </c>
      <c r="AE23" s="485">
        <v>15</v>
      </c>
      <c r="AF23" s="54"/>
      <c r="AG23" s="553">
        <v>9.6999999999999993</v>
      </c>
      <c r="AH23" s="553">
        <v>14.6</v>
      </c>
      <c r="AI23" s="553">
        <v>12.5</v>
      </c>
      <c r="AJ23" s="7">
        <f t="shared" si="11"/>
        <v>4.9000000000000004</v>
      </c>
      <c r="AK23" s="6"/>
      <c r="AL23" s="485" t="s">
        <v>644</v>
      </c>
      <c r="AM23" s="54">
        <v>1013.25</v>
      </c>
      <c r="AN23" s="23" t="s">
        <v>645</v>
      </c>
      <c r="AO23" s="400"/>
      <c r="AP23" s="485">
        <v>7.5</v>
      </c>
      <c r="AQ23" s="485">
        <v>2</v>
      </c>
      <c r="AR23" s="134"/>
      <c r="AS23" s="26">
        <f>IF(ISBLANK(F23),"",(AVERAGE($F$4:F23)))</f>
        <v>13.719999999999999</v>
      </c>
      <c r="AT23" s="26">
        <f>IF(ISBLANK(G23),"",(AVERAGE($G$4:G23)))</f>
        <v>22.265000000000001</v>
      </c>
      <c r="AU23" s="25">
        <f>IF(ISBLANK(H23),"",(AVERAGE($H$4:H23)))</f>
        <v>17.805</v>
      </c>
      <c r="AV23" s="368">
        <f>IF(ISBLANK(G23),"",(AVERAGE($I$4:I23)))</f>
        <v>8.5449999999999982</v>
      </c>
      <c r="AW23" s="22">
        <f>IF(ISBLANK(M23),"",AVERAGE($M$4:M23))</f>
        <v>67.849999999999994</v>
      </c>
      <c r="AX23" s="376">
        <f>IF(ISBLANK(P23),"",(AVERAGE($R$4:R23)))</f>
        <v>1012.725</v>
      </c>
      <c r="AY23" s="368">
        <f>IF(ISBLANK(U23),"",(AVERAGE($U$4:U23)))</f>
        <v>4.6550000000000002</v>
      </c>
      <c r="AZ23" s="6"/>
      <c r="BA23" s="25">
        <f t="shared" si="12"/>
        <v>0.13333333333333108</v>
      </c>
      <c r="BB23" s="25">
        <f t="shared" si="13"/>
        <v>-0.5</v>
      </c>
      <c r="BC23" s="25">
        <f t="shared" si="16"/>
        <v>-0.18333333333333446</v>
      </c>
      <c r="BD23" s="367">
        <f t="shared" si="15"/>
        <v>-0.63333333333333108</v>
      </c>
      <c r="BE23" s="72"/>
      <c r="BF23" s="25">
        <f>IF(ISBLANK(F23),"",AS23-AVERAGE($F$91:F110))</f>
        <v>0.2483333333333313</v>
      </c>
      <c r="BG23" s="25">
        <f>IF(ISBLANK(G23),"",AT23-AVERAGE($G$91:G110))</f>
        <v>-0.19850000000000279</v>
      </c>
      <c r="BH23" s="367">
        <f t="shared" si="18"/>
        <v>-0.44683333333333408</v>
      </c>
      <c r="BI23" s="115">
        <f t="shared" si="2"/>
        <v>1.095</v>
      </c>
      <c r="BJ23" s="115">
        <f t="shared" si="3"/>
        <v>0.80286965555447065</v>
      </c>
      <c r="BK23" s="88"/>
      <c r="BL23" s="572">
        <v>20</v>
      </c>
    </row>
    <row r="24" spans="1:64" ht="12.75" customHeight="1" x14ac:dyDescent="0.2">
      <c r="A24" s="394">
        <f t="shared" si="4"/>
        <v>21</v>
      </c>
      <c r="B24" s="131">
        <v>13</v>
      </c>
      <c r="C24" s="282">
        <v>23.3</v>
      </c>
      <c r="D24" s="685"/>
      <c r="E24" s="97">
        <f t="shared" si="5"/>
        <v>21</v>
      </c>
      <c r="F24" s="23">
        <v>13</v>
      </c>
      <c r="G24" s="23">
        <v>23.3</v>
      </c>
      <c r="H24" s="23">
        <v>18.399999999999999</v>
      </c>
      <c r="I24" s="23">
        <v>10.3</v>
      </c>
      <c r="J24" s="6">
        <f t="shared" si="0"/>
        <v>0</v>
      </c>
      <c r="K24" s="24">
        <v>45</v>
      </c>
      <c r="L24" s="24">
        <v>91</v>
      </c>
      <c r="M24" s="554">
        <v>69</v>
      </c>
      <c r="N24" s="24">
        <v>46</v>
      </c>
      <c r="O24" s="50">
        <f t="shared" si="1"/>
        <v>0</v>
      </c>
      <c r="P24" s="24">
        <v>1011</v>
      </c>
      <c r="Q24" s="24">
        <v>1018</v>
      </c>
      <c r="R24" s="24">
        <f t="shared" si="6"/>
        <v>1014.5</v>
      </c>
      <c r="S24" s="24">
        <f t="shared" si="7"/>
        <v>7</v>
      </c>
      <c r="T24" s="50">
        <v>0</v>
      </c>
      <c r="U24" s="553">
        <v>3.1</v>
      </c>
      <c r="V24" s="553">
        <v>10.5</v>
      </c>
      <c r="W24" s="553">
        <v>17.600000000000001</v>
      </c>
      <c r="X24" s="485" t="s">
        <v>114</v>
      </c>
      <c r="Y24" s="72">
        <f t="shared" si="8"/>
        <v>0</v>
      </c>
      <c r="Z24" s="539">
        <v>0</v>
      </c>
      <c r="AA24" s="23" t="s">
        <v>619</v>
      </c>
      <c r="AB24" s="23"/>
      <c r="AC24" s="510" t="str">
        <f t="shared" si="9"/>
        <v/>
      </c>
      <c r="AD24" s="7" t="str">
        <f t="shared" si="10"/>
        <v/>
      </c>
      <c r="AE24" s="485" t="s">
        <v>619</v>
      </c>
      <c r="AF24" s="54"/>
      <c r="AG24" s="553">
        <v>8.9</v>
      </c>
      <c r="AH24" s="553">
        <v>14.6</v>
      </c>
      <c r="AI24" s="553">
        <v>12.2</v>
      </c>
      <c r="AJ24" s="7">
        <f t="shared" si="11"/>
        <v>5.6999999999999993</v>
      </c>
      <c r="AK24" s="6"/>
      <c r="AL24" s="485" t="s">
        <v>646</v>
      </c>
      <c r="AM24" s="54">
        <v>1013.25</v>
      </c>
      <c r="AN24" s="23" t="s">
        <v>8</v>
      </c>
      <c r="AO24" s="400"/>
      <c r="AP24" s="485">
        <v>6</v>
      </c>
      <c r="AQ24" s="485">
        <v>0</v>
      </c>
      <c r="AR24" s="134"/>
      <c r="AS24" s="26">
        <f>IF(ISBLANK(F24),"",(AVERAGE($F$4:F24)))</f>
        <v>13.685714285714285</v>
      </c>
      <c r="AT24" s="26">
        <f>IF(ISBLANK(G24),"",(AVERAGE($G$4:G24)))</f>
        <v>22.314285714285717</v>
      </c>
      <c r="AU24" s="25">
        <f>IF(ISBLANK(H24),"",(AVERAGE($H$4:H24)))</f>
        <v>17.833333333333332</v>
      </c>
      <c r="AV24" s="368">
        <f>IF(ISBLANK(G24),"",(AVERAGE($I$4:I24)))</f>
        <v>8.6285714285714281</v>
      </c>
      <c r="AW24" s="22">
        <f>IF(ISBLANK(M24),"",AVERAGE($M$4:M24))</f>
        <v>67.904761904761898</v>
      </c>
      <c r="AX24" s="376">
        <f>IF(ISBLANK(P24),"",(AVERAGE($R$4:R24)))</f>
        <v>1012.8095238095239</v>
      </c>
      <c r="AY24" s="368">
        <f>IF(ISBLANK(U24),"",(AVERAGE($U$4:U24)))</f>
        <v>4.5809523809523807</v>
      </c>
      <c r="AZ24" s="6"/>
      <c r="BA24" s="25">
        <f t="shared" si="12"/>
        <v>-1.1111111111112848E-2</v>
      </c>
      <c r="BB24" s="25">
        <f t="shared" si="13"/>
        <v>1.2006250000000023</v>
      </c>
      <c r="BC24" s="25">
        <f t="shared" si="16"/>
        <v>0.59475694444444471</v>
      </c>
      <c r="BD24" s="367">
        <f t="shared" si="15"/>
        <v>1.2117361111111151</v>
      </c>
      <c r="BE24" s="72"/>
      <c r="BF24" s="25">
        <f>IF(ISBLANK(F24),"",AS24-AVERAGE($F$91:F111))</f>
        <v>0.23597883597883396</v>
      </c>
      <c r="BG24" s="25">
        <f>IF(ISBLANK(G24),"",AT24-AVERAGE($G$91:G111))</f>
        <v>-0.13187500000000085</v>
      </c>
      <c r="BH24" s="367">
        <f t="shared" si="18"/>
        <v>-0.36785383597883481</v>
      </c>
      <c r="BI24" s="115">
        <f t="shared" si="2"/>
        <v>1.0428571428571427</v>
      </c>
      <c r="BJ24" s="115">
        <f t="shared" si="3"/>
        <v>0.81385241248370332</v>
      </c>
      <c r="BK24" s="88"/>
      <c r="BL24" s="572">
        <v>21</v>
      </c>
    </row>
    <row r="25" spans="1:64" ht="12.75" customHeight="1" x14ac:dyDescent="0.2">
      <c r="A25" s="394">
        <f t="shared" si="4"/>
        <v>22</v>
      </c>
      <c r="B25" s="131">
        <v>11</v>
      </c>
      <c r="C25" s="282">
        <v>21.9</v>
      </c>
      <c r="D25" s="685"/>
      <c r="E25" s="97">
        <f t="shared" si="5"/>
        <v>22</v>
      </c>
      <c r="F25" s="23">
        <v>11</v>
      </c>
      <c r="G25" s="23">
        <v>21.9</v>
      </c>
      <c r="H25" s="23">
        <v>17.399999999999999</v>
      </c>
      <c r="I25" s="23">
        <v>10.9</v>
      </c>
      <c r="J25" s="6">
        <f t="shared" si="0"/>
        <v>0</v>
      </c>
      <c r="K25" s="24">
        <v>44</v>
      </c>
      <c r="L25" s="24">
        <v>85</v>
      </c>
      <c r="M25" s="554">
        <v>64</v>
      </c>
      <c r="N25" s="24">
        <v>41</v>
      </c>
      <c r="O25" s="50">
        <f t="shared" si="1"/>
        <v>0</v>
      </c>
      <c r="P25" s="24">
        <v>1017</v>
      </c>
      <c r="Q25" s="24">
        <v>1020</v>
      </c>
      <c r="R25" s="24">
        <f t="shared" si="6"/>
        <v>1018.5</v>
      </c>
      <c r="S25" s="24">
        <f t="shared" si="7"/>
        <v>3</v>
      </c>
      <c r="T25" s="50">
        <v>0</v>
      </c>
      <c r="U25" s="553">
        <v>3.7</v>
      </c>
      <c r="V25" s="619">
        <v>10.4</v>
      </c>
      <c r="W25" s="619">
        <v>15.4</v>
      </c>
      <c r="X25" s="485" t="s">
        <v>106</v>
      </c>
      <c r="Y25" s="72">
        <f t="shared" si="8"/>
        <v>0</v>
      </c>
      <c r="Z25" s="539">
        <v>0</v>
      </c>
      <c r="AA25" s="23" t="s">
        <v>619</v>
      </c>
      <c r="AB25" s="23"/>
      <c r="AC25" s="510" t="str">
        <f t="shared" si="9"/>
        <v/>
      </c>
      <c r="AD25" s="7" t="str">
        <f t="shared" si="10"/>
        <v/>
      </c>
      <c r="AE25" s="485" t="s">
        <v>619</v>
      </c>
      <c r="AF25" s="54"/>
      <c r="AG25" s="553">
        <v>7.4</v>
      </c>
      <c r="AH25" s="553">
        <v>12.8</v>
      </c>
      <c r="AI25" s="553">
        <v>10.199999999999999</v>
      </c>
      <c r="AJ25" s="7">
        <f t="shared" si="11"/>
        <v>5.4</v>
      </c>
      <c r="AK25" s="6"/>
      <c r="AL25" s="620" t="s">
        <v>647</v>
      </c>
      <c r="AM25" s="54">
        <v>1013.25</v>
      </c>
      <c r="AN25" s="621" t="s">
        <v>8</v>
      </c>
      <c r="AO25" s="400"/>
      <c r="AP25" s="622">
        <v>9</v>
      </c>
      <c r="AQ25" s="485">
        <v>0</v>
      </c>
      <c r="AR25" s="134"/>
      <c r="AS25" s="26">
        <f>IF(ISBLANK(F25),"",(AVERAGE($F$4:F25)))</f>
        <v>13.563636363636363</v>
      </c>
      <c r="AT25" s="26">
        <f>IF(ISBLANK(G25),"",(AVERAGE($G$4:G25)))</f>
        <v>22.295454545454547</v>
      </c>
      <c r="AU25" s="25">
        <f>IF(ISBLANK(H25),"",(AVERAGE($H$4:H25)))</f>
        <v>17.813636363636359</v>
      </c>
      <c r="AV25" s="368">
        <f>IF(ISBLANK(G25),"",(AVERAGE($I$4:I25)))</f>
        <v>8.7318181818181824</v>
      </c>
      <c r="AW25" s="22">
        <f>IF(ISBLANK(M25),"",AVERAGE($M$4:M25))</f>
        <v>67.727272727272734</v>
      </c>
      <c r="AX25" s="376">
        <f>IF(ISBLANK(P25),"",(AVERAGE($R$4:R25)))</f>
        <v>1013.0681818181819</v>
      </c>
      <c r="AY25" s="368">
        <f>IF(ISBLANK(U25),"",(AVERAGE($U$4:U25)))</f>
        <v>4.540909090909091</v>
      </c>
      <c r="AZ25" s="6"/>
      <c r="BA25" s="25">
        <f t="shared" si="12"/>
        <v>-1.9555555555555575</v>
      </c>
      <c r="BB25" s="25">
        <f t="shared" si="13"/>
        <v>-9.8750000000002558E-2</v>
      </c>
      <c r="BC25" s="25">
        <f t="shared" si="16"/>
        <v>-1.02715277777778</v>
      </c>
      <c r="BD25" s="367">
        <f t="shared" si="15"/>
        <v>1.8568055555555549</v>
      </c>
      <c r="BE25" s="72"/>
      <c r="BF25" s="25">
        <f>IF(ISBLANK(F25),"",AS25-AVERAGE($F$91:F112))</f>
        <v>0.13636363636363313</v>
      </c>
      <c r="BG25" s="25">
        <f>IF(ISBLANK(G25),"",AT25-AVERAGE($G$91:G112))</f>
        <v>-0.1303693181818204</v>
      </c>
      <c r="BH25" s="367">
        <f t="shared" si="18"/>
        <v>-0.26673295454545354</v>
      </c>
      <c r="BI25" s="115">
        <f t="shared" si="2"/>
        <v>0.99545454545454537</v>
      </c>
      <c r="BJ25" s="115">
        <f t="shared" si="3"/>
        <v>0.84682302255891961</v>
      </c>
      <c r="BK25" s="88"/>
      <c r="BL25" s="572">
        <v>22</v>
      </c>
    </row>
    <row r="26" spans="1:64" ht="12.75" customHeight="1" x14ac:dyDescent="0.2">
      <c r="A26" s="394">
        <f t="shared" si="4"/>
        <v>23</v>
      </c>
      <c r="B26" s="131">
        <f>F26</f>
        <v>13.7</v>
      </c>
      <c r="C26" s="282">
        <v>15.6</v>
      </c>
      <c r="D26" s="685"/>
      <c r="E26" s="97">
        <f t="shared" si="5"/>
        <v>23</v>
      </c>
      <c r="F26" s="23">
        <v>13.7</v>
      </c>
      <c r="G26" s="23">
        <v>16.399999999999999</v>
      </c>
      <c r="H26" s="23">
        <v>15</v>
      </c>
      <c r="I26" s="23">
        <v>2.7</v>
      </c>
      <c r="J26" s="6">
        <f t="shared" si="0"/>
        <v>1</v>
      </c>
      <c r="K26" s="24">
        <v>73</v>
      </c>
      <c r="L26" s="24">
        <v>95</v>
      </c>
      <c r="M26" s="554">
        <v>88</v>
      </c>
      <c r="N26" s="24">
        <v>22</v>
      </c>
      <c r="O26" s="50">
        <f t="shared" si="1"/>
        <v>0</v>
      </c>
      <c r="P26" s="24">
        <v>1011</v>
      </c>
      <c r="Q26" s="24">
        <v>1018</v>
      </c>
      <c r="R26" s="24">
        <f t="shared" si="6"/>
        <v>1014.5</v>
      </c>
      <c r="S26" s="24">
        <f t="shared" si="7"/>
        <v>7</v>
      </c>
      <c r="T26" s="50">
        <v>0</v>
      </c>
      <c r="U26" s="553">
        <v>3.4</v>
      </c>
      <c r="V26" s="553">
        <v>11.8</v>
      </c>
      <c r="W26" s="553">
        <v>17</v>
      </c>
      <c r="X26" s="562" t="s">
        <v>105</v>
      </c>
      <c r="Y26" s="72">
        <f t="shared" si="8"/>
        <v>2</v>
      </c>
      <c r="Z26" s="539">
        <v>9.8000000000000007</v>
      </c>
      <c r="AA26" s="23">
        <v>5.5</v>
      </c>
      <c r="AB26" s="23">
        <v>1.9</v>
      </c>
      <c r="AC26" s="510">
        <f t="shared" si="9"/>
        <v>0.13424657534246578</v>
      </c>
      <c r="AD26" s="7">
        <f t="shared" si="10"/>
        <v>1.9600000000000002</v>
      </c>
      <c r="AE26" s="485">
        <v>30</v>
      </c>
      <c r="AF26" s="54"/>
      <c r="AG26" s="553">
        <v>11.5</v>
      </c>
      <c r="AH26" s="553">
        <v>14.8</v>
      </c>
      <c r="AI26" s="553">
        <v>13</v>
      </c>
      <c r="AJ26" s="7">
        <f t="shared" si="11"/>
        <v>3.3000000000000007</v>
      </c>
      <c r="AK26" s="6"/>
      <c r="AL26" s="485" t="s">
        <v>239</v>
      </c>
      <c r="AM26" s="54">
        <v>1013.25</v>
      </c>
      <c r="AN26" s="23" t="s">
        <v>648</v>
      </c>
      <c r="AO26" s="400"/>
      <c r="AP26" s="485">
        <v>0</v>
      </c>
      <c r="AQ26" s="485">
        <v>5</v>
      </c>
      <c r="AR26" s="134"/>
      <c r="AS26" s="26">
        <f>IF(ISBLANK(F26),"",(AVERAGE($F$4:F26)))</f>
        <v>13.569565217391302</v>
      </c>
      <c r="AT26" s="26">
        <f>IF(ISBLANK(G26),"",(AVERAGE($G$4:G26)))</f>
        <v>22.039130434782606</v>
      </c>
      <c r="AU26" s="25">
        <f>IF(ISBLANK(H26),"",(AVERAGE($H$4:H26)))</f>
        <v>17.691304347826083</v>
      </c>
      <c r="AV26" s="368">
        <f>IF(ISBLANK(G26),"",(AVERAGE($I$4:I26)))</f>
        <v>8.4695652173913043</v>
      </c>
      <c r="AW26" s="22">
        <f>IF(ISBLANK(M26),"",AVERAGE($M$4:M26))</f>
        <v>68.608695652173907</v>
      </c>
      <c r="AX26" s="376">
        <f>IF(ISBLANK(P26),"",(AVERAGE($R$4:R26)))</f>
        <v>1013.1304347826087</v>
      </c>
      <c r="AY26" s="368">
        <f>IF(ISBLANK(U26),"",(AVERAGE($U$4:U26)))</f>
        <v>4.4913043478260875</v>
      </c>
      <c r="AZ26" s="6"/>
      <c r="BA26" s="25">
        <f t="shared" si="12"/>
        <v>0.79999999999999893</v>
      </c>
      <c r="BB26" s="25">
        <f t="shared" si="13"/>
        <v>-5.4981250000000017</v>
      </c>
      <c r="BC26" s="25">
        <f t="shared" si="16"/>
        <v>-2.3490625000000014</v>
      </c>
      <c r="BD26" s="367">
        <f t="shared" si="15"/>
        <v>-6.2981250000000006</v>
      </c>
      <c r="BE26" s="72"/>
      <c r="BF26" s="25">
        <f>IF(ISBLANK(F26),"",AS26-AVERAGE($F$91:F113))</f>
        <v>0.16521739130434554</v>
      </c>
      <c r="BG26" s="25">
        <f>IF(ISBLANK(G26),"",AT26-AVERAGE($G$91:G113))</f>
        <v>-0.36375000000000668</v>
      </c>
      <c r="BH26" s="367">
        <f t="shared" si="18"/>
        <v>-0.52896739130435222</v>
      </c>
      <c r="BI26" s="115">
        <f t="shared" si="2"/>
        <v>1.1652173913043478</v>
      </c>
      <c r="BJ26" s="115">
        <f t="shared" si="3"/>
        <v>0.81169489328552891</v>
      </c>
      <c r="BK26" s="88"/>
      <c r="BL26" s="572">
        <v>23</v>
      </c>
    </row>
    <row r="27" spans="1:64" ht="12.75" customHeight="1" x14ac:dyDescent="0.2">
      <c r="A27" s="394">
        <f t="shared" si="4"/>
        <v>24</v>
      </c>
      <c r="B27" s="131">
        <f>F27</f>
        <v>14.2</v>
      </c>
      <c r="C27" s="282">
        <f t="shared" ref="C27:C32" si="19">G27</f>
        <v>20.7</v>
      </c>
      <c r="D27" s="685"/>
      <c r="E27" s="97">
        <f t="shared" si="5"/>
        <v>24</v>
      </c>
      <c r="F27" s="23">
        <v>14.2</v>
      </c>
      <c r="G27" s="23">
        <v>20.7</v>
      </c>
      <c r="H27" s="23">
        <v>16.399999999999999</v>
      </c>
      <c r="I27" s="23">
        <v>6.5</v>
      </c>
      <c r="J27" s="6">
        <f t="shared" si="0"/>
        <v>0</v>
      </c>
      <c r="K27" s="24">
        <v>51</v>
      </c>
      <c r="L27" s="24">
        <v>95</v>
      </c>
      <c r="M27" s="554">
        <v>79</v>
      </c>
      <c r="N27" s="24">
        <v>44</v>
      </c>
      <c r="O27" s="50">
        <f t="shared" si="1"/>
        <v>0</v>
      </c>
      <c r="P27" s="24">
        <v>1012</v>
      </c>
      <c r="Q27" s="24">
        <v>1014</v>
      </c>
      <c r="R27" s="24">
        <f t="shared" si="6"/>
        <v>1013</v>
      </c>
      <c r="S27" s="24">
        <f t="shared" si="7"/>
        <v>2</v>
      </c>
      <c r="T27" s="50">
        <v>0</v>
      </c>
      <c r="U27" s="553">
        <v>4.2</v>
      </c>
      <c r="V27" s="619">
        <v>12.7</v>
      </c>
      <c r="W27" s="619">
        <v>16.100000000000001</v>
      </c>
      <c r="X27" s="485" t="s">
        <v>110</v>
      </c>
      <c r="Y27" s="72">
        <f t="shared" si="8"/>
        <v>1</v>
      </c>
      <c r="Z27" s="539">
        <v>0.5</v>
      </c>
      <c r="AA27" s="23">
        <v>0.5</v>
      </c>
      <c r="AB27" s="23">
        <v>0.3</v>
      </c>
      <c r="AC27" s="510">
        <f t="shared" si="9"/>
        <v>6.849315068493152E-3</v>
      </c>
      <c r="AD27" s="7">
        <f t="shared" si="10"/>
        <v>0.5</v>
      </c>
      <c r="AE27" s="485">
        <v>0.9</v>
      </c>
      <c r="AF27" s="54"/>
      <c r="AG27" s="553">
        <v>9.4</v>
      </c>
      <c r="AH27" s="553">
        <v>14.3</v>
      </c>
      <c r="AI27" s="553">
        <v>12.3</v>
      </c>
      <c r="AJ27" s="7">
        <f t="shared" si="11"/>
        <v>4.9000000000000004</v>
      </c>
      <c r="AK27" s="6"/>
      <c r="AL27" s="620" t="s">
        <v>647</v>
      </c>
      <c r="AM27" s="54">
        <v>1013.25</v>
      </c>
      <c r="AN27" s="623" t="s">
        <v>649</v>
      </c>
      <c r="AO27" s="400"/>
      <c r="AP27" s="622">
        <v>4</v>
      </c>
      <c r="AQ27" s="485">
        <v>1</v>
      </c>
      <c r="AR27" s="134"/>
      <c r="AS27" s="26">
        <f>IF(ISBLANK(F27),"",(AVERAGE($F$4:F27)))</f>
        <v>13.595833333333331</v>
      </c>
      <c r="AT27" s="26">
        <f>IF(ISBLANK(G27),"",(AVERAGE($G$4:G27)))</f>
        <v>21.983333333333334</v>
      </c>
      <c r="AU27" s="25">
        <f>IF(ISBLANK(H27),"",(AVERAGE($H$4:H27)))</f>
        <v>17.637499999999996</v>
      </c>
      <c r="AV27" s="368">
        <f>IF(ISBLANK(G27),"",(AVERAGE($I$4:I27)))</f>
        <v>8.3874999999999993</v>
      </c>
      <c r="AW27" s="22">
        <f>IF(ISBLANK(M27),"",AVERAGE($M$4:M27))</f>
        <v>69.041666666666671</v>
      </c>
      <c r="AX27" s="376">
        <f>IF(ISBLANK(P27),"",(AVERAGE($R$4:R27)))</f>
        <v>1013.125</v>
      </c>
      <c r="AY27" s="368">
        <f>IF(ISBLANK(U27),"",(AVERAGE($U$4:U27)))</f>
        <v>4.479166666666667</v>
      </c>
      <c r="AZ27" s="6"/>
      <c r="BA27" s="25">
        <f t="shared" si="12"/>
        <v>1.3757692307692313</v>
      </c>
      <c r="BB27" s="25">
        <f t="shared" si="13"/>
        <v>-1.0975000000000001</v>
      </c>
      <c r="BC27" s="25">
        <f t="shared" si="16"/>
        <v>0.13913461538461558</v>
      </c>
      <c r="BD27" s="367">
        <f t="shared" si="15"/>
        <v>-2.4732692307692314</v>
      </c>
      <c r="BE27" s="72"/>
      <c r="BF27" s="25">
        <f>IF(ISBLANK(F27),"",AS27-AVERAGE($F$91:F114))</f>
        <v>0.21565705128204904</v>
      </c>
      <c r="BG27" s="25">
        <f>IF(ISBLANK(G27),"",AT27-AVERAGE($G$91:G114))</f>
        <v>-0.39432291666667041</v>
      </c>
      <c r="BH27" s="367">
        <f t="shared" si="18"/>
        <v>-0.60997996794871945</v>
      </c>
      <c r="BI27" s="115">
        <f t="shared" si="2"/>
        <v>1.1270833333333332</v>
      </c>
      <c r="BJ27" s="115">
        <f t="shared" si="3"/>
        <v>0.80747235981932286</v>
      </c>
      <c r="BK27" s="88"/>
      <c r="BL27" s="572">
        <v>24</v>
      </c>
    </row>
    <row r="28" spans="1:64" ht="12.75" customHeight="1" x14ac:dyDescent="0.2">
      <c r="A28" s="394">
        <f t="shared" si="4"/>
        <v>25</v>
      </c>
      <c r="B28" s="131">
        <v>14.8</v>
      </c>
      <c r="C28" s="282">
        <f t="shared" si="19"/>
        <v>19.899999999999999</v>
      </c>
      <c r="D28" s="685"/>
      <c r="E28" s="97">
        <f t="shared" si="5"/>
        <v>25</v>
      </c>
      <c r="F28" s="23">
        <v>13.8</v>
      </c>
      <c r="G28" s="23">
        <v>19.899999999999999</v>
      </c>
      <c r="H28" s="23">
        <v>16.2</v>
      </c>
      <c r="I28" s="23">
        <v>6.1</v>
      </c>
      <c r="J28" s="6">
        <f t="shared" si="0"/>
        <v>0</v>
      </c>
      <c r="K28" s="24">
        <v>49</v>
      </c>
      <c r="L28" s="24">
        <v>90</v>
      </c>
      <c r="M28" s="554">
        <v>74</v>
      </c>
      <c r="N28" s="24">
        <v>41</v>
      </c>
      <c r="O28" s="50">
        <f t="shared" si="1"/>
        <v>1</v>
      </c>
      <c r="P28" s="24">
        <v>1008</v>
      </c>
      <c r="Q28" s="24">
        <v>1013</v>
      </c>
      <c r="R28" s="24">
        <f t="shared" si="6"/>
        <v>1010.5</v>
      </c>
      <c r="S28" s="24">
        <f t="shared" si="7"/>
        <v>5</v>
      </c>
      <c r="T28" s="50">
        <v>0</v>
      </c>
      <c r="U28" s="553">
        <v>4.5</v>
      </c>
      <c r="V28" s="619">
        <v>12.7</v>
      </c>
      <c r="W28" s="619">
        <v>19.600000000000001</v>
      </c>
      <c r="X28" s="485" t="s">
        <v>111</v>
      </c>
      <c r="Y28" s="72">
        <f t="shared" si="8"/>
        <v>2</v>
      </c>
      <c r="Z28" s="539">
        <v>9.3000000000000007</v>
      </c>
      <c r="AA28" s="23">
        <v>5.7</v>
      </c>
      <c r="AB28" s="23">
        <v>1.1000000000000001</v>
      </c>
      <c r="AC28" s="510">
        <f t="shared" si="9"/>
        <v>0.12739726027397263</v>
      </c>
      <c r="AD28" s="7">
        <f t="shared" si="10"/>
        <v>3.1</v>
      </c>
      <c r="AE28" s="485">
        <v>15</v>
      </c>
      <c r="AF28" s="54"/>
      <c r="AG28" s="553">
        <v>8</v>
      </c>
      <c r="AH28" s="553">
        <v>14.6</v>
      </c>
      <c r="AI28" s="553">
        <v>11.3</v>
      </c>
      <c r="AJ28" s="7">
        <f t="shared" si="11"/>
        <v>6.6</v>
      </c>
      <c r="AK28" s="6"/>
      <c r="AL28" s="620" t="s">
        <v>647</v>
      </c>
      <c r="AM28" s="54">
        <v>1013.25</v>
      </c>
      <c r="AN28" s="621" t="s">
        <v>650</v>
      </c>
      <c r="AO28" s="400"/>
      <c r="AP28" s="622">
        <v>4</v>
      </c>
      <c r="AQ28" s="485">
        <v>3</v>
      </c>
      <c r="AR28" s="134"/>
      <c r="AS28" s="26">
        <f>IF(ISBLANK(F28),"",(AVERAGE($F$4:F28)))</f>
        <v>13.603999999999999</v>
      </c>
      <c r="AT28" s="26">
        <f>IF(ISBLANK(G28),"",(AVERAGE($G$4:G28)))</f>
        <v>21.9</v>
      </c>
      <c r="AU28" s="25">
        <f>IF(ISBLANK(H28),"",(AVERAGE($H$4:H28)))</f>
        <v>17.579999999999995</v>
      </c>
      <c r="AV28" s="368">
        <f>IF(ISBLANK(G28),"",(AVERAGE($I$4:I28)))</f>
        <v>8.2959999999999994</v>
      </c>
      <c r="AW28" s="22">
        <f>IF(ISBLANK(M28),"",AVERAGE($M$4:M28))</f>
        <v>69.239999999999995</v>
      </c>
      <c r="AX28" s="376">
        <f>IF(ISBLANK(P28),"",(AVERAGE($R$4:R28)))</f>
        <v>1013.02</v>
      </c>
      <c r="AY28" s="368">
        <f>IF(ISBLANK(U28),"",(AVERAGE($U$4:U28)))</f>
        <v>4.4800000000000004</v>
      </c>
      <c r="AZ28" s="6"/>
      <c r="BA28" s="25">
        <f t="shared" si="12"/>
        <v>1.0515384615384633</v>
      </c>
      <c r="BB28" s="25">
        <f t="shared" si="13"/>
        <v>-1.796875</v>
      </c>
      <c r="BC28" s="25">
        <f t="shared" si="16"/>
        <v>-0.37266826923076835</v>
      </c>
      <c r="BD28" s="367">
        <f t="shared" si="15"/>
        <v>-2.8484134615384633</v>
      </c>
      <c r="BE28" s="72"/>
      <c r="BF28" s="25">
        <f>IF(ISBLANK(F28),"",AS28-AVERAGE($F$91:F115))</f>
        <v>0.24909230769230639</v>
      </c>
      <c r="BG28" s="25">
        <f>IF(ISBLANK(G28),"",AT28-AVERAGE($G$91:G115))</f>
        <v>-0.45042500000000629</v>
      </c>
      <c r="BH28" s="367">
        <f t="shared" si="18"/>
        <v>-0.69951730769231268</v>
      </c>
      <c r="BI28" s="115">
        <f t="shared" si="2"/>
        <v>1.2679999999999998</v>
      </c>
      <c r="BJ28" s="115">
        <f t="shared" si="3"/>
        <v>0.80371429280088491</v>
      </c>
      <c r="BK28" s="88"/>
      <c r="BL28" s="572">
        <v>25</v>
      </c>
    </row>
    <row r="29" spans="1:64" ht="12.75" customHeight="1" x14ac:dyDescent="0.2">
      <c r="A29" s="394">
        <f t="shared" si="4"/>
        <v>26</v>
      </c>
      <c r="B29" s="131">
        <v>13.2</v>
      </c>
      <c r="C29" s="282">
        <f t="shared" si="19"/>
        <v>17</v>
      </c>
      <c r="D29" s="685"/>
      <c r="E29" s="97">
        <f t="shared" si="5"/>
        <v>26</v>
      </c>
      <c r="F29" s="23">
        <v>11</v>
      </c>
      <c r="G29" s="23">
        <v>17</v>
      </c>
      <c r="H29" s="23">
        <v>14.2</v>
      </c>
      <c r="I29" s="23">
        <v>6</v>
      </c>
      <c r="J29" s="6">
        <f t="shared" si="0"/>
        <v>0</v>
      </c>
      <c r="K29" s="24">
        <v>79</v>
      </c>
      <c r="L29" s="24">
        <v>94</v>
      </c>
      <c r="M29" s="554">
        <v>90</v>
      </c>
      <c r="N29" s="24">
        <v>15</v>
      </c>
      <c r="O29" s="50">
        <f t="shared" si="1"/>
        <v>1</v>
      </c>
      <c r="P29" s="24">
        <v>1002</v>
      </c>
      <c r="Q29" s="24">
        <v>1008</v>
      </c>
      <c r="R29" s="24">
        <f t="shared" si="6"/>
        <v>1005</v>
      </c>
      <c r="S29" s="24">
        <f t="shared" si="7"/>
        <v>6</v>
      </c>
      <c r="T29" s="50">
        <v>0</v>
      </c>
      <c r="U29" s="553">
        <v>2</v>
      </c>
      <c r="V29" s="619">
        <v>6.9</v>
      </c>
      <c r="W29" s="619">
        <v>9.1999999999999993</v>
      </c>
      <c r="X29" s="485" t="s">
        <v>113</v>
      </c>
      <c r="Y29" s="72">
        <f t="shared" si="8"/>
        <v>2</v>
      </c>
      <c r="Z29" s="539">
        <v>8.6999999999999993</v>
      </c>
      <c r="AA29" s="23">
        <v>2.2000000000000002</v>
      </c>
      <c r="AB29" s="23">
        <v>1.6</v>
      </c>
      <c r="AC29" s="510">
        <f t="shared" si="9"/>
        <v>0.11917808219178083</v>
      </c>
      <c r="AD29" s="7">
        <f t="shared" si="10"/>
        <v>1.0874999999999999</v>
      </c>
      <c r="AE29" s="485">
        <v>40</v>
      </c>
      <c r="AF29" s="54"/>
      <c r="AG29" s="553">
        <v>9.6999999999999993</v>
      </c>
      <c r="AH29" s="553">
        <v>15.1</v>
      </c>
      <c r="AI29" s="553">
        <v>12.6</v>
      </c>
      <c r="AJ29" s="7">
        <f t="shared" si="11"/>
        <v>5.4</v>
      </c>
      <c r="AK29" s="6"/>
      <c r="AL29" s="620" t="s">
        <v>647</v>
      </c>
      <c r="AM29" s="54">
        <v>1013.25</v>
      </c>
      <c r="AN29" s="621" t="s">
        <v>651</v>
      </c>
      <c r="AO29" s="400"/>
      <c r="AP29" s="622">
        <v>1</v>
      </c>
      <c r="AQ29" s="485">
        <v>8</v>
      </c>
      <c r="AR29" s="134"/>
      <c r="AS29" s="26">
        <f>IF(ISBLANK(F29),"",(AVERAGE($F$4:F29)))</f>
        <v>13.503846153846153</v>
      </c>
      <c r="AT29" s="26">
        <f>IF(ISBLANK(G29),"",(AVERAGE($G$4:G29)))</f>
        <v>21.71153846153846</v>
      </c>
      <c r="AU29" s="25">
        <f>IF(ISBLANK(H29),"",(AVERAGE($H$4:H29)))</f>
        <v>17.449999999999996</v>
      </c>
      <c r="AV29" s="368">
        <f>IF(ISBLANK(G29),"",(AVERAGE($I$4:I29)))</f>
        <v>8.207692307692307</v>
      </c>
      <c r="AW29" s="22">
        <f>IF(ISBLANK(M29),"",AVERAGE($M$4:M29))</f>
        <v>70.038461538461533</v>
      </c>
      <c r="AX29" s="376">
        <f>IF(ISBLANK(P29),"",(AVERAGE($R$4:R29)))</f>
        <v>1012.7115384615385</v>
      </c>
      <c r="AY29" s="368">
        <f>IF(ISBLANK(U29),"",(AVERAGE($U$4:U29)))</f>
        <v>4.384615384615385</v>
      </c>
      <c r="AZ29" s="6"/>
      <c r="BA29" s="25">
        <f t="shared" si="12"/>
        <v>-1.6726923076923068</v>
      </c>
      <c r="BB29" s="25">
        <f t="shared" si="13"/>
        <v>-4.5962500000000013</v>
      </c>
      <c r="BC29" s="25">
        <f t="shared" si="16"/>
        <v>-3.134471153846154</v>
      </c>
      <c r="BD29" s="367">
        <f t="shared" si="15"/>
        <v>-2.9235576923076945</v>
      </c>
      <c r="BE29" s="72"/>
      <c r="BF29" s="25">
        <f>IF(ISBLANK(F29),"",AS29-AVERAGE($F$91:F116))</f>
        <v>0.17517751479289778</v>
      </c>
      <c r="BG29" s="25">
        <f>IF(ISBLANK(G29),"",AT29-AVERAGE($G$91:G116))</f>
        <v>-0.60987980769231598</v>
      </c>
      <c r="BH29" s="367">
        <f t="shared" si="18"/>
        <v>-0.78505732248521376</v>
      </c>
      <c r="BI29" s="115">
        <f t="shared" si="2"/>
        <v>1.3865384615384615</v>
      </c>
      <c r="BJ29" s="115">
        <f t="shared" si="3"/>
        <v>0.78092621983200627</v>
      </c>
      <c r="BK29" s="88"/>
      <c r="BL29" s="572">
        <v>26</v>
      </c>
    </row>
    <row r="30" spans="1:64" ht="12.75" customHeight="1" x14ac:dyDescent="0.2">
      <c r="A30" s="394">
        <f t="shared" si="4"/>
        <v>27</v>
      </c>
      <c r="B30" s="131">
        <v>11</v>
      </c>
      <c r="C30" s="282">
        <f t="shared" si="19"/>
        <v>17.899999999999999</v>
      </c>
      <c r="D30" s="685"/>
      <c r="E30" s="97">
        <f t="shared" si="5"/>
        <v>27</v>
      </c>
      <c r="F30" s="23">
        <v>11.2</v>
      </c>
      <c r="G30" s="23">
        <v>17.899999999999999</v>
      </c>
      <c r="H30" s="23">
        <v>14.2</v>
      </c>
      <c r="I30" s="23">
        <v>6.7</v>
      </c>
      <c r="J30" s="6">
        <f t="shared" si="0"/>
        <v>0</v>
      </c>
      <c r="K30" s="24">
        <v>57</v>
      </c>
      <c r="L30" s="24">
        <v>96</v>
      </c>
      <c r="M30" s="554">
        <v>80</v>
      </c>
      <c r="N30" s="24">
        <v>39</v>
      </c>
      <c r="O30" s="50">
        <f t="shared" si="1"/>
        <v>1</v>
      </c>
      <c r="P30" s="24">
        <v>1007</v>
      </c>
      <c r="Q30" s="24">
        <v>1016</v>
      </c>
      <c r="R30" s="24">
        <f t="shared" si="6"/>
        <v>1011.5</v>
      </c>
      <c r="S30" s="24">
        <f t="shared" si="7"/>
        <v>9</v>
      </c>
      <c r="T30" s="50">
        <v>0</v>
      </c>
      <c r="U30" s="553">
        <v>4.4000000000000004</v>
      </c>
      <c r="V30" s="619">
        <v>11.5</v>
      </c>
      <c r="W30" s="619">
        <v>17.3</v>
      </c>
      <c r="X30" s="485" t="s">
        <v>114</v>
      </c>
      <c r="Y30" s="72">
        <f t="shared" si="8"/>
        <v>1</v>
      </c>
      <c r="Z30" s="539">
        <v>0.8</v>
      </c>
      <c r="AA30" s="23" t="s">
        <v>8</v>
      </c>
      <c r="AB30" s="23">
        <v>0.5</v>
      </c>
      <c r="AC30" s="510">
        <f t="shared" si="9"/>
        <v>1.0958904109589045E-2</v>
      </c>
      <c r="AD30" s="7">
        <f t="shared" si="10"/>
        <v>1</v>
      </c>
      <c r="AE30" s="485">
        <v>10</v>
      </c>
      <c r="AF30" s="54"/>
      <c r="AG30" s="553">
        <v>8.9</v>
      </c>
      <c r="AH30" s="553">
        <v>12.8</v>
      </c>
      <c r="AI30" s="553">
        <v>10.7</v>
      </c>
      <c r="AJ30" s="7">
        <f t="shared" si="11"/>
        <v>3.9000000000000004</v>
      </c>
      <c r="AK30" s="6"/>
      <c r="AL30" s="620" t="s">
        <v>647</v>
      </c>
      <c r="AM30" s="54">
        <v>1013.25</v>
      </c>
      <c r="AN30" s="623" t="s">
        <v>652</v>
      </c>
      <c r="AO30" s="400"/>
      <c r="AP30" s="622">
        <v>7</v>
      </c>
      <c r="AQ30" s="485">
        <v>0.8</v>
      </c>
      <c r="AR30" s="134"/>
      <c r="AS30" s="26">
        <f>IF(ISBLANK(F30),"",(AVERAGE($F$4:F30)))</f>
        <v>13.418518518518518</v>
      </c>
      <c r="AT30" s="26">
        <f>IF(ISBLANK(G30),"",(AVERAGE($G$4:G30)))</f>
        <v>21.57037037037037</v>
      </c>
      <c r="AU30" s="25">
        <f>IF(ISBLANK(H30),"",(AVERAGE($H$4:H30)))</f>
        <v>17.329629629629625</v>
      </c>
      <c r="AV30" s="368">
        <f>IF(ISBLANK(G30),"",(AVERAGE($I$4:I30)))</f>
        <v>8.1518518518518501</v>
      </c>
      <c r="AW30" s="22">
        <f>IF(ISBLANK(M30),"",AVERAGE($M$4:M30))</f>
        <v>70.407407407407405</v>
      </c>
      <c r="AX30" s="376">
        <f>IF(ISBLANK(P30),"",(AVERAGE($R$4:R30)))</f>
        <v>1012.6666666666666</v>
      </c>
      <c r="AY30" s="368">
        <f>IF(ISBLANK(U30),"",(AVERAGE($U$4:U30)))</f>
        <v>4.3851851851851862</v>
      </c>
      <c r="AZ30" s="6"/>
      <c r="BA30" s="25">
        <f t="shared" si="12"/>
        <v>-1.3969230769230769</v>
      </c>
      <c r="BB30" s="25">
        <f t="shared" si="13"/>
        <v>-3.5956250000000018</v>
      </c>
      <c r="BC30" s="25">
        <f t="shared" si="16"/>
        <v>-2.4962740384615394</v>
      </c>
      <c r="BD30" s="367">
        <f t="shared" si="15"/>
        <v>-2.1987019230769249</v>
      </c>
      <c r="BE30" s="72"/>
      <c r="BF30" s="25">
        <f>IF(ISBLANK(F30),"",AS30-AVERAGE($F$91:F117))</f>
        <v>0.11695156695156506</v>
      </c>
      <c r="BG30" s="25">
        <f>IF(ISBLANK(G30),"",AT30-AVERAGE($G$91:G117))</f>
        <v>-0.7204629629629693</v>
      </c>
      <c r="BH30" s="367">
        <f>IF(ISBLANK(G30),"",BG30-BF30)</f>
        <v>-0.83741452991453436</v>
      </c>
      <c r="BI30" s="115">
        <f t="shared" si="2"/>
        <v>1.3499999999999999</v>
      </c>
      <c r="BJ30" s="115">
        <f t="shared" si="3"/>
        <v>0.79738999778709296</v>
      </c>
      <c r="BK30" s="421"/>
      <c r="BL30" s="572">
        <v>27</v>
      </c>
    </row>
    <row r="31" spans="1:64" ht="12.75" customHeight="1" x14ac:dyDescent="0.2">
      <c r="A31" s="394">
        <f t="shared" si="4"/>
        <v>28</v>
      </c>
      <c r="B31" s="131">
        <f>F31</f>
        <v>12.4</v>
      </c>
      <c r="C31" s="282">
        <f t="shared" si="19"/>
        <v>19.399999999999999</v>
      </c>
      <c r="D31" s="685"/>
      <c r="E31" s="97">
        <f t="shared" si="5"/>
        <v>28</v>
      </c>
      <c r="F31" s="23">
        <v>12.4</v>
      </c>
      <c r="G31" s="23">
        <v>19.399999999999999</v>
      </c>
      <c r="H31" s="23">
        <v>15.2</v>
      </c>
      <c r="I31" s="23">
        <v>7</v>
      </c>
      <c r="J31" s="6">
        <f t="shared" si="0"/>
        <v>0</v>
      </c>
      <c r="K31" s="24">
        <v>50</v>
      </c>
      <c r="L31" s="24">
        <v>87</v>
      </c>
      <c r="M31" s="554">
        <v>71</v>
      </c>
      <c r="N31" s="24">
        <v>37</v>
      </c>
      <c r="O31" s="50">
        <f t="shared" si="1"/>
        <v>0</v>
      </c>
      <c r="P31" s="24">
        <v>1014</v>
      </c>
      <c r="Q31" s="24">
        <v>1017</v>
      </c>
      <c r="R31" s="24">
        <f t="shared" si="6"/>
        <v>1015.5</v>
      </c>
      <c r="S31" s="24">
        <f t="shared" si="7"/>
        <v>3</v>
      </c>
      <c r="T31" s="50">
        <v>0</v>
      </c>
      <c r="U31" s="553">
        <v>5.5</v>
      </c>
      <c r="V31" s="619">
        <v>12.7</v>
      </c>
      <c r="W31" s="619">
        <v>19.600000000000001</v>
      </c>
      <c r="X31" s="485" t="s">
        <v>114</v>
      </c>
      <c r="Y31" s="72">
        <f t="shared" si="8"/>
        <v>0</v>
      </c>
      <c r="Z31" s="539">
        <v>0.1</v>
      </c>
      <c r="AA31" s="23" t="s">
        <v>619</v>
      </c>
      <c r="AB31" s="23"/>
      <c r="AC31" s="510">
        <f t="shared" si="9"/>
        <v>1.3698630136986306E-3</v>
      </c>
      <c r="AD31" s="7" t="str">
        <f t="shared" si="10"/>
        <v/>
      </c>
      <c r="AE31" s="485" t="s">
        <v>619</v>
      </c>
      <c r="AF31" s="54"/>
      <c r="AG31" s="553">
        <v>7</v>
      </c>
      <c r="AH31" s="553">
        <v>12.1</v>
      </c>
      <c r="AI31" s="553">
        <v>9.8000000000000007</v>
      </c>
      <c r="AJ31" s="7">
        <f t="shared" si="11"/>
        <v>5.0999999999999996</v>
      </c>
      <c r="AK31" s="6"/>
      <c r="AL31" s="620" t="s">
        <v>647</v>
      </c>
      <c r="AM31" s="54">
        <v>1013.25</v>
      </c>
      <c r="AN31" s="624" t="s">
        <v>653</v>
      </c>
      <c r="AO31" s="400"/>
      <c r="AP31" s="622">
        <v>4</v>
      </c>
      <c r="AQ31" s="485">
        <v>0</v>
      </c>
      <c r="AR31" s="134"/>
      <c r="AS31" s="26">
        <f>IF(ISBLANK(F31),"",(AVERAGE($F$4:F31)))</f>
        <v>13.382142857142854</v>
      </c>
      <c r="AT31" s="26">
        <f>IF(ISBLANK(G31),"",(AVERAGE($G$4:G31)))</f>
        <v>21.49285714285714</v>
      </c>
      <c r="AU31" s="25">
        <f>IF(ISBLANK(H31),"",(AVERAGE($H$4:H31)))</f>
        <v>17.253571428571423</v>
      </c>
      <c r="AV31" s="368">
        <f>IF(ISBLANK(G31),"",(AVERAGE($I$4:I31)))</f>
        <v>8.110714285714284</v>
      </c>
      <c r="AW31" s="22">
        <f>IF(ISBLANK(M31),"",AVERAGE($M$4:M31))</f>
        <v>70.428571428571431</v>
      </c>
      <c r="AX31" s="376">
        <f>IF(ISBLANK(P31),"",(AVERAGE($R$4:R31)))</f>
        <v>1012.7678571428571</v>
      </c>
      <c r="AY31" s="368">
        <f>IF(ISBLANK(U31),"",(AVERAGE($U$4:U31)))</f>
        <v>4.4250000000000007</v>
      </c>
      <c r="AZ31" s="6"/>
      <c r="BA31" s="25">
        <f t="shared" si="12"/>
        <v>-0.12115384615384528</v>
      </c>
      <c r="BB31" s="25">
        <f t="shared" si="13"/>
        <v>-1.995000000000001</v>
      </c>
      <c r="BC31" s="25">
        <f t="shared" si="16"/>
        <v>-1.0580769230769231</v>
      </c>
      <c r="BD31" s="367">
        <f t="shared" si="15"/>
        <v>-1.8738461538461557</v>
      </c>
      <c r="BE31" s="72"/>
      <c r="BF31" s="25">
        <f>IF(ISBLANK(F31),"",AS31-AVERAGE($F$91:F118))</f>
        <v>0.1084478021977997</v>
      </c>
      <c r="BG31" s="25">
        <f>IF(ISBLANK(G31),"",AT31-AVERAGE($G$91:G118))</f>
        <v>-0.76598214285715116</v>
      </c>
      <c r="BH31" s="367">
        <f>IF(ISBLANK(G31),"",BG31-BF31)</f>
        <v>-0.87442994505495086</v>
      </c>
      <c r="BI31" s="115">
        <f t="shared" si="2"/>
        <v>1.3035714285714284</v>
      </c>
      <c r="BJ31" s="115">
        <f t="shared" si="3"/>
        <v>0.79474096505883807</v>
      </c>
      <c r="BK31" s="421"/>
      <c r="BL31" s="572">
        <v>28</v>
      </c>
    </row>
    <row r="32" spans="1:64" ht="12.75" customHeight="1" x14ac:dyDescent="0.2">
      <c r="A32" s="394">
        <f t="shared" si="4"/>
        <v>29</v>
      </c>
      <c r="B32" s="131">
        <f>F32</f>
        <v>10.6</v>
      </c>
      <c r="C32" s="282">
        <f t="shared" si="19"/>
        <v>16.600000000000001</v>
      </c>
      <c r="D32" s="685"/>
      <c r="E32" s="97">
        <f t="shared" si="5"/>
        <v>29</v>
      </c>
      <c r="F32" s="23">
        <v>10.6</v>
      </c>
      <c r="G32" s="23">
        <v>16.600000000000001</v>
      </c>
      <c r="H32" s="23">
        <v>14.1</v>
      </c>
      <c r="I32" s="23">
        <v>6</v>
      </c>
      <c r="J32" s="6">
        <f t="shared" si="0"/>
        <v>0</v>
      </c>
      <c r="K32" s="24">
        <v>47</v>
      </c>
      <c r="L32" s="24">
        <v>86</v>
      </c>
      <c r="M32" s="554">
        <v>65</v>
      </c>
      <c r="N32" s="24">
        <v>39</v>
      </c>
      <c r="O32" s="50">
        <f t="shared" si="1"/>
        <v>0</v>
      </c>
      <c r="P32" s="24">
        <v>1016</v>
      </c>
      <c r="Q32" s="24">
        <v>1018</v>
      </c>
      <c r="R32" s="24">
        <f t="shared" si="6"/>
        <v>1017</v>
      </c>
      <c r="S32" s="24">
        <f t="shared" si="7"/>
        <v>2</v>
      </c>
      <c r="T32" s="50">
        <v>0</v>
      </c>
      <c r="U32" s="553">
        <v>4.2</v>
      </c>
      <c r="V32" s="619">
        <v>10.4</v>
      </c>
      <c r="W32" s="619">
        <v>15.4</v>
      </c>
      <c r="X32" s="485" t="s">
        <v>114</v>
      </c>
      <c r="Y32" s="72">
        <f t="shared" si="8"/>
        <v>0</v>
      </c>
      <c r="Z32" s="539">
        <v>0</v>
      </c>
      <c r="AA32" s="23" t="s">
        <v>619</v>
      </c>
      <c r="AB32" s="23"/>
      <c r="AC32" s="510" t="str">
        <f t="shared" si="9"/>
        <v/>
      </c>
      <c r="AD32" s="7" t="str">
        <f t="shared" si="10"/>
        <v/>
      </c>
      <c r="AE32" s="485" t="s">
        <v>619</v>
      </c>
      <c r="AF32" s="54"/>
      <c r="AG32" s="553">
        <v>4.8</v>
      </c>
      <c r="AH32" s="553">
        <v>10.1</v>
      </c>
      <c r="AI32" s="553">
        <v>7.2</v>
      </c>
      <c r="AJ32" s="7">
        <f t="shared" si="11"/>
        <v>5.3</v>
      </c>
      <c r="AK32" s="6"/>
      <c r="AL32" s="620" t="s">
        <v>647</v>
      </c>
      <c r="AM32" s="54">
        <v>1013.25</v>
      </c>
      <c r="AN32" s="621" t="s">
        <v>8</v>
      </c>
      <c r="AO32" s="400"/>
      <c r="AP32" s="622">
        <v>5</v>
      </c>
      <c r="AQ32" s="485">
        <v>0</v>
      </c>
      <c r="AR32" s="134"/>
      <c r="AS32" s="26">
        <f>IF(ISBLANK(F32),"",(AVERAGE($F$4:F32)))</f>
        <v>13.286206896551722</v>
      </c>
      <c r="AT32" s="26">
        <f>IF(ISBLANK(G32),"",(AVERAGE($G$4:G32)))</f>
        <v>21.324137931034482</v>
      </c>
      <c r="AU32" s="25">
        <f>IF(ISBLANK(H32),"",(AVERAGE($H$4:H32)))</f>
        <v>17.144827586206894</v>
      </c>
      <c r="AV32" s="368">
        <f>IF(ISBLANK(G32),"",(AVERAGE($I$4:I32)))</f>
        <v>8.0379310344827566</v>
      </c>
      <c r="AW32" s="22">
        <f>IF(ISBLANK(M32),"",AVERAGE($M$4:M32))</f>
        <v>70.241379310344826</v>
      </c>
      <c r="AX32" s="376">
        <f>IF(ISBLANK(P32),"",(AVERAGE($R$4:R32)))</f>
        <v>1012.9137931034483</v>
      </c>
      <c r="AY32" s="368">
        <f>IF(ISBLANK(U32),"",(AVERAGE($U$4:U32)))</f>
        <v>4.4172413793103456</v>
      </c>
      <c r="AZ32" s="6"/>
      <c r="BA32" s="25">
        <f t="shared" si="12"/>
        <v>-1.8453846153846154</v>
      </c>
      <c r="BB32" s="25">
        <f t="shared" si="13"/>
        <v>-4.6943749999999973</v>
      </c>
      <c r="BC32" s="25">
        <f t="shared" si="16"/>
        <v>-3.2698798076923064</v>
      </c>
      <c r="BD32" s="367">
        <f t="shared" si="15"/>
        <v>-2.8489903846153819</v>
      </c>
      <c r="BE32" s="72"/>
      <c r="BF32" s="25">
        <f>IF(ISBLANK(F32),"",AS32-AVERAGE($F$91:F119))</f>
        <v>4.1074270557025727E-2</v>
      </c>
      <c r="BG32" s="25">
        <f>IF(ISBLANK(G32),"",AT32-AVERAGE($G$91:G119))</f>
        <v>-0.90144396551724526</v>
      </c>
      <c r="BH32" s="367">
        <f>IF(ISBLANK(G32),"",BG32-BF32)</f>
        <v>-0.94251823607427099</v>
      </c>
      <c r="BI32" s="115">
        <f t="shared" si="2"/>
        <v>1.2586206896551722</v>
      </c>
      <c r="BJ32" s="115">
        <f t="shared" si="3"/>
        <v>0.79823619501737775</v>
      </c>
      <c r="BK32" s="88"/>
      <c r="BL32" s="572">
        <v>29</v>
      </c>
    </row>
    <row r="33" spans="1:64" ht="12.75" customHeight="1" x14ac:dyDescent="0.2">
      <c r="A33" s="278">
        <f t="shared" si="4"/>
        <v>30</v>
      </c>
      <c r="B33" s="131">
        <v>12.5</v>
      </c>
      <c r="C33" s="282">
        <v>16.2</v>
      </c>
      <c r="D33" s="685"/>
      <c r="E33" s="99">
        <f t="shared" si="5"/>
        <v>30</v>
      </c>
      <c r="F33" s="23">
        <v>12.5</v>
      </c>
      <c r="G33" s="23">
        <v>16.2</v>
      </c>
      <c r="H33" s="23">
        <v>14.3</v>
      </c>
      <c r="I33" s="23">
        <v>3.7</v>
      </c>
      <c r="J33" s="6">
        <f t="shared" si="0"/>
        <v>0</v>
      </c>
      <c r="K33" s="24">
        <v>57</v>
      </c>
      <c r="L33" s="24">
        <v>76</v>
      </c>
      <c r="M33" s="554">
        <v>68</v>
      </c>
      <c r="N33" s="24">
        <v>19</v>
      </c>
      <c r="O33" s="50">
        <f t="shared" si="1"/>
        <v>0</v>
      </c>
      <c r="P33" s="24">
        <v>1016</v>
      </c>
      <c r="Q33" s="24">
        <v>1018</v>
      </c>
      <c r="R33" s="24">
        <f t="shared" si="6"/>
        <v>1017</v>
      </c>
      <c r="S33" s="24">
        <f t="shared" si="7"/>
        <v>2</v>
      </c>
      <c r="T33" s="50">
        <v>0</v>
      </c>
      <c r="U33" s="553">
        <v>2.7</v>
      </c>
      <c r="V33" s="553">
        <v>8.6999999999999993</v>
      </c>
      <c r="W33" s="553">
        <v>10.5</v>
      </c>
      <c r="X33" s="485" t="s">
        <v>128</v>
      </c>
      <c r="Y33" s="72">
        <f t="shared" si="8"/>
        <v>0</v>
      </c>
      <c r="Z33" s="539">
        <v>0</v>
      </c>
      <c r="AA33" s="23" t="s">
        <v>619</v>
      </c>
      <c r="AB33" s="23"/>
      <c r="AC33" s="510" t="str">
        <f t="shared" si="9"/>
        <v/>
      </c>
      <c r="AD33" s="7" t="str">
        <f t="shared" si="10"/>
        <v/>
      </c>
      <c r="AE33" s="485" t="s">
        <v>619</v>
      </c>
      <c r="AF33" s="54"/>
      <c r="AG33" s="553">
        <v>6.5</v>
      </c>
      <c r="AH33" s="553">
        <v>9.8000000000000007</v>
      </c>
      <c r="AI33" s="553">
        <v>8.4</v>
      </c>
      <c r="AJ33" s="7">
        <f t="shared" si="11"/>
        <v>3.3000000000000007</v>
      </c>
      <c r="AK33" s="6"/>
      <c r="AL33" s="485" t="s">
        <v>239</v>
      </c>
      <c r="AM33" s="54">
        <v>1013.25</v>
      </c>
      <c r="AN33" s="23" t="s">
        <v>8</v>
      </c>
      <c r="AO33" s="400"/>
      <c r="AP33" s="565">
        <v>0</v>
      </c>
      <c r="AQ33" s="485">
        <v>0</v>
      </c>
      <c r="AR33" s="134"/>
      <c r="AS33" s="26">
        <f>IF(ISBLANK(F33),"",(AVERAGE($F$4:F33)))</f>
        <v>13.259999999999998</v>
      </c>
      <c r="AT33" s="26">
        <f>IF(ISBLANK(G33),"",(AVERAGE($G$4:G33)))</f>
        <v>21.153333333333332</v>
      </c>
      <c r="AU33" s="25">
        <f>IF(ISBLANK(H33),"",(AVERAGE($H$4:H33)))</f>
        <v>17.049999999999997</v>
      </c>
      <c r="AV33" s="368">
        <f>IF(ISBLANK(G33),"",(AVERAGE($I$4:I33)))</f>
        <v>7.8933333333333318</v>
      </c>
      <c r="AW33" s="22">
        <f>IF(ISBLANK(M33),"",AVERAGE($M$4:M33))</f>
        <v>70.166666666666671</v>
      </c>
      <c r="AX33" s="376">
        <f>IF(ISBLANK(P33),"",(AVERAGE($R$4:R33)))</f>
        <v>1013.05</v>
      </c>
      <c r="AY33" s="368">
        <f>IF(ISBLANK(U33),"",(AVERAGE($U$4:U33)))</f>
        <v>4.3600000000000003</v>
      </c>
      <c r="AZ33" s="6"/>
      <c r="BA33" s="25">
        <f t="shared" si="12"/>
        <v>0.13038461538461554</v>
      </c>
      <c r="BB33" s="25">
        <f t="shared" si="13"/>
        <v>-4.9937500000000021</v>
      </c>
      <c r="BC33" s="25">
        <f t="shared" si="16"/>
        <v>-2.4316826923076933</v>
      </c>
      <c r="BD33" s="367">
        <f t="shared" si="15"/>
        <v>-5.1241346153846177</v>
      </c>
      <c r="BE33" s="72"/>
      <c r="BF33" s="25">
        <f>IF(ISBLANK(F33),"",AS33-AVERAGE($F$91:F120))</f>
        <v>4.4051282051279728E-2</v>
      </c>
      <c r="BG33" s="25">
        <f>IF(ISBLANK(G33),"",AT33-AVERAGE($G$91:G120))</f>
        <v>-1.0378541666666727</v>
      </c>
      <c r="BH33" s="367">
        <f>IF(ISBLANK(G33),"",BG33-BF33)</f>
        <v>-1.0819054487179525</v>
      </c>
      <c r="BI33" s="115">
        <f t="shared" si="2"/>
        <v>1.2166666666666663</v>
      </c>
      <c r="BJ33" s="115">
        <f t="shared" si="3"/>
        <v>0.77330769171061986</v>
      </c>
      <c r="BK33" s="88"/>
      <c r="BL33" s="572">
        <v>30</v>
      </c>
    </row>
    <row r="34" spans="1:64" ht="12.75" customHeight="1" x14ac:dyDescent="0.2">
      <c r="A34" s="278">
        <v>31</v>
      </c>
      <c r="B34" s="131">
        <v>12.5</v>
      </c>
      <c r="C34" s="282">
        <v>18</v>
      </c>
      <c r="D34" s="685"/>
      <c r="E34" s="99">
        <v>31</v>
      </c>
      <c r="F34" s="23">
        <v>12.5</v>
      </c>
      <c r="G34" s="23">
        <v>18</v>
      </c>
      <c r="H34" s="23">
        <v>15</v>
      </c>
      <c r="I34" s="23">
        <v>5.5</v>
      </c>
      <c r="J34" s="6">
        <f t="shared" si="0"/>
        <v>0</v>
      </c>
      <c r="K34" s="24">
        <v>54</v>
      </c>
      <c r="L34" s="24">
        <v>84</v>
      </c>
      <c r="M34" s="554">
        <v>71</v>
      </c>
      <c r="N34" s="24">
        <v>30</v>
      </c>
      <c r="O34" s="50">
        <f t="shared" si="1"/>
        <v>0</v>
      </c>
      <c r="P34" s="24">
        <v>1015</v>
      </c>
      <c r="Q34" s="24">
        <v>1016</v>
      </c>
      <c r="R34" s="24">
        <f t="shared" si="6"/>
        <v>1015.5</v>
      </c>
      <c r="S34" s="24">
        <f t="shared" si="7"/>
        <v>1</v>
      </c>
      <c r="T34" s="50">
        <v>0</v>
      </c>
      <c r="U34" s="553">
        <v>1.6</v>
      </c>
      <c r="V34" s="553">
        <v>5.8</v>
      </c>
      <c r="W34" s="553">
        <v>7.8</v>
      </c>
      <c r="X34" s="485" t="s">
        <v>105</v>
      </c>
      <c r="Y34" s="72">
        <f t="shared" si="8"/>
        <v>0</v>
      </c>
      <c r="Z34" s="539">
        <v>0</v>
      </c>
      <c r="AA34" s="23" t="s">
        <v>619</v>
      </c>
      <c r="AB34" s="558"/>
      <c r="AC34" s="510" t="str">
        <f t="shared" si="9"/>
        <v/>
      </c>
      <c r="AD34" s="7" t="str">
        <f t="shared" si="10"/>
        <v/>
      </c>
      <c r="AE34" s="485" t="s">
        <v>619</v>
      </c>
      <c r="AF34" s="54"/>
      <c r="AG34" s="553">
        <v>7.5</v>
      </c>
      <c r="AH34" s="553">
        <v>11.3</v>
      </c>
      <c r="AI34" s="553">
        <v>9.6</v>
      </c>
      <c r="AJ34" s="7">
        <f t="shared" si="11"/>
        <v>3.8000000000000007</v>
      </c>
      <c r="AK34" s="6"/>
      <c r="AL34" s="485" t="s">
        <v>262</v>
      </c>
      <c r="AM34" s="54">
        <v>1013.25</v>
      </c>
      <c r="AN34" s="23" t="s">
        <v>8</v>
      </c>
      <c r="AO34" s="400"/>
      <c r="AP34" s="485">
        <v>0.1</v>
      </c>
      <c r="AQ34" s="485">
        <v>0</v>
      </c>
      <c r="AR34" s="134"/>
      <c r="AS34" s="26">
        <f>IF(ISBLANK(F6),"",(AVERAGE($F$4:F34)))</f>
        <v>13.235483870967741</v>
      </c>
      <c r="AT34" s="26">
        <f>IF(ISBLANK(G6),"",(AVERAGE($G$4:G34)))</f>
        <v>21.051612903225806</v>
      </c>
      <c r="AU34" s="25">
        <f>IF(ISBLANK(H5),"",(AVERAGE($H$4:H34)))</f>
        <v>16.983870967741932</v>
      </c>
      <c r="AV34" s="368">
        <f>IF(ISBLANK(G6),"",(AVERAGE($I$4:I34)))</f>
        <v>7.816129032258063</v>
      </c>
      <c r="AW34" s="22">
        <f>IF(ISBLANK(M5),"",AVERAGE($M$4:M34))</f>
        <v>70.193548387096769</v>
      </c>
      <c r="AX34" s="376">
        <f>IF(ISBLANK(P6),"",(AVERAGE($R$4:R34)))</f>
        <v>1013.1290322580645</v>
      </c>
      <c r="AY34" s="368">
        <f>IF(ISBLANK(U6),"",(AVERAGE($U$4:U34)))</f>
        <v>4.2709677419354843</v>
      </c>
      <c r="AZ34" s="6"/>
      <c r="BA34" s="25">
        <f t="shared" si="12"/>
        <v>0.20615384615384613</v>
      </c>
      <c r="BB34" s="25">
        <f t="shared" si="13"/>
        <v>-3.0931250000000006</v>
      </c>
      <c r="BC34" s="25">
        <f t="shared" si="16"/>
        <v>-1.4434855769230772</v>
      </c>
      <c r="BD34" s="367">
        <f t="shared" si="15"/>
        <v>-3.2992788461538467</v>
      </c>
      <c r="BE34" s="72"/>
      <c r="BF34" s="25">
        <f>IF(ISBLANK(F34),"",AS34-AVERAGE($F$91:F121))</f>
        <v>4.9280397022331002E-2</v>
      </c>
      <c r="BG34" s="25">
        <f>IF(ISBLANK(G34),"",AT34-AVERAGE($G$91:G121))</f>
        <v>-1.1041532258064564</v>
      </c>
      <c r="BH34" s="367">
        <f>IF(ISBLANK(G34),"",BG34-BF34)</f>
        <v>-1.1534336228287874</v>
      </c>
      <c r="BI34" s="138">
        <f>IF(ISBLANK(Z6),"",AB121/AA121)</f>
        <v>1.1774193548387095</v>
      </c>
      <c r="BJ34" s="115">
        <f t="shared" si="3"/>
        <v>0.75054945054945055</v>
      </c>
      <c r="BK34" s="88"/>
      <c r="BL34" s="572">
        <v>31</v>
      </c>
    </row>
    <row r="35" spans="1:64" s="10" customFormat="1" ht="3" customHeight="1" x14ac:dyDescent="0.2">
      <c r="A35" s="67"/>
      <c r="B35" s="284"/>
      <c r="C35" s="285"/>
      <c r="D35" s="685"/>
      <c r="E35" s="15"/>
      <c r="F35" s="29"/>
      <c r="G35" s="29"/>
      <c r="H35" s="28"/>
      <c r="I35" s="29"/>
      <c r="J35" s="6"/>
      <c r="K35" s="30"/>
      <c r="L35" s="30"/>
      <c r="M35" s="30"/>
      <c r="N35" s="30"/>
      <c r="O35" s="17"/>
      <c r="P35" s="30"/>
      <c r="Q35" s="30"/>
      <c r="R35" s="30"/>
      <c r="S35" s="30"/>
      <c r="T35" s="50"/>
      <c r="U35" s="28"/>
      <c r="V35" s="28"/>
      <c r="W35" s="32"/>
      <c r="X35" s="28"/>
      <c r="Y35" s="67"/>
      <c r="Z35" s="501"/>
      <c r="AA35" s="501"/>
      <c r="AB35" s="501"/>
      <c r="AC35" s="511"/>
      <c r="AD35" s="28"/>
      <c r="AE35" s="28"/>
      <c r="AF35" s="6"/>
      <c r="AG35" s="28"/>
      <c r="AH35" s="28"/>
      <c r="AI35" s="28"/>
      <c r="AJ35" s="28"/>
      <c r="AK35" s="67"/>
      <c r="AL35" s="95"/>
      <c r="AM35" s="6"/>
      <c r="AN35" s="29"/>
      <c r="AO35" s="400"/>
      <c r="AP35" s="28"/>
      <c r="AQ35" s="28"/>
      <c r="AR35" s="67"/>
      <c r="AS35" s="31"/>
      <c r="AT35" s="32"/>
      <c r="AU35" s="83"/>
      <c r="AV35" s="33"/>
      <c r="AW35" s="33"/>
      <c r="AX35" s="32"/>
      <c r="AY35" s="112"/>
      <c r="AZ35" s="54"/>
      <c r="BA35" s="112"/>
      <c r="BB35" s="112"/>
      <c r="BC35" s="112"/>
      <c r="BD35" s="82"/>
      <c r="BE35" s="402"/>
      <c r="BF35" s="32"/>
      <c r="BG35" s="32"/>
      <c r="BH35" s="32"/>
      <c r="BI35" s="28"/>
      <c r="BJ35" s="584"/>
      <c r="BK35" s="88"/>
      <c r="BL35" s="78"/>
    </row>
    <row r="36" spans="1:64" ht="12.75" customHeight="1" x14ac:dyDescent="0.2">
      <c r="A36" s="67"/>
      <c r="B36" s="697"/>
      <c r="C36" s="698"/>
      <c r="D36" s="685"/>
      <c r="E36" s="4"/>
      <c r="F36" s="25"/>
      <c r="G36" s="25"/>
      <c r="H36" s="21"/>
      <c r="I36" s="25"/>
      <c r="J36" s="18"/>
      <c r="K36" s="22"/>
      <c r="L36" s="22"/>
      <c r="M36" s="22"/>
      <c r="N36" s="22"/>
      <c r="O36" s="18"/>
      <c r="P36" s="48"/>
      <c r="Q36" s="48"/>
      <c r="R36" s="48"/>
      <c r="S36" s="48"/>
      <c r="T36" s="67"/>
      <c r="U36" s="21"/>
      <c r="V36" s="21"/>
      <c r="W36" s="21"/>
      <c r="X36" s="21"/>
      <c r="Y36" s="67"/>
      <c r="Z36" s="458" t="s">
        <v>34</v>
      </c>
      <c r="AA36" s="502"/>
      <c r="AB36" s="502"/>
      <c r="AC36" s="512"/>
      <c r="AD36" s="430" t="s">
        <v>202</v>
      </c>
      <c r="AE36" s="111"/>
      <c r="AF36" s="6"/>
      <c r="AG36" s="21"/>
      <c r="AJ36" s="21"/>
      <c r="AK36" s="67"/>
      <c r="AM36" s="6"/>
      <c r="AN36" s="182" t="s">
        <v>121</v>
      </c>
      <c r="AO36" s="402"/>
      <c r="AP36" s="185" t="s">
        <v>34</v>
      </c>
      <c r="AQ36" s="520" t="s">
        <v>34</v>
      </c>
      <c r="AR36" s="67"/>
      <c r="AS36" s="271" t="s">
        <v>16</v>
      </c>
      <c r="AT36" s="152" t="s">
        <v>26</v>
      </c>
      <c r="AU36" s="11" t="s">
        <v>41</v>
      </c>
      <c r="AV36" s="416" t="s">
        <v>81</v>
      </c>
      <c r="AW36" s="11" t="s">
        <v>6</v>
      </c>
      <c r="AX36" s="296" t="s">
        <v>79</v>
      </c>
      <c r="AY36" s="182" t="s">
        <v>201</v>
      </c>
      <c r="AZ36" s="71"/>
      <c r="BA36" s="699" t="s">
        <v>78</v>
      </c>
      <c r="BB36" s="699"/>
      <c r="BC36" s="569" t="s">
        <v>200</v>
      </c>
      <c r="BD36" s="417" t="s">
        <v>253</v>
      </c>
      <c r="BE36" s="402"/>
      <c r="BH36" s="21"/>
      <c r="BK36" s="88"/>
      <c r="BL36" s="78"/>
    </row>
    <row r="37" spans="1:64" ht="3" customHeight="1" x14ac:dyDescent="0.2">
      <c r="A37" s="73"/>
      <c r="B37" s="284"/>
      <c r="C37" s="286"/>
      <c r="D37" s="685"/>
      <c r="E37" s="35"/>
      <c r="F37" s="36"/>
      <c r="G37" s="36"/>
      <c r="H37" s="34"/>
      <c r="I37" s="36"/>
      <c r="J37" s="60"/>
      <c r="K37" s="37"/>
      <c r="L37" s="37"/>
      <c r="M37" s="37"/>
      <c r="N37" s="37"/>
      <c r="O37" s="18"/>
      <c r="P37" s="37"/>
      <c r="Q37" s="37"/>
      <c r="R37" s="37"/>
      <c r="S37" s="37"/>
      <c r="T37" s="73"/>
      <c r="U37" s="34"/>
      <c r="V37" s="34"/>
      <c r="W37" s="34"/>
      <c r="X37" s="34"/>
      <c r="Y37" s="73"/>
      <c r="Z37" s="503"/>
      <c r="AA37" s="503"/>
      <c r="AB37" s="503"/>
      <c r="AC37" s="513"/>
      <c r="AD37" s="261"/>
      <c r="AE37" s="261"/>
      <c r="AF37" s="6"/>
      <c r="AG37" s="34"/>
      <c r="AH37" s="34"/>
      <c r="AI37" s="34"/>
      <c r="AJ37" s="34"/>
      <c r="AK37" s="73"/>
      <c r="AL37" s="95"/>
      <c r="AM37" s="6"/>
      <c r="AN37" s="34"/>
      <c r="AO37" s="403"/>
      <c r="AP37" s="34"/>
      <c r="AQ37" s="34"/>
      <c r="AR37" s="73"/>
      <c r="AS37" s="272"/>
      <c r="AT37" s="270"/>
      <c r="AU37" s="36"/>
      <c r="AV37" s="269"/>
      <c r="AW37" s="36"/>
      <c r="AX37" s="297"/>
      <c r="AY37" s="269"/>
      <c r="AZ37" s="76"/>
      <c r="BA37" s="687"/>
      <c r="BB37" s="687"/>
      <c r="BC37" s="36"/>
      <c r="BD37" s="34"/>
      <c r="BE37" s="522"/>
      <c r="BF37" s="95"/>
      <c r="BG37" s="34"/>
      <c r="BH37" s="34"/>
      <c r="BI37" s="364"/>
      <c r="BJ37" s="364"/>
      <c r="BK37" s="403"/>
      <c r="BL37" s="79"/>
    </row>
    <row r="38" spans="1:64" ht="12.75" customHeight="1" x14ac:dyDescent="0.2">
      <c r="A38" s="67"/>
      <c r="B38" s="700" t="s">
        <v>4</v>
      </c>
      <c r="C38" s="701"/>
      <c r="D38" s="685"/>
      <c r="E38" s="4" t="s">
        <v>4</v>
      </c>
      <c r="F38" s="152">
        <f>IF(ISBLANK(F4),"",AVERAGE(F4:F34))</f>
        <v>13.235483870967741</v>
      </c>
      <c r="G38" s="151">
        <f>IF(ISBLANK(G4),"",AVERAGE(G4:G34))</f>
        <v>21.051612903225806</v>
      </c>
      <c r="H38" s="14">
        <f>IF(ISBLANK(H4),"",AVERAGE(H4:H34))</f>
        <v>16.983870967741932</v>
      </c>
      <c r="I38" s="129">
        <f>IF(ISBLANK(F4),"",AVERAGE(I4:I34))</f>
        <v>7.816129032258063</v>
      </c>
      <c r="J38" s="19"/>
      <c r="K38" s="156">
        <f>IF(ISBLANK(K4),"",AVERAGE(K4:K34))</f>
        <v>51.032258064516128</v>
      </c>
      <c r="L38" s="153">
        <f>IF(ISBLANK(K4),"",AVERAGE(L4:L34))</f>
        <v>86.129032258064512</v>
      </c>
      <c r="M38" s="9">
        <f>IF(ISBLANK(M4),"",AVERAGE(M4:M34))</f>
        <v>70.193548387096769</v>
      </c>
      <c r="N38" s="398">
        <f>IF(ISBLANK(K4),"",AVERAGE(N4:N34))</f>
        <v>35.096774193548384</v>
      </c>
      <c r="O38" s="18"/>
      <c r="P38" s="154">
        <f>IF(ISBLANK(P4),"",AVERAGE(P4:P34))</f>
        <v>1010.6129032258065</v>
      </c>
      <c r="Q38" s="155">
        <f>IF(ISBLANK(P4),"",AVERAGE(Q4:Q34))</f>
        <v>1015.6451612903226</v>
      </c>
      <c r="R38" s="378">
        <f>IF(ISBLANK(P4),"",AVERAGE(P4:Q34))</f>
        <v>1013.1290322580645</v>
      </c>
      <c r="S38" s="130">
        <f>IF(ISBLANK(P4),"",AVERAGE(S4:S34))</f>
        <v>5.032258064516129</v>
      </c>
      <c r="T38" s="70"/>
      <c r="U38" s="266">
        <f>IF(ISBLANK(U4),"",AVERAGE(U4:U34))</f>
        <v>4.2709677419354843</v>
      </c>
      <c r="V38" s="266">
        <f>IF(ISBLANK(V4),"",AVERAGE(V4:V34))</f>
        <v>11.754838709677415</v>
      </c>
      <c r="W38" s="266">
        <f>IF(ISBLANK(U4),"",AVERAGE(W4:W34))</f>
        <v>16.758064516129032</v>
      </c>
      <c r="X38" s="266" t="s">
        <v>110</v>
      </c>
      <c r="Y38" s="56"/>
      <c r="Z38" s="466">
        <f>SUM(Z4:Z34)</f>
        <v>72.999999999999986</v>
      </c>
      <c r="AA38" s="466">
        <f>IF($AN$38=0,"",AVERAGE(AA4:AA34))</f>
        <v>3.0615384615384618</v>
      </c>
      <c r="AB38" s="466">
        <f>IF($AN$38=0,"",AVERAGE(AB4:AB34))</f>
        <v>1.1833333333333333</v>
      </c>
      <c r="AC38" s="514">
        <f>IF($AN$38=0,"",AVERAGE(AC4:AC34))</f>
        <v>5.8823529411764705E-2</v>
      </c>
      <c r="AD38" s="182">
        <f>IF(Z38=0,"",Z38/AQ38)</f>
        <v>1.8961038961038956</v>
      </c>
      <c r="AE38" s="182">
        <f>IF($AN$38=0,"",AVERAGE(AE4:AE34))</f>
        <v>19.692307692307693</v>
      </c>
      <c r="AF38" s="6"/>
      <c r="AG38" s="263">
        <f>IF(ISBLANK(AG4),"",AVERAGE(AG4:AG34))</f>
        <v>8.4709677419354854</v>
      </c>
      <c r="AH38" s="321">
        <f>IF(ISBLANK(AH4),"",AVERAGE(AH4:AH34))</f>
        <v>13.648387096774202</v>
      </c>
      <c r="AI38" s="301">
        <f>IF(ISBLANK(AI4),"",AVERAGE(AI4:AI34))</f>
        <v>11.093548387096773</v>
      </c>
      <c r="AJ38" s="46">
        <f>IF(ISBLANK(AG4),"",AVERAGE(AJ4:AJ34))</f>
        <v>5.1774193548387117</v>
      </c>
      <c r="AK38" s="311"/>
      <c r="AL38" s="669" t="s">
        <v>487</v>
      </c>
      <c r="AM38" s="6"/>
      <c r="AN38" s="254">
        <f>COUNTIF(AL91:AL121,1)</f>
        <v>9</v>
      </c>
      <c r="AO38" s="224"/>
      <c r="AP38" s="528">
        <f>SUM(AP4:AP34)</f>
        <v>136.6</v>
      </c>
      <c r="AQ38" s="432">
        <f>SUM(AQ4:AQ34)</f>
        <v>38.5</v>
      </c>
      <c r="AR38" s="56"/>
      <c r="AS38" s="358">
        <f>COUNTIF(G4:G34, "&gt;25")</f>
        <v>3</v>
      </c>
      <c r="AT38" s="357">
        <f>COUNTIF(B4:B34,"&lt;0")</f>
        <v>0</v>
      </c>
      <c r="AU38" s="145">
        <f>SUM(COUNTIF(AN4:AN34,"Thunder"),COUNTIF(AN4:AN34,"*Thunder*"),COUNTIF(AN4:AN34,"*Storm*"))</f>
        <v>1</v>
      </c>
      <c r="AV38" s="396">
        <f xml:space="preserve"> SUM(COUNTIF(AN4:AN34,"*Slt*"),COUNTIF(AN4:AN34,"*Snw*"))</f>
        <v>0</v>
      </c>
      <c r="AW38" s="145">
        <f>COUNTIF(W4:W34, "&gt;38")</f>
        <v>0</v>
      </c>
      <c r="AX38" s="359">
        <f xml:space="preserve"> SUM(COUNTIF(AN4:AN34,"Hail"),COUNTIF(AN4:AN34,"*Hail*"))</f>
        <v>0</v>
      </c>
      <c r="AY38" s="396">
        <f>COUNTIF(Z4:Z34,"&gt;19.9")</f>
        <v>0</v>
      </c>
      <c r="AZ38" s="360"/>
      <c r="BA38" s="689">
        <f xml:space="preserve"> SUM(COUNTIF(AN4:AN34,"cm"),COUNTIF(AN4:AN34,"*cm*"))</f>
        <v>0</v>
      </c>
      <c r="BB38" s="689"/>
      <c r="BC38" s="568">
        <f xml:space="preserve"> SUM(COUNTIF(AN4:AN34,"Dense"),COUNTIF(AN4:AN34,"*Dense*"))</f>
        <v>0</v>
      </c>
      <c r="BD38" s="417">
        <f t="array" ref="BD38">SUM(IF(AP4:AP34&gt;0.95*AT91:AT121,1,0))</f>
        <v>0</v>
      </c>
      <c r="BE38" s="523"/>
      <c r="BH38" s="25"/>
      <c r="BK38" s="88"/>
      <c r="BL38" s="78"/>
    </row>
    <row r="39" spans="1:64" ht="12.75" customHeight="1" x14ac:dyDescent="0.2">
      <c r="A39" s="67"/>
      <c r="B39" s="214">
        <f>IF(OR(H4&lt;-10,H4&gt;40),"",AVERAGE(B4:B34))</f>
        <v>13.438709677419354</v>
      </c>
      <c r="C39" s="287">
        <f>IF(OR(H4&lt;-10,H4&gt;40),"",AVERAGE(C4:C34))</f>
        <v>21.025806451612905</v>
      </c>
      <c r="D39" s="686"/>
      <c r="E39" s="4" t="s">
        <v>9</v>
      </c>
      <c r="F39" s="163">
        <v>13.2</v>
      </c>
      <c r="G39" s="94">
        <v>22.2</v>
      </c>
      <c r="H39" s="390" t="s">
        <v>4</v>
      </c>
      <c r="I39" s="162">
        <f>G39-F39</f>
        <v>9</v>
      </c>
      <c r="J39" s="19"/>
      <c r="K39" s="22"/>
      <c r="L39" s="22"/>
      <c r="M39" s="538" t="s">
        <v>4</v>
      </c>
      <c r="N39" s="22"/>
      <c r="O39" s="18"/>
      <c r="P39" s="22"/>
      <c r="Q39" s="22"/>
      <c r="R39" s="380">
        <v>1013.25</v>
      </c>
      <c r="S39" s="22"/>
      <c r="T39" s="70"/>
      <c r="U39" s="259">
        <v>4</v>
      </c>
      <c r="V39" s="259"/>
      <c r="X39" s="260"/>
      <c r="Y39" s="70"/>
      <c r="Z39" s="504">
        <v>62</v>
      </c>
      <c r="AA39" s="105"/>
      <c r="AB39" s="505"/>
      <c r="AC39" s="515"/>
      <c r="AD39" s="490">
        <f>Z39/AQ39</f>
        <v>1.8235294117647058</v>
      </c>
      <c r="AF39" s="6"/>
      <c r="AG39" s="25"/>
      <c r="AI39" s="25"/>
      <c r="AJ39" s="25"/>
      <c r="AK39" s="56"/>
      <c r="AL39" s="669"/>
      <c r="AM39" s="6"/>
      <c r="AN39" s="253">
        <v>8</v>
      </c>
      <c r="AO39" s="224"/>
      <c r="AP39" s="529">
        <v>182</v>
      </c>
      <c r="AQ39" s="460">
        <v>34</v>
      </c>
      <c r="AR39" s="67"/>
      <c r="AT39" s="357">
        <v>0</v>
      </c>
      <c r="AU39" s="22">
        <v>2.5</v>
      </c>
      <c r="AV39" s="396">
        <v>0</v>
      </c>
      <c r="AW39" s="145"/>
      <c r="AX39" s="359"/>
      <c r="AZ39" s="360"/>
      <c r="BA39" s="688">
        <v>0</v>
      </c>
      <c r="BB39" s="688"/>
      <c r="BC39" s="145"/>
      <c r="BD39" s="145"/>
      <c r="BE39" s="360"/>
      <c r="BF39" s="147"/>
      <c r="BG39" s="147"/>
      <c r="BH39" s="147"/>
      <c r="BI39" s="147"/>
      <c r="BK39" s="88"/>
      <c r="BL39" s="78"/>
    </row>
    <row r="40" spans="1:64" ht="12.75" customHeight="1" x14ac:dyDescent="0.2">
      <c r="A40" s="67"/>
      <c r="B40" s="215">
        <f>IF(OR(H4&lt;-10,H4&gt;40),"",B39-F38)</f>
        <v>0.20322580645161281</v>
      </c>
      <c r="C40" s="288">
        <f>IF(OR(H4&lt;-10,H4&gt;40),"",C39-G38)</f>
        <v>-2.5806451612901071E-2</v>
      </c>
      <c r="D40" s="686"/>
      <c r="E40" s="4" t="s">
        <v>10</v>
      </c>
      <c r="F40" s="152">
        <f>IF(ISBLANK(F4),"",F38-F39)</f>
        <v>3.5483870967741638E-2</v>
      </c>
      <c r="G40" s="151">
        <f>IF(ISBLANK(G4),"",G38-G39)</f>
        <v>-1.1483870967741936</v>
      </c>
      <c r="H40" s="383">
        <f>IF(M53&lt;1,"",AVERAGE(F4:G34))</f>
        <v>17.143548387096779</v>
      </c>
      <c r="I40" s="129">
        <f>IF(ISBLANK(F4),"",SUM(I38-I39))</f>
        <v>-1.183870967741937</v>
      </c>
      <c r="J40" s="19"/>
      <c r="K40" s="22"/>
      <c r="L40" s="22"/>
      <c r="M40" s="537">
        <f>IF(M53&lt;1,"",AVERAGE(K4:L34))</f>
        <v>68.58064516129032</v>
      </c>
      <c r="N40" s="25"/>
      <c r="O40" s="18"/>
      <c r="P40" s="102"/>
      <c r="Q40" s="22"/>
      <c r="R40" s="378">
        <f>IF(ISBLANK(P4),"",R38-R39)</f>
        <v>-0.12096774193548754</v>
      </c>
      <c r="S40" s="22"/>
      <c r="T40" s="70"/>
      <c r="U40" s="266">
        <f>IF(ISBLANK(U4),"",U38-U39)</f>
        <v>0.27096774193548434</v>
      </c>
      <c r="V40" s="435">
        <f>IF(ISBLANK(U5),"",CORREL(U4:U34,V4:V34))</f>
        <v>0.74785682509349027</v>
      </c>
      <c r="W40" s="435">
        <f>IF(ISBLANK(U5),"",CORREL(U4:U34,W4:W34))</f>
        <v>0.78417840626459756</v>
      </c>
      <c r="X40" s="435">
        <f>IF(ISBLANK(V5),"",CORREL(V4:V34,W4:W34))</f>
        <v>0.94155372160330519</v>
      </c>
      <c r="Y40" s="70"/>
      <c r="Z40" s="465">
        <f>IF(ISBLANK(Z4),"",AB47/AB48)</f>
        <v>1.1774193548387095</v>
      </c>
      <c r="AA40" s="506">
        <f>Z38/Z39</f>
        <v>1.1774193548387095</v>
      </c>
      <c r="AB40" s="506"/>
      <c r="AC40" s="516"/>
      <c r="AD40" s="262">
        <f>IF(Z38&lt;0.3,"",AD38/(Z39/AQ39))</f>
        <v>1.0397989107666525</v>
      </c>
      <c r="AE40" s="527">
        <f>IF($AN$38=0,"",AVERAGE(AD4:AD34))</f>
        <v>1.8610119047619047</v>
      </c>
      <c r="AF40" s="6"/>
      <c r="AI40" s="25"/>
      <c r="AJ40" s="25"/>
      <c r="AK40" s="56"/>
      <c r="AL40" s="669"/>
      <c r="AM40" s="6"/>
      <c r="AN40" s="254">
        <f>SUM(AN38-AN39)</f>
        <v>1</v>
      </c>
      <c r="AO40" s="224"/>
      <c r="AP40" s="530">
        <f>IF(ISBLANK(AP4),"",AP47/AP54)</f>
        <v>0.75054945054945055</v>
      </c>
      <c r="AQ40" s="427">
        <f>IF(ISBLANK(AQ4),"",AQ47/(AQ39/E34))</f>
        <v>1.1323529411764708</v>
      </c>
      <c r="AR40" s="418"/>
      <c r="AT40" s="357">
        <f>SUM(AT38-AT39)</f>
        <v>0</v>
      </c>
      <c r="AU40" s="145">
        <f>SUM(AU38-AU39)</f>
        <v>-1.5</v>
      </c>
      <c r="AV40" s="396">
        <f>AV38-AV39</f>
        <v>0</v>
      </c>
      <c r="AW40" s="145"/>
      <c r="AX40" s="359"/>
      <c r="AZ40" s="360"/>
      <c r="BA40" s="689">
        <f>BA38-BA39</f>
        <v>0</v>
      </c>
      <c r="BB40" s="689"/>
      <c r="BC40" s="145"/>
      <c r="BD40" s="145"/>
      <c r="BE40" s="360"/>
      <c r="BI40" s="25"/>
      <c r="BK40" s="88"/>
      <c r="BL40" s="78"/>
    </row>
    <row r="41" spans="1:64" ht="4.5" customHeight="1" x14ac:dyDescent="0.2">
      <c r="A41" s="74"/>
      <c r="B41" s="289"/>
      <c r="C41" s="290"/>
      <c r="D41" s="686"/>
      <c r="E41" s="40"/>
      <c r="F41" s="41"/>
      <c r="G41" s="41"/>
      <c r="H41" s="42"/>
      <c r="I41" s="41"/>
      <c r="J41" s="61"/>
      <c r="K41" s="43"/>
      <c r="L41" s="43"/>
      <c r="M41" s="44"/>
      <c r="N41" s="43"/>
      <c r="O41" s="18"/>
      <c r="P41" s="43"/>
      <c r="Q41" s="43"/>
      <c r="R41" s="44"/>
      <c r="S41" s="43"/>
      <c r="T41" s="74"/>
      <c r="U41" s="41"/>
      <c r="V41" s="41"/>
      <c r="W41" s="41"/>
      <c r="X41" s="41"/>
      <c r="Y41" s="77"/>
      <c r="Z41" s="507"/>
      <c r="AA41" s="507"/>
      <c r="AB41" s="507"/>
      <c r="AC41" s="517"/>
      <c r="AD41" s="41"/>
      <c r="AE41" s="41"/>
      <c r="AF41" s="6"/>
      <c r="AG41" s="41"/>
      <c r="AH41" s="41"/>
      <c r="AI41" s="41"/>
      <c r="AJ41" s="41"/>
      <c r="AK41" s="77"/>
      <c r="AL41" s="669"/>
      <c r="AM41" s="6"/>
      <c r="AN41" s="39"/>
      <c r="AO41" s="39"/>
      <c r="AP41" s="39"/>
      <c r="AQ41" s="39"/>
      <c r="AR41" s="39"/>
      <c r="AS41" s="41"/>
      <c r="AT41" s="43"/>
      <c r="AU41" s="41"/>
      <c r="AV41" s="41"/>
      <c r="AW41" s="41"/>
      <c r="AX41" s="41"/>
      <c r="AY41" s="41"/>
      <c r="AZ41" s="77"/>
      <c r="BA41" s="41"/>
      <c r="BB41" s="41"/>
      <c r="BC41" s="41"/>
      <c r="BD41" s="41"/>
      <c r="BE41" s="77"/>
      <c r="BF41" s="41"/>
      <c r="BG41" s="41"/>
      <c r="BH41" s="39"/>
      <c r="BI41" s="41"/>
      <c r="BJ41" s="41"/>
      <c r="BK41" s="39"/>
      <c r="BL41" s="80"/>
    </row>
    <row r="42" spans="1:64" ht="12.75" customHeight="1" x14ac:dyDescent="0.2">
      <c r="A42" s="67"/>
      <c r="B42" s="705" t="s">
        <v>98</v>
      </c>
      <c r="C42" s="706"/>
      <c r="D42" s="686"/>
      <c r="E42" s="4" t="s">
        <v>5</v>
      </c>
      <c r="F42" s="25">
        <f>F86-F85</f>
        <v>8.9</v>
      </c>
      <c r="G42" s="25">
        <f>G86-G85</f>
        <v>13.400000000000002</v>
      </c>
      <c r="H42" s="25">
        <f>H86-H85</f>
        <v>8.9000000000000021</v>
      </c>
      <c r="I42" s="25">
        <f>I86-I85</f>
        <v>11.7</v>
      </c>
      <c r="J42" s="20"/>
      <c r="K42" s="22">
        <f>K86-K85</f>
        <v>46</v>
      </c>
      <c r="L42" s="22">
        <f>L86-L85</f>
        <v>28</v>
      </c>
      <c r="M42" s="22">
        <f>M86-M85</f>
        <v>39</v>
      </c>
      <c r="N42" s="22">
        <f>N86-N85</f>
        <v>35</v>
      </c>
      <c r="O42" s="20"/>
      <c r="P42" s="22">
        <f>P86-P85</f>
        <v>17</v>
      </c>
      <c r="Q42" s="22">
        <f>Q86-Q85</f>
        <v>24</v>
      </c>
      <c r="R42" s="22">
        <f>R86-R85</f>
        <v>19.5</v>
      </c>
      <c r="S42" s="22">
        <f>S86-S85</f>
        <v>14</v>
      </c>
      <c r="T42" s="75"/>
      <c r="U42" s="25">
        <f>U86-U85</f>
        <v>5.1999999999999993</v>
      </c>
      <c r="V42" s="25">
        <f>V86-V85</f>
        <v>12.3</v>
      </c>
      <c r="W42" s="25">
        <f>W86-W85</f>
        <v>18.5</v>
      </c>
      <c r="X42" s="25"/>
      <c r="Y42" s="135"/>
      <c r="Z42" s="38">
        <f>Z86-Z85</f>
        <v>14.6</v>
      </c>
      <c r="AA42" s="38">
        <f>AA86-AA85</f>
        <v>9</v>
      </c>
      <c r="AB42" s="38">
        <f>AB86-AB85</f>
        <v>3</v>
      </c>
      <c r="AC42" s="510">
        <f>AC86-AC85</f>
        <v>0.19863013698630141</v>
      </c>
      <c r="AD42" s="25">
        <f>AE86-AE85</f>
        <v>5.34</v>
      </c>
      <c r="AE42" s="22">
        <f>AD86-AD85</f>
        <v>59.1</v>
      </c>
      <c r="AF42" s="6"/>
      <c r="AG42" s="25">
        <f>AG86-AG85</f>
        <v>8.6000000000000014</v>
      </c>
      <c r="AH42" s="25">
        <f>AH86-AH85</f>
        <v>8.3000000000000007</v>
      </c>
      <c r="AI42" s="25">
        <f>AI86-AI85</f>
        <v>8.1999999999999993</v>
      </c>
      <c r="AJ42" s="25">
        <f>AJ86-AJ85</f>
        <v>6.6999999999999993</v>
      </c>
      <c r="AK42" s="56"/>
      <c r="AL42" s="669"/>
      <c r="AM42" s="6"/>
      <c r="AN42" s="4" t="s">
        <v>80</v>
      </c>
      <c r="AO42" s="223"/>
      <c r="AP42" s="25">
        <f>AP86-AP85</f>
        <v>10</v>
      </c>
      <c r="AQ42" s="22">
        <f>AQ86-AQ85</f>
        <v>8</v>
      </c>
      <c r="AR42" s="70"/>
      <c r="AS42" s="25">
        <f t="shared" ref="AS42:AY42" si="20">AS86-AS85</f>
        <v>2.5245161290322589</v>
      </c>
      <c r="AT42" s="25">
        <f t="shared" si="20"/>
        <v>5.0483870967741957</v>
      </c>
      <c r="AU42" s="25">
        <f t="shared" si="20"/>
        <v>3.7761290322580656</v>
      </c>
      <c r="AV42" s="25">
        <f t="shared" si="20"/>
        <v>2.5238709677419369</v>
      </c>
      <c r="AW42" s="25">
        <f t="shared" si="20"/>
        <v>8.4285714285714306</v>
      </c>
      <c r="AX42" s="25">
        <f t="shared" si="20"/>
        <v>3.5054347826087451</v>
      </c>
      <c r="AY42" s="25">
        <f t="shared" si="20"/>
        <v>1.1149999999999998</v>
      </c>
      <c r="AZ42" s="56"/>
      <c r="BA42" s="25">
        <f>G42</f>
        <v>13.400000000000002</v>
      </c>
      <c r="BB42" s="25">
        <f>H42</f>
        <v>8.9000000000000021</v>
      </c>
      <c r="BC42" s="25">
        <f>I42</f>
        <v>11.7</v>
      </c>
      <c r="BD42" s="22"/>
      <c r="BE42" s="67"/>
      <c r="BF42" s="13">
        <f>AS42</f>
        <v>2.5245161290322589</v>
      </c>
      <c r="BG42" s="13">
        <f>AT42</f>
        <v>5.0483870967741957</v>
      </c>
      <c r="BH42" s="13">
        <f>BH86-BH85</f>
        <v>2.585433622828786</v>
      </c>
      <c r="BI42" s="93">
        <f>BI86-BI85</f>
        <v>0.66300904977375563</v>
      </c>
      <c r="BJ42" s="93">
        <f>BJ86-BJ85</f>
        <v>0.25866480707064243</v>
      </c>
      <c r="BK42" s="88"/>
      <c r="BL42" s="78"/>
    </row>
    <row r="43" spans="1:64" ht="12.75" customHeight="1" x14ac:dyDescent="0.2">
      <c r="A43" s="67"/>
      <c r="B43" s="216">
        <f>COUNTIF(O4:O34,1)</f>
        <v>7</v>
      </c>
      <c r="C43" s="291">
        <f>COUNTIF(J4:J34,1)</f>
        <v>1</v>
      </c>
      <c r="D43" s="686"/>
      <c r="E43" s="12" t="s">
        <v>174</v>
      </c>
      <c r="F43" s="25">
        <f>IF(ISBLANK($G$6),"",STDEV(F4:F34))</f>
        <v>2.1420470562986811</v>
      </c>
      <c r="G43" s="25">
        <f>IF(ISBLANK($G$6),"",STDEV(G4:G34))</f>
        <v>3.2746369740519299</v>
      </c>
      <c r="H43" s="25">
        <f>IF(ISBLANK($H$6),"",STDEV(H4:H34))</f>
        <v>2.2822644857237391</v>
      </c>
      <c r="I43" s="25">
        <f>IF(ISBLANK($G$6),"",STDEV(I4:I34))</f>
        <v>3.0356873767669801</v>
      </c>
      <c r="J43" s="56"/>
      <c r="K43" s="25">
        <f>IF(ISBLANK($G$6),"",STDEV(K4:K34))</f>
        <v>11.124998489790887</v>
      </c>
      <c r="L43" s="25">
        <f>IF(ISBLANK($G$6),"",STDEV(L4:L34))</f>
        <v>7.4821651745283448</v>
      </c>
      <c r="M43" s="25">
        <f>IF(ISBLANK($H$6),"",STDEV(M4:M34))</f>
        <v>9.7584812849770568</v>
      </c>
      <c r="N43" s="25">
        <f>IF(ISBLANK($G$6),"",STDEV(N4:N34))</f>
        <v>9.3643111108423351</v>
      </c>
      <c r="O43" s="56"/>
      <c r="P43" s="25">
        <f>IF(ISBLANK($G$6),"",STDEV(P4:P34))</f>
        <v>5.1034460211040305</v>
      </c>
      <c r="Q43" s="25">
        <f>IF(ISBLANK($G$6),"",STDEV(Q4:Q34))</f>
        <v>4.8617444543892834</v>
      </c>
      <c r="R43" s="25">
        <f>IF(ISBLANK($G$6),"",STDEV(R4:R34))</f>
        <v>4.6796861396456269</v>
      </c>
      <c r="S43" s="25">
        <f>IF(ISBLANK($G$6),"",STDEV(S4:S34))</f>
        <v>3.4301007853778094</v>
      </c>
      <c r="T43" s="75"/>
      <c r="U43" s="25">
        <f>IF(ISBLANK($G$6),"",STDEV(U4:U34))</f>
        <v>1.2985103127268809</v>
      </c>
      <c r="V43" s="25">
        <f>IF(ISBLANK($G$6),"",STDEV(V4:V34))</f>
        <v>2.5445155019738128</v>
      </c>
      <c r="W43" s="25">
        <f>IF(ISBLANK($G$6),"",STDEV(W4:W34))</f>
        <v>4.174827277349201</v>
      </c>
      <c r="X43" s="25"/>
      <c r="Y43" s="135"/>
      <c r="Z43" s="38">
        <f>IF(ISBLANK($G$6),"",STDEV(Z4:Z34))</f>
        <v>4.0890780305326704</v>
      </c>
      <c r="AA43" s="38">
        <f>IF(AA86-AA85=0,"",STDEV(AA4:AA34))</f>
        <v>2.5960028446114554</v>
      </c>
      <c r="AB43" s="38">
        <f>IF(AB86-AB85=0,"",STDEV(AB4:AB34))</f>
        <v>0.84834955631329811</v>
      </c>
      <c r="AC43" s="510">
        <f>IF(AC86-AC85=0,"",STDEV(AC4:AC34))</f>
        <v>6.4982767228300028E-2</v>
      </c>
      <c r="AD43" s="25">
        <f>IF(AE86-AE85=0,"",STDEV(AD4:AD34))</f>
        <v>1.4020579417661725</v>
      </c>
      <c r="AE43" s="25">
        <f>IF(AD86-AD85=0,"",STDEV(AE4:AE34))</f>
        <v>17.974030411423289</v>
      </c>
      <c r="AF43" s="6"/>
      <c r="AG43" s="25">
        <f>IF(ISBLANK($AG$6),"",STDEV(AG4:AG34))</f>
        <v>2.0979662451029562</v>
      </c>
      <c r="AH43" s="25">
        <f>IF(ISBLANK($AH$6),"",STDEV(AH4:AH34))</f>
        <v>2.1722294181695059</v>
      </c>
      <c r="AI43" s="25">
        <f>IF(ISBLANK($AI$6),"",STDEV(AI4:AI34))</f>
        <v>2.022034533808462</v>
      </c>
      <c r="AJ43" s="25">
        <f>IF(ISBLANK($AH$6),"",STDEV(AJ4:AJ34))</f>
        <v>1.6115643905678161</v>
      </c>
      <c r="AK43" s="56"/>
      <c r="AL43" s="669"/>
      <c r="AM43" s="6"/>
      <c r="AN43" s="22">
        <f>M53-AN91</f>
        <v>12</v>
      </c>
      <c r="AO43" s="224"/>
      <c r="AP43" s="25">
        <f>IF(ISBLANK($AP$6),"",STDEV(AP4:AP34))</f>
        <v>3.2188958235054219</v>
      </c>
      <c r="AQ43" s="25">
        <f>IF(ISBLANK($AQ$6),"",STDEV(AQ4:AQ34))</f>
        <v>1.9546140614024696</v>
      </c>
      <c r="AR43" s="56"/>
      <c r="AS43" s="25">
        <f>IF(ISBLANK($G$6),"",STDEV(AS4:AS34))</f>
        <v>0.85143513385621028</v>
      </c>
      <c r="AT43" s="25">
        <f>IF(ISBLANK($G$6),"",STDEV(AT4:AT34))</f>
        <v>2.0764532028318663</v>
      </c>
      <c r="AU43" s="25">
        <f>IF(ISBLANK($G$6),"",STDEV(AU4:AU34))</f>
        <v>1.4619105077688479</v>
      </c>
      <c r="AV43" s="25">
        <f>IF(ISBLANK($G$6),"",STDEV(AV4:AV34))</f>
        <v>1.4684140483071955</v>
      </c>
      <c r="AW43" s="25">
        <f>IF(ISBLANK($M$6),"",STDEV(AW4:AW34))</f>
        <v>5.0586182649211429</v>
      </c>
      <c r="AX43" s="25">
        <f>IF(ISBLANK($G$6),"",STDEV(AX4:AX34))</f>
        <v>0.9975552316668902</v>
      </c>
      <c r="AY43" s="25">
        <f>IF(ISBLANK($G$6),"",STDEV(BA4:BA34))</f>
        <v>1.9699796563934204</v>
      </c>
      <c r="AZ43" s="56"/>
      <c r="BA43" s="25">
        <f>IF(ISBLANK($G$6),"",STDEV(BB4:BB34))</f>
        <v>2.972330883274191</v>
      </c>
      <c r="BB43" s="25">
        <f>IF(ISBLANK($G$6),"",STDEV(BD4:BD34))</f>
        <v>3.0233682328220892</v>
      </c>
      <c r="BC43" s="25">
        <f>IF(ISBLANK($G$6),"",STDEV(BD4:BD34))</f>
        <v>3.0233682328220892</v>
      </c>
      <c r="BD43" s="25"/>
      <c r="BE43" s="56"/>
      <c r="BF43" s="25">
        <f>IF(ISBLANK($G$6),"",STDEV(BF4:BF34))</f>
        <v>0.70850047454924614</v>
      </c>
      <c r="BG43" s="25">
        <f>IF(ISBLANK($G$6),"",STDEV(BG4:BG34))</f>
        <v>1.9554845562762317</v>
      </c>
      <c r="BH43" s="25">
        <f>IF(ISBLANK($G$6),"",STDEV(BH4:BH34))</f>
        <v>1.5027607106141143</v>
      </c>
      <c r="BI43" s="93">
        <f>IF(ISBLANK($Z$6),"",STDEV(BI4:BI34))</f>
        <v>0.36245937063954742</v>
      </c>
      <c r="BJ43" s="93">
        <f>IF(ISBLANK($Z$6),"",STDEV(BJ4:BJ34))</f>
        <v>0.13818250270131799</v>
      </c>
      <c r="BK43" s="402"/>
      <c r="BL43" s="78"/>
    </row>
    <row r="44" spans="1:64" ht="4.5" customHeight="1" x14ac:dyDescent="0.2">
      <c r="A44" s="67"/>
      <c r="B44" s="63"/>
      <c r="C44" s="66"/>
      <c r="D44" s="63"/>
      <c r="E44" s="64"/>
      <c r="F44" s="66"/>
      <c r="G44" s="66"/>
      <c r="H44" s="66"/>
      <c r="I44" s="66"/>
      <c r="J44" s="62"/>
      <c r="K44" s="66"/>
      <c r="L44" s="66"/>
      <c r="M44" s="66"/>
      <c r="N44" s="65"/>
      <c r="O44" s="62"/>
      <c r="P44" s="66"/>
      <c r="Q44" s="66"/>
      <c r="R44" s="66"/>
      <c r="S44" s="66"/>
      <c r="T44" s="66"/>
      <c r="U44" s="66"/>
      <c r="V44" s="66"/>
      <c r="W44" s="66"/>
      <c r="X44" s="66"/>
      <c r="Y44" s="135"/>
      <c r="Z44" s="66"/>
      <c r="AA44" s="66"/>
      <c r="AB44" s="66"/>
      <c r="AC44" s="66"/>
      <c r="AD44" s="66"/>
      <c r="AE44" s="66"/>
      <c r="AF44" s="6"/>
      <c r="AG44" s="66"/>
      <c r="AH44" s="66"/>
      <c r="AI44" s="132"/>
      <c r="AJ44" s="132"/>
      <c r="AK44" s="6"/>
      <c r="AL44" s="132"/>
      <c r="AM44" s="6"/>
      <c r="AN44" s="66"/>
      <c r="AO44" s="402"/>
      <c r="AP44" s="63"/>
      <c r="AQ44" s="63"/>
      <c r="AR44" s="67"/>
      <c r="AS44" s="66"/>
      <c r="AT44" s="65"/>
      <c r="AU44" s="66"/>
      <c r="AV44" s="66"/>
      <c r="AW44" s="66"/>
      <c r="AX44" s="66"/>
      <c r="AY44" s="66"/>
      <c r="AZ44" s="56"/>
      <c r="BA44" s="66"/>
      <c r="BB44" s="66"/>
      <c r="BC44" s="66"/>
      <c r="BD44" s="66"/>
      <c r="BE44" s="56"/>
      <c r="BF44" s="66"/>
      <c r="BG44" s="66"/>
      <c r="BH44" s="63"/>
      <c r="BI44" s="63"/>
      <c r="BJ44" s="66"/>
      <c r="BK44" s="88"/>
      <c r="BL44" s="78"/>
    </row>
    <row r="45" spans="1:64" ht="5.25" customHeight="1" thickBot="1" x14ac:dyDescent="0.25">
      <c r="A45" s="67"/>
      <c r="B45" s="21"/>
      <c r="C45" s="25"/>
      <c r="D45" s="21"/>
      <c r="E45" s="4"/>
      <c r="F45" s="25"/>
      <c r="G45" s="25"/>
      <c r="H45" s="25"/>
      <c r="I45" s="25"/>
      <c r="J45" s="18"/>
      <c r="K45" s="25"/>
      <c r="L45" s="25"/>
      <c r="M45" s="25"/>
      <c r="N45" s="22"/>
      <c r="O45" s="18"/>
      <c r="P45" s="25"/>
      <c r="Q45" s="25"/>
      <c r="R45" s="25"/>
      <c r="S45" s="25"/>
      <c r="T45" s="56"/>
      <c r="U45" s="25"/>
      <c r="V45" s="25"/>
      <c r="W45" s="25"/>
      <c r="X45" s="25"/>
      <c r="Y45" s="135"/>
      <c r="AF45" s="56"/>
      <c r="AG45" s="25"/>
      <c r="AH45" s="25"/>
      <c r="AK45" s="6"/>
      <c r="AM45" s="6"/>
      <c r="AN45" s="25"/>
      <c r="AO45" s="402"/>
      <c r="AP45" s="21"/>
      <c r="AQ45" s="21"/>
      <c r="AR45" s="67"/>
      <c r="AS45" s="25"/>
      <c r="AT45" s="22"/>
      <c r="AU45" s="25"/>
      <c r="AV45" s="25"/>
      <c r="AW45" s="25"/>
      <c r="AX45" s="25"/>
      <c r="AY45" s="25"/>
      <c r="AZ45" s="56"/>
      <c r="BA45" s="25"/>
      <c r="BB45" s="25"/>
      <c r="BC45" s="25"/>
      <c r="BD45" s="25"/>
      <c r="BE45" s="56"/>
      <c r="BF45" s="25"/>
      <c r="BG45" s="25"/>
      <c r="BH45" s="21"/>
      <c r="BI45" s="21"/>
      <c r="BJ45" s="25"/>
      <c r="BK45" s="67"/>
      <c r="BL45" s="78"/>
    </row>
    <row r="46" spans="1:64" ht="15" customHeight="1" x14ac:dyDescent="0.2">
      <c r="A46" s="67"/>
      <c r="B46" s="702" t="s">
        <v>132</v>
      </c>
      <c r="C46" s="703"/>
      <c r="D46" s="703"/>
      <c r="E46" s="704"/>
      <c r="F46" s="349">
        <f>F40</f>
        <v>3.5483870967741638E-2</v>
      </c>
      <c r="G46" s="350">
        <f>G40</f>
        <v>-1.1483870967741936</v>
      </c>
      <c r="H46" s="382">
        <f>AY82</f>
        <v>-0.55645161290322065</v>
      </c>
      <c r="I46" s="352">
        <f>I40</f>
        <v>-1.183870967741937</v>
      </c>
      <c r="J46" s="18"/>
      <c r="K46" s="353">
        <f>K38</f>
        <v>51.032258064516128</v>
      </c>
      <c r="L46" s="298">
        <f>L38</f>
        <v>86.129032258064512</v>
      </c>
      <c r="M46" s="354">
        <f>M38</f>
        <v>70.193548387096769</v>
      </c>
      <c r="N46" s="25">
        <f>N38</f>
        <v>35.096774193548384</v>
      </c>
      <c r="O46" s="18"/>
      <c r="P46" s="25"/>
      <c r="Q46" s="25"/>
      <c r="R46" s="381">
        <f>R40</f>
        <v>-0.12096774193548754</v>
      </c>
      <c r="S46" s="162">
        <f>S38</f>
        <v>5.032258064516129</v>
      </c>
      <c r="T46" s="56"/>
      <c r="U46" s="355">
        <f>U38</f>
        <v>4.2709677419354843</v>
      </c>
      <c r="W46" s="304" t="s">
        <v>113</v>
      </c>
      <c r="X46" s="22">
        <f>COUNTIF(X4:X34,"N")</f>
        <v>1</v>
      </c>
      <c r="Y46" s="135"/>
      <c r="Z46" s="681" t="s">
        <v>151</v>
      </c>
      <c r="AA46" s="668">
        <f>IF(AN48=0,"n/a",Z38/AN48)</f>
        <v>5.2142857142857135</v>
      </c>
      <c r="AB46" s="385" t="s">
        <v>189</v>
      </c>
      <c r="AC46" s="268" t="s">
        <v>282</v>
      </c>
      <c r="AF46" s="135"/>
      <c r="AG46" s="392">
        <f>AG38</f>
        <v>8.4709677419354854</v>
      </c>
      <c r="AH46" s="393">
        <f>AH38</f>
        <v>13.648387096774202</v>
      </c>
      <c r="AI46" s="348">
        <f>AI38</f>
        <v>11.093548387096773</v>
      </c>
      <c r="AJ46" s="49">
        <f>AJ38</f>
        <v>5.1774193548387117</v>
      </c>
      <c r="AK46" s="126"/>
      <c r="AL46" s="356"/>
      <c r="AM46" s="6"/>
      <c r="AO46" s="404"/>
      <c r="AP46" s="445">
        <f>AP38/AP39</f>
        <v>0.75054945054945055</v>
      </c>
      <c r="AQ46" s="446">
        <f>AQ38/AQ39</f>
        <v>1.1323529411764706</v>
      </c>
      <c r="AR46" s="6"/>
      <c r="AS46" s="696" t="s">
        <v>131</v>
      </c>
      <c r="AT46" s="650"/>
      <c r="AU46" s="650"/>
      <c r="AV46" s="650"/>
      <c r="AW46" s="650"/>
      <c r="AX46" s="650"/>
      <c r="AY46" s="25"/>
      <c r="AZ46" s="56"/>
      <c r="BC46" s="25"/>
      <c r="BD46" s="25"/>
      <c r="BE46" s="56"/>
      <c r="BF46" s="693" t="s">
        <v>232</v>
      </c>
      <c r="BG46" s="693"/>
      <c r="BH46" s="693"/>
      <c r="BI46" s="693"/>
      <c r="BJ46" s="693"/>
      <c r="BK46" s="67"/>
      <c r="BL46" s="78"/>
    </row>
    <row r="47" spans="1:64" ht="12.75" customHeight="1" x14ac:dyDescent="0.2">
      <c r="A47" s="67"/>
      <c r="B47" s="682" t="s">
        <v>17</v>
      </c>
      <c r="C47" s="683"/>
      <c r="D47" s="684"/>
      <c r="E47" s="581" t="s">
        <v>15</v>
      </c>
      <c r="F47" s="349">
        <f>F38</f>
        <v>13.235483870967741</v>
      </c>
      <c r="G47" s="350">
        <f>G38</f>
        <v>21.051612903225806</v>
      </c>
      <c r="H47" s="351">
        <f>H38</f>
        <v>16.983870967741932</v>
      </c>
      <c r="I47" s="352">
        <f>I38</f>
        <v>7.816129032258063</v>
      </c>
      <c r="J47" s="18"/>
      <c r="K47" s="21"/>
      <c r="L47" s="170"/>
      <c r="M47" s="52"/>
      <c r="N47" s="118"/>
      <c r="O47" s="18"/>
      <c r="P47" s="21"/>
      <c r="Q47" s="21"/>
      <c r="R47" s="381">
        <f>R38</f>
        <v>1013.1290322580645</v>
      </c>
      <c r="S47" s="21"/>
      <c r="T47" s="56"/>
      <c r="U47" s="7"/>
      <c r="W47" s="143" t="s">
        <v>105</v>
      </c>
      <c r="X47" s="22">
        <f>COUNTIF(X4:X34,"NE")</f>
        <v>4</v>
      </c>
      <c r="Y47" s="56"/>
      <c r="Z47" s="681"/>
      <c r="AA47" s="668"/>
      <c r="AB47" s="384">
        <f>IF(M53=0,"",AVERAGE(Z4:Z34))</f>
        <v>2.354838709677419</v>
      </c>
      <c r="AC47" s="323" t="str">
        <f>IF(M54&gt;0,IF(Z38&gt;Z39,"",AC48/M54/AB48),"n/a")</f>
        <v>n/a</v>
      </c>
      <c r="AE47" s="548"/>
      <c r="AF47" s="56"/>
      <c r="AH47" s="124"/>
      <c r="AI47" s="124"/>
      <c r="AJ47" s="124"/>
      <c r="AK47" s="126"/>
      <c r="AL47" s="124"/>
      <c r="AM47" s="6"/>
      <c r="AN47" s="179" t="s">
        <v>67</v>
      </c>
      <c r="AO47" s="405"/>
      <c r="AP47" s="456">
        <f>IF(ISBLANK(AP4),"",AVERAGE(AP4:AP34))</f>
        <v>4.4064516129032256</v>
      </c>
      <c r="AQ47" s="443">
        <f>IF(ISBLANK(AQ4),"",AVERAGE(AQ4:AQ34))</f>
        <v>1.2419354838709677</v>
      </c>
      <c r="AR47" s="6"/>
      <c r="AS47" s="25"/>
      <c r="AT47" s="22"/>
      <c r="AU47" s="25"/>
      <c r="AV47" s="25"/>
      <c r="AW47" s="25"/>
      <c r="AX47" s="25"/>
      <c r="AY47" s="695" t="s">
        <v>35</v>
      </c>
      <c r="AZ47" s="695"/>
      <c r="BA47" s="695"/>
      <c r="BB47" s="695"/>
      <c r="BC47" s="695"/>
      <c r="BD47" s="695"/>
      <c r="BE47" s="67"/>
      <c r="BF47" s="694" t="s">
        <v>169</v>
      </c>
      <c r="BG47" s="694"/>
      <c r="BH47" s="694"/>
      <c r="BI47" s="694"/>
      <c r="BJ47" s="694"/>
      <c r="BK47" s="2"/>
      <c r="BL47" s="78"/>
    </row>
    <row r="48" spans="1:64" ht="12.75" customHeight="1" x14ac:dyDescent="0.2">
      <c r="A48" s="67"/>
      <c r="B48" s="707" t="s">
        <v>51</v>
      </c>
      <c r="C48" s="708"/>
      <c r="D48" s="709"/>
      <c r="E48" s="142">
        <f>IF(ISBLANK(H5),"",CORREL(H4:H34,R4:R34))</f>
        <v>-7.7199850070514497E-2</v>
      </c>
      <c r="F48" s="576">
        <f>IF(ISBLANK(H5),"",ABS(E48))</f>
        <v>7.7199850070514497E-2</v>
      </c>
      <c r="J48" s="18"/>
      <c r="K48" s="636" t="s">
        <v>377</v>
      </c>
      <c r="L48" s="636"/>
      <c r="M48" s="636"/>
      <c r="N48" s="636"/>
      <c r="O48" s="17"/>
      <c r="R48" s="25"/>
      <c r="S48" s="25"/>
      <c r="T48" s="56"/>
      <c r="U48" s="266"/>
      <c r="W48" s="304" t="s">
        <v>106</v>
      </c>
      <c r="X48" s="22">
        <f>COUNTIF(X4:X34,"E")</f>
        <v>1</v>
      </c>
      <c r="Y48" s="6"/>
      <c r="AB48" s="438">
        <f>Z39/E34</f>
        <v>2</v>
      </c>
      <c r="AC48" s="579">
        <f>ABS(Z39-Z38)</f>
        <v>10.999999999999986</v>
      </c>
      <c r="AD48" s="578" t="str">
        <f>IF(Z38&gt;Z39,"Excess","Deficit")</f>
        <v>Excess</v>
      </c>
      <c r="AE48" s="547"/>
      <c r="AF48" s="6"/>
      <c r="AK48" s="6"/>
      <c r="AL48" s="124"/>
      <c r="AM48" s="6"/>
      <c r="AN48" s="5">
        <f>SUM(AJ91:AJ121)</f>
        <v>14</v>
      </c>
      <c r="AO48" s="406"/>
      <c r="AR48" s="6"/>
      <c r="AS48" s="641" t="s">
        <v>447</v>
      </c>
      <c r="AT48" s="642"/>
      <c r="AU48" s="643"/>
      <c r="AV48" s="139"/>
      <c r="AY48" s="4" t="s">
        <v>164</v>
      </c>
      <c r="AZ48" s="68"/>
      <c r="BA48" s="4" t="s">
        <v>199</v>
      </c>
      <c r="BB48" s="329" t="s">
        <v>166</v>
      </c>
      <c r="BC48" s="147" t="s">
        <v>326</v>
      </c>
      <c r="BD48" s="147" t="s">
        <v>10</v>
      </c>
      <c r="BE48" s="67"/>
      <c r="BF48" s="181" t="s">
        <v>21</v>
      </c>
      <c r="BG48" s="294" t="s">
        <v>22</v>
      </c>
      <c r="BH48" s="335" t="s">
        <v>171</v>
      </c>
      <c r="BI48" s="336" t="s">
        <v>170</v>
      </c>
      <c r="BJ48" s="97" t="s">
        <v>172</v>
      </c>
      <c r="BK48" s="16"/>
      <c r="BL48" s="78"/>
    </row>
    <row r="49" spans="1:64" ht="12.75" customHeight="1" x14ac:dyDescent="0.2">
      <c r="A49" s="67"/>
      <c r="B49" s="707" t="s">
        <v>50</v>
      </c>
      <c r="C49" s="708"/>
      <c r="D49" s="709"/>
      <c r="E49" s="89">
        <f>IF(ISBLANK(H5),"",CORREL(H4:H34,M4:M34))</f>
        <v>-0.56530292608058619</v>
      </c>
      <c r="F49" s="576">
        <f>IF(ISBLANK(H5),"",ABS(E49))</f>
        <v>0.56530292608058619</v>
      </c>
      <c r="H49" s="4"/>
      <c r="I49" s="4"/>
      <c r="J49" s="18"/>
      <c r="K49" s="152">
        <f ca="1">IF(ISBLANK(F4),"",F38-AVERAGE(OFFSET(F91,0,0,M53)))</f>
        <v>4.9280397022331002E-2</v>
      </c>
      <c r="L49" s="151">
        <f ca="1">IF(ISBLANK(G4),"",G38-AVERAGE(OFFSET(G91,0,0,M53)))</f>
        <v>-1.1041532258064564</v>
      </c>
      <c r="M49" s="14">
        <f ca="1">IF(ISBLANK(G4),"",AVERAGE(K49:L49))</f>
        <v>-0.52743641439206268</v>
      </c>
      <c r="N49" s="129">
        <f ca="1">IF(ISBLANK(H4),"",I38-AVERAGE(OFFSET(I91,0,0,M53)))</f>
        <v>-1.1534336228287856</v>
      </c>
      <c r="O49" s="18"/>
      <c r="R49" s="21"/>
      <c r="S49" s="21"/>
      <c r="T49" s="56"/>
      <c r="U49" s="300"/>
      <c r="W49" s="304" t="s">
        <v>112</v>
      </c>
      <c r="X49" s="22">
        <f>COUNTIF(X4:X34,"SE")</f>
        <v>0</v>
      </c>
      <c r="Y49" s="67"/>
      <c r="Z49" s="648" t="s">
        <v>115</v>
      </c>
      <c r="AA49" s="648"/>
      <c r="AE49" s="547"/>
      <c r="AF49" s="67"/>
      <c r="AG49" s="710" t="s">
        <v>179</v>
      </c>
      <c r="AH49" s="710"/>
      <c r="AI49" s="710"/>
      <c r="AJ49" s="710"/>
      <c r="AK49" s="313"/>
      <c r="AL49" s="124"/>
      <c r="AM49" s="67"/>
      <c r="AO49" s="224"/>
      <c r="AP49" s="457" t="s">
        <v>215</v>
      </c>
      <c r="AR49" s="6"/>
      <c r="AS49" s="644" t="s">
        <v>17</v>
      </c>
      <c r="AT49" s="645"/>
      <c r="AU49" s="280" t="s">
        <v>15</v>
      </c>
      <c r="AX49" s="361">
        <v>1</v>
      </c>
      <c r="AY49" s="23">
        <f t="shared" ref="AY49:AY79" si="21">IF(ISBLANK(G4),"",AVERAGE(F4:G4))</f>
        <v>21</v>
      </c>
      <c r="AZ49" s="50"/>
      <c r="BA49" s="26">
        <f>BC4</f>
        <v>2.7599999999999989</v>
      </c>
      <c r="BB49" s="25">
        <f t="shared" ref="BB49:BB79" si="22">IF(ISBLANK(H4),"",AY49-H4)</f>
        <v>-0.39999999999999858</v>
      </c>
      <c r="BC49" s="25">
        <f>IF(ISBLANK(G4),"",(AVERAGE($AY$49:AY49)))</f>
        <v>21</v>
      </c>
      <c r="BD49" s="13">
        <f>IF(ISBLANK(G4),"",AVERAGE(BF4:BG4))</f>
        <v>2.7599999999999989</v>
      </c>
      <c r="BE49" s="67"/>
      <c r="BF49" s="556">
        <v>0.13680555555555554</v>
      </c>
      <c r="BG49" s="556">
        <v>0.65833333333333333</v>
      </c>
      <c r="BH49" s="556">
        <v>0.78055555555555556</v>
      </c>
      <c r="BI49" s="556">
        <v>0.26666666666666666</v>
      </c>
      <c r="BJ49" s="556">
        <v>0.60069444444444442</v>
      </c>
      <c r="BK49" s="20"/>
      <c r="BL49" s="78"/>
    </row>
    <row r="50" spans="1:64" ht="12.75" customHeight="1" x14ac:dyDescent="0.2">
      <c r="A50" s="67"/>
      <c r="B50" s="707" t="s">
        <v>56</v>
      </c>
      <c r="C50" s="708"/>
      <c r="D50" s="709"/>
      <c r="E50" s="89">
        <f>IF(ISBLANK(H5),"",CORREL(M4:M34,R4:R34))</f>
        <v>-0.308959516049715</v>
      </c>
      <c r="F50" s="576">
        <f>IF(ISBLANK(H5),"",ABS(E50))</f>
        <v>0.308959516049715</v>
      </c>
      <c r="G50" s="607" t="s">
        <v>427</v>
      </c>
      <c r="H50" s="820" t="s">
        <v>423</v>
      </c>
      <c r="I50" s="821"/>
      <c r="J50" s="18"/>
      <c r="K50" s="8"/>
      <c r="L50" s="118"/>
      <c r="M50" s="118"/>
      <c r="N50" s="187"/>
      <c r="O50" s="18"/>
      <c r="Q50" s="662" t="s">
        <v>132</v>
      </c>
      <c r="R50" s="662"/>
      <c r="T50" s="68"/>
      <c r="U50" s="300"/>
      <c r="W50" s="305" t="s">
        <v>111</v>
      </c>
      <c r="X50" s="22">
        <f>COUNTIF(X4:X34,"S")</f>
        <v>3</v>
      </c>
      <c r="Y50" s="84"/>
      <c r="Z50" s="661" t="s">
        <v>120</v>
      </c>
      <c r="AA50" s="660">
        <v>10</v>
      </c>
      <c r="AB50" s="322"/>
      <c r="AC50" s="646" t="s">
        <v>285</v>
      </c>
      <c r="AD50" s="647"/>
      <c r="AF50" s="67"/>
      <c r="AH50" s="713">
        <f>SUM(AW91:AW121)</f>
        <v>3</v>
      </c>
      <c r="AI50" s="713"/>
      <c r="AJ50" s="93">
        <f>IF(M53=0,"",AH50/M53)</f>
        <v>9.6774193548387094E-2</v>
      </c>
      <c r="AK50" s="68"/>
      <c r="AM50" s="67"/>
      <c r="AN50" s="180" t="s">
        <v>68</v>
      </c>
      <c r="AO50" s="87"/>
      <c r="AP50" s="397">
        <f>IF(M53=0,"",AP38/SUM(AT91:AT121))</f>
        <v>0.33319233310835739</v>
      </c>
      <c r="AR50" s="6"/>
      <c r="AS50" s="637" t="s">
        <v>44</v>
      </c>
      <c r="AT50" s="638"/>
      <c r="AU50" s="92">
        <f>IF(AP42=0,"",CORREL(G4:G34,AP4:AP34))</f>
        <v>0.58898494230780862</v>
      </c>
      <c r="AV50" s="577">
        <f>IF(AP4=AP5,"",IF(AP42=0,"",ABS(AU50)))</f>
        <v>0.58898494230780862</v>
      </c>
      <c r="AX50" s="361">
        <v>2</v>
      </c>
      <c r="AY50" s="23">
        <f t="shared" si="21"/>
        <v>22.9</v>
      </c>
      <c r="AZ50" s="50"/>
      <c r="BA50" s="26">
        <f t="shared" ref="BA50:BA79" si="23">BC5</f>
        <v>4.6774999999999993</v>
      </c>
      <c r="BB50" s="25">
        <f t="shared" si="22"/>
        <v>0.29999999999999716</v>
      </c>
      <c r="BC50" s="25">
        <f>IF(ISBLANK(G5),"",(AVERAGE($AY$49:AY50)))</f>
        <v>21.95</v>
      </c>
      <c r="BD50" s="13">
        <f t="shared" ref="BD50:BD79" si="24">IF(ISBLANK(G5),"",AVERAGE(BF5:BG5))</f>
        <v>3.7187499999999991</v>
      </c>
      <c r="BE50" s="67"/>
      <c r="BF50" s="556">
        <v>0.31944444444444448</v>
      </c>
      <c r="BG50" s="556">
        <v>0.72222222222222221</v>
      </c>
      <c r="BH50" s="556">
        <v>0.7729166666666667</v>
      </c>
      <c r="BI50" s="556">
        <v>0.37152777777777773</v>
      </c>
      <c r="BJ50" s="556">
        <v>0.7895833333333333</v>
      </c>
      <c r="BK50" s="55"/>
      <c r="BL50" s="78"/>
    </row>
    <row r="51" spans="1:64" ht="12.75" customHeight="1" x14ac:dyDescent="0.2">
      <c r="A51" s="67"/>
      <c r="B51" s="707" t="s">
        <v>11</v>
      </c>
      <c r="C51" s="708"/>
      <c r="D51" s="709"/>
      <c r="E51" s="89">
        <f>IF(ISBLANK(H5),"",CORREL(F4:F34,G4:G34))</f>
        <v>0.43454835985758899</v>
      </c>
      <c r="F51" s="576">
        <f>IF(ISBLANK(H5),"",ABS(E51))</f>
        <v>0.43454835985758899</v>
      </c>
      <c r="H51" s="821" t="s">
        <v>424</v>
      </c>
      <c r="I51" s="821"/>
      <c r="J51" s="18"/>
      <c r="K51" s="8"/>
      <c r="N51" s="187"/>
      <c r="O51" s="18"/>
      <c r="P51" s="21"/>
      <c r="Q51" s="649" t="s">
        <v>143</v>
      </c>
      <c r="R51" s="649"/>
      <c r="S51" s="21"/>
      <c r="T51" s="68"/>
      <c r="W51" s="304" t="s">
        <v>110</v>
      </c>
      <c r="X51" s="22">
        <f>COUNTIF(X4:X34,"SW")</f>
        <v>13</v>
      </c>
      <c r="Y51" s="67"/>
      <c r="Z51" s="661"/>
      <c r="AA51" s="660"/>
      <c r="AC51" s="714" t="s">
        <v>286</v>
      </c>
      <c r="AD51" s="717">
        <v>0</v>
      </c>
      <c r="AF51" s="67"/>
      <c r="AG51" s="650"/>
      <c r="AH51" s="650"/>
      <c r="AI51" s="650"/>
      <c r="AJ51" s="650"/>
      <c r="AK51" s="6"/>
      <c r="AM51" s="67"/>
      <c r="AN51" s="5">
        <f>M53-AN48</f>
        <v>17</v>
      </c>
      <c r="AO51" s="406"/>
      <c r="AR51" s="6"/>
      <c r="AS51" s="637" t="s">
        <v>39</v>
      </c>
      <c r="AT51" s="638"/>
      <c r="AU51" s="92">
        <f>IF(AP42=0,"",CORREL(AP4:AP34,I4:I34))</f>
        <v>0.84178554352382473</v>
      </c>
      <c r="AV51" s="577">
        <f>IF(AP4=AP5,"",IF(AP42=0,"",ABS(AU51)))</f>
        <v>0.84178554352382473</v>
      </c>
      <c r="AX51" s="361">
        <v>3</v>
      </c>
      <c r="AY51" s="23">
        <f t="shared" si="21"/>
        <v>22.65</v>
      </c>
      <c r="AZ51" s="50"/>
      <c r="BA51" s="26">
        <f t="shared" si="23"/>
        <v>4.455000000000001</v>
      </c>
      <c r="BB51" s="25">
        <f t="shared" si="22"/>
        <v>0.34999999999999787</v>
      </c>
      <c r="BC51" s="25">
        <f>IF(ISBLANK(G6),"",(AVERAGE($AY$49:AY51)))</f>
        <v>22.183333333333334</v>
      </c>
      <c r="BD51" s="13">
        <f t="shared" si="24"/>
        <v>3.9641666666666637</v>
      </c>
      <c r="BE51" s="67"/>
      <c r="BF51" s="556">
        <v>0.19375000000000001</v>
      </c>
      <c r="BG51" s="556">
        <v>0.63194444444444442</v>
      </c>
      <c r="BH51" s="556">
        <v>0.6381944444444444</v>
      </c>
      <c r="BI51" s="556">
        <v>0.32430555555555557</v>
      </c>
      <c r="BJ51" s="556">
        <v>0.7402777777777777</v>
      </c>
      <c r="BK51" s="18"/>
      <c r="BL51" s="78"/>
    </row>
    <row r="52" spans="1:64" ht="12.75" customHeight="1" x14ac:dyDescent="0.2">
      <c r="A52" s="67"/>
      <c r="B52" s="707" t="s">
        <v>92</v>
      </c>
      <c r="C52" s="708"/>
      <c r="D52" s="709"/>
      <c r="E52" s="89">
        <f>IF(ISBLANK(H5),"",CORREL(K4:K34,L4:L34))</f>
        <v>0.55297384740820454</v>
      </c>
      <c r="F52" s="576">
        <f>IF(ISBLANK(H5),"",ABS(E52))</f>
        <v>0.55297384740820454</v>
      </c>
      <c r="H52" s="598"/>
      <c r="I52" s="598"/>
      <c r="J52" s="18"/>
      <c r="K52" s="8"/>
      <c r="L52" s="187" t="s">
        <v>346</v>
      </c>
      <c r="M52" s="118"/>
      <c r="N52" s="118"/>
      <c r="O52" s="18"/>
      <c r="P52" s="25"/>
      <c r="Q52" s="715">
        <f>IF(ISBLANK(H5),"",AVERAGE(F48:F66,F72:F80,AV50:AV60))</f>
        <v>0.44219352333111228</v>
      </c>
      <c r="R52" s="716"/>
      <c r="S52" s="25"/>
      <c r="T52" s="67"/>
      <c r="W52" s="304" t="s">
        <v>114</v>
      </c>
      <c r="X52" s="22">
        <f>COUNTIF(X4:X34,"W")</f>
        <v>7</v>
      </c>
      <c r="Y52" s="67"/>
      <c r="Z52" s="659" t="s">
        <v>116</v>
      </c>
      <c r="AA52" s="711">
        <f>(Z38+AA50)/Z39</f>
        <v>1.3387096774193545</v>
      </c>
      <c r="AC52" s="714"/>
      <c r="AD52" s="717"/>
      <c r="AF52" s="67"/>
      <c r="AG52" s="712" t="s">
        <v>180</v>
      </c>
      <c r="AH52" s="712"/>
      <c r="AI52" s="712"/>
      <c r="AJ52" s="712"/>
      <c r="AK52" s="314"/>
      <c r="AM52" s="67"/>
      <c r="AO52" s="407"/>
      <c r="AP52" s="639" t="s">
        <v>190</v>
      </c>
      <c r="AQ52" s="640"/>
      <c r="AR52" s="6"/>
      <c r="AS52" s="637" t="s">
        <v>40</v>
      </c>
      <c r="AT52" s="638"/>
      <c r="AU52" s="92">
        <f>IF(AP42=0,"",CORREL(AP4:AP34,K4:K34))</f>
        <v>-0.69543148643254837</v>
      </c>
      <c r="AV52" s="577">
        <f>IF(AP4=AP5,"",IF(AP42=0,"",ABS(AU52)))</f>
        <v>0.69543148643254837</v>
      </c>
      <c r="AX52" s="361">
        <v>4</v>
      </c>
      <c r="AY52" s="23">
        <f t="shared" si="21"/>
        <v>18.399999999999999</v>
      </c>
      <c r="AZ52" s="50"/>
      <c r="BA52" s="26">
        <f t="shared" si="23"/>
        <v>0.23250000000000082</v>
      </c>
      <c r="BB52" s="25">
        <f t="shared" si="22"/>
        <v>0.19999999999999929</v>
      </c>
      <c r="BC52" s="25">
        <f>IF(ISBLANK(G7),"",(AVERAGE($AY$49:AY52)))</f>
        <v>21.237499999999997</v>
      </c>
      <c r="BD52" s="13">
        <f t="shared" si="24"/>
        <v>3.0312499999999982</v>
      </c>
      <c r="BE52" s="6"/>
      <c r="BF52" s="556">
        <v>0.31944444444444448</v>
      </c>
      <c r="BG52" s="556">
        <v>0.8125</v>
      </c>
      <c r="BH52" s="556" t="s">
        <v>654</v>
      </c>
      <c r="BI52" s="556" t="s">
        <v>605</v>
      </c>
      <c r="BJ52" s="556">
        <v>0.19513888888888889</v>
      </c>
      <c r="BK52" s="18"/>
      <c r="BL52" s="78"/>
    </row>
    <row r="53" spans="1:64" ht="12.75" customHeight="1" x14ac:dyDescent="0.2">
      <c r="A53" s="67"/>
      <c r="B53" s="707" t="s">
        <v>93</v>
      </c>
      <c r="C53" s="708"/>
      <c r="D53" s="709"/>
      <c r="E53" s="89">
        <f>IF(ISBLANK(H5),"",CORREL(P4:P34,Q4:Q34))</f>
        <v>0.76407914093119922</v>
      </c>
      <c r="F53" s="576">
        <f>IF(ISBLANK(H5),"",ABS(E53))</f>
        <v>0.76407914093119922</v>
      </c>
      <c r="H53" s="598"/>
      <c r="I53" s="598"/>
      <c r="J53" s="18"/>
      <c r="K53" s="8"/>
      <c r="L53" s="21" t="s">
        <v>88</v>
      </c>
      <c r="M53" s="21">
        <f>COUNT(H4:H34)</f>
        <v>31</v>
      </c>
      <c r="N53" s="8"/>
      <c r="O53" s="18"/>
      <c r="Q53" s="663" t="s">
        <v>34</v>
      </c>
      <c r="R53" s="663"/>
      <c r="S53" s="22"/>
      <c r="T53" s="67"/>
      <c r="U53" s="7"/>
      <c r="W53" s="304" t="s">
        <v>128</v>
      </c>
      <c r="X53" s="22">
        <f>COUNTIF(X4:X34,"NW")</f>
        <v>2</v>
      </c>
      <c r="Y53" s="136"/>
      <c r="Z53" s="659"/>
      <c r="AA53" s="711"/>
      <c r="AB53" s="323"/>
      <c r="AC53" s="542" t="s">
        <v>281</v>
      </c>
      <c r="AD53" s="549">
        <f>IF(Z38=0,"",AD51/Z38)</f>
        <v>0</v>
      </c>
      <c r="AF53" s="67"/>
      <c r="AH53" s="713">
        <f>SUM(AX91:AX121)</f>
        <v>2</v>
      </c>
      <c r="AI53" s="713"/>
      <c r="AJ53" s="93">
        <f>IF(M53=0,"",AH53/M53)</f>
        <v>6.4516129032258063E-2</v>
      </c>
      <c r="AK53" s="68"/>
      <c r="AL53" s="4"/>
      <c r="AM53" s="67"/>
      <c r="AN53" s="179" t="s">
        <v>77</v>
      </c>
      <c r="AO53" s="88"/>
      <c r="AP53" s="718" t="str">
        <f>IF(M54=0,"",(AP39-AP38)/M54/(AP39/E34))</f>
        <v/>
      </c>
      <c r="AQ53" s="719"/>
      <c r="AR53" s="6"/>
      <c r="AS53" s="637" t="s">
        <v>38</v>
      </c>
      <c r="AT53" s="638"/>
      <c r="AU53" s="92">
        <f>IF(AQ38=0,"",CORREL(AP4:AP34,AQ4:AQ34))</f>
        <v>-0.39787020238091264</v>
      </c>
      <c r="AV53" s="577">
        <f>IF(AQ38=0,"",ABS(AU53))</f>
        <v>0.39787020238091264</v>
      </c>
      <c r="AX53" s="361">
        <v>5</v>
      </c>
      <c r="AY53" s="23">
        <f t="shared" si="21"/>
        <v>19.7</v>
      </c>
      <c r="AZ53" s="50"/>
      <c r="BA53" s="26">
        <f t="shared" si="23"/>
        <v>1.5549999999999988</v>
      </c>
      <c r="BB53" s="25">
        <f t="shared" si="22"/>
        <v>0.39999999999999858</v>
      </c>
      <c r="BC53" s="25">
        <f>IF(ISBLANK(G8),"",(AVERAGE($AY$49:AY53)))</f>
        <v>20.93</v>
      </c>
      <c r="BD53" s="13">
        <f t="shared" si="24"/>
        <v>2.7359999999999989</v>
      </c>
      <c r="BE53" s="6"/>
      <c r="BF53" s="556">
        <v>0.27152777777777776</v>
      </c>
      <c r="BG53" s="556">
        <v>0.75208333333333333</v>
      </c>
      <c r="BH53" s="556">
        <v>0.7583333333333333</v>
      </c>
      <c r="BI53" s="556">
        <v>0.30555555555555552</v>
      </c>
      <c r="BJ53" s="556">
        <v>0.79583333333333339</v>
      </c>
      <c r="BK53" s="18"/>
      <c r="BL53" s="78"/>
    </row>
    <row r="54" spans="1:64" ht="12.75" customHeight="1" x14ac:dyDescent="0.2">
      <c r="A54" s="67"/>
      <c r="B54" s="707" t="s">
        <v>53</v>
      </c>
      <c r="C54" s="708"/>
      <c r="D54" s="709"/>
      <c r="E54" s="89">
        <f>IF(ISBLANK(H5),"",(CORREL(G4:G34,R4:R34)))</f>
        <v>4.555637110696481E-2</v>
      </c>
      <c r="F54" s="576">
        <f>IF(ISBLANK(H5),"",ABS(E54))</f>
        <v>4.555637110696481E-2</v>
      </c>
      <c r="H54" s="598"/>
      <c r="I54" s="598"/>
      <c r="J54" s="18"/>
      <c r="K54" s="8"/>
      <c r="L54" s="21" t="s">
        <v>89</v>
      </c>
      <c r="M54" s="21">
        <f>SUM(E34-M53)</f>
        <v>0</v>
      </c>
      <c r="N54" s="187"/>
      <c r="O54" s="18"/>
      <c r="Q54" s="5">
        <f>SUM(E69,E83,AU63)</f>
        <v>15</v>
      </c>
      <c r="R54" s="21" t="s">
        <v>193</v>
      </c>
      <c r="S54" s="608"/>
      <c r="T54" s="67"/>
      <c r="U54" s="7"/>
      <c r="W54" s="300"/>
      <c r="X54" s="25"/>
      <c r="Y54" s="136"/>
      <c r="Z54" s="659" t="s">
        <v>153</v>
      </c>
      <c r="AA54" s="659" t="str">
        <f>IF(M54&gt;0,(Z39-Z38)/M54,"n/a")</f>
        <v>n/a</v>
      </c>
      <c r="AB54" s="267"/>
      <c r="AC54" s="542" t="s">
        <v>283</v>
      </c>
      <c r="AD54" s="549">
        <f>IF(AT67=0,"",AV38/AT67)</f>
        <v>0</v>
      </c>
      <c r="AF54" s="67"/>
      <c r="AK54" s="6"/>
      <c r="AM54" s="67"/>
      <c r="AN54" s="138">
        <f>IF(M53=0,"",AN48/M53)</f>
        <v>0.45161290322580644</v>
      </c>
      <c r="AO54" s="406"/>
      <c r="AP54" s="531">
        <f>AP39/E34</f>
        <v>5.870967741935484</v>
      </c>
      <c r="AQ54" s="532" t="str">
        <f>IF(M54=0,"",(AP39-AP38)/M54)</f>
        <v/>
      </c>
      <c r="AR54" s="6"/>
      <c r="AS54" s="637" t="s">
        <v>49</v>
      </c>
      <c r="AT54" s="638"/>
      <c r="AU54" s="92">
        <f>IF(AQ38=0,"",CORREL(AQ4:AQ34,I4:I34))</f>
        <v>-0.43841290357278667</v>
      </c>
      <c r="AV54" s="577">
        <f>IF(AQ38=0,"",ABS(AU54))</f>
        <v>0.43841290357278667</v>
      </c>
      <c r="AX54" s="361">
        <v>6</v>
      </c>
      <c r="AY54" s="23">
        <f t="shared" si="21"/>
        <v>17.350000000000001</v>
      </c>
      <c r="AZ54" s="50"/>
      <c r="BA54" s="26">
        <f t="shared" si="23"/>
        <v>-0.75499999999999989</v>
      </c>
      <c r="BB54" s="25">
        <f t="shared" si="22"/>
        <v>-4.9999999999997158E-2</v>
      </c>
      <c r="BC54" s="25">
        <f>IF(ISBLANK(G9),"",(AVERAGE($AY$49:AY54)))</f>
        <v>20.333333333333332</v>
      </c>
      <c r="BD54" s="13">
        <f t="shared" si="24"/>
        <v>2.154166666666665</v>
      </c>
      <c r="BE54" s="6"/>
      <c r="BF54" s="556">
        <v>0.26041666666666669</v>
      </c>
      <c r="BG54" s="556">
        <v>0.62847222222222221</v>
      </c>
      <c r="BH54" s="556">
        <v>0.6381944444444444</v>
      </c>
      <c r="BI54" s="556">
        <v>0.27430555555555552</v>
      </c>
      <c r="BJ54" s="556">
        <v>0.83888888888888891</v>
      </c>
      <c r="BK54" s="18"/>
      <c r="BL54" s="78"/>
    </row>
    <row r="55" spans="1:64" ht="12.75" customHeight="1" x14ac:dyDescent="0.2">
      <c r="A55" s="67"/>
      <c r="B55" s="707" t="s">
        <v>54</v>
      </c>
      <c r="C55" s="708"/>
      <c r="D55" s="709"/>
      <c r="E55" s="89">
        <f>IF(ISBLANK(H5),"",CORREL(F4:F34,R4:R34))</f>
        <v>-0.39618466612935793</v>
      </c>
      <c r="F55" s="576">
        <f>IF(ISBLANK(H5),"",ABS(E55))</f>
        <v>0.39618466612935793</v>
      </c>
      <c r="H55" s="598"/>
      <c r="I55" s="598"/>
      <c r="J55" s="20"/>
      <c r="K55" s="8"/>
      <c r="L55" s="118"/>
      <c r="M55" s="118"/>
      <c r="N55" s="118"/>
      <c r="O55" s="18"/>
      <c r="Q55" s="21"/>
      <c r="S55" s="21"/>
      <c r="T55" s="67"/>
      <c r="U55" s="7"/>
      <c r="W55" s="300" t="s">
        <v>129</v>
      </c>
      <c r="X55" s="22">
        <f>MAX(X46:X53)</f>
        <v>13</v>
      </c>
      <c r="Y55" s="136"/>
      <c r="Z55" s="659"/>
      <c r="AA55" s="659"/>
      <c r="AB55" s="267"/>
      <c r="AC55" s="543" t="s">
        <v>284</v>
      </c>
      <c r="AD55" s="546" t="s">
        <v>205</v>
      </c>
      <c r="AE55" s="267"/>
      <c r="AF55" s="67"/>
      <c r="AK55" s="6"/>
      <c r="AL55" s="7"/>
      <c r="AM55" s="67"/>
      <c r="AO55" s="408"/>
      <c r="AR55" s="6"/>
      <c r="AS55" s="637" t="s">
        <v>96</v>
      </c>
      <c r="AT55" s="638"/>
      <c r="AU55" s="92">
        <f>IF(AQ38=0,"",CORREL(M4:M34,AQ4:AQ34))</f>
        <v>0.65437614241995545</v>
      </c>
      <c r="AV55" s="577">
        <f>IF(AQ38=0,"",ABS(AU55))</f>
        <v>0.65437614241995545</v>
      </c>
      <c r="AX55" s="361">
        <v>7</v>
      </c>
      <c r="AY55" s="23">
        <f t="shared" si="21"/>
        <v>16.7</v>
      </c>
      <c r="AZ55" s="50"/>
      <c r="BA55" s="26">
        <f t="shared" si="23"/>
        <v>-1.3875000000000011</v>
      </c>
      <c r="BB55" s="25">
        <f t="shared" si="22"/>
        <v>1.0999999999999996</v>
      </c>
      <c r="BC55" s="25">
        <f>IF(ISBLANK(G10),"",(AVERAGE($AY$49:AY55)))</f>
        <v>19.814285714285713</v>
      </c>
      <c r="BD55" s="13">
        <f t="shared" si="24"/>
        <v>1.6482142857142845</v>
      </c>
      <c r="BE55" s="6"/>
      <c r="BF55" s="556">
        <v>0.24027777777777778</v>
      </c>
      <c r="BG55" s="556">
        <v>0.56388888888888888</v>
      </c>
      <c r="BH55" s="556">
        <v>0.57013888888888886</v>
      </c>
      <c r="BI55" s="556">
        <v>0.22569444444444445</v>
      </c>
      <c r="BJ55" s="556">
        <v>0.5493055555555556</v>
      </c>
      <c r="BK55" s="18"/>
      <c r="BL55" s="78"/>
    </row>
    <row r="56" spans="1:64" ht="12.75" customHeight="1" thickBot="1" x14ac:dyDescent="0.25">
      <c r="A56" s="67"/>
      <c r="B56" s="707" t="s">
        <v>55</v>
      </c>
      <c r="C56" s="708"/>
      <c r="D56" s="709"/>
      <c r="E56" s="89">
        <f>IF(ISBLANK(H5),"",CORREL(I4:I34,R4:R34))</f>
        <v>0.32869879247126427</v>
      </c>
      <c r="F56" s="576">
        <f>IF(ISBLANK(H5),"",ABS(E56))</f>
        <v>0.32869879247126427</v>
      </c>
      <c r="J56" s="20"/>
      <c r="O56" s="20"/>
      <c r="T56" s="67"/>
      <c r="U56" s="7"/>
      <c r="V56" s="7"/>
      <c r="W56" s="25"/>
      <c r="X56" s="25"/>
      <c r="Y56" s="136"/>
      <c r="AD56" s="267"/>
      <c r="AE56" s="267"/>
      <c r="AF56" s="166"/>
      <c r="AG56" s="710" t="s">
        <v>126</v>
      </c>
      <c r="AH56" s="710"/>
      <c r="AI56" s="710"/>
      <c r="AJ56" s="710"/>
      <c r="AK56" s="313"/>
      <c r="AL56" s="7"/>
      <c r="AM56" s="67"/>
      <c r="AN56" s="181" t="s">
        <v>109</v>
      </c>
      <c r="AO56" s="88"/>
      <c r="AR56" s="6"/>
      <c r="AS56" s="637" t="s">
        <v>37</v>
      </c>
      <c r="AT56" s="638"/>
      <c r="AU56" s="92">
        <f>IF(AQ38=0,"",CORREL(Z4:Z34,AQ4:AQ34))</f>
        <v>0.81137324572209202</v>
      </c>
      <c r="AV56" s="577">
        <f>IF(AQ38=0,"",ABS(AU56))</f>
        <v>0.81137324572209202</v>
      </c>
      <c r="AX56" s="361">
        <v>8</v>
      </c>
      <c r="AY56" s="23">
        <f t="shared" si="21"/>
        <v>16.2</v>
      </c>
      <c r="AZ56" s="50"/>
      <c r="BA56" s="26">
        <f t="shared" si="23"/>
        <v>-1.8584615384615386</v>
      </c>
      <c r="BB56" s="25">
        <f t="shared" si="22"/>
        <v>-0.19999999999999929</v>
      </c>
      <c r="BC56" s="25">
        <f>IF(ISBLANK(G11),"",(AVERAGE($AY$49:AY56)))</f>
        <v>19.362499999999997</v>
      </c>
      <c r="BD56" s="13">
        <f t="shared" si="24"/>
        <v>1.2098798076923067</v>
      </c>
      <c r="BE56" s="6"/>
      <c r="BF56" s="556">
        <v>0.24166666666666667</v>
      </c>
      <c r="BG56" s="556">
        <v>0.66736111111111107</v>
      </c>
      <c r="BH56" s="556">
        <v>0.6875</v>
      </c>
      <c r="BI56" s="556">
        <v>0.2590277777777778</v>
      </c>
      <c r="BJ56" s="556">
        <v>0.64236111111111105</v>
      </c>
      <c r="BK56" s="18"/>
      <c r="BL56" s="78"/>
    </row>
    <row r="57" spans="1:64" ht="12.75" customHeight="1" x14ac:dyDescent="0.2">
      <c r="A57" s="67"/>
      <c r="B57" s="707" t="s">
        <v>94</v>
      </c>
      <c r="C57" s="708"/>
      <c r="D57" s="709"/>
      <c r="E57" s="89">
        <f>IF(ISBLANK(H5),"",CORREL(N4:N34,R4:R34))</f>
        <v>3.9639799894573155E-2</v>
      </c>
      <c r="F57" s="576">
        <f>IF(ISBLANK(H5),"",ABS(E57))</f>
        <v>3.9639799894573155E-2</v>
      </c>
      <c r="H57" s="720" t="s">
        <v>135</v>
      </c>
      <c r="I57" s="721"/>
      <c r="J57" s="193"/>
      <c r="K57" s="721" t="s">
        <v>35</v>
      </c>
      <c r="L57" s="721"/>
      <c r="M57" s="721"/>
      <c r="N57" s="721"/>
      <c r="O57" s="194"/>
      <c r="P57" s="721" t="s">
        <v>136</v>
      </c>
      <c r="Q57" s="721"/>
      <c r="R57" s="721"/>
      <c r="S57" s="721"/>
      <c r="T57" s="195"/>
      <c r="U57" s="651" t="s">
        <v>159</v>
      </c>
      <c r="V57" s="653" t="s">
        <v>134</v>
      </c>
      <c r="W57" s="655" t="s">
        <v>160</v>
      </c>
      <c r="X57" s="657" t="s">
        <v>181</v>
      </c>
      <c r="Y57" s="196"/>
      <c r="Z57" s="724" t="s">
        <v>133</v>
      </c>
      <c r="AA57" s="724"/>
      <c r="AB57" s="725"/>
      <c r="AC57" s="726" t="s">
        <v>122</v>
      </c>
      <c r="AD57" s="727"/>
      <c r="AE57" s="728"/>
      <c r="AF57" s="166"/>
      <c r="AH57" s="713">
        <f t="array" ref="AH57">MAX(FREQUENCY(IF(AW91:AW121=1,ROW(91:121)),IF(AW91:AW121&lt;&gt;1,ROW(91:121))))</f>
        <v>1</v>
      </c>
      <c r="AI57" s="713"/>
      <c r="AJ57" s="4"/>
      <c r="AK57" s="68"/>
      <c r="AL57" s="7"/>
      <c r="AM57" s="67"/>
      <c r="AN57" s="138">
        <f>IF(AN48=0,"",AN38/AN48)</f>
        <v>0.6428571428571429</v>
      </c>
      <c r="AO57" s="223"/>
      <c r="AR57" s="6"/>
      <c r="AS57" s="637" t="s">
        <v>45</v>
      </c>
      <c r="AT57" s="638"/>
      <c r="AU57" s="92">
        <f>IF(AP42=0,"",CORREL(AP4:AP34,R4:R34))</f>
        <v>0.31616143160976917</v>
      </c>
      <c r="AV57" s="577">
        <f>IF(AP4=AP5,"",IF(AP42=0,"",ABS(AU57)))</f>
        <v>0.31616143160976917</v>
      </c>
      <c r="AX57" s="361">
        <v>9</v>
      </c>
      <c r="AY57" s="23">
        <f t="shared" si="21"/>
        <v>16.350000000000001</v>
      </c>
      <c r="AZ57" s="50"/>
      <c r="BA57" s="26">
        <f t="shared" si="23"/>
        <v>-1.6794230769230758</v>
      </c>
      <c r="BB57" s="25">
        <f t="shared" si="22"/>
        <v>0.25</v>
      </c>
      <c r="BC57" s="25">
        <f>IF(ISBLANK(G12),"",(AVERAGE($AY$49:AY57)))</f>
        <v>19.027777777777775</v>
      </c>
      <c r="BD57" s="13">
        <f t="shared" si="24"/>
        <v>0.88884615384615095</v>
      </c>
      <c r="BE57" s="6"/>
      <c r="BF57" s="556">
        <v>0.27569444444444446</v>
      </c>
      <c r="BG57" s="556">
        <v>0.75</v>
      </c>
      <c r="BH57" s="556">
        <v>0.78472222222222221</v>
      </c>
      <c r="BI57" s="556">
        <v>0.29166666666666669</v>
      </c>
      <c r="BJ57" s="556">
        <v>2.0833333333333332E-2</v>
      </c>
      <c r="BK57" s="18"/>
      <c r="BL57" s="78"/>
    </row>
    <row r="58" spans="1:64" ht="12.75" x14ac:dyDescent="0.2">
      <c r="A58" s="67"/>
      <c r="B58" s="707" t="s">
        <v>14</v>
      </c>
      <c r="C58" s="708"/>
      <c r="D58" s="709"/>
      <c r="E58" s="89">
        <f>IF(ISBLANK(H5),"",CORREL(I4:I34,N4:N34))</f>
        <v>0.53053984656061859</v>
      </c>
      <c r="F58" s="576">
        <f>IF(ISBLANK(H5),"",ABS(E58))</f>
        <v>0.53053984656061859</v>
      </c>
      <c r="H58" s="722"/>
      <c r="I58" s="723"/>
      <c r="J58" s="204"/>
      <c r="K58" s="205" t="s">
        <v>2</v>
      </c>
      <c r="L58" s="206" t="s">
        <v>3</v>
      </c>
      <c r="M58" s="207" t="s">
        <v>156</v>
      </c>
      <c r="N58" s="208" t="s">
        <v>5</v>
      </c>
      <c r="O58" s="204"/>
      <c r="P58" s="205" t="s">
        <v>2</v>
      </c>
      <c r="Q58" s="206" t="s">
        <v>3</v>
      </c>
      <c r="R58" s="207" t="s">
        <v>4</v>
      </c>
      <c r="S58" s="208" t="s">
        <v>5</v>
      </c>
      <c r="T58" s="209"/>
      <c r="U58" s="652"/>
      <c r="V58" s="654"/>
      <c r="W58" s="656"/>
      <c r="X58" s="658"/>
      <c r="Y58" s="210"/>
      <c r="Z58" s="211" t="s">
        <v>137</v>
      </c>
      <c r="AA58" s="211" t="s">
        <v>235</v>
      </c>
      <c r="AB58" s="495" t="s">
        <v>138</v>
      </c>
      <c r="AC58" s="533" t="s">
        <v>140</v>
      </c>
      <c r="AD58" s="534" t="s">
        <v>235</v>
      </c>
      <c r="AE58" s="535" t="s">
        <v>141</v>
      </c>
      <c r="AF58" s="166"/>
      <c r="AG58" s="650"/>
      <c r="AH58" s="650"/>
      <c r="AI58" s="650"/>
      <c r="AJ58" s="650"/>
      <c r="AK58" s="6"/>
      <c r="AL58" s="7"/>
      <c r="AM58" s="67"/>
      <c r="AO58" s="224"/>
      <c r="AR58" s="6"/>
      <c r="AS58" s="637" t="s">
        <v>46</v>
      </c>
      <c r="AT58" s="638"/>
      <c r="AU58" s="92">
        <f>IF(OR(H5&lt;-20,H5&gt;40),"",CORREL(U4:U34,R4:R34))</f>
        <v>-0.22344585307044867</v>
      </c>
      <c r="AV58" s="577">
        <f>IF(ISBLANK(U5),"",ABS(AU58))</f>
        <v>0.22344585307044867</v>
      </c>
      <c r="AX58" s="361">
        <v>10</v>
      </c>
      <c r="AY58" s="23">
        <f t="shared" si="21"/>
        <v>16.100000000000001</v>
      </c>
      <c r="AZ58" s="50"/>
      <c r="BA58" s="26">
        <f t="shared" si="23"/>
        <v>-1.9003846153846151</v>
      </c>
      <c r="BB58" s="25">
        <f t="shared" si="22"/>
        <v>-0.69999999999999929</v>
      </c>
      <c r="BC58" s="25">
        <f>IF(ISBLANK(G13),"",(AVERAGE($AY$49:AY58)))</f>
        <v>18.734999999999996</v>
      </c>
      <c r="BD58" s="13">
        <f t="shared" si="24"/>
        <v>0.60992307692307612</v>
      </c>
      <c r="BE58" s="6"/>
      <c r="BF58" s="556">
        <v>0.23680555555555557</v>
      </c>
      <c r="BG58" s="556">
        <v>0.66041666666666665</v>
      </c>
      <c r="BH58" s="556">
        <v>0.60486111111111118</v>
      </c>
      <c r="BI58" s="556">
        <v>0.26944444444444443</v>
      </c>
      <c r="BJ58" s="556">
        <v>0.82708333333333339</v>
      </c>
      <c r="BK58" s="18"/>
      <c r="BL58" s="78"/>
    </row>
    <row r="59" spans="1:64" ht="12.75" x14ac:dyDescent="0.2">
      <c r="A59" s="67"/>
      <c r="B59" s="707" t="s">
        <v>52</v>
      </c>
      <c r="C59" s="708"/>
      <c r="D59" s="709"/>
      <c r="E59" s="89">
        <f>IF(ISBLANK(H5),"",CORREL(L4:L34,R4:R34))</f>
        <v>-0.23182616929349142</v>
      </c>
      <c r="F59" s="576">
        <f>IF(ISBLANK(H5),"",ABS(E59))</f>
        <v>0.23182616929349142</v>
      </c>
      <c r="H59" s="729" t="s">
        <v>19</v>
      </c>
      <c r="I59" s="730"/>
      <c r="J59" s="191"/>
      <c r="K59" s="100">
        <f>IF(ISBLANK(F4),"",AVERAGE(F4:F18))</f>
        <v>14.233333333333331</v>
      </c>
      <c r="L59" s="100">
        <f>IF(ISBLANK(G4),"",AVERAGE(G4:G18))</f>
        <v>22.986666666666668</v>
      </c>
      <c r="M59" s="100">
        <f>IF(ISBLANK(H4),"",AVERAGE(H4:H18))</f>
        <v>18.439999999999998</v>
      </c>
      <c r="N59" s="100">
        <f>IF(ISBLANK(G4),"",AVERAGE(I4:I18))</f>
        <v>8.7533333333333321</v>
      </c>
      <c r="O59" s="191"/>
      <c r="P59" s="100">
        <f>IF(ISBLANK(F4),"",K59-AVERAGE(F91:F105))</f>
        <v>0.66370370370370324</v>
      </c>
      <c r="Q59" s="100">
        <f>IF(ISBLANK(G4),"",L59-AVERAGE(G91:G105))</f>
        <v>0.44938461538461638</v>
      </c>
      <c r="R59" s="100">
        <f>IF(ISBLANK(H4),"",M59-AVERAGE(H91:H105))</f>
        <v>0.38654415954415455</v>
      </c>
      <c r="S59" s="100">
        <f>IF(ISBLANK(G4),"",N59-AVERAGE(I91:I105))</f>
        <v>-0.21431908831908864</v>
      </c>
      <c r="T59" s="166"/>
      <c r="U59" s="342">
        <f>IF(ISBLANK(M4),"",AVERAGE(M4:M18))</f>
        <v>65.466666666666669</v>
      </c>
      <c r="V59" s="342">
        <f>IF(ISBLANK(P4),"",AVERAGE(R4:R18))</f>
        <v>1011.4</v>
      </c>
      <c r="W59" s="345">
        <f>IF(ISBLANK(U4),"",AVERAGE(U4:U18))</f>
        <v>4.8066666666666666</v>
      </c>
      <c r="X59" s="100">
        <f>IF(ISBLANK(AI4),"",AVERAGE(AI4:AI18))</f>
        <v>11.359999999999998</v>
      </c>
      <c r="Y59" s="192"/>
      <c r="Z59" s="38">
        <f>IF(ISBLANK(Z4),"",SUM(Z4:Z18))</f>
        <v>23.799999999999997</v>
      </c>
      <c r="AA59" s="492">
        <f>IF(ISBLANK(Z4),"",Z59/($Z$39/$E$34*15))</f>
        <v>0.79333333333333322</v>
      </c>
      <c r="AB59" s="496">
        <f>IF(Z38=0,"",Z59/$Z$38)</f>
        <v>0.32602739726027402</v>
      </c>
      <c r="AC59" s="499">
        <f>IF(ISBLANK(AP4),"",SUM(AP4:AP18))</f>
        <v>77</v>
      </c>
      <c r="AD59" s="492">
        <f>IF(ISBLANK(AP4),"",AC59/SUM(AS91:AS105))</f>
        <v>0.8456185699923835</v>
      </c>
      <c r="AE59" s="197">
        <f>IF(ISBLANK(AP4),"",AC59/$AP$38)</f>
        <v>0.56368960468521234</v>
      </c>
      <c r="AF59" s="166"/>
      <c r="AG59" s="712" t="s">
        <v>127</v>
      </c>
      <c r="AH59" s="712"/>
      <c r="AI59" s="712"/>
      <c r="AJ59" s="712"/>
      <c r="AK59" s="314"/>
      <c r="AL59" s="7"/>
      <c r="AM59" s="67"/>
      <c r="AN59" s="182" t="s">
        <v>66</v>
      </c>
      <c r="AO59" s="87"/>
      <c r="AP59" s="800" t="s">
        <v>97</v>
      </c>
      <c r="AQ59" s="800"/>
      <c r="AR59" s="6"/>
      <c r="AS59" s="637" t="s">
        <v>47</v>
      </c>
      <c r="AT59" s="638"/>
      <c r="AU59" s="92">
        <f>IF(AQ38=0,"",CORREL(AQ4:AQ34,R4:R34))</f>
        <v>-0.35847073158016962</v>
      </c>
      <c r="AV59" s="577">
        <f>IF(AQ38=0,"",ABS(AU59))</f>
        <v>0.35847073158016962</v>
      </c>
      <c r="AX59" s="361">
        <v>11</v>
      </c>
      <c r="AY59" s="23">
        <f t="shared" si="21"/>
        <v>18.399999999999999</v>
      </c>
      <c r="AZ59" s="50"/>
      <c r="BA59" s="26">
        <f t="shared" si="23"/>
        <v>0.42865384615384627</v>
      </c>
      <c r="BB59" s="25">
        <f t="shared" si="22"/>
        <v>0.79999999999999716</v>
      </c>
      <c r="BC59" s="25">
        <f>IF(ISBLANK(G14),"",(AVERAGE($AY$49:AY59)))</f>
        <v>18.704545454545453</v>
      </c>
      <c r="BD59" s="13">
        <f t="shared" si="24"/>
        <v>0.59344405594405458</v>
      </c>
      <c r="BE59" s="6"/>
      <c r="BF59" s="556">
        <v>0.1986111111111111</v>
      </c>
      <c r="BG59" s="556">
        <v>0.74513888888888891</v>
      </c>
      <c r="BH59" s="556">
        <v>0.80069444444444438</v>
      </c>
      <c r="BI59" s="556" t="s">
        <v>655</v>
      </c>
      <c r="BJ59" s="556">
        <v>0.70486111111111116</v>
      </c>
      <c r="BK59" s="18"/>
      <c r="BL59" s="78"/>
    </row>
    <row r="60" spans="1:64" ht="12.75" customHeight="1" x14ac:dyDescent="0.2">
      <c r="A60" s="67"/>
      <c r="B60" s="707" t="s">
        <v>57</v>
      </c>
      <c r="C60" s="708"/>
      <c r="D60" s="709"/>
      <c r="E60" s="89">
        <f>IF(ISBLANK(H5),"",CORREL(G4:G34,N4:N34))</f>
        <v>0.42942418194677107</v>
      </c>
      <c r="F60" s="576">
        <f>IF(ISBLANK(H5),"",ABS(E60))</f>
        <v>0.42942418194677107</v>
      </c>
      <c r="H60" s="729" t="s">
        <v>18</v>
      </c>
      <c r="I60" s="730"/>
      <c r="J60" s="191"/>
      <c r="K60" s="100">
        <f>IF(ISBLANK(F19),"",AVERAGE(F19:F34))</f>
        <v>12.3</v>
      </c>
      <c r="L60" s="100">
        <f>IF(ISBLANK(G19),"",AVERAGE(G19:G34))</f>
        <v>19.237500000000001</v>
      </c>
      <c r="M60" s="100">
        <f>IF(ISBLANK(H19),"",AVERAGE(H19:H34))</f>
        <v>15.618749999999999</v>
      </c>
      <c r="N60" s="100">
        <f>IF(ISBLANK(G19),"",AVERAGE(I19:I34))</f>
        <v>6.9375</v>
      </c>
      <c r="O60" s="191"/>
      <c r="P60" s="100">
        <f>IF(ISBLANK(F19),"",K60-AVERAGE(F106:F121))</f>
        <v>-0.52674145299145181</v>
      </c>
      <c r="Q60" s="100">
        <f>IF(ISBLANK(G19),"",L60-AVERAGE(G106:G121))</f>
        <v>-2.5605949519230755</v>
      </c>
      <c r="R60" s="100">
        <f>IF(ISBLANK(H19),"",M60-AVERAGE(H106:H121))</f>
        <v>-1.6936682024572711</v>
      </c>
      <c r="S60" s="100">
        <f>IF(ISBLANK(G19),"",N60-AVERAGE(I106:I121))</f>
        <v>-2.0338534989316255</v>
      </c>
      <c r="T60" s="166"/>
      <c r="U60" s="342">
        <f>IF(ISBLANK(M19),"",AVERAGE(M19:M34))</f>
        <v>74.625</v>
      </c>
      <c r="V60" s="342">
        <f>IF(ISBLANK(P19),"",AVERAGE(R19:R34))</f>
        <v>1014.75</v>
      </c>
      <c r="W60" s="345">
        <f>IF(ISBLANK(U19),"",AVERAGE(U19:U34))</f>
        <v>3.7687500000000007</v>
      </c>
      <c r="X60" s="100">
        <f>IF(ISBLANK(AI19),"",AVERAGE(AI19:AI34))</f>
        <v>10.84375</v>
      </c>
      <c r="Y60" s="192"/>
      <c r="Z60" s="38">
        <f>IF(ISBLANK(Z19),"",SUM(Z19:Z34))</f>
        <v>49.199999999999996</v>
      </c>
      <c r="AA60" s="492">
        <f>IF(ISBLANK(Z19),"",(Z60/($Z$39/$E$34*16)))</f>
        <v>1.5374999999999999</v>
      </c>
      <c r="AB60" s="496">
        <f>IF(ISBLANK(Z19),"",Z60/$Z$38)</f>
        <v>0.67397260273972615</v>
      </c>
      <c r="AC60" s="118">
        <f>IF(ISBLANK(AP19),"",SUM(AP19:AP34))</f>
        <v>59.6</v>
      </c>
      <c r="AD60" s="492">
        <f>IF(ISBLANK(AP19),"",AC60/SUM(AS106:AS121))</f>
        <v>0.65535989745530099</v>
      </c>
      <c r="AE60" s="197">
        <f>IF(ISBLANK(AP19),"",AC60/$AP$38)</f>
        <v>0.43631039531478771</v>
      </c>
      <c r="AF60" s="166"/>
      <c r="AH60" s="713">
        <f t="array" ref="AH60">MAX(FREQUENCY(IF(AX91:AX121=1,ROW(91:121)),IF(AX91:AX121&lt;&gt;1,ROW(91:121))))</f>
        <v>2</v>
      </c>
      <c r="AI60" s="713"/>
      <c r="AJ60" s="4"/>
      <c r="AK60" s="68"/>
      <c r="AL60" s="7"/>
      <c r="AM60" s="67"/>
      <c r="AN60" s="53">
        <f t="array" ref="AN60">MAX(FREQUENCY(IF(AJ91:AJ121=1,ROW(53:83)),IF(AJ91:AJ121&lt;&gt;1,ROW(53:83))))</f>
        <v>5</v>
      </c>
      <c r="AO60" s="223"/>
      <c r="AP60" s="767" t="s">
        <v>268</v>
      </c>
      <c r="AQ60" s="767"/>
      <c r="AR60" s="6"/>
      <c r="AS60" s="801" t="s">
        <v>48</v>
      </c>
      <c r="AT60" s="802"/>
      <c r="AU60" s="96">
        <f>IF(U42=0,"",CORREL(U4:U34,S4:S34))</f>
        <v>0.45074648252507804</v>
      </c>
      <c r="AV60" s="577">
        <f>IF(U42=0,"",ABS(AU60))</f>
        <v>0.45074648252507804</v>
      </c>
      <c r="AX60" s="361">
        <v>12</v>
      </c>
      <c r="AY60" s="23">
        <f t="shared" si="21"/>
        <v>19.149999999999999</v>
      </c>
      <c r="AZ60" s="50"/>
      <c r="BA60" s="26">
        <f t="shared" si="23"/>
        <v>1.2076923076923087</v>
      </c>
      <c r="BB60" s="25">
        <f t="shared" si="22"/>
        <v>0.25</v>
      </c>
      <c r="BC60" s="25">
        <f>IF(ISBLANK(G15),"",(AVERAGE($AY$49:AY60)))</f>
        <v>18.741666666666664</v>
      </c>
      <c r="BD60" s="13">
        <f t="shared" si="24"/>
        <v>0.6446314102564088</v>
      </c>
      <c r="BE60" s="6"/>
      <c r="BF60" s="556">
        <v>0.24236111111111111</v>
      </c>
      <c r="BG60" s="556">
        <v>0.71805555555555556</v>
      </c>
      <c r="BH60" s="556">
        <v>0.7284722222222223</v>
      </c>
      <c r="BI60" s="556">
        <v>0.24930555555555556</v>
      </c>
      <c r="BJ60" s="556">
        <v>0.73888888888888893</v>
      </c>
      <c r="BK60" s="18"/>
      <c r="BL60" s="78"/>
    </row>
    <row r="61" spans="1:64" ht="12.75" x14ac:dyDescent="0.2">
      <c r="A61" s="67"/>
      <c r="B61" s="707" t="s">
        <v>58</v>
      </c>
      <c r="C61" s="708"/>
      <c r="D61" s="709"/>
      <c r="E61" s="89">
        <f>IF(ISBLANK(H5),"",CORREL(G4:G34,K4:K34))</f>
        <v>-0.65261700499800723</v>
      </c>
      <c r="F61" s="576">
        <f>IF(ISBLANK(H5),"",ABS(E61))</f>
        <v>0.65261700499800723</v>
      </c>
      <c r="H61" s="198"/>
      <c r="I61" s="110"/>
      <c r="J61" s="191"/>
      <c r="K61" s="50"/>
      <c r="L61" s="50"/>
      <c r="M61" s="50"/>
      <c r="N61" s="50"/>
      <c r="O61" s="191"/>
      <c r="P61" s="50"/>
      <c r="Q61" s="50"/>
      <c r="R61" s="50"/>
      <c r="S61" s="50"/>
      <c r="T61" s="166"/>
      <c r="U61" s="343"/>
      <c r="V61" s="343"/>
      <c r="W61" s="346"/>
      <c r="X61" s="50"/>
      <c r="Y61" s="192"/>
      <c r="Z61" s="110"/>
      <c r="AA61" s="493"/>
      <c r="AB61" s="497"/>
      <c r="AC61" s="69"/>
      <c r="AD61" s="493"/>
      <c r="AE61" s="199"/>
      <c r="AF61" s="166"/>
      <c r="AK61" s="6"/>
      <c r="AL61" s="7"/>
      <c r="AM61" s="136"/>
      <c r="AO61" s="225"/>
      <c r="AP61" s="767"/>
      <c r="AQ61" s="767"/>
      <c r="AR61" s="6"/>
      <c r="AX61" s="361">
        <v>13</v>
      </c>
      <c r="AY61" s="23">
        <f t="shared" si="21"/>
        <v>18.649999999999999</v>
      </c>
      <c r="AZ61" s="50"/>
      <c r="BA61" s="26">
        <f t="shared" si="23"/>
        <v>0.73673076923076941</v>
      </c>
      <c r="BB61" s="25">
        <f t="shared" si="22"/>
        <v>0.34999999999999787</v>
      </c>
      <c r="BC61" s="25">
        <f>IF(ISBLANK(G16),"",(AVERAGE($AY$49:AY61)))</f>
        <v>18.734615384615385</v>
      </c>
      <c r="BD61" s="13">
        <f t="shared" si="24"/>
        <v>0.65171597633135914</v>
      </c>
      <c r="BE61" s="6"/>
      <c r="BF61" s="556">
        <v>0.22569444444444445</v>
      </c>
      <c r="BG61" s="556">
        <v>0.55763888888888891</v>
      </c>
      <c r="BH61" s="556">
        <v>0.63402777777777775</v>
      </c>
      <c r="BI61" s="556">
        <v>0.37916666666666665</v>
      </c>
      <c r="BJ61" s="556">
        <v>0.61805555555555558</v>
      </c>
      <c r="BK61" s="18"/>
      <c r="BL61" s="78"/>
    </row>
    <row r="62" spans="1:64" ht="12.75" x14ac:dyDescent="0.2">
      <c r="A62" s="67"/>
      <c r="B62" s="707" t="s">
        <v>59</v>
      </c>
      <c r="C62" s="708"/>
      <c r="D62" s="709"/>
      <c r="E62" s="89">
        <f>IF(ISBLANK(H5),"",CORREL(I4:I34,K4:K34))</f>
        <v>-0.7259620872260717</v>
      </c>
      <c r="F62" s="576">
        <f>IF(ISBLANK(H5),"",ABS(E62))</f>
        <v>0.7259620872260717</v>
      </c>
      <c r="H62" s="729" t="s">
        <v>27</v>
      </c>
      <c r="I62" s="730"/>
      <c r="J62" s="191"/>
      <c r="K62" s="100">
        <f>IF(ISBLANK(F4),"",AVERAGE(F4:F13))</f>
        <v>13.91</v>
      </c>
      <c r="L62" s="100">
        <f>IF(ISBLANK(G4),"",AVERAGE(G4:G13))</f>
        <v>23.56</v>
      </c>
      <c r="M62" s="100">
        <f>IF(ISBLANK(H4),"",AVERAGE(H4:H13))</f>
        <v>18.61</v>
      </c>
      <c r="N62" s="100">
        <f>IF(ISBLANK(G4),"",AVERAGE(I4:I13))</f>
        <v>9.65</v>
      </c>
      <c r="O62" s="191"/>
      <c r="P62" s="100">
        <f>IF(ISBLANK(F4),"",K62-AVERAGE(F91:F100))</f>
        <v>0.26500000000000057</v>
      </c>
      <c r="Q62" s="100">
        <f>IF(ISBLANK(G4),"",L62-AVERAGE(G91:G100))</f>
        <v>0.95484615384615168</v>
      </c>
      <c r="R62" s="100">
        <f>IF(ISBLANK(H4),"",M62-AVERAGE(H91:H100))</f>
        <v>0.4849230769230779</v>
      </c>
      <c r="S62" s="100">
        <f>IF(ISBLANK(G4),"",N62-AVERAGE(I91:I100))</f>
        <v>0.68984615384615289</v>
      </c>
      <c r="T62" s="166"/>
      <c r="U62" s="342">
        <f>IF(ISBLANK(M4),"",AVERAGE(M4:M13))</f>
        <v>63.1</v>
      </c>
      <c r="V62" s="342">
        <f>IF(ISBLANK(P4),"",AVERAGE(R4:R13))</f>
        <v>1011.9</v>
      </c>
      <c r="W62" s="345">
        <f>IF(ISBLANK(U4),"",AVERAGE(U4:U13))</f>
        <v>4.63</v>
      </c>
      <c r="X62" s="100">
        <f>IF(ISBLANK(AI4),"",AVERAGE(AI4:AI13))</f>
        <v>10.91</v>
      </c>
      <c r="Y62" s="192"/>
      <c r="Z62" s="38">
        <f>IF(ISBLANK(Z4),"",SUM(Z4:Z13))</f>
        <v>17.2</v>
      </c>
      <c r="AA62" s="492">
        <f>IF(ISBLANK(Z4),"",Z62/($Z$39/$E$34*10))</f>
        <v>0.86</v>
      </c>
      <c r="AB62" s="496">
        <f>IF(Z38=0,"",Z62/$Z$38)</f>
        <v>0.23561643835616441</v>
      </c>
      <c r="AC62" s="118">
        <f>IF(ISBLANK(AP4),"",SUM(AP4:AP13))</f>
        <v>59.5</v>
      </c>
      <c r="AD62" s="492">
        <f>IF(ISBLANK(AP4),"",AC62/SUM(AS91:AS100))</f>
        <v>0.97070338836189618</v>
      </c>
      <c r="AE62" s="197">
        <f>IF(ISBLANK(AP4),"",AC62/$AP$38)</f>
        <v>0.43557833089311859</v>
      </c>
      <c r="AF62" s="222"/>
      <c r="AK62" s="6"/>
      <c r="AL62" s="7"/>
      <c r="AM62" s="136"/>
      <c r="AN62" s="180" t="s">
        <v>65</v>
      </c>
      <c r="AO62" s="226"/>
      <c r="AP62" s="767"/>
      <c r="AQ62" s="767"/>
      <c r="AR62" s="6"/>
      <c r="AS62" s="785" t="s">
        <v>4</v>
      </c>
      <c r="AT62" s="785"/>
      <c r="AU62" s="220">
        <f>IF(AQ38=0,"",AVERAGE(AV50:AV60))</f>
        <v>0.52518717864958131</v>
      </c>
      <c r="AV62" s="577">
        <f>AU62</f>
        <v>0.52518717864958131</v>
      </c>
      <c r="AX62" s="361">
        <v>14</v>
      </c>
      <c r="AY62" s="23">
        <f t="shared" si="21"/>
        <v>18.75</v>
      </c>
      <c r="AZ62" s="50"/>
      <c r="BA62" s="26">
        <f t="shared" si="23"/>
        <v>0.86576923076922974</v>
      </c>
      <c r="BB62" s="25">
        <f t="shared" si="22"/>
        <v>0.44999999999999929</v>
      </c>
      <c r="BC62" s="25">
        <f>IF(ISBLANK(G17),"",(AVERAGE($AY$49:AY62)))</f>
        <v>18.735714285714284</v>
      </c>
      <c r="BD62" s="13">
        <f t="shared" si="24"/>
        <v>0.66700549450549307</v>
      </c>
      <c r="BE62" s="6"/>
      <c r="BF62" s="556">
        <v>0.25277777777777777</v>
      </c>
      <c r="BG62" s="556">
        <v>0.61250000000000004</v>
      </c>
      <c r="BH62" s="556">
        <v>0.77083333333333337</v>
      </c>
      <c r="BI62" s="556">
        <v>0.16250000000000001</v>
      </c>
      <c r="BJ62" s="556">
        <v>0.52777777777777779</v>
      </c>
      <c r="BK62" s="55"/>
      <c r="BL62" s="78"/>
    </row>
    <row r="63" spans="1:64" ht="12.75" customHeight="1" x14ac:dyDescent="0.2">
      <c r="A63" s="67"/>
      <c r="B63" s="707" t="s">
        <v>72</v>
      </c>
      <c r="C63" s="708"/>
      <c r="D63" s="709"/>
      <c r="E63" s="89">
        <f>IF(ISBLANK(H5),"",CORREL(R4:R34,K4:K34))</f>
        <v>-0.1892819231345329</v>
      </c>
      <c r="F63" s="576">
        <f>IF(ISBLANK(H5),"",ABS(E63))</f>
        <v>0.1892819231345329</v>
      </c>
      <c r="H63" s="729" t="s">
        <v>28</v>
      </c>
      <c r="I63" s="730"/>
      <c r="J63" s="191"/>
      <c r="K63" s="100">
        <f>IF(ISBLANK(F14),"",AVERAGE(F14:F23))</f>
        <v>13.529999999999998</v>
      </c>
      <c r="L63" s="100">
        <f>IF(ISBLANK(G14),"",AVERAGE(G14:G23))</f>
        <v>20.969999999999995</v>
      </c>
      <c r="M63" s="100">
        <f>IF(ISBLANK(H14),"",AVERAGE(H14:H23))</f>
        <v>17</v>
      </c>
      <c r="N63" s="100">
        <f>IF(ISBLANK(G14),"",AVERAGE(I14:I23))</f>
        <v>7.4399999999999995</v>
      </c>
      <c r="O63" s="191"/>
      <c r="P63" s="100">
        <f>IF(ISBLANK(F14),"",K63-AVERAGE(F101:F110))</f>
        <v>0.23166666666666558</v>
      </c>
      <c r="Q63" s="100">
        <f>IF(ISBLANK(G14),"",L63-AVERAGE(G101:G110))</f>
        <v>-1.3518461538461608</v>
      </c>
      <c r="R63" s="100">
        <f>IF(ISBLANK(H14),"",M63-AVERAGE(H101:H110))</f>
        <v>-0.81008974358974228</v>
      </c>
      <c r="S63" s="100">
        <f>IF(ISBLANK(G14),"",N63-AVERAGE(I101:I110))</f>
        <v>-1.5835128205128193</v>
      </c>
      <c r="T63" s="166"/>
      <c r="U63" s="342">
        <f>IF(ISBLANK(M14),"",AVERAGE(M14:M23))</f>
        <v>72.599999999999994</v>
      </c>
      <c r="V63" s="342">
        <f>IF(ISBLANK(P14),"",AVERAGE(R14:R23))</f>
        <v>1013.55</v>
      </c>
      <c r="W63" s="345">
        <f>IF(ISBLANK(U14),"",AVERAGE(U14:U23))</f>
        <v>4.6800000000000006</v>
      </c>
      <c r="X63" s="100">
        <f>IF(ISBLANK(AI14),"",AVERAGE(AI14:AI23))</f>
        <v>11.750000000000002</v>
      </c>
      <c r="Y63" s="192"/>
      <c r="Z63" s="38">
        <f>IF(ISBLANK(Z14),"",SUM(Z14:Z23))</f>
        <v>26.6</v>
      </c>
      <c r="AA63" s="492">
        <f>IF(ISBLANK(Z14),"",Z63/($Z$39/$E$34*10))</f>
        <v>1.33</v>
      </c>
      <c r="AB63" s="496">
        <f>IF(ISBLANK(Z14),"",Z63/$Z$38)</f>
        <v>0.36438356164383573</v>
      </c>
      <c r="AC63" s="118">
        <f>IF(ISBLANK(AP14),"",SUM(AP14:AP23))</f>
        <v>37</v>
      </c>
      <c r="AD63" s="492">
        <f>IF(ISBLANK(AP14),"",AC63/SUM(AS101:AS110))</f>
        <v>0.62820364468152867</v>
      </c>
      <c r="AE63" s="197">
        <f>IF(ISBLANK(AP14),"",AC63/$AP$38)</f>
        <v>0.27086383601756958</v>
      </c>
      <c r="AF63" s="222"/>
      <c r="AK63" s="315"/>
      <c r="AL63" s="7"/>
      <c r="AM63" s="136"/>
      <c r="AN63" s="5">
        <f>MIN(AT79,AN92)</f>
        <v>4</v>
      </c>
      <c r="AO63" s="227"/>
      <c r="AP63" s="835" t="s">
        <v>271</v>
      </c>
      <c r="AQ63" s="835"/>
      <c r="AR63" s="6"/>
      <c r="AS63" s="785" t="s">
        <v>34</v>
      </c>
      <c r="AT63" s="785"/>
      <c r="AU63" s="9">
        <f>AN96+AN101</f>
        <v>5</v>
      </c>
      <c r="AV63" s="103" t="s">
        <v>69</v>
      </c>
      <c r="AX63" s="361">
        <v>15</v>
      </c>
      <c r="AY63" s="23">
        <f t="shared" si="21"/>
        <v>16.850000000000001</v>
      </c>
      <c r="AZ63" s="50"/>
      <c r="BA63" s="26">
        <f t="shared" si="23"/>
        <v>-0.98991452991452977</v>
      </c>
      <c r="BB63" s="25">
        <f t="shared" si="22"/>
        <v>-0.54999999999999716</v>
      </c>
      <c r="BC63" s="25">
        <f>IF(ISBLANK(G18),"",(AVERAGE($AY$49:AY63)))</f>
        <v>18.61</v>
      </c>
      <c r="BD63" s="13">
        <f t="shared" si="24"/>
        <v>0.55654415954415981</v>
      </c>
      <c r="BE63" s="6"/>
      <c r="BF63" s="556">
        <v>0.2673611111111111</v>
      </c>
      <c r="BG63" s="556">
        <v>0.59513888888888888</v>
      </c>
      <c r="BH63" s="556">
        <v>0.62916666666666665</v>
      </c>
      <c r="BI63" s="556" t="s">
        <v>233</v>
      </c>
      <c r="BJ63" s="556">
        <v>0.5131944444444444</v>
      </c>
      <c r="BK63" s="18"/>
      <c r="BL63" s="78"/>
    </row>
    <row r="64" spans="1:64" ht="12.75" x14ac:dyDescent="0.2">
      <c r="A64" s="67"/>
      <c r="B64" s="707" t="s">
        <v>74</v>
      </c>
      <c r="C64" s="708"/>
      <c r="D64" s="709"/>
      <c r="E64" s="89">
        <f>IF(ISBLANK(H5),"",CORREL(K4:K34,N4:N34))</f>
        <v>-0.74619016215702438</v>
      </c>
      <c r="F64" s="576">
        <f>IF(ISBLANK(H5),"",ABS(E64))</f>
        <v>0.74619016215702438</v>
      </c>
      <c r="H64" s="729" t="s">
        <v>42</v>
      </c>
      <c r="I64" s="730"/>
      <c r="J64" s="191"/>
      <c r="K64" s="100">
        <f>IF(ISBLANK(F24),"",AVERAGE(F24:F34))</f>
        <v>12.354545454545455</v>
      </c>
      <c r="L64" s="100">
        <f>IF(ISBLANK(G24),"",AVERAGE(G24:G34))</f>
        <v>18.845454545454544</v>
      </c>
      <c r="M64" s="100">
        <f>IF(ISBLANK(H24),"",AVERAGE(H24:H34))</f>
        <v>15.490909090909092</v>
      </c>
      <c r="N64" s="100">
        <f>IF(ISBLANK(G24),"",AVERAGE(I24:I34))</f>
        <v>6.4909090909090912</v>
      </c>
      <c r="O64" s="191"/>
      <c r="P64" s="100">
        <f>IF(ISBLANK(F24),"",K64-AVERAGE(F111:F121))</f>
        <v>-0.31263403263403156</v>
      </c>
      <c r="Q64" s="100">
        <f>IF(ISBLANK(G24),"",L64-AVERAGE(G111:G121))</f>
        <v>-2.7507954545454538</v>
      </c>
      <c r="R64" s="100">
        <f>IF(ISBLANK(H24),"",M64-AVERAGE(H111:H121))</f>
        <v>-1.6408056526806547</v>
      </c>
      <c r="S64" s="100">
        <f>IF(ISBLANK(G24),"",N64-AVERAGE(I111:I121))</f>
        <v>-2.4381614219114232</v>
      </c>
      <c r="T64" s="166"/>
      <c r="U64" s="342">
        <f>IF(ISBLANK(M24),"",AVERAGE(M24:M34))</f>
        <v>74.454545454545453</v>
      </c>
      <c r="V64" s="342">
        <f>IF(ISBLANK(P24),"",AVERAGE(R24:R34))</f>
        <v>1013.8636363636364</v>
      </c>
      <c r="W64" s="345">
        <f>IF(ISBLANK(U24),"",AVERAGE(U24:U34))</f>
        <v>3.5727272727272736</v>
      </c>
      <c r="X64" s="100">
        <f>IF(ISBLANK(AI24),"",AVERAGE(AI24:AI34))</f>
        <v>10.663636363636364</v>
      </c>
      <c r="Y64" s="192"/>
      <c r="Z64" s="38">
        <f>IF(ISBLANK(Z24),"",SUM(Z24:Z34))</f>
        <v>29.200000000000003</v>
      </c>
      <c r="AA64" s="492">
        <f>IF(ISBLANK(Z24),"",Z64/($Z$39/$E$34*11))</f>
        <v>1.3272727272727274</v>
      </c>
      <c r="AB64" s="496">
        <f>IF(ISBLANK(Z24),"",Z64/$Z$38)</f>
        <v>0.40000000000000013</v>
      </c>
      <c r="AC64" s="118">
        <f>IF(ISBLANK(AP24),"",SUM(AP24:AP34))</f>
        <v>40.1</v>
      </c>
      <c r="AD64" s="492">
        <f>IF(ISBLANK(AP24),"",AC64/SUM(AS111:AS121))</f>
        <v>0.64880281463127121</v>
      </c>
      <c r="AE64" s="197">
        <f>IF(ISBLANK(AP24),"",AC64/$AP$38)</f>
        <v>0.29355783308931188</v>
      </c>
      <c r="AF64" s="50"/>
      <c r="AG64" s="739" t="s">
        <v>177</v>
      </c>
      <c r="AH64" s="739"/>
      <c r="AI64" s="739"/>
      <c r="AJ64" s="739"/>
      <c r="AK64" s="68"/>
      <c r="AL64" s="7"/>
      <c r="AM64" s="136"/>
      <c r="AN64" s="105"/>
      <c r="AO64" s="228"/>
      <c r="AP64" s="835"/>
      <c r="AQ64" s="835"/>
      <c r="AR64" s="6"/>
      <c r="AX64" s="361">
        <v>16</v>
      </c>
      <c r="AY64" s="23">
        <f t="shared" si="21"/>
        <v>17.45</v>
      </c>
      <c r="AZ64" s="50"/>
      <c r="BA64" s="26">
        <f t="shared" si="23"/>
        <v>-0.34559829059829195</v>
      </c>
      <c r="BB64" s="25">
        <f t="shared" si="22"/>
        <v>0.14999999999999858</v>
      </c>
      <c r="BC64" s="25">
        <f>IF(ISBLANK(G19),"",(AVERAGE($AY$49:AY64)))</f>
        <v>18.537499999999998</v>
      </c>
      <c r="BD64" s="13">
        <f t="shared" si="24"/>
        <v>0.50016025641025497</v>
      </c>
      <c r="BE64" s="6"/>
      <c r="BF64" s="556">
        <v>0.26111111111111113</v>
      </c>
      <c r="BG64" s="556">
        <v>0.6743055555555556</v>
      </c>
      <c r="BH64" s="556">
        <v>0.65277777777777779</v>
      </c>
      <c r="BI64" s="556">
        <v>0.2638888888888889</v>
      </c>
      <c r="BJ64" s="556">
        <v>0.59375</v>
      </c>
      <c r="BK64" s="18"/>
      <c r="BL64" s="78"/>
    </row>
    <row r="65" spans="1:64" ht="12.75" customHeight="1" thickBot="1" x14ac:dyDescent="0.25">
      <c r="A65" s="67"/>
      <c r="B65" s="707" t="s">
        <v>73</v>
      </c>
      <c r="C65" s="708"/>
      <c r="D65" s="709"/>
      <c r="E65" s="89">
        <f>IF(ISBLANK(H5),"",CORREL(F4:F34,I4:I34))</f>
        <v>-0.23686857072258896</v>
      </c>
      <c r="F65" s="576">
        <f>IF(ISBLANK(H5),"",ABS(E65))</f>
        <v>0.23686857072258896</v>
      </c>
      <c r="H65" s="198"/>
      <c r="I65" s="110"/>
      <c r="J65" s="191"/>
      <c r="K65" s="50"/>
      <c r="L65" s="50"/>
      <c r="M65" s="50"/>
      <c r="N65" s="50"/>
      <c r="O65" s="191"/>
      <c r="P65" s="50"/>
      <c r="Q65" s="50"/>
      <c r="R65" s="50"/>
      <c r="S65" s="50"/>
      <c r="T65" s="166"/>
      <c r="U65" s="343"/>
      <c r="V65" s="343"/>
      <c r="W65" s="346"/>
      <c r="X65" s="50"/>
      <c r="Y65" s="192"/>
      <c r="Z65" s="110"/>
      <c r="AA65" s="493"/>
      <c r="AB65" s="497"/>
      <c r="AC65" s="69"/>
      <c r="AD65" s="493"/>
      <c r="AE65" s="199"/>
      <c r="AF65" s="50"/>
      <c r="AH65" s="713">
        <f>SUM(BH91:BH121)</f>
        <v>6</v>
      </c>
      <c r="AI65" s="713"/>
      <c r="AJ65" s="93">
        <f>IF(M53=0,"",AH65/M53)</f>
        <v>0.19354838709677419</v>
      </c>
      <c r="AK65" s="6"/>
      <c r="AL65" s="7"/>
      <c r="AM65" s="136"/>
      <c r="AO65" s="229"/>
      <c r="AP65" s="835"/>
      <c r="AQ65" s="835"/>
      <c r="AR65" s="6"/>
      <c r="AV65" s="332"/>
      <c r="AW65" s="332"/>
      <c r="AX65" s="361">
        <v>17</v>
      </c>
      <c r="AY65" s="23">
        <f t="shared" si="21"/>
        <v>16.25</v>
      </c>
      <c r="AZ65" s="50"/>
      <c r="BA65" s="26">
        <f t="shared" si="23"/>
        <v>-1.5012820512820522</v>
      </c>
      <c r="BB65" s="25">
        <f t="shared" si="22"/>
        <v>0.34999999999999964</v>
      </c>
      <c r="BC65" s="25">
        <f>IF(ISBLANK(G20),"",(AVERAGE($AY$49:AY65)))</f>
        <v>18.402941176470588</v>
      </c>
      <c r="BD65" s="13">
        <f t="shared" si="24"/>
        <v>0.38242835595776459</v>
      </c>
      <c r="BE65" s="6"/>
      <c r="BF65" s="556">
        <v>0.19513888888888889</v>
      </c>
      <c r="BG65" s="556">
        <v>0.63541666666666663</v>
      </c>
      <c r="BH65" s="556">
        <v>0.6875</v>
      </c>
      <c r="BI65" s="556">
        <v>0.20624999999999999</v>
      </c>
      <c r="BJ65" s="556">
        <v>0.37222222222222223</v>
      </c>
      <c r="BK65" s="18"/>
      <c r="BL65" s="78"/>
    </row>
    <row r="66" spans="1:64" ht="12.75" customHeight="1" thickTop="1" x14ac:dyDescent="0.2">
      <c r="A66" s="67"/>
      <c r="B66" s="707" t="s">
        <v>82</v>
      </c>
      <c r="C66" s="708"/>
      <c r="D66" s="709"/>
      <c r="E66" s="89">
        <f>IF(ISBLANK(H5),"",CORREL(G4:G34,I4:I34))</f>
        <v>0.77208672966046066</v>
      </c>
      <c r="F66" s="576">
        <f>IF(ISBLANK(H5),"",ABS(E66))</f>
        <v>0.77208672966046066</v>
      </c>
      <c r="H66" s="729" t="s">
        <v>29</v>
      </c>
      <c r="I66" s="730"/>
      <c r="J66" s="191"/>
      <c r="K66" s="100">
        <f>IF(ISBLANK(F4),"",AVERAGE(F4:F8))</f>
        <v>15.76</v>
      </c>
      <c r="L66" s="100">
        <f>IF(ISBLANK(G4),"",AVERAGE(G4:G8))</f>
        <v>26.1</v>
      </c>
      <c r="M66" s="100">
        <f>IF(ISBLANK(H4),"",AVERAGE(H4:H8))</f>
        <v>20.759999999999998</v>
      </c>
      <c r="N66" s="100">
        <f>IF(ISBLANK(G4),"",AVERAGE(I4:I8))</f>
        <v>10.34</v>
      </c>
      <c r="O66" s="191"/>
      <c r="P66" s="100">
        <f>IF(ISBLANK(F4),"",K66-AVERAGE(F91:F95))</f>
        <v>2.0199999999999996</v>
      </c>
      <c r="Q66" s="100">
        <f>IF(ISBLANK(G4),"",L66-AVERAGE(G91:G95))</f>
        <v>3.4519999999999982</v>
      </c>
      <c r="R66" s="100">
        <f>IF(ISBLANK(H4),"",M66-AVERAGE(H91:H95))</f>
        <v>2.5659999999999989</v>
      </c>
      <c r="S66" s="100">
        <f>IF(ISBLANK(G4),"",N66-AVERAGE(I91:I95))</f>
        <v>1.4320000000000004</v>
      </c>
      <c r="T66" s="166"/>
      <c r="U66" s="342">
        <f>IF(ISBLANK(M4),"",AVERAGE(M4:M8))</f>
        <v>62</v>
      </c>
      <c r="V66" s="342">
        <f>IF(ISBLANK(P4),"",AVERAGE(R4:R8))</f>
        <v>1012.6</v>
      </c>
      <c r="W66" s="345">
        <f>IF(ISBLANK(U4),"",AVERAGE(U4:U8))</f>
        <v>3.7600000000000002</v>
      </c>
      <c r="X66" s="100">
        <f>IF(ISBLANK(AI4),"",AVERAGE(AI4:AI8))</f>
        <v>12.540000000000001</v>
      </c>
      <c r="Y66" s="192"/>
      <c r="Z66" s="100">
        <f>IF(ISBLANK(Z4),"",SUM(Z4:Z8))</f>
        <v>11.9</v>
      </c>
      <c r="AA66" s="492">
        <f>IF(ISBLANK(Z4),"",Z66/($Z$39/$E$34*5))</f>
        <v>1.19</v>
      </c>
      <c r="AB66" s="496">
        <f>IF(Z38=0,"",Z66/$Z$38)</f>
        <v>0.16301369863013701</v>
      </c>
      <c r="AC66" s="165">
        <f>IF(ISBLANK(AP4),"",SUM(AP4:AP8))</f>
        <v>30.5</v>
      </c>
      <c r="AD66" s="492">
        <f>IF(ISBLANK(AP4),"",AC66/SUM(AS91:AS95))</f>
        <v>0.98599914924643317</v>
      </c>
      <c r="AE66" s="197">
        <f>IF(ISBLANK(AP4),"",AC66/$AP$38)</f>
        <v>0.22327964860907762</v>
      </c>
      <c r="AF66" s="50"/>
      <c r="AG66" s="650"/>
      <c r="AH66" s="650"/>
      <c r="AI66" s="650"/>
      <c r="AJ66" s="650"/>
      <c r="AK66" s="316"/>
      <c r="AM66" s="136"/>
      <c r="AN66" s="190" t="s">
        <v>254</v>
      </c>
      <c r="AO66" s="229"/>
      <c r="AP66" s="835"/>
      <c r="AQ66" s="835"/>
      <c r="AR66" s="6"/>
      <c r="AT66" s="186" t="s">
        <v>86</v>
      </c>
      <c r="AU66" s="186"/>
      <c r="AV66" s="571"/>
      <c r="AW66" s="571"/>
      <c r="AX66" s="361">
        <v>18</v>
      </c>
      <c r="AY66" s="23">
        <f t="shared" si="21"/>
        <v>14.350000000000001</v>
      </c>
      <c r="AZ66" s="50"/>
      <c r="BA66" s="26">
        <f t="shared" si="23"/>
        <v>-3.3569658119658126</v>
      </c>
      <c r="BB66" s="25">
        <f t="shared" si="22"/>
        <v>0.65000000000000213</v>
      </c>
      <c r="BC66" s="25">
        <f>IF(ISBLANK(G21),"",(AVERAGE($AY$49:AY66)))</f>
        <v>18.177777777777777</v>
      </c>
      <c r="BD66" s="13">
        <f t="shared" si="24"/>
        <v>0.17468423551756729</v>
      </c>
      <c r="BE66" s="6"/>
      <c r="BF66" s="556">
        <v>0.17708333333333334</v>
      </c>
      <c r="BG66" s="556">
        <v>0.55208333333333337</v>
      </c>
      <c r="BH66" s="556">
        <v>0.56527777777777777</v>
      </c>
      <c r="BI66" s="556" t="s">
        <v>355</v>
      </c>
      <c r="BJ66" s="556">
        <v>0.40138888888888885</v>
      </c>
      <c r="BK66" s="18"/>
      <c r="BL66" s="78"/>
    </row>
    <row r="67" spans="1:64" ht="12.75" x14ac:dyDescent="0.2">
      <c r="A67" s="67"/>
      <c r="B67" s="740"/>
      <c r="C67" s="741"/>
      <c r="D67" s="741"/>
      <c r="E67" s="157"/>
      <c r="F67" s="576"/>
      <c r="H67" s="729" t="s">
        <v>36</v>
      </c>
      <c r="I67" s="730"/>
      <c r="J67" s="191"/>
      <c r="K67" s="100">
        <f>IF(ISBLANK(F9),"",AVERAGE(F9:F13))</f>
        <v>12.059999999999999</v>
      </c>
      <c r="L67" s="100">
        <f>IF(ISBLANK(G9),"",AVERAGE(G9:G13))</f>
        <v>21.02</v>
      </c>
      <c r="M67" s="100">
        <f>IF(ISBLANK(H9),"",AVERAGE(H9:H13))</f>
        <v>16.46</v>
      </c>
      <c r="N67" s="100">
        <f>IF(ISBLANK(G9),"",AVERAGE(I9:I13))</f>
        <v>8.9599999999999991</v>
      </c>
      <c r="O67" s="191"/>
      <c r="P67" s="100">
        <f>IF(ISBLANK(F9),"",K67-AVERAGE(F96:F100))</f>
        <v>-1.490000000000002</v>
      </c>
      <c r="Q67" s="100">
        <f>IF(ISBLANK(G9),"",L67-AVERAGE(G96:G100))</f>
        <v>-1.5423076923076948</v>
      </c>
      <c r="R67" s="100">
        <f>IF(ISBLANK(H9),"",M67-AVERAGE(H96:H100))</f>
        <v>-1.5961538461538431</v>
      </c>
      <c r="S67" s="100">
        <f>IF(ISBLANK(G9),"",N67-AVERAGE(I96:I100))</f>
        <v>-5.2307692307692832E-2</v>
      </c>
      <c r="T67" s="166"/>
      <c r="U67" s="342">
        <f>IF(ISBLANK(M9),"",AVERAGE(M9:M13))</f>
        <v>64.2</v>
      </c>
      <c r="V67" s="342">
        <f>IF(ISBLANK(P9),"",AVERAGE(R9:R13))</f>
        <v>1011.2</v>
      </c>
      <c r="W67" s="345">
        <f>IF(ISBLANK(U9),"",AVERAGE(U9:U13))</f>
        <v>5.5000000000000009</v>
      </c>
      <c r="X67" s="100">
        <f>IF(ISBLANK(AI9),"",AVERAGE(AI9:AI13))</f>
        <v>9.2800000000000011</v>
      </c>
      <c r="Y67" s="192"/>
      <c r="Z67" s="100">
        <f>IF(ISBLANK(Z9),"",SUM(Z9:Z13))</f>
        <v>5.3</v>
      </c>
      <c r="AA67" s="492">
        <f>IF(ISBLANK(Z9),"",Z67/($Z$39/$E$34*5))</f>
        <v>0.53</v>
      </c>
      <c r="AB67" s="496">
        <f>IF(ISBLANK(Z9),"",Z67/$Z$38)</f>
        <v>7.2602739726027404E-2</v>
      </c>
      <c r="AC67" s="165">
        <f>IF(ISBLANK(AP9),"",SUM(AP9:AP13))</f>
        <v>29</v>
      </c>
      <c r="AD67" s="492">
        <f>IF(ISBLANK(AP9),"",AC67/SUM(AS96:AS100))</f>
        <v>0.95512026719088972</v>
      </c>
      <c r="AE67" s="197">
        <f>IF(ISBLANK(AP9),"",AC67/$AP$38)</f>
        <v>0.212298682284041</v>
      </c>
      <c r="AF67" s="50"/>
      <c r="AG67" s="780" t="s">
        <v>178</v>
      </c>
      <c r="AH67" s="780"/>
      <c r="AI67" s="780"/>
      <c r="AJ67" s="780"/>
      <c r="AK67" s="84"/>
      <c r="AM67" s="71"/>
      <c r="AN67" s="5">
        <f t="array" ref="AN67">SUM(IF(AP4:AP34&gt;0.25*AT91:AT121,1,0))</f>
        <v>19</v>
      </c>
      <c r="AO67" s="229"/>
      <c r="AP67" s="835"/>
      <c r="AQ67" s="835"/>
      <c r="AR67" s="6"/>
      <c r="AT67" s="187">
        <f>M53-AT70</f>
        <v>15</v>
      </c>
      <c r="AU67" s="187"/>
      <c r="AV67" s="571"/>
      <c r="AW67" s="571"/>
      <c r="AX67" s="361">
        <v>19</v>
      </c>
      <c r="AY67" s="23">
        <f t="shared" si="21"/>
        <v>15.2</v>
      </c>
      <c r="AZ67" s="50"/>
      <c r="BA67" s="26">
        <f t="shared" si="23"/>
        <v>-2.4626495726495738</v>
      </c>
      <c r="BB67" s="25">
        <f t="shared" si="22"/>
        <v>-0.40000000000000036</v>
      </c>
      <c r="BC67" s="25">
        <f>IF(ISBLANK(G22),"",(AVERAGE($AY$49:AY67)))</f>
        <v>18.021052631578947</v>
      </c>
      <c r="BD67" s="13">
        <f t="shared" si="24"/>
        <v>3.5877192982455064E-2</v>
      </c>
      <c r="BE67" s="6"/>
      <c r="BF67" s="556">
        <v>0.21527777777777779</v>
      </c>
      <c r="BG67" s="556">
        <v>0.72083333333333333</v>
      </c>
      <c r="BH67" s="556">
        <v>0.72083333333333333</v>
      </c>
      <c r="BI67" s="556">
        <v>0.31458333333333333</v>
      </c>
      <c r="BJ67" s="556">
        <v>0.68819444444444444</v>
      </c>
      <c r="BK67" s="18"/>
      <c r="BL67" s="78"/>
    </row>
    <row r="68" spans="1:64" ht="12.75" customHeight="1" x14ac:dyDescent="0.2">
      <c r="A68" s="67"/>
      <c r="B68" s="731" t="s">
        <v>4</v>
      </c>
      <c r="C68" s="732"/>
      <c r="D68" s="732"/>
      <c r="E68" s="582">
        <f>IF(ISBLANK(H5),"",AVERAGE(F48:F66))</f>
        <v>0.42252315503681759</v>
      </c>
      <c r="F68" s="576">
        <f>IF(ISBLANK(H5),"",ABS(E68))</f>
        <v>0.42252315503681759</v>
      </c>
      <c r="H68" s="729" t="s">
        <v>30</v>
      </c>
      <c r="I68" s="730"/>
      <c r="J68" s="191"/>
      <c r="K68" s="100">
        <f>IF(ISBLANK(F14),"",AVERAGE(F14:F18))</f>
        <v>14.88</v>
      </c>
      <c r="L68" s="100">
        <f>IF(ISBLANK(G14),"",AVERAGE(G14:G18))</f>
        <v>21.839999999999996</v>
      </c>
      <c r="M68" s="100">
        <f>IF(ISBLANK(H14),"",AVERAGE(H14:H18))</f>
        <v>18.100000000000001</v>
      </c>
      <c r="N68" s="100">
        <f>IF(ISBLANK(G14),"",AVERAGE(I14:I18))</f>
        <v>6.9599999999999991</v>
      </c>
      <c r="O68" s="191"/>
      <c r="P68" s="100">
        <f>IF(ISBLANK(F14),"",K68-AVERAGE(F101:F105))</f>
        <v>1.4611111111111139</v>
      </c>
      <c r="Q68" s="100">
        <f>IF(ISBLANK(G14),"",L68-AVERAGE(G101:G105))</f>
        <v>-0.56153846153846487</v>
      </c>
      <c r="R68" s="100">
        <f>IF(ISBLANK(H14),"",M68-AVERAGE(H101:H105))</f>
        <v>0.18978632478632562</v>
      </c>
      <c r="S68" s="100">
        <f>IF(ISBLANK(G14),"",N68-AVERAGE(I101:I105))</f>
        <v>-2.0226495726495735</v>
      </c>
      <c r="T68" s="166"/>
      <c r="U68" s="342">
        <f>IF(ISBLANK(M14),"",AVERAGE(M14:M18))</f>
        <v>70.2</v>
      </c>
      <c r="V68" s="342">
        <f>IF(ISBLANK(P14),"",AVERAGE(R14:R18))</f>
        <v>1010.4</v>
      </c>
      <c r="W68" s="345">
        <f>IF(ISBLANK(U14),"",AVERAGE(U14:U18))</f>
        <v>5.16</v>
      </c>
      <c r="X68" s="100">
        <f>IF(ISBLANK(AI14),"",AVERAGE(AI14:AI18))</f>
        <v>12.260000000000002</v>
      </c>
      <c r="Y68" s="192"/>
      <c r="Z68" s="100">
        <f>IF(ISBLANK(Z14),"",SUM(Z14:Z18))</f>
        <v>6.6</v>
      </c>
      <c r="AA68" s="492">
        <f>IF(ISBLANK(Z14),"",Z68/($Z$39/$E$34*5))</f>
        <v>0.65999999999999992</v>
      </c>
      <c r="AB68" s="496">
        <f>IF(ISBLANK(Z14),"",Z68/$Z$38)</f>
        <v>9.0410958904109606E-2</v>
      </c>
      <c r="AC68" s="165">
        <f>IF(ISBLANK(AP14),"",SUM(AP14:AP18))</f>
        <v>17.5</v>
      </c>
      <c r="AD68" s="492">
        <f>IF(ISBLANK(AP14),"",AC68/SUM(AS101:AS105))</f>
        <v>0.58800118189251394</v>
      </c>
      <c r="AE68" s="197">
        <f>IF(ISBLANK(AP14),"",AC68/$AP$38)</f>
        <v>0.12811127379209372</v>
      </c>
      <c r="AF68" s="50"/>
      <c r="AH68" s="781">
        <f>SUM(AY91:AY121)</f>
        <v>12</v>
      </c>
      <c r="AI68" s="781"/>
      <c r="AJ68" s="93">
        <f>IF(M53=0,"",AH68/M53)</f>
        <v>0.38709677419354838</v>
      </c>
      <c r="AK68" s="6"/>
      <c r="AM68" s="136"/>
      <c r="AO68" s="228"/>
      <c r="AP68" s="835"/>
      <c r="AQ68" s="835"/>
      <c r="AR68" s="6"/>
      <c r="AT68" s="4"/>
      <c r="AU68" s="4"/>
      <c r="AV68" s="571"/>
      <c r="AW68" s="571"/>
      <c r="AX68" s="361">
        <v>20</v>
      </c>
      <c r="AY68" s="23">
        <f t="shared" si="21"/>
        <v>17.45</v>
      </c>
      <c r="AZ68" s="50"/>
      <c r="BA68" s="26">
        <f t="shared" si="23"/>
        <v>-0.18333333333333446</v>
      </c>
      <c r="BB68" s="25">
        <f t="shared" si="22"/>
        <v>0.44999999999999929</v>
      </c>
      <c r="BC68" s="25">
        <f>IF(ISBLANK(G23),"",(AVERAGE($AY$49:AY68)))</f>
        <v>17.9925</v>
      </c>
      <c r="BD68" s="13">
        <f t="shared" si="24"/>
        <v>2.4916666666664256E-2</v>
      </c>
      <c r="BE68" s="6"/>
      <c r="BF68" s="556">
        <v>0.25</v>
      </c>
      <c r="BG68" s="556">
        <v>0.5131944444444444</v>
      </c>
      <c r="BH68" s="556">
        <v>0.51111111111111118</v>
      </c>
      <c r="BI68" s="556" t="s">
        <v>233</v>
      </c>
      <c r="BJ68" s="556">
        <v>0.56597222222222221</v>
      </c>
      <c r="BK68" s="54"/>
      <c r="BL68" s="78"/>
    </row>
    <row r="69" spans="1:64" ht="12.75" customHeight="1" x14ac:dyDescent="0.2">
      <c r="A69" s="67"/>
      <c r="B69" s="731" t="s">
        <v>34</v>
      </c>
      <c r="C69" s="732"/>
      <c r="D69" s="732"/>
      <c r="E69" s="583">
        <f>AN100+AN97</f>
        <v>8</v>
      </c>
      <c r="F69" s="85" t="s">
        <v>90</v>
      </c>
      <c r="H69" s="729" t="s">
        <v>31</v>
      </c>
      <c r="I69" s="730"/>
      <c r="J69" s="191"/>
      <c r="K69" s="100">
        <f>IF(ISBLANK(F19),"",AVERAGE(F19:F23))</f>
        <v>12.180000000000001</v>
      </c>
      <c r="L69" s="100">
        <f>IF(ISBLANK(G19),"",AVERAGE(G19:G23))</f>
        <v>20.100000000000001</v>
      </c>
      <c r="M69" s="100">
        <f>IF(ISBLANK(H19),"",AVERAGE(H19:H23))</f>
        <v>15.9</v>
      </c>
      <c r="N69" s="100">
        <f>IF(ISBLANK(G19),"",AVERAGE(I19:I23))</f>
        <v>7.919999999999999</v>
      </c>
      <c r="O69" s="191"/>
      <c r="P69" s="100">
        <f>IF(ISBLANK(F19),"",K69-AVERAGE(F106:F110))</f>
        <v>-0.99777777777777565</v>
      </c>
      <c r="Q69" s="100">
        <f>IF(ISBLANK(G19),"",L69-AVERAGE(G106:G110))</f>
        <v>-2.1421538461538461</v>
      </c>
      <c r="R69" s="100">
        <f>IF(ISBLANK(H19),"",M69-AVERAGE(H106:H110))</f>
        <v>-1.8099658119658084</v>
      </c>
      <c r="S69" s="100">
        <f>IF(ISBLANK(G19),"",N69-AVERAGE(I106:I110))</f>
        <v>-1.1443760683760695</v>
      </c>
      <c r="T69" s="166"/>
      <c r="U69" s="342">
        <f>IF(ISBLANK(M19),"",AVERAGE(M19:M23))</f>
        <v>75</v>
      </c>
      <c r="V69" s="342">
        <f>IF(ISBLANK(P19),"",AVERAGE(R19:R23))</f>
        <v>1016.7</v>
      </c>
      <c r="W69" s="345">
        <f>IF(ISBLANK(U19),"",AVERAGE(U19:U23))</f>
        <v>4.2000000000000011</v>
      </c>
      <c r="X69" s="100">
        <f>IF(ISBLANK(AI19),"",AVERAGE(AI19:AI23))</f>
        <v>11.24</v>
      </c>
      <c r="Y69" s="192"/>
      <c r="Z69" s="100">
        <f>IF(ISBLANK(Z19),"",SUM(Z19:Z23))</f>
        <v>20</v>
      </c>
      <c r="AA69" s="492">
        <f>IF(ISBLANK(Z19),"",Z69/($Z$39/$E$34*5))</f>
        <v>2</v>
      </c>
      <c r="AB69" s="496">
        <f>IF(ISBLANK(Z19),"",Z69/$Z$38)</f>
        <v>0.27397260273972607</v>
      </c>
      <c r="AC69" s="165">
        <f>IF(ISBLANK(AP19),"",SUM(AP19:AP23))</f>
        <v>19.5</v>
      </c>
      <c r="AD69" s="492">
        <f>IF(ISBLANK(AP19),"",AC69/SUM(AS106:AS110))</f>
        <v>0.66926930436154974</v>
      </c>
      <c r="AE69" s="197">
        <f>IF(ISBLANK(AP19),"",AC69/$AP$38)</f>
        <v>0.14275256222547586</v>
      </c>
      <c r="AF69" s="50"/>
      <c r="AK69" s="6"/>
      <c r="AL69" s="7"/>
      <c r="AM69" s="136"/>
      <c r="AN69" s="183" t="s">
        <v>255</v>
      </c>
      <c r="AO69" s="228"/>
      <c r="AP69" s="767" t="s">
        <v>195</v>
      </c>
      <c r="AQ69" s="767"/>
      <c r="AR69" s="6"/>
      <c r="AT69" s="189" t="s">
        <v>85</v>
      </c>
      <c r="AU69" s="189"/>
      <c r="AV69" s="603"/>
      <c r="AW69" s="571"/>
      <c r="AX69" s="361">
        <v>21</v>
      </c>
      <c r="AY69" s="23">
        <f t="shared" si="21"/>
        <v>18.149999999999999</v>
      </c>
      <c r="AZ69" s="50"/>
      <c r="BA69" s="26">
        <f t="shared" si="23"/>
        <v>0.59475694444444471</v>
      </c>
      <c r="BB69" s="25">
        <f t="shared" si="22"/>
        <v>-0.25</v>
      </c>
      <c r="BC69" s="25">
        <f>IF(ISBLANK(G24),"",(AVERAGE($AY$49:AY69)))</f>
        <v>17.999999999999996</v>
      </c>
      <c r="BD69" s="13">
        <f t="shared" si="24"/>
        <v>5.2051917989416552E-2</v>
      </c>
      <c r="BE69" s="6"/>
      <c r="BF69" s="556">
        <v>2.7777777777777776E-2</v>
      </c>
      <c r="BG69" s="556">
        <v>0.73263888888888884</v>
      </c>
      <c r="BH69" s="556">
        <v>0.81805555555555554</v>
      </c>
      <c r="BI69" s="556">
        <v>6.9444444444444434E-2</v>
      </c>
      <c r="BJ69" s="556">
        <v>0.81180555555555556</v>
      </c>
      <c r="BK69" s="54"/>
      <c r="BL69" s="78"/>
    </row>
    <row r="70" spans="1:64" ht="12.75" x14ac:dyDescent="0.2">
      <c r="A70" s="67"/>
      <c r="B70" s="160"/>
      <c r="C70" s="161"/>
      <c r="D70" s="161"/>
      <c r="E70" s="158"/>
      <c r="F70" s="120"/>
      <c r="H70" s="729" t="s">
        <v>32</v>
      </c>
      <c r="I70" s="730"/>
      <c r="J70" s="191"/>
      <c r="K70" s="100">
        <f>IF(ISBLANK(F24),"",AVERAGE(F24:F28))</f>
        <v>13.14</v>
      </c>
      <c r="L70" s="100">
        <f>IF(ISBLANK(G24),"",AVERAGE(G24:G28))</f>
        <v>20.439999999999998</v>
      </c>
      <c r="M70" s="100">
        <f>IF(ISBLANK(H24),"",AVERAGE(H24:H28))</f>
        <v>16.68</v>
      </c>
      <c r="N70" s="100">
        <f>IF(ISBLANK(G24),"",AVERAGE(I24:I28))</f>
        <v>7.3</v>
      </c>
      <c r="O70" s="191"/>
      <c r="P70" s="100">
        <f>IF(ISBLANK(F24),"",K70-AVERAGE(F111:F115))</f>
        <v>0.25212820512820677</v>
      </c>
      <c r="Q70" s="100">
        <f>IF(ISBLANK(G24),"",L70-AVERAGE(G111:G115))</f>
        <v>-1.4581250000000026</v>
      </c>
      <c r="R70" s="100">
        <f>IF(ISBLANK(H24),"",M70-AVERAGE(H111:H115))</f>
        <v>-0.71299839743589644</v>
      </c>
      <c r="S70" s="100">
        <f>IF(ISBLANK(G24),"",N70-AVERAGE(I111:I115))</f>
        <v>-1.7102532051282049</v>
      </c>
      <c r="T70" s="166"/>
      <c r="U70" s="342">
        <f>IF(ISBLANK(M24),"",AVERAGE(M24:M28))</f>
        <v>74.8</v>
      </c>
      <c r="V70" s="342">
        <f>IF(ISBLANK(P24),"",AVERAGE(R24:R28))</f>
        <v>1014.2</v>
      </c>
      <c r="W70" s="345">
        <f>IF(ISBLANK(U24),"",AVERAGE(U24:U28))</f>
        <v>3.7800000000000002</v>
      </c>
      <c r="X70" s="100">
        <f>IF(ISBLANK(AI24),"",AVERAGE(AI24:AI28))</f>
        <v>11.8</v>
      </c>
      <c r="Y70" s="192"/>
      <c r="Z70" s="100">
        <f>IF(ISBLANK(Z24),"",SUM(Z24:Z28))</f>
        <v>19.600000000000001</v>
      </c>
      <c r="AA70" s="492">
        <f>IF(ISBLANK(Z24),"",Z70/($Z$39/$E$34*5))</f>
        <v>1.9600000000000002</v>
      </c>
      <c r="AB70" s="496">
        <f>IF(ISBLANK(Z24),"",Z70/$Z$38)</f>
        <v>0.26849315068493157</v>
      </c>
      <c r="AC70" s="165">
        <f>IF(ISBLANK(AP24),"",SUM(AP24:AP28))</f>
        <v>23</v>
      </c>
      <c r="AD70" s="492">
        <f>IF(ISBLANK(AP24),"",AC70/SUM(AS111:AS115))</f>
        <v>0.80727755301589665</v>
      </c>
      <c r="AE70" s="197">
        <f>IF(ISBLANK(AP24),"",AC70/$AP$38)</f>
        <v>0.16837481698389459</v>
      </c>
      <c r="AF70" s="50"/>
      <c r="AK70" s="6"/>
      <c r="AL70" s="7"/>
      <c r="AM70" s="149"/>
      <c r="AN70" s="5">
        <f>M53-AN67</f>
        <v>12</v>
      </c>
      <c r="AO70" s="88"/>
      <c r="AP70" s="767"/>
      <c r="AQ70" s="767"/>
      <c r="AR70" s="6"/>
      <c r="AT70" s="5">
        <f>M53-SUM(BI91:BI121)</f>
        <v>16</v>
      </c>
      <c r="AU70" s="5"/>
      <c r="AV70" s="571"/>
      <c r="AW70" s="571"/>
      <c r="AX70" s="361">
        <v>22</v>
      </c>
      <c r="AY70" s="23">
        <f t="shared" si="21"/>
        <v>16.45</v>
      </c>
      <c r="AZ70" s="50"/>
      <c r="BA70" s="26">
        <f t="shared" si="23"/>
        <v>-1.02715277777778</v>
      </c>
      <c r="BB70" s="25">
        <f t="shared" si="22"/>
        <v>-0.94999999999999929</v>
      </c>
      <c r="BC70" s="25">
        <f>IF(ISBLANK(G25),"",(AVERAGE($AY$49:AY70)))</f>
        <v>17.929545454545451</v>
      </c>
      <c r="BD70" s="13">
        <f t="shared" si="24"/>
        <v>2.997159090906365E-3</v>
      </c>
      <c r="BE70" s="6"/>
      <c r="BF70" s="556">
        <v>0.23263888888888887</v>
      </c>
      <c r="BG70" s="556">
        <v>0.58333333333333337</v>
      </c>
      <c r="BH70" s="556">
        <v>0.78402777777777777</v>
      </c>
      <c r="BI70" s="556">
        <v>0.27708333333333335</v>
      </c>
      <c r="BJ70" s="556">
        <v>0.72361111111111109</v>
      </c>
      <c r="BK70" s="54"/>
      <c r="BL70" s="78"/>
    </row>
    <row r="71" spans="1:64" ht="13.5" customHeight="1" thickBot="1" x14ac:dyDescent="0.25">
      <c r="A71" s="67"/>
      <c r="B71" s="748" t="s">
        <v>7</v>
      </c>
      <c r="C71" s="749"/>
      <c r="D71" s="749"/>
      <c r="E71" s="221" t="s">
        <v>15</v>
      </c>
      <c r="F71" s="120"/>
      <c r="G71" s="575" t="s">
        <v>340</v>
      </c>
      <c r="H71" s="750" t="s">
        <v>43</v>
      </c>
      <c r="I71" s="751"/>
      <c r="J71" s="200"/>
      <c r="K71" s="201">
        <f>IF(ISBLANK(F29),"",AVERAGE(F29:F34))</f>
        <v>11.700000000000001</v>
      </c>
      <c r="L71" s="201">
        <f>IF(ISBLANK(G29),"",AVERAGE(G29:G34))</f>
        <v>17.516666666666669</v>
      </c>
      <c r="M71" s="201">
        <f>IF(ISBLANK(H29),"",AVERAGE(H29:H34))</f>
        <v>14.5</v>
      </c>
      <c r="N71" s="201">
        <f>IF(ISBLANK(G29),"",AVERAGE(I29:I34))</f>
        <v>5.8166666666666664</v>
      </c>
      <c r="O71" s="200"/>
      <c r="P71" s="201">
        <f>IF(ISBLANK(F29),"",K71-AVERAGE(F116:F121))</f>
        <v>-0.78326923076922839</v>
      </c>
      <c r="Q71" s="201">
        <f>IF(ISBLANK(G29),"",L71-AVERAGE(G116:G121))</f>
        <v>-3.8280208333333334</v>
      </c>
      <c r="R71" s="201">
        <f>IF(ISBLANK(H29),"",M71-AVERAGE(H116:H121))</f>
        <v>-2.4139783653846187</v>
      </c>
      <c r="S71" s="201">
        <f>IF(ISBLANK(G29),"",N71-AVERAGE(I116:I121))</f>
        <v>-3.0447516025641033</v>
      </c>
      <c r="T71" s="202"/>
      <c r="U71" s="344">
        <f>IF(ISBLANK(M29),"",AVERAGE(M29:M34))</f>
        <v>74.166666666666671</v>
      </c>
      <c r="V71" s="344">
        <f>IF(ISBLANK(P29),"",AVERAGE(R29:R34))</f>
        <v>1013.5833333333334</v>
      </c>
      <c r="W71" s="347">
        <f>IF(ISBLANK(U29),"",AVERAGE(U29:U34))</f>
        <v>3.4000000000000004</v>
      </c>
      <c r="X71" s="201">
        <f>IF(ISBLANK(AI29),"",AVERAGE(AI29:AI34))</f>
        <v>9.7166666666666668</v>
      </c>
      <c r="Y71" s="203"/>
      <c r="Z71" s="201">
        <f>IF(ISBLANK(Z29),"",SUM(Z29:Z34))</f>
        <v>9.6</v>
      </c>
      <c r="AA71" s="494">
        <f>IF(ISBLANK(Z29),"",Z71/($Z$39/$E$34*6))</f>
        <v>0.79999999999999993</v>
      </c>
      <c r="AB71" s="498">
        <f>IF(ISBLANK(Z29),"",Z71/$Z$38)</f>
        <v>0.13150684931506851</v>
      </c>
      <c r="AC71" s="255">
        <f>IF(ISBLANK(AP29),"",SUM(AP29:AP34))</f>
        <v>17.100000000000001</v>
      </c>
      <c r="AD71" s="494">
        <f>IF(ISBLANK(AP29),"",AC71/SUM(AS116:AS121))</f>
        <v>0.51327732838698892</v>
      </c>
      <c r="AE71" s="256">
        <f>IF(ISBLANK(AP29),"",AC71/$AP$38)</f>
        <v>0.12518301610541729</v>
      </c>
      <c r="AF71" s="50"/>
      <c r="AG71" s="739" t="s">
        <v>125</v>
      </c>
      <c r="AH71" s="739"/>
      <c r="AI71" s="739"/>
      <c r="AJ71" s="739"/>
      <c r="AK71" s="315"/>
      <c r="AL71" s="7"/>
      <c r="AM71" s="136"/>
      <c r="AO71" s="88"/>
      <c r="AP71" s="767"/>
      <c r="AQ71" s="767"/>
      <c r="AR71" s="6"/>
      <c r="AT71" s="52"/>
      <c r="AU71" s="52"/>
      <c r="AV71" s="571"/>
      <c r="AW71" s="571"/>
      <c r="AX71" s="361">
        <v>23</v>
      </c>
      <c r="AY71" s="23">
        <f t="shared" si="21"/>
        <v>15.049999999999999</v>
      </c>
      <c r="AZ71" s="50"/>
      <c r="BA71" s="26">
        <f t="shared" si="23"/>
        <v>-2.3490625000000014</v>
      </c>
      <c r="BB71" s="25">
        <f t="shared" si="22"/>
        <v>4.9999999999998934E-2</v>
      </c>
      <c r="BC71" s="25">
        <f>IF(ISBLANK(G26),"",(AVERAGE($AY$49:AY71)))</f>
        <v>17.804347826086953</v>
      </c>
      <c r="BD71" s="13">
        <f t="shared" si="24"/>
        <v>-9.926630434783057E-2</v>
      </c>
      <c r="BE71" s="6"/>
      <c r="BF71" s="556">
        <v>0.4381944444444445</v>
      </c>
      <c r="BG71" s="556">
        <v>0.61805555555555558</v>
      </c>
      <c r="BH71" s="556" t="s">
        <v>274</v>
      </c>
      <c r="BI71" s="556" t="s">
        <v>233</v>
      </c>
      <c r="BJ71" s="556">
        <v>8.9583333333333334E-2</v>
      </c>
      <c r="BK71" s="54"/>
      <c r="BL71" s="78"/>
    </row>
    <row r="72" spans="1:64" ht="12.75" customHeight="1" x14ac:dyDescent="0.2">
      <c r="A72" s="67"/>
      <c r="B72" s="742" t="s">
        <v>33</v>
      </c>
      <c r="C72" s="743"/>
      <c r="D72" s="744"/>
      <c r="E72" s="89">
        <f>IF(Z38=0,"",CORREL(Z4:Z34,R4:R34))</f>
        <v>-0.23110388050561698</v>
      </c>
      <c r="F72" s="576">
        <f>IF(Z38=0,"",ABS(E72))</f>
        <v>0.23110388050561698</v>
      </c>
      <c r="G72" s="574">
        <f>IF(Z38=0,"",IF(AQ86&lt;0.5,"n/a",CORREL(Y4:Y34,R4:R34)))</f>
        <v>-0.39178032745331703</v>
      </c>
      <c r="H72" s="102"/>
      <c r="I72" s="21"/>
      <c r="J72" s="20"/>
      <c r="K72" s="21"/>
      <c r="O72" s="20"/>
      <c r="Q72" s="122"/>
      <c r="S72" s="100"/>
      <c r="T72" s="166"/>
      <c r="W72" s="24"/>
      <c r="X72" s="24"/>
      <c r="Y72" s="192"/>
      <c r="Z72" s="24"/>
      <c r="AA72" s="24"/>
      <c r="AB72" s="24"/>
      <c r="AC72" s="24"/>
      <c r="AF72" s="6"/>
      <c r="AH72" s="713">
        <f t="array" ref="AH72">MAX(FREQUENCY(IF(BH91:BH121=1,ROW(91:121)),IF(BH91:BH121&lt;&gt;1,ROW(91:121))))</f>
        <v>3</v>
      </c>
      <c r="AI72" s="713"/>
      <c r="AJ72" s="4"/>
      <c r="AK72" s="68"/>
      <c r="AL72" s="474"/>
      <c r="AM72" s="136"/>
      <c r="AN72" s="185" t="s">
        <v>123</v>
      </c>
      <c r="AO72" s="409"/>
      <c r="AP72" s="767"/>
      <c r="AQ72" s="767"/>
      <c r="AR72" s="6"/>
      <c r="AT72" s="307" t="s">
        <v>87</v>
      </c>
      <c r="AU72" s="307"/>
      <c r="AV72" s="571"/>
      <c r="AW72" s="571"/>
      <c r="AX72" s="361">
        <v>24</v>
      </c>
      <c r="AY72" s="23">
        <f t="shared" si="21"/>
        <v>17.45</v>
      </c>
      <c r="AZ72" s="50"/>
      <c r="BA72" s="26">
        <f t="shared" si="23"/>
        <v>0.13913461538461558</v>
      </c>
      <c r="BB72" s="25">
        <f t="shared" si="22"/>
        <v>1.0500000000000007</v>
      </c>
      <c r="BC72" s="25">
        <f>IF(ISBLANK(G27),"",(AVERAGE($AY$49:AY72)))</f>
        <v>17.789583333333329</v>
      </c>
      <c r="BD72" s="13">
        <f t="shared" si="24"/>
        <v>-8.9332932692310685E-2</v>
      </c>
      <c r="BE72" s="6"/>
      <c r="BF72" s="556">
        <v>0.22916666666666666</v>
      </c>
      <c r="BG72" s="556">
        <v>0.71527777777777779</v>
      </c>
      <c r="BH72" s="556">
        <v>0.69791666666666663</v>
      </c>
      <c r="BI72" s="556">
        <v>0.36805555555555558</v>
      </c>
      <c r="BJ72" s="556">
        <v>0.86736111111111114</v>
      </c>
      <c r="BK72" s="54"/>
      <c r="BL72" s="78"/>
    </row>
    <row r="73" spans="1:64" ht="12.75" customHeight="1" x14ac:dyDescent="0.2">
      <c r="A73" s="67"/>
      <c r="B73" s="742" t="s">
        <v>61</v>
      </c>
      <c r="C73" s="743"/>
      <c r="D73" s="744"/>
      <c r="E73" s="89">
        <f>IF(Z38=0,"",CORREL(Z4:Z34,H4:H34))</f>
        <v>-0.3133634061267821</v>
      </c>
      <c r="F73" s="576">
        <f>IF(Z38=0,"",ABS(E73))</f>
        <v>0.3133634061267821</v>
      </c>
      <c r="H73" s="102"/>
      <c r="J73" s="20"/>
      <c r="K73" s="231"/>
      <c r="L73" s="4" t="s">
        <v>352</v>
      </c>
      <c r="M73" s="4" t="s">
        <v>10</v>
      </c>
      <c r="N73" s="122"/>
      <c r="O73" s="20"/>
      <c r="Q73" s="753" t="s">
        <v>103</v>
      </c>
      <c r="R73" s="754"/>
      <c r="S73" s="754"/>
      <c r="T73" s="754"/>
      <c r="U73" s="754"/>
      <c r="V73" s="754"/>
      <c r="W73" s="754"/>
      <c r="X73" s="754"/>
      <c r="Y73" s="754"/>
      <c r="Z73" s="754"/>
      <c r="AA73" s="754"/>
      <c r="AB73" s="755"/>
      <c r="AC73" s="303"/>
      <c r="AD73" s="800" t="s">
        <v>270</v>
      </c>
      <c r="AE73" s="800"/>
      <c r="AF73" s="6"/>
      <c r="AG73" s="650"/>
      <c r="AH73" s="650"/>
      <c r="AI73" s="650"/>
      <c r="AJ73" s="650"/>
      <c r="AK73" s="6"/>
      <c r="AL73" s="477"/>
      <c r="AM73" s="136"/>
      <c r="AN73" s="138">
        <f>IF(M53=0,"",AN67/M53)</f>
        <v>0.61290322580645162</v>
      </c>
      <c r="AO73" s="409"/>
      <c r="AP73" s="783" t="s">
        <v>269</v>
      </c>
      <c r="AQ73" s="661"/>
      <c r="AR73" s="6"/>
      <c r="AT73" s="587">
        <f>IF(AT67=0,"",AT67/M53)</f>
        <v>0.4838709677419355</v>
      </c>
      <c r="AU73" s="587"/>
      <c r="AV73" s="571"/>
      <c r="AW73" s="571"/>
      <c r="AX73" s="361">
        <v>25</v>
      </c>
      <c r="AY73" s="23">
        <f t="shared" si="21"/>
        <v>16.850000000000001</v>
      </c>
      <c r="AZ73" s="50"/>
      <c r="BA73" s="26">
        <f t="shared" si="23"/>
        <v>-0.37266826923076835</v>
      </c>
      <c r="BB73" s="25">
        <f t="shared" si="22"/>
        <v>0.65000000000000213</v>
      </c>
      <c r="BC73" s="25">
        <f>IF(ISBLANK(G28),"",(AVERAGE($AY$49:AY73)))</f>
        <v>17.751999999999999</v>
      </c>
      <c r="BD73" s="13">
        <f t="shared" si="24"/>
        <v>-0.10066634615384995</v>
      </c>
      <c r="BE73" s="6"/>
      <c r="BF73" s="556">
        <v>0.125</v>
      </c>
      <c r="BG73" s="556">
        <v>0.72916666666666663</v>
      </c>
      <c r="BH73" s="556">
        <v>0.72916666666666663</v>
      </c>
      <c r="BI73" s="556" t="s">
        <v>656</v>
      </c>
      <c r="BJ73" s="556">
        <v>0.61319444444444449</v>
      </c>
      <c r="BK73" s="54"/>
      <c r="BL73" s="78"/>
    </row>
    <row r="74" spans="1:64" ht="12.75" customHeight="1" x14ac:dyDescent="0.2">
      <c r="A74" s="67"/>
      <c r="B74" s="742" t="s">
        <v>60</v>
      </c>
      <c r="C74" s="743"/>
      <c r="D74" s="744"/>
      <c r="E74" s="89">
        <f>IF(Z38=0,"",CORREL(Z4:Z34,G4:G34))</f>
        <v>-0.39231975438865357</v>
      </c>
      <c r="F74" s="576">
        <f>IF(Z38=0,"",ABS(E74))</f>
        <v>0.39231975438865357</v>
      </c>
      <c r="H74" s="747" t="s">
        <v>2</v>
      </c>
      <c r="I74" s="237" t="s">
        <v>203</v>
      </c>
      <c r="J74" s="245"/>
      <c r="K74" s="106">
        <f>F39</f>
        <v>13.2</v>
      </c>
      <c r="L74" s="108" t="str">
        <f>IF(ISBLANK(F4),"",(IF(M54=0,"n/a",(E34*K74-M53*F38)/M54)))</f>
        <v>n/a</v>
      </c>
      <c r="M74" s="106" t="str">
        <f>IF(ISBLANK(F4),"",IF(M54&gt;0,L74-F39,"n/a"))</f>
        <v>n/a</v>
      </c>
      <c r="N74" s="246" t="s">
        <v>142</v>
      </c>
      <c r="O74" s="67"/>
      <c r="Q74" s="733" t="s">
        <v>658</v>
      </c>
      <c r="R74" s="734"/>
      <c r="S74" s="734"/>
      <c r="T74" s="734"/>
      <c r="U74" s="734"/>
      <c r="V74" s="734"/>
      <c r="W74" s="734"/>
      <c r="X74" s="734"/>
      <c r="Y74" s="734"/>
      <c r="Z74" s="734"/>
      <c r="AA74" s="734"/>
      <c r="AB74" s="735"/>
      <c r="AC74" s="437"/>
      <c r="AD74" s="1" t="s">
        <v>238</v>
      </c>
      <c r="AE74" s="1" t="s">
        <v>244</v>
      </c>
      <c r="AF74" s="6"/>
      <c r="AG74" s="780" t="s">
        <v>130</v>
      </c>
      <c r="AH74" s="780"/>
      <c r="AI74" s="780"/>
      <c r="AJ74" s="780"/>
      <c r="AK74" s="316"/>
      <c r="AL74" s="477"/>
      <c r="AM74" s="136"/>
      <c r="AO74" s="88"/>
      <c r="AP74" s="661"/>
      <c r="AQ74" s="661"/>
      <c r="AR74" s="6"/>
      <c r="AV74" s="571"/>
      <c r="AW74" s="571"/>
      <c r="AX74" s="361">
        <v>26</v>
      </c>
      <c r="AY74" s="23">
        <f t="shared" si="21"/>
        <v>14</v>
      </c>
      <c r="AZ74" s="50"/>
      <c r="BA74" s="26">
        <f t="shared" si="23"/>
        <v>-3.134471153846154</v>
      </c>
      <c r="BB74" s="25">
        <f t="shared" si="22"/>
        <v>-0.19999999999999929</v>
      </c>
      <c r="BC74" s="25">
        <f>IF(ISBLANK(G29),"",(AVERAGE($AY$49:AY74)))</f>
        <v>17.607692307692307</v>
      </c>
      <c r="BD74" s="13">
        <f t="shared" si="24"/>
        <v>-0.2173511464497091</v>
      </c>
      <c r="BE74" s="6"/>
      <c r="BF74" s="556">
        <v>0.26041666666666669</v>
      </c>
      <c r="BG74" s="556">
        <v>0.69444444444444453</v>
      </c>
      <c r="BH74" s="556" t="s">
        <v>274</v>
      </c>
      <c r="BI74" s="556" t="s">
        <v>233</v>
      </c>
      <c r="BJ74" s="556">
        <v>0.84791666666666676</v>
      </c>
      <c r="BK74" s="54"/>
      <c r="BL74" s="78"/>
    </row>
    <row r="75" spans="1:64" ht="12.75" customHeight="1" x14ac:dyDescent="0.2">
      <c r="A75" s="67"/>
      <c r="B75" s="742" t="s">
        <v>64</v>
      </c>
      <c r="C75" s="743"/>
      <c r="D75" s="744"/>
      <c r="E75" s="89">
        <f>IF(Z38=0,"",CORREL(Z4:Z34,I4:I34))</f>
        <v>-0.46774923665168189</v>
      </c>
      <c r="F75" s="576">
        <f>IF(Z38=0,"",ABS(E75))</f>
        <v>0.46774923665168189</v>
      </c>
      <c r="H75" s="746"/>
      <c r="I75" s="238" t="s">
        <v>149</v>
      </c>
      <c r="J75" s="191"/>
      <c r="K75" s="249">
        <f>F39</f>
        <v>13.2</v>
      </c>
      <c r="L75" s="91">
        <f>IF(ISBLANK(F4),"",(M54*K75+M53*F38)/E34)</f>
        <v>13.235483870967741</v>
      </c>
      <c r="M75" s="232">
        <f>IF(ISBLANK(F4),"",L75-F39)</f>
        <v>3.5483870967741638E-2</v>
      </c>
      <c r="N75" s="248" t="s">
        <v>148</v>
      </c>
      <c r="O75" s="67"/>
      <c r="Q75" s="736"/>
      <c r="R75" s="737"/>
      <c r="S75" s="737"/>
      <c r="T75" s="737"/>
      <c r="U75" s="737"/>
      <c r="V75" s="737"/>
      <c r="W75" s="737"/>
      <c r="X75" s="737"/>
      <c r="Y75" s="737"/>
      <c r="Z75" s="737"/>
      <c r="AA75" s="737"/>
      <c r="AB75" s="738"/>
      <c r="AC75" s="437"/>
      <c r="AD75" s="1" t="s">
        <v>240</v>
      </c>
      <c r="AE75" s="1" t="s">
        <v>245</v>
      </c>
      <c r="AF75" s="6"/>
      <c r="AH75" s="781">
        <f t="array" ref="AH75">MAX(FREQUENCY(IF(AY91:AY121=1,ROW(91:121)),IF(AY91:AY121&lt;&gt;1,ROW(91:121))))</f>
        <v>4</v>
      </c>
      <c r="AI75" s="781"/>
      <c r="AJ75" s="5"/>
      <c r="AK75" s="84"/>
      <c r="AL75" s="7"/>
      <c r="AM75" s="136"/>
      <c r="AN75" s="184" t="s">
        <v>293</v>
      </c>
      <c r="AO75" s="88"/>
      <c r="AP75" s="661"/>
      <c r="AQ75" s="661"/>
      <c r="AR75" s="6"/>
      <c r="AT75" s="589" t="s">
        <v>84</v>
      </c>
      <c r="AU75" s="589"/>
      <c r="AV75" s="571"/>
      <c r="AW75" s="571"/>
      <c r="AX75" s="361">
        <v>27</v>
      </c>
      <c r="AY75" s="23">
        <f t="shared" si="21"/>
        <v>14.549999999999999</v>
      </c>
      <c r="AZ75" s="50"/>
      <c r="BA75" s="26">
        <f t="shared" si="23"/>
        <v>-2.4962740384615394</v>
      </c>
      <c r="BB75" s="25">
        <f t="shared" si="22"/>
        <v>0.34999999999999964</v>
      </c>
      <c r="BC75" s="25">
        <f>IF(ISBLANK(G30),"",(AVERAGE($AY$49:AY75)))</f>
        <v>17.494444444444444</v>
      </c>
      <c r="BD75" s="13">
        <f t="shared" si="24"/>
        <v>-0.30175569800570212</v>
      </c>
      <c r="BE75" s="6"/>
      <c r="BF75" s="556" t="s">
        <v>657</v>
      </c>
      <c r="BG75" s="556">
        <v>0.50347222222222221</v>
      </c>
      <c r="BH75" s="556">
        <v>0.64375000000000004</v>
      </c>
      <c r="BI75" s="556">
        <v>0.125</v>
      </c>
      <c r="BJ75" s="556">
        <v>0.63263888888888886</v>
      </c>
      <c r="BK75" s="54"/>
      <c r="BL75" s="78"/>
    </row>
    <row r="76" spans="1:64" ht="12.75" customHeight="1" x14ac:dyDescent="0.2">
      <c r="A76" s="67"/>
      <c r="B76" s="742" t="s">
        <v>62</v>
      </c>
      <c r="C76" s="743"/>
      <c r="D76" s="744"/>
      <c r="E76" s="89">
        <f>IF(Z38=0,"",CORREL(Z4:Z34,M4:M34))</f>
        <v>0.64495339846313782</v>
      </c>
      <c r="F76" s="576">
        <f>IF(Z38=0,"",ABS(E76))</f>
        <v>0.64495339846313782</v>
      </c>
      <c r="H76" s="745" t="s">
        <v>3</v>
      </c>
      <c r="I76" s="237" t="s">
        <v>203</v>
      </c>
      <c r="J76" s="191"/>
      <c r="K76" s="90">
        <f>G39</f>
        <v>22.2</v>
      </c>
      <c r="L76" s="38" t="str">
        <f>IF(ISBLANK(G4),"",IF(M54&gt;0,(E34*K76-G38*M53)/M54,"n/a"))</f>
        <v>n/a</v>
      </c>
      <c r="M76" s="90" t="str">
        <f>IF(ISBLANK(G4),"",IF(M54&gt;0,L76-G39,"n/a"))</f>
        <v>n/a</v>
      </c>
      <c r="N76" s="247" t="s">
        <v>142</v>
      </c>
      <c r="O76" s="67"/>
      <c r="Q76" s="851" t="s">
        <v>659</v>
      </c>
      <c r="R76" s="852"/>
      <c r="S76" s="852"/>
      <c r="T76" s="852"/>
      <c r="U76" s="852"/>
      <c r="V76" s="852"/>
      <c r="W76" s="852"/>
      <c r="X76" s="852"/>
      <c r="Y76" s="852"/>
      <c r="Z76" s="852"/>
      <c r="AA76" s="852"/>
      <c r="AB76" s="853"/>
      <c r="AC76" s="437"/>
      <c r="AD76" s="1" t="s">
        <v>241</v>
      </c>
      <c r="AE76" s="1" t="s">
        <v>246</v>
      </c>
      <c r="AF76" s="6"/>
      <c r="AK76" s="6"/>
      <c r="AM76" s="136"/>
      <c r="AN76" s="5">
        <f>COUNTIF(AP4:AP34, "0")</f>
        <v>3</v>
      </c>
      <c r="AO76" s="88"/>
      <c r="AP76" s="782" t="s">
        <v>272</v>
      </c>
      <c r="AQ76" s="782"/>
      <c r="AR76" s="6"/>
      <c r="AT76" s="188">
        <f>AN94</f>
        <v>5</v>
      </c>
      <c r="AU76" s="188"/>
      <c r="AV76" s="571"/>
      <c r="AW76" s="571"/>
      <c r="AX76" s="361">
        <v>28</v>
      </c>
      <c r="AY76" s="23">
        <f t="shared" si="21"/>
        <v>15.899999999999999</v>
      </c>
      <c r="AZ76" s="50"/>
      <c r="BA76" s="26">
        <f t="shared" si="23"/>
        <v>-1.0580769230769231</v>
      </c>
      <c r="BB76" s="25">
        <f t="shared" si="22"/>
        <v>0.69999999999999929</v>
      </c>
      <c r="BC76" s="25">
        <f>IF(ISBLANK(G31),"",(AVERAGE($AY$49:AY76)))</f>
        <v>17.437499999999996</v>
      </c>
      <c r="BD76" s="13">
        <f t="shared" si="24"/>
        <v>-0.32876717032967573</v>
      </c>
      <c r="BE76" s="6"/>
      <c r="BF76" s="556">
        <v>0.15277777777777776</v>
      </c>
      <c r="BG76" s="556">
        <v>0.62847222222222221</v>
      </c>
      <c r="BH76" s="556">
        <v>0.62152777777777779</v>
      </c>
      <c r="BI76" s="556">
        <v>0.33333333333333331</v>
      </c>
      <c r="BJ76" s="556">
        <v>0.58194444444444449</v>
      </c>
      <c r="BK76" s="54"/>
      <c r="BL76" s="78"/>
    </row>
    <row r="77" spans="1:64" ht="12.75" customHeight="1" x14ac:dyDescent="0.2">
      <c r="A77" s="67"/>
      <c r="B77" s="742" t="s">
        <v>95</v>
      </c>
      <c r="C77" s="743"/>
      <c r="D77" s="744"/>
      <c r="E77" s="89">
        <f>IF(Z38=0,"",CORREL(Z4:Z34,L4:L34))</f>
        <v>0.44285946086838107</v>
      </c>
      <c r="F77" s="576">
        <f>IF(Z38=0,"",ABS(E77))</f>
        <v>0.44285946086838107</v>
      </c>
      <c r="H77" s="746"/>
      <c r="I77" s="238" t="s">
        <v>149</v>
      </c>
      <c r="J77" s="191"/>
      <c r="K77" s="249">
        <f>G39</f>
        <v>22.2</v>
      </c>
      <c r="L77" s="91">
        <f>IF(ISBLANK(G4),"",(M54*K77+M53*G38)/E34)</f>
        <v>21.051612903225806</v>
      </c>
      <c r="M77" s="233">
        <f>IF(ISBLANK(G4),"",L77-G39)</f>
        <v>-1.1483870967741936</v>
      </c>
      <c r="N77" s="248" t="s">
        <v>148</v>
      </c>
      <c r="O77" s="67"/>
      <c r="Q77" s="854"/>
      <c r="R77" s="855"/>
      <c r="S77" s="855"/>
      <c r="T77" s="855"/>
      <c r="U77" s="855"/>
      <c r="V77" s="855"/>
      <c r="W77" s="855"/>
      <c r="X77" s="855"/>
      <c r="Y77" s="855"/>
      <c r="Z77" s="855"/>
      <c r="AA77" s="855"/>
      <c r="AB77" s="856"/>
      <c r="AC77" s="437"/>
      <c r="AD77" s="1" t="s">
        <v>242</v>
      </c>
      <c r="AE77" s="1" t="s">
        <v>247</v>
      </c>
      <c r="AF77" s="6"/>
      <c r="AK77" s="6"/>
      <c r="AM77" s="136"/>
      <c r="AN77" s="105"/>
      <c r="AO77" s="410"/>
      <c r="AP77" s="782"/>
      <c r="AQ77" s="782"/>
      <c r="AR77" s="6"/>
      <c r="AT77" s="21"/>
      <c r="AU77" s="21"/>
      <c r="AV77" s="571"/>
      <c r="AW77" s="571"/>
      <c r="AX77" s="361">
        <v>29</v>
      </c>
      <c r="AY77" s="23">
        <f t="shared" si="21"/>
        <v>13.600000000000001</v>
      </c>
      <c r="AZ77" s="50"/>
      <c r="BA77" s="26">
        <f t="shared" si="23"/>
        <v>-3.2698798076923064</v>
      </c>
      <c r="BB77" s="25">
        <f t="shared" si="22"/>
        <v>-0.49999999999999822</v>
      </c>
      <c r="BC77" s="25">
        <f>IF(ISBLANK(G32),"",(AVERAGE($AY$49:AY77)))</f>
        <v>17.305172413793102</v>
      </c>
      <c r="BD77" s="13">
        <f t="shared" si="24"/>
        <v>-0.43018484748010977</v>
      </c>
      <c r="BE77" s="6"/>
      <c r="BF77" s="556">
        <v>0.28819444444444448</v>
      </c>
      <c r="BG77" s="556">
        <v>0.54583333333333328</v>
      </c>
      <c r="BH77" s="556">
        <v>0.56180555555555556</v>
      </c>
      <c r="BI77" s="556">
        <v>0.30277777777777776</v>
      </c>
      <c r="BJ77" s="556">
        <v>0.48541666666666666</v>
      </c>
      <c r="BK77" s="54"/>
      <c r="BL77" s="78"/>
    </row>
    <row r="78" spans="1:64" ht="12.75" customHeight="1" x14ac:dyDescent="0.2">
      <c r="A78" s="67"/>
      <c r="B78" s="742" t="s">
        <v>63</v>
      </c>
      <c r="C78" s="743"/>
      <c r="D78" s="744"/>
      <c r="E78" s="89">
        <f>IF(Z38=0,"",CORREL(Z4:Z34,N4:N34))</f>
        <v>-0.31883967616579023</v>
      </c>
      <c r="F78" s="576">
        <f>IF(Z38=0,"",ABS(E78))</f>
        <v>0.31883967616579023</v>
      </c>
      <c r="H78" s="745" t="s">
        <v>4</v>
      </c>
      <c r="I78" s="237" t="s">
        <v>203</v>
      </c>
      <c r="J78" s="191"/>
      <c r="K78" s="90">
        <f>AY81</f>
        <v>17.7</v>
      </c>
      <c r="L78" s="38" t="str">
        <f>IF(ISBLANK(F4),"",IF(M54&gt;0,(E34*K78-AY80*M53)/M54,"n/a"))</f>
        <v>n/a</v>
      </c>
      <c r="M78" s="90" t="str">
        <f>IF(ISBLANK(F4),"",IF(M54&gt;0,L78-AY81,"n/a"))</f>
        <v>n/a</v>
      </c>
      <c r="N78" s="247" t="s">
        <v>142</v>
      </c>
      <c r="O78" s="67"/>
      <c r="Q78" s="787"/>
      <c r="R78" s="788"/>
      <c r="S78" s="788"/>
      <c r="T78" s="788"/>
      <c r="U78" s="788"/>
      <c r="V78" s="788"/>
      <c r="W78" s="788"/>
      <c r="X78" s="788"/>
      <c r="Y78" s="788"/>
      <c r="Z78" s="788"/>
      <c r="AA78" s="788"/>
      <c r="AB78" s="789"/>
      <c r="AC78" s="437"/>
      <c r="AD78" s="1" t="s">
        <v>243</v>
      </c>
      <c r="AE78" s="1" t="s">
        <v>248</v>
      </c>
      <c r="AF78" s="6"/>
      <c r="AG78" s="804" t="s">
        <v>273</v>
      </c>
      <c r="AH78" s="804"/>
      <c r="AI78" s="804"/>
      <c r="AJ78" s="804"/>
      <c r="AK78" s="317"/>
      <c r="AL78" s="308"/>
      <c r="AM78" s="136"/>
      <c r="AN78" s="230" t="s">
        <v>175</v>
      </c>
      <c r="AO78" s="88"/>
      <c r="AP78" s="782"/>
      <c r="AQ78" s="782"/>
      <c r="AR78" s="6"/>
      <c r="AT78" s="189" t="s">
        <v>83</v>
      </c>
      <c r="AU78" s="189"/>
      <c r="AV78" s="603"/>
      <c r="AW78" s="571"/>
      <c r="AX78" s="361">
        <v>30</v>
      </c>
      <c r="AY78" s="23">
        <f t="shared" si="21"/>
        <v>14.35</v>
      </c>
      <c r="AZ78" s="50"/>
      <c r="BA78" s="26">
        <f t="shared" si="23"/>
        <v>-2.4316826923076933</v>
      </c>
      <c r="BB78" s="38">
        <f t="shared" si="22"/>
        <v>4.9999999999998934E-2</v>
      </c>
      <c r="BC78" s="38">
        <f>IF(ISBLANK(G33),"",(AVERAGE($AY$49:AY78)))</f>
        <v>17.206666666666663</v>
      </c>
      <c r="BD78" s="13">
        <f t="shared" si="24"/>
        <v>-0.49690144230769651</v>
      </c>
      <c r="BE78" s="6"/>
      <c r="BF78" s="556">
        <v>0.24861111111111112</v>
      </c>
      <c r="BG78" s="556">
        <v>0.67013888888888884</v>
      </c>
      <c r="BH78" s="556">
        <v>0.67152777777777783</v>
      </c>
      <c r="BI78" s="556">
        <v>0.3430555555555555</v>
      </c>
      <c r="BJ78" s="556">
        <v>9.930555555555555E-2</v>
      </c>
      <c r="BK78" s="54"/>
      <c r="BL78" s="78"/>
    </row>
    <row r="79" spans="1:64" ht="12.75" customHeight="1" x14ac:dyDescent="0.2">
      <c r="A79" s="67"/>
      <c r="B79" s="742" t="s">
        <v>76</v>
      </c>
      <c r="C79" s="743"/>
      <c r="D79" s="744"/>
      <c r="E79" s="89">
        <f>IF(Z38=0,"",CORREL(Z4:Z34,F4:F34))</f>
        <v>6.31338510637212E-2</v>
      </c>
      <c r="F79" s="576">
        <f>IF(Z38=0,"",ABS(E79))</f>
        <v>6.31338510637212E-2</v>
      </c>
      <c r="H79" s="746"/>
      <c r="I79" s="238" t="s">
        <v>149</v>
      </c>
      <c r="J79" s="191"/>
      <c r="K79" s="250">
        <f>AVERAGE(K75,K77)</f>
        <v>17.7</v>
      </c>
      <c r="L79" s="38">
        <f>IF(ISBLANK(F4),"",(M54*K79+M53*AY80)/E34)</f>
        <v>17.143548387096779</v>
      </c>
      <c r="M79" s="234">
        <f>IF(ISBLANK(F4),"",L79-AY81)</f>
        <v>-0.55645161290322065</v>
      </c>
      <c r="N79" s="248" t="s">
        <v>148</v>
      </c>
      <c r="O79" s="67"/>
      <c r="Q79" s="811"/>
      <c r="R79" s="812"/>
      <c r="S79" s="812"/>
      <c r="T79" s="812"/>
      <c r="U79" s="812"/>
      <c r="V79" s="812"/>
      <c r="W79" s="812"/>
      <c r="X79" s="812"/>
      <c r="Y79" s="812"/>
      <c r="Z79" s="812"/>
      <c r="AA79" s="812"/>
      <c r="AB79" s="813"/>
      <c r="AC79" s="437"/>
      <c r="AD79" s="1" t="s">
        <v>239</v>
      </c>
      <c r="AE79" s="1" t="s">
        <v>249</v>
      </c>
      <c r="AF79" s="6"/>
      <c r="AH79" s="778"/>
      <c r="AI79" s="778"/>
      <c r="AJ79" s="52"/>
      <c r="AK79" s="318"/>
      <c r="AL79" s="309"/>
      <c r="AM79" s="136"/>
      <c r="AN79" s="4">
        <f t="array" ref="AN79">MAX(FREQUENCY(IF(AV91:AV121=1,ROW(91:121)),IF(AV91:AV121&lt;&gt;1,ROW(91:121))))</f>
        <v>4</v>
      </c>
      <c r="AO79" s="88"/>
      <c r="AP79" s="803" t="s">
        <v>278</v>
      </c>
      <c r="AQ79" s="661"/>
      <c r="AR79" s="6"/>
      <c r="AT79" s="5">
        <f>AN95</f>
        <v>4</v>
      </c>
      <c r="AU79" s="5"/>
      <c r="AV79" s="5"/>
      <c r="AX79" s="386">
        <v>31</v>
      </c>
      <c r="AY79" s="387">
        <f t="shared" si="21"/>
        <v>15.25</v>
      </c>
      <c r="AZ79" s="388"/>
      <c r="BA79" s="101">
        <f t="shared" si="23"/>
        <v>-1.4434855769230772</v>
      </c>
      <c r="BB79" s="91">
        <f t="shared" si="22"/>
        <v>0.25</v>
      </c>
      <c r="BC79" s="91">
        <f>IF(ISBLANK(G34),"",(AVERAGE($AY$49:AY79)))</f>
        <v>17.143548387096772</v>
      </c>
      <c r="BD79" s="241">
        <f t="shared" si="24"/>
        <v>-0.52743641439206268</v>
      </c>
      <c r="BE79" s="243"/>
      <c r="BF79" s="560">
        <v>0.24652777777777779</v>
      </c>
      <c r="BG79" s="560">
        <v>0.69652777777777775</v>
      </c>
      <c r="BH79" s="560">
        <v>0.76111111111111107</v>
      </c>
      <c r="BI79" s="560">
        <v>0.31111111111111112</v>
      </c>
      <c r="BJ79" s="560">
        <v>0.75902777777777775</v>
      </c>
      <c r="BK79" s="58"/>
      <c r="BL79" s="78"/>
    </row>
    <row r="80" spans="1:64" ht="12.75" customHeight="1" x14ac:dyDescent="0.2">
      <c r="A80" s="67"/>
      <c r="B80" s="742" t="s">
        <v>75</v>
      </c>
      <c r="C80" s="743"/>
      <c r="D80" s="744"/>
      <c r="E80" s="89">
        <f>IF(Z38=0,"",CORREL(Z4:Z34,K4:K34))</f>
        <v>0.56622583483468725</v>
      </c>
      <c r="F80" s="576">
        <f>IF(Z38=0,"",ABS(E80))</f>
        <v>0.56622583483468725</v>
      </c>
      <c r="H80" s="745" t="s">
        <v>5</v>
      </c>
      <c r="I80" s="237" t="s">
        <v>203</v>
      </c>
      <c r="J80" s="191"/>
      <c r="K80" s="106">
        <f>K76-K74</f>
        <v>9</v>
      </c>
      <c r="L80" s="108" t="str">
        <f>IF(ISBLANK(F4),"",IF(M54&gt;0,(E34*K80-I38*M53)/M54,"n/a"))</f>
        <v>n/a</v>
      </c>
      <c r="M80" s="90" t="str">
        <f>IF(ISBLANK(F4),"",IF(M54&gt;0,L80-I39,"n/a"))</f>
        <v>n/a</v>
      </c>
      <c r="N80" s="247" t="s">
        <v>142</v>
      </c>
      <c r="O80" s="67"/>
      <c r="Q80" s="814"/>
      <c r="R80" s="815"/>
      <c r="S80" s="815"/>
      <c r="T80" s="815"/>
      <c r="U80" s="815"/>
      <c r="V80" s="815"/>
      <c r="W80" s="815"/>
      <c r="X80" s="815"/>
      <c r="Y80" s="815"/>
      <c r="Z80" s="815"/>
      <c r="AA80" s="815"/>
      <c r="AB80" s="816"/>
      <c r="AC80" s="437"/>
      <c r="AD80" s="1" t="s">
        <v>251</v>
      </c>
      <c r="AE80" s="1" t="s">
        <v>250</v>
      </c>
      <c r="AF80" s="6"/>
      <c r="AK80" s="319"/>
      <c r="AL80" s="99"/>
      <c r="AM80" s="136"/>
      <c r="AO80" s="88"/>
      <c r="AP80" s="661"/>
      <c r="AQ80" s="661"/>
      <c r="AR80" s="6"/>
      <c r="AS80" s="4"/>
      <c r="AT80" s="4"/>
      <c r="AU80" s="4"/>
      <c r="AV80" s="4"/>
      <c r="AX80" s="11" t="s">
        <v>4</v>
      </c>
      <c r="AY80" s="57">
        <f>IF(ISBLANK(G4),"",AVERAGE(F4:G34))</f>
        <v>17.143548387096779</v>
      </c>
      <c r="AZ80" s="362"/>
      <c r="BB80" s="7">
        <f>IF(ISBLANK(H4),"",AVERAGE(BB49:BB79))</f>
        <v>0.15967741935483862</v>
      </c>
      <c r="BC80" s="114">
        <f>IF(ISBLANK(G4),"",(AVERAGE($AY$49:AY79)))</f>
        <v>17.143548387096772</v>
      </c>
      <c r="BD80" s="585">
        <f>IF(ISBLANK(H4),"",BC80-D120)</f>
        <v>-0.55645161290322775</v>
      </c>
      <c r="BE80" s="6"/>
      <c r="BF80" s="341">
        <f>IF(ISBLANK(BF50),"",AVERAGE(BF49:BF79))</f>
        <v>0.23435185185185187</v>
      </c>
      <c r="BG80" s="340">
        <f>IF(ISBLANK(BG49),"",AVERAGE(BG49:BG79))</f>
        <v>0.65448028673835124</v>
      </c>
      <c r="BH80" s="339">
        <f>IF(ISBLANK(BH49),"",AVERAGE(BH49:BH79))</f>
        <v>0.68660714285714286</v>
      </c>
      <c r="BI80" s="338">
        <f>IF(ISBLANK(BI49),"",AVERAGE(BI49:BI79))</f>
        <v>0.27364130434782608</v>
      </c>
      <c r="BJ80" s="337">
        <f>IF(ISBLANK(BJ54),"",AVERAGE(BJ49:BJ79))</f>
        <v>0.58826164874551967</v>
      </c>
      <c r="BK80" s="19"/>
      <c r="BL80" s="78"/>
    </row>
    <row r="81" spans="1:64" ht="12.75" customHeight="1" thickBot="1" x14ac:dyDescent="0.25">
      <c r="A81" s="67"/>
      <c r="B81" s="740"/>
      <c r="C81" s="741"/>
      <c r="D81" s="741"/>
      <c r="E81" s="159"/>
      <c r="F81" s="25"/>
      <c r="H81" s="752"/>
      <c r="I81" s="281" t="s">
        <v>149</v>
      </c>
      <c r="J81" s="191"/>
      <c r="K81" s="252">
        <f>K77-K75</f>
        <v>9</v>
      </c>
      <c r="L81" s="167">
        <f>IF(ISBLANK(F4),"",(M54*K81+M53*I38)/E34)</f>
        <v>7.816129032258063</v>
      </c>
      <c r="M81" s="235">
        <f>IF(ISBLANK(F4),"",L81-I39)</f>
        <v>-1.183870967741937</v>
      </c>
      <c r="N81" s="279" t="s">
        <v>148</v>
      </c>
      <c r="O81" s="67"/>
      <c r="P81" s="454"/>
      <c r="Q81" s="845"/>
      <c r="R81" s="846"/>
      <c r="S81" s="846"/>
      <c r="T81" s="846"/>
      <c r="U81" s="846"/>
      <c r="V81" s="846"/>
      <c r="W81" s="846"/>
      <c r="X81" s="846"/>
      <c r="Y81" s="846"/>
      <c r="Z81" s="846"/>
      <c r="AA81" s="846"/>
      <c r="AB81" s="847"/>
      <c r="AC81" s="437"/>
      <c r="AD81" s="1" t="s">
        <v>258</v>
      </c>
      <c r="AE81" s="1" t="s">
        <v>265</v>
      </c>
      <c r="AF81" s="6"/>
      <c r="AG81" s="779" t="s">
        <v>275</v>
      </c>
      <c r="AH81" s="779"/>
      <c r="AI81" s="779"/>
      <c r="AJ81" s="779"/>
      <c r="AK81" s="222"/>
      <c r="AM81" s="136"/>
      <c r="AN81" s="183" t="s">
        <v>176</v>
      </c>
      <c r="AO81" s="411"/>
      <c r="AP81" s="661"/>
      <c r="AQ81" s="661"/>
      <c r="AR81" s="6"/>
      <c r="AT81" s="588" t="s">
        <v>194</v>
      </c>
      <c r="AU81" s="588"/>
      <c r="AX81" s="4" t="s">
        <v>9</v>
      </c>
      <c r="AY81" s="379">
        <f>AVERAGE(F39:G39)</f>
        <v>17.7</v>
      </c>
      <c r="AZ81" s="363"/>
      <c r="BB81" s="713" t="s">
        <v>173</v>
      </c>
      <c r="BC81" s="713"/>
      <c r="BE81" s="6"/>
      <c r="BK81" s="67"/>
      <c r="BL81" s="78"/>
    </row>
    <row r="82" spans="1:64" ht="12.75" customHeight="1" x14ac:dyDescent="0.2">
      <c r="A82" s="67"/>
      <c r="B82" s="764" t="s">
        <v>4</v>
      </c>
      <c r="C82" s="765"/>
      <c r="D82" s="765"/>
      <c r="E82" s="218">
        <f>IF(Z38=0,"",AVERAGE(F72:F80))</f>
        <v>0.38228316656316136</v>
      </c>
      <c r="F82" s="25"/>
      <c r="H82" s="766" t="s">
        <v>13</v>
      </c>
      <c r="I82" s="237" t="s">
        <v>203</v>
      </c>
      <c r="J82" s="191"/>
      <c r="K82" s="164">
        <f>R39</f>
        <v>1013.25</v>
      </c>
      <c r="L82" s="168" t="str">
        <f>IF(ISBLANK(P4),"",IF(M54&gt;0,(E34*K82-R38*M53)/M54,"n/a"))</f>
        <v>n/a</v>
      </c>
      <c r="M82" s="164" t="str">
        <f>IF(ISBLANK(P4),"",IF(M54&gt;0,L82-R39,"n/a"))</f>
        <v>n/a</v>
      </c>
      <c r="N82" s="247" t="s">
        <v>142</v>
      </c>
      <c r="O82" s="67"/>
      <c r="Q82" s="814"/>
      <c r="R82" s="815"/>
      <c r="S82" s="815"/>
      <c r="T82" s="815"/>
      <c r="U82" s="815"/>
      <c r="V82" s="815"/>
      <c r="W82" s="815"/>
      <c r="X82" s="815"/>
      <c r="Y82" s="815"/>
      <c r="Z82" s="815"/>
      <c r="AA82" s="815"/>
      <c r="AB82" s="816"/>
      <c r="AC82" s="436"/>
      <c r="AD82" s="1" t="s">
        <v>8</v>
      </c>
      <c r="AE82" s="1" t="s">
        <v>260</v>
      </c>
      <c r="AF82" s="6"/>
      <c r="AH82" s="636"/>
      <c r="AI82" s="636"/>
      <c r="AJ82" s="52"/>
      <c r="AK82" s="320"/>
      <c r="AL82" s="307"/>
      <c r="AM82" s="136"/>
      <c r="AN82" s="332">
        <f t="array" ref="AN82">MAX(FREQUENCY(IF(AV91:AV121=0,ROW(91:121)),IF(AV91:AV121&lt;&gt;0,ROW(91:121))))</f>
        <v>3</v>
      </c>
      <c r="AO82" s="412"/>
      <c r="AP82" s="822" t="s">
        <v>526</v>
      </c>
      <c r="AQ82" s="823"/>
      <c r="AR82" s="6"/>
      <c r="AT82" s="138">
        <f>IF(AN48=0,"n/a",AN48/AT67)</f>
        <v>0.93333333333333335</v>
      </c>
      <c r="AU82" s="138"/>
      <c r="AX82" s="4" t="s">
        <v>10</v>
      </c>
      <c r="AY82" s="57">
        <f>IF(ISBLANK(F4),"",AY80-AY81)</f>
        <v>-0.55645161290322065</v>
      </c>
      <c r="AZ82" s="311"/>
      <c r="BA82" s="148" t="s">
        <v>158</v>
      </c>
      <c r="BB82" s="275" t="s">
        <v>145</v>
      </c>
      <c r="BC82" s="276" t="s">
        <v>146</v>
      </c>
      <c r="BE82" s="6"/>
      <c r="BF82" s="431">
        <f>MAX(BF49:BF79)-MIN(BF49:BF79)</f>
        <v>0.41041666666666671</v>
      </c>
      <c r="BG82" s="431">
        <f>MAX(BG49:BG79)-MIN(BG49:BG79)</f>
        <v>0.30902777777777779</v>
      </c>
      <c r="BH82" s="431">
        <f>MAX(BH49:BH79)-MIN(BH49:BH79)</f>
        <v>0.30694444444444435</v>
      </c>
      <c r="BI82" s="431">
        <f>MAX(BI49:BI79)-MIN(BI49:BI79)</f>
        <v>0.30972222222222223</v>
      </c>
      <c r="BJ82" s="431">
        <f>MAX(BJ49:BJ79)-MIN(BJ49:BJ79)</f>
        <v>0.84652777777777777</v>
      </c>
      <c r="BK82" s="67"/>
      <c r="BL82" s="78"/>
    </row>
    <row r="83" spans="1:64" ht="12.75" customHeight="1" thickBot="1" x14ac:dyDescent="0.25">
      <c r="A83" s="67"/>
      <c r="B83" s="756" t="s">
        <v>34</v>
      </c>
      <c r="C83" s="757"/>
      <c r="D83" s="757"/>
      <c r="E83" s="219">
        <f>AN93+AN98</f>
        <v>2</v>
      </c>
      <c r="F83" s="85" t="s">
        <v>91</v>
      </c>
      <c r="G83" s="236"/>
      <c r="H83" s="746"/>
      <c r="I83" s="238" t="s">
        <v>149</v>
      </c>
      <c r="J83" s="242"/>
      <c r="K83" s="251">
        <f>K82</f>
        <v>1013.25</v>
      </c>
      <c r="L83" s="119">
        <f>IF(ISBLANK(P4),"",SUM(M54*K83+M53*R38)/E34)</f>
        <v>1013.1290322580645</v>
      </c>
      <c r="M83" s="169">
        <f>IF(ISBLANK(P4),"",L83-R39)</f>
        <v>-0.12096774193548754</v>
      </c>
      <c r="N83" s="248" t="s">
        <v>148</v>
      </c>
      <c r="O83" s="67"/>
      <c r="Q83" s="848"/>
      <c r="R83" s="849"/>
      <c r="S83" s="849"/>
      <c r="T83" s="849"/>
      <c r="U83" s="849"/>
      <c r="V83" s="849"/>
      <c r="W83" s="849"/>
      <c r="X83" s="849"/>
      <c r="Y83" s="849"/>
      <c r="Z83" s="849"/>
      <c r="AA83" s="849"/>
      <c r="AB83" s="850"/>
      <c r="AC83" s="436"/>
      <c r="AD83" s="1" t="s">
        <v>264</v>
      </c>
      <c r="AE83" s="1" t="s">
        <v>259</v>
      </c>
      <c r="AF83" s="6"/>
      <c r="AK83" s="312"/>
      <c r="AM83" s="136"/>
      <c r="AO83" s="88"/>
      <c r="AP83" s="823"/>
      <c r="AQ83" s="823"/>
      <c r="AR83" s="67"/>
      <c r="AZ83" s="6"/>
      <c r="BA83" s="25">
        <f>E91/3</f>
        <v>3</v>
      </c>
      <c r="BB83" s="274">
        <f>AY81-BA83</f>
        <v>14.7</v>
      </c>
      <c r="BC83" s="273">
        <f>AY81+BA83</f>
        <v>20.7</v>
      </c>
      <c r="BE83" s="6"/>
      <c r="BF83" s="334">
        <f>IF(ISBLANK(BF50),"",STDEV(BF49:BF79))</f>
        <v>7.0782542579670413E-2</v>
      </c>
      <c r="BG83" s="334">
        <f>IF(ISBLANK(BG50),"",STDEV(BG49:BG79))</f>
        <v>7.7677026078027581E-2</v>
      </c>
      <c r="BH83" s="334">
        <f>IF(ISBLANK(BH51),"",STDEV(BH49:BH79))</f>
        <v>8.3417707873510702E-2</v>
      </c>
      <c r="BI83" s="334">
        <f>IF(ISBLANK(BI51),"",STDEV(BI49:BI79))</f>
        <v>7.681597729768791E-2</v>
      </c>
      <c r="BJ83" s="334">
        <f>IF(ISBLANK(BJ54),"",STDEV(BJ49:BJ79))</f>
        <v>0.2302175229185536</v>
      </c>
      <c r="BK83" s="67"/>
      <c r="BL83" s="78"/>
    </row>
    <row r="84" spans="1:64" s="107" customFormat="1" ht="12.75" x14ac:dyDescent="0.2">
      <c r="A84" s="240"/>
      <c r="C84" s="239"/>
      <c r="F84" s="117"/>
      <c r="H84" s="241"/>
      <c r="J84" s="242"/>
      <c r="O84" s="242"/>
      <c r="T84" s="243"/>
      <c r="Y84" s="243"/>
      <c r="AD84" s="625" t="s">
        <v>647</v>
      </c>
      <c r="AE84" s="107" t="s">
        <v>660</v>
      </c>
      <c r="AF84" s="243"/>
      <c r="AI84" s="117"/>
      <c r="AJ84" s="117"/>
      <c r="AK84" s="240"/>
      <c r="AL84" s="117"/>
      <c r="AM84" s="240"/>
      <c r="AO84" s="413"/>
      <c r="AP84" s="799"/>
      <c r="AQ84" s="799"/>
      <c r="AR84" s="240"/>
      <c r="AV84" s="117"/>
      <c r="AY84" s="117"/>
      <c r="AZ84" s="240"/>
      <c r="BA84" s="330">
        <f>MIN(AY49:AY79)</f>
        <v>13.600000000000001</v>
      </c>
      <c r="BB84" s="330">
        <f>MAX(AY49:AY79)</f>
        <v>22.9</v>
      </c>
      <c r="BE84" s="243"/>
      <c r="BF84" s="771" t="s">
        <v>191</v>
      </c>
      <c r="BG84" s="771"/>
      <c r="BH84" s="771"/>
      <c r="BI84" s="771"/>
      <c r="BJ84" s="771"/>
      <c r="BK84" s="240"/>
      <c r="BL84" s="244"/>
    </row>
    <row r="85" spans="1:64" s="172" customFormat="1" ht="12" x14ac:dyDescent="0.2">
      <c r="A85" s="171"/>
      <c r="C85" s="173">
        <f>MIN(C4:C34)</f>
        <v>15.6</v>
      </c>
      <c r="E85" s="174" t="s">
        <v>70</v>
      </c>
      <c r="F85" s="173">
        <f>MIN(F4:F34)</f>
        <v>9.1</v>
      </c>
      <c r="G85" s="173">
        <f>MIN(G4:G34)</f>
        <v>16.2</v>
      </c>
      <c r="H85" s="173">
        <f>MIN(H4:H34)</f>
        <v>13.7</v>
      </c>
      <c r="I85" s="173">
        <f>MIN(I4:I34)</f>
        <v>2.7</v>
      </c>
      <c r="J85" s="175"/>
      <c r="K85" s="176">
        <f>MIN(K4:K34)</f>
        <v>33</v>
      </c>
      <c r="L85" s="176">
        <f>MIN(L4:L34)</f>
        <v>69</v>
      </c>
      <c r="M85" s="176">
        <f>MIN(M4:M34)</f>
        <v>51</v>
      </c>
      <c r="N85" s="176">
        <f>MIN(N4:N34)</f>
        <v>15</v>
      </c>
      <c r="O85" s="177"/>
      <c r="P85" s="176">
        <f>MIN(P4:P34)</f>
        <v>1000</v>
      </c>
      <c r="Q85" s="176">
        <f>MIN(Q4:Q34)</f>
        <v>1003</v>
      </c>
      <c r="R85" s="173">
        <f>MIN(R4:R34)</f>
        <v>1002</v>
      </c>
      <c r="S85" s="176">
        <f>MIN(S4:S34)</f>
        <v>1</v>
      </c>
      <c r="T85" s="171"/>
      <c r="U85" s="173">
        <f t="shared" ref="U85:AC85" si="25">MIN(U4:U34)</f>
        <v>1.6</v>
      </c>
      <c r="V85" s="173">
        <f t="shared" si="25"/>
        <v>5.8</v>
      </c>
      <c r="W85" s="173">
        <f t="shared" si="25"/>
        <v>7.8</v>
      </c>
      <c r="X85" s="173">
        <f t="shared" si="25"/>
        <v>0</v>
      </c>
      <c r="Y85" s="175">
        <f t="shared" si="25"/>
        <v>0</v>
      </c>
      <c r="Z85" s="173">
        <f t="shared" si="25"/>
        <v>0</v>
      </c>
      <c r="AA85" s="173">
        <f t="shared" si="25"/>
        <v>0.3</v>
      </c>
      <c r="AB85" s="173">
        <f t="shared" si="25"/>
        <v>0.3</v>
      </c>
      <c r="AC85" s="422">
        <f t="shared" si="25"/>
        <v>1.3698630136986306E-3</v>
      </c>
      <c r="AD85" s="173">
        <f>MIN(AE4:AE34)</f>
        <v>0.9</v>
      </c>
      <c r="AE85" s="173">
        <f>MIN(AD4:AD34)</f>
        <v>0.5</v>
      </c>
      <c r="AF85" s="175">
        <f>MIN(AF4:AF4)</f>
        <v>0</v>
      </c>
      <c r="AG85" s="173">
        <f>MIN(AG4:AG34)</f>
        <v>4.8</v>
      </c>
      <c r="AH85" s="173">
        <f>MIN(AH4:AH34)</f>
        <v>9.8000000000000007</v>
      </c>
      <c r="AI85" s="173">
        <f>MIN(AI4:AI34)</f>
        <v>6.7</v>
      </c>
      <c r="AJ85" s="173">
        <f>MIN(AJ4:AJ34)</f>
        <v>1.9000000000000004</v>
      </c>
      <c r="AK85" s="175"/>
      <c r="AL85" s="173"/>
      <c r="AM85" s="175"/>
      <c r="AO85" s="414"/>
      <c r="AP85" s="173">
        <f>MIN(AP4:AP34)</f>
        <v>0</v>
      </c>
      <c r="AQ85" s="173">
        <f>MIN(AQ4:AQ34)</f>
        <v>0</v>
      </c>
      <c r="AR85" s="175"/>
      <c r="AS85" s="173">
        <f t="shared" ref="AS85:AZ85" si="26">MIN(AS8:AS34)</f>
        <v>13.235483870967741</v>
      </c>
      <c r="AT85" s="173">
        <f t="shared" si="26"/>
        <v>21.051612903225806</v>
      </c>
      <c r="AU85" s="173">
        <f t="shared" si="26"/>
        <v>16.983870967741932</v>
      </c>
      <c r="AV85" s="173">
        <f t="shared" si="26"/>
        <v>7.816129032258063</v>
      </c>
      <c r="AW85" s="173">
        <f t="shared" si="26"/>
        <v>62</v>
      </c>
      <c r="AX85" s="176">
        <f t="shared" si="26"/>
        <v>1009.625</v>
      </c>
      <c r="AY85" s="173">
        <f t="shared" si="26"/>
        <v>3.7600000000000002</v>
      </c>
      <c r="AZ85" s="175">
        <f t="shared" si="26"/>
        <v>0</v>
      </c>
      <c r="BA85" s="173">
        <f>MIN(BA4:BA34)</f>
        <v>-4.3000000000000007</v>
      </c>
      <c r="BB85" s="173">
        <f>MIN(BB4:BB34)</f>
        <v>-5.4981250000000017</v>
      </c>
      <c r="BC85" s="173">
        <f>MIN(BC4:BC34)</f>
        <v>-3.3569658119658126</v>
      </c>
      <c r="BD85" s="173">
        <f>MIN(BD4:BD34)</f>
        <v>-6.2981250000000006</v>
      </c>
      <c r="BE85" s="175">
        <f t="shared" ref="BE85:BJ85" si="27">MIN(BE8:BE34)</f>
        <v>0</v>
      </c>
      <c r="BF85" s="173">
        <f t="shared" si="27"/>
        <v>4.1074270557025727E-2</v>
      </c>
      <c r="BG85" s="173">
        <f t="shared" si="27"/>
        <v>-1.1041532258064564</v>
      </c>
      <c r="BH85" s="173">
        <f t="shared" si="27"/>
        <v>-1.1534336228287874</v>
      </c>
      <c r="BI85" s="422">
        <f t="shared" si="27"/>
        <v>0.72352941176470587</v>
      </c>
      <c r="BJ85" s="422">
        <f t="shared" si="27"/>
        <v>0.72733434217579074</v>
      </c>
      <c r="BK85" s="177"/>
      <c r="BL85" s="178"/>
    </row>
    <row r="86" spans="1:64" s="172" customFormat="1" ht="12" x14ac:dyDescent="0.2">
      <c r="A86" s="171"/>
      <c r="B86" s="173">
        <f>MAX(B4:B34)</f>
        <v>18</v>
      </c>
      <c r="E86" s="174" t="s">
        <v>71</v>
      </c>
      <c r="F86" s="173">
        <f>MAX(F4:F34)</f>
        <v>18</v>
      </c>
      <c r="G86" s="173">
        <f>MAX(G4:G34)</f>
        <v>29.6</v>
      </c>
      <c r="H86" s="173">
        <f>MAX(H4:H34)</f>
        <v>22.6</v>
      </c>
      <c r="I86" s="173">
        <f>MAX(I4:I34)</f>
        <v>14.4</v>
      </c>
      <c r="J86" s="175"/>
      <c r="K86" s="176">
        <f>MAX(K4:K34)</f>
        <v>79</v>
      </c>
      <c r="L86" s="176">
        <f>MAX(L4:L34)</f>
        <v>97</v>
      </c>
      <c r="M86" s="176">
        <f>MAX(M4:M34)</f>
        <v>90</v>
      </c>
      <c r="N86" s="176">
        <f>MAX(N4:N34)</f>
        <v>50</v>
      </c>
      <c r="O86" s="177"/>
      <c r="P86" s="176">
        <f t="shared" ref="P86:AC86" si="28">MAX(P4:P34)</f>
        <v>1017</v>
      </c>
      <c r="Q86" s="176">
        <f t="shared" si="28"/>
        <v>1027</v>
      </c>
      <c r="R86" s="173">
        <f t="shared" si="28"/>
        <v>1021.5</v>
      </c>
      <c r="S86" s="176">
        <f t="shared" si="28"/>
        <v>15</v>
      </c>
      <c r="T86" s="177">
        <f t="shared" si="28"/>
        <v>0</v>
      </c>
      <c r="U86" s="173">
        <f t="shared" si="28"/>
        <v>6.8</v>
      </c>
      <c r="V86" s="173">
        <f t="shared" si="28"/>
        <v>18.100000000000001</v>
      </c>
      <c r="W86" s="173">
        <f t="shared" si="28"/>
        <v>26.3</v>
      </c>
      <c r="X86" s="173">
        <f t="shared" si="28"/>
        <v>0</v>
      </c>
      <c r="Y86" s="175">
        <f t="shared" si="28"/>
        <v>2</v>
      </c>
      <c r="Z86" s="173">
        <f t="shared" si="28"/>
        <v>14.6</v>
      </c>
      <c r="AA86" s="173">
        <f t="shared" si="28"/>
        <v>9.3000000000000007</v>
      </c>
      <c r="AB86" s="173">
        <f t="shared" si="28"/>
        <v>3.3</v>
      </c>
      <c r="AC86" s="422">
        <f t="shared" si="28"/>
        <v>0.20000000000000004</v>
      </c>
      <c r="AD86" s="173">
        <f>MAX(AE4:AE34)</f>
        <v>60</v>
      </c>
      <c r="AE86" s="173">
        <f>MAX(AD4:AD34)</f>
        <v>5.84</v>
      </c>
      <c r="AF86" s="175">
        <f>MAX(AF4:AF4)</f>
        <v>0</v>
      </c>
      <c r="AG86" s="173">
        <f>MAX(AG4:AG34)</f>
        <v>13.4</v>
      </c>
      <c r="AH86" s="173">
        <f>MAX(AH4:AH34)</f>
        <v>18.100000000000001</v>
      </c>
      <c r="AI86" s="173">
        <f>MAX(AI4:AI34)</f>
        <v>14.9</v>
      </c>
      <c r="AJ86" s="173">
        <f>MAX(AJ4:AJ34)</f>
        <v>8.6</v>
      </c>
      <c r="AK86" s="175"/>
      <c r="AL86" s="173"/>
      <c r="AM86" s="175"/>
      <c r="AO86" s="415"/>
      <c r="AP86" s="176">
        <f>MAX(AP4:AP34)</f>
        <v>10</v>
      </c>
      <c r="AQ86" s="173">
        <f>MAX(AQ4:AQ34)</f>
        <v>8</v>
      </c>
      <c r="AR86" s="177"/>
      <c r="AS86" s="173">
        <f t="shared" ref="AS86:AZ86" si="29">MAX(AS8:AS34)</f>
        <v>15.76</v>
      </c>
      <c r="AT86" s="173">
        <f t="shared" si="29"/>
        <v>26.1</v>
      </c>
      <c r="AU86" s="173">
        <f t="shared" si="29"/>
        <v>20.759999999999998</v>
      </c>
      <c r="AV86" s="173">
        <f t="shared" si="29"/>
        <v>10.34</v>
      </c>
      <c r="AW86" s="173">
        <f t="shared" si="29"/>
        <v>70.428571428571431</v>
      </c>
      <c r="AX86" s="176">
        <f t="shared" si="29"/>
        <v>1013.1304347826087</v>
      </c>
      <c r="AY86" s="173">
        <f t="shared" si="29"/>
        <v>4.875</v>
      </c>
      <c r="AZ86" s="175">
        <f t="shared" si="29"/>
        <v>0</v>
      </c>
      <c r="BA86" s="173">
        <f>MAX(BA4:BA34)</f>
        <v>4.2249999999999996</v>
      </c>
      <c r="BB86" s="173">
        <f>MAX(BB4:BB34)</f>
        <v>6.9500000000000028</v>
      </c>
      <c r="BC86" s="173">
        <f>MAX(BC4:BC34)</f>
        <v>4.6774999999999993</v>
      </c>
      <c r="BD86" s="173">
        <f>MAX(BD4:BD34)</f>
        <v>5.5399999999999974</v>
      </c>
      <c r="BE86" s="175">
        <f t="shared" ref="BE86:BJ86" si="30">MAX(BE8:BE34)</f>
        <v>0</v>
      </c>
      <c r="BF86" s="173">
        <f t="shared" si="30"/>
        <v>2.0199999999999996</v>
      </c>
      <c r="BG86" s="173">
        <f t="shared" si="30"/>
        <v>3.4519999999999982</v>
      </c>
      <c r="BH86" s="173">
        <f t="shared" si="30"/>
        <v>1.4319999999999986</v>
      </c>
      <c r="BI86" s="422">
        <f t="shared" si="30"/>
        <v>1.3865384615384615</v>
      </c>
      <c r="BJ86" s="422">
        <f t="shared" si="30"/>
        <v>0.98599914924643317</v>
      </c>
      <c r="BK86" s="177"/>
      <c r="BL86" s="178"/>
    </row>
    <row r="87" spans="1:64" ht="10.5" customHeight="1" x14ac:dyDescent="0.2">
      <c r="A87" s="67"/>
      <c r="B87" s="21"/>
      <c r="C87" s="140"/>
      <c r="D87" s="146"/>
      <c r="E87" s="4"/>
      <c r="F87" s="21"/>
      <c r="H87" s="13"/>
      <c r="J87" s="20"/>
      <c r="K87" s="21"/>
      <c r="L87" s="21"/>
      <c r="M87" s="21"/>
      <c r="N87" s="22"/>
      <c r="O87" s="20"/>
      <c r="P87" s="21"/>
      <c r="Q87" s="21"/>
      <c r="R87" s="21"/>
      <c r="S87" s="21"/>
      <c r="T87" s="67"/>
      <c r="U87" s="21"/>
      <c r="V87" s="21"/>
      <c r="W87" s="21"/>
      <c r="X87" s="21"/>
      <c r="Y87" s="67"/>
      <c r="Z87" s="21"/>
      <c r="AA87" s="21"/>
      <c r="AB87" s="21"/>
      <c r="AC87" s="21"/>
      <c r="AD87" s="21"/>
      <c r="AE87" s="21"/>
      <c r="AF87" s="67"/>
      <c r="AG87" s="21"/>
      <c r="AH87" s="21"/>
      <c r="AI87" s="21"/>
      <c r="AJ87" s="21"/>
      <c r="AK87" s="67"/>
      <c r="AL87" s="21"/>
      <c r="AM87" s="67"/>
      <c r="AO87" s="88"/>
      <c r="AR87" s="6"/>
      <c r="AS87" s="21"/>
      <c r="AT87" s="22"/>
      <c r="AU87" s="21"/>
      <c r="AV87" s="21"/>
      <c r="AW87" s="21"/>
      <c r="AX87" s="21"/>
      <c r="AZ87" s="6"/>
      <c r="BA87" s="25"/>
      <c r="BB87" s="21"/>
      <c r="BC87" s="21"/>
      <c r="BD87" s="21"/>
      <c r="BE87" s="67"/>
      <c r="BF87" s="21"/>
      <c r="BG87" s="21"/>
      <c r="BH87" s="21"/>
      <c r="BI87" s="21"/>
      <c r="BJ87" s="21"/>
      <c r="BK87" s="67"/>
      <c r="BL87" s="95"/>
    </row>
    <row r="88" spans="1:64" s="327" customFormat="1" ht="10.5" customHeight="1" x14ac:dyDescent="0.2">
      <c r="C88" s="328"/>
    </row>
    <row r="89" spans="1:64" s="327" customFormat="1" ht="1.5" customHeight="1" x14ac:dyDescent="0.2">
      <c r="C89" s="328"/>
    </row>
    <row r="90" spans="1:64" s="331" customFormat="1" ht="11.25" x14ac:dyDescent="0.2">
      <c r="A90" s="331" t="s">
        <v>167</v>
      </c>
      <c r="B90" s="148" t="s">
        <v>2</v>
      </c>
      <c r="C90" s="148" t="s">
        <v>3</v>
      </c>
      <c r="D90" s="148" t="s">
        <v>4</v>
      </c>
      <c r="E90" s="147" t="s">
        <v>5</v>
      </c>
      <c r="F90" s="331" t="s">
        <v>332</v>
      </c>
      <c r="G90" s="331" t="s">
        <v>333</v>
      </c>
      <c r="H90" s="331" t="s">
        <v>348</v>
      </c>
      <c r="I90" s="331" t="s">
        <v>347</v>
      </c>
      <c r="K90" s="331" t="s">
        <v>167</v>
      </c>
      <c r="L90" s="331" t="s">
        <v>167</v>
      </c>
      <c r="M90" s="147" t="s">
        <v>184</v>
      </c>
      <c r="N90" s="331" t="s">
        <v>167</v>
      </c>
      <c r="O90" s="331" t="s">
        <v>167</v>
      </c>
      <c r="P90" s="331" t="s">
        <v>167</v>
      </c>
      <c r="Q90" s="331" t="s">
        <v>167</v>
      </c>
      <c r="S90" s="331" t="s">
        <v>167</v>
      </c>
      <c r="U90" s="331" t="s">
        <v>204</v>
      </c>
      <c r="V90" s="331" t="s">
        <v>346</v>
      </c>
      <c r="W90" s="786" t="s">
        <v>229</v>
      </c>
      <c r="X90" s="786"/>
      <c r="Y90" s="331" t="s">
        <v>167</v>
      </c>
      <c r="Z90" s="147" t="s">
        <v>144</v>
      </c>
      <c r="AA90" s="147" t="s">
        <v>185</v>
      </c>
      <c r="AB90" s="147" t="s">
        <v>236</v>
      </c>
      <c r="AC90" s="147" t="s">
        <v>237</v>
      </c>
      <c r="AD90" s="331" t="s">
        <v>167</v>
      </c>
      <c r="AE90" s="278" t="s">
        <v>345</v>
      </c>
      <c r="AF90" s="331" t="s">
        <v>344</v>
      </c>
      <c r="AG90" s="147" t="s">
        <v>155</v>
      </c>
      <c r="AH90" s="147" t="s">
        <v>183</v>
      </c>
      <c r="AI90" s="331" t="s">
        <v>328</v>
      </c>
      <c r="AJ90" s="147" t="s">
        <v>117</v>
      </c>
      <c r="AK90" s="331" t="s">
        <v>167</v>
      </c>
      <c r="AL90" s="147" t="s">
        <v>118</v>
      </c>
      <c r="AM90" s="331" t="s">
        <v>329</v>
      </c>
      <c r="AN90" s="331" t="s">
        <v>168</v>
      </c>
      <c r="AO90" s="331" t="s">
        <v>329</v>
      </c>
      <c r="AQ90" s="147"/>
      <c r="AR90" s="331" t="s">
        <v>329</v>
      </c>
      <c r="AS90" s="331" t="s">
        <v>256</v>
      </c>
      <c r="AT90" s="331" t="s">
        <v>253</v>
      </c>
      <c r="AU90" s="331" t="s">
        <v>346</v>
      </c>
      <c r="AV90" s="147" t="s">
        <v>196</v>
      </c>
      <c r="AW90" s="147" t="s">
        <v>145</v>
      </c>
      <c r="AX90" s="147" t="s">
        <v>146</v>
      </c>
      <c r="AY90" s="147" t="s">
        <v>400</v>
      </c>
      <c r="AZ90" s="147" t="s">
        <v>124</v>
      </c>
      <c r="BA90" s="147" t="s">
        <v>145</v>
      </c>
      <c r="BB90" s="147" t="s">
        <v>146</v>
      </c>
      <c r="BC90" s="331" t="s">
        <v>330</v>
      </c>
      <c r="BD90" s="331" t="s">
        <v>331</v>
      </c>
      <c r="BE90" s="147" t="s">
        <v>327</v>
      </c>
      <c r="BF90" s="331" t="s">
        <v>167</v>
      </c>
      <c r="BG90" s="147" t="s">
        <v>163</v>
      </c>
      <c r="BH90" s="147" t="s">
        <v>399</v>
      </c>
      <c r="BI90" s="147" t="s">
        <v>401</v>
      </c>
      <c r="BJ90" s="147" t="s">
        <v>119</v>
      </c>
      <c r="BK90" s="331" t="s">
        <v>327</v>
      </c>
    </row>
    <row r="91" spans="1:64" ht="12.75" x14ac:dyDescent="0.2">
      <c r="A91" s="8">
        <f t="shared" ref="A91:A121" si="31">IF(ISBLANK(K4),NA(),N4)</f>
        <v>36</v>
      </c>
      <c r="B91" s="125">
        <f t="shared" ref="B91:B121" si="32">$F$39</f>
        <v>13.2</v>
      </c>
      <c r="C91" s="125">
        <f t="shared" ref="C91:C121" si="33">$G$39</f>
        <v>22.2</v>
      </c>
      <c r="D91" s="125">
        <f>AVERAGE(B91:C91)</f>
        <v>17.7</v>
      </c>
      <c r="E91" s="125">
        <f t="shared" ref="E91:E121" si="34">C91-B91</f>
        <v>9</v>
      </c>
      <c r="F91" s="7">
        <v>13.81</v>
      </c>
      <c r="G91" s="7">
        <v>22.67</v>
      </c>
      <c r="H91" s="7">
        <f>AVERAGE(F91:G91)</f>
        <v>18.240000000000002</v>
      </c>
      <c r="I91" s="7">
        <f>G91-F91</f>
        <v>8.8600000000000012</v>
      </c>
      <c r="K91" s="7">
        <f t="shared" ref="K91:K121" si="35">IF(ISBLANK(G4),NA(),I4)</f>
        <v>14.4</v>
      </c>
      <c r="L91" s="7">
        <f t="shared" ref="L91:L121" si="36">IF(ISBLANK(G4),NA(),AY49)</f>
        <v>21</v>
      </c>
      <c r="M91" s="370">
        <f t="shared" ref="M91:M121" si="37">IF(ISBLANK(U4),NA(),AY4)</f>
        <v>3.4</v>
      </c>
      <c r="N91" s="1">
        <f t="shared" ref="N91:N121" si="38">IF(ISBLANK(F4),NA(),BJ91)</f>
        <v>0</v>
      </c>
      <c r="O91" s="7">
        <f t="shared" ref="O91:O121" si="39">IF(ISBLANK(M4),NA(),AW4)</f>
        <v>51</v>
      </c>
      <c r="P91" s="7">
        <f t="shared" ref="P91:P121" si="40">IF(ISBLANK(F4),NA(),AS4)</f>
        <v>13.8</v>
      </c>
      <c r="Q91" s="7">
        <f t="shared" ref="Q91:Q121" si="41">IF(ISBLANK(G4),NA(),AT4)</f>
        <v>28.2</v>
      </c>
      <c r="R91" s="7">
        <f t="shared" ref="R91:R121" si="42">IF(ISBLANK(H4),NA(),AU4)</f>
        <v>21.4</v>
      </c>
      <c r="S91" s="7">
        <f t="shared" ref="S91:S121" si="43">IF(ISBLANK(G4),NA(),AV4)</f>
        <v>14.4</v>
      </c>
      <c r="T91" s="1">
        <v>32</v>
      </c>
      <c r="U91" s="333">
        <f t="shared" ref="U91:U121" si="44">$Z$39/$E$34</f>
        <v>2</v>
      </c>
      <c r="V91" s="4">
        <v>1</v>
      </c>
      <c r="W91" s="7">
        <f t="shared" ref="W91:W121" si="45">0.273*V91</f>
        <v>0.27300000000000002</v>
      </c>
      <c r="X91" s="7">
        <f t="shared" ref="X91:X121" si="46">0.273*T91</f>
        <v>8.7360000000000007</v>
      </c>
      <c r="Y91" s="8">
        <f t="shared" ref="Y91:Y121" si="47">IF(ISBLANK(Q4),NA(),S4)</f>
        <v>2</v>
      </c>
      <c r="Z91" s="7">
        <f>IF(ISBLANK(Z4),NA(),SUM($Z$4:Z4))</f>
        <v>0</v>
      </c>
      <c r="AA91" s="7">
        <f>$AB$48*E4</f>
        <v>2</v>
      </c>
      <c r="AB91" s="26">
        <f>IF(ISBLANK(Z4),"",SUM($Z$4:Z4))</f>
        <v>0</v>
      </c>
      <c r="AC91" s="115">
        <f>IF(ISBLANK(Z4),NA(),AB91/AA91)</f>
        <v>0</v>
      </c>
      <c r="AD91" s="8">
        <f t="shared" ref="AD91:AD121" si="48">IF(ISBLANK(P4),NA(),AX4)</f>
        <v>1013</v>
      </c>
      <c r="AE91" s="610">
        <f t="shared" ref="AE91:AE121" si="49">IF(ISNA(AG91),"",AG91/AH91)</f>
        <v>1.2839885595665184</v>
      </c>
      <c r="AF91" s="524">
        <f t="shared" ref="AF91:AF121" si="50">IF(ISTEXT(BI49),NA(),IF(ISBLANK(BI49),NA(),BI49))</f>
        <v>0.26666666666666666</v>
      </c>
      <c r="AG91" s="22">
        <f>IF(ISBLANK(AP4),NA(),SUM($AP$4:AP4))</f>
        <v>8</v>
      </c>
      <c r="AH91" s="7">
        <f>SUM($AS$91:AS91)</f>
        <v>6.2305851094972722</v>
      </c>
      <c r="AI91" s="115">
        <f t="shared" ref="AI91:AI121" si="51">IF(ISBLANK(AP4),NA(),AG91/AH91)</f>
        <v>1.2839885595665184</v>
      </c>
      <c r="AJ91" s="124">
        <f t="shared" ref="AJ91:AJ121" si="52">IF(ISBLANK(F4),"",IF(Z4&gt;0.1,1,0))</f>
        <v>0</v>
      </c>
      <c r="AK91" s="8">
        <f t="shared" ref="AK91:AK121" si="53">IF(ISBLANK(P4),NA(),R4)</f>
        <v>1013</v>
      </c>
      <c r="AL91" s="124">
        <f t="shared" ref="AL91:AL121" si="54">IF(ISBLANK(Z4),"",IF(Z4&gt;0.9,1,0))</f>
        <v>0</v>
      </c>
      <c r="AM91" s="524">
        <f t="shared" ref="AM91:AM121" si="55">IF(ISTEXT(BH49),NA(),IF(ISBLANK(BH49),NA(),BH49))</f>
        <v>0.78055555555555556</v>
      </c>
      <c r="AN91" s="109">
        <f xml:space="preserve"> SUM(COUNTIF(AN4:AN34,"-"),COUNTIF(AN4:AN34,"*yy*"))</f>
        <v>19</v>
      </c>
      <c r="AO91" s="524">
        <f t="shared" ref="AO91:AO121" si="56">IF(ISTEXT(BG49),NA(),IF(ISBLANK(BG49),NA(),BG49))</f>
        <v>0.65833333333333333</v>
      </c>
      <c r="AR91" s="524">
        <f t="shared" ref="AR91:AR121" si="57">IF(ISTEXT(BF49),NA(),IF(ISBLANK(BF49),NA(),BF49))</f>
        <v>0.13680555555555554</v>
      </c>
      <c r="AS91" s="7">
        <f t="shared" ref="AS91:AS121" si="58">AT91/($AT$123/$AP$39)</f>
        <v>6.2305851094972722</v>
      </c>
      <c r="AT91" s="7">
        <v>14.035023516024204</v>
      </c>
      <c r="AU91" s="4">
        <v>1</v>
      </c>
      <c r="AV91" s="127">
        <f t="shared" ref="AV91:AV121" si="59">IF(ISBLANK(AP4),"",IF(AP4&gt;0.25*AT91,1,0))</f>
        <v>1</v>
      </c>
      <c r="AW91" s="124">
        <f>IF(ISBLANK(F4),"",IF(AY49&lt;BC91,1,0))</f>
        <v>0</v>
      </c>
      <c r="AX91" s="124">
        <f>IF(ISBLANK(G4),"",IF(AY49&gt;BD91,1,0))</f>
        <v>0</v>
      </c>
      <c r="AY91" s="124">
        <f t="shared" ref="AY91:AY121" si="60">IF(ISBLANK(F4),"",IF(P4&gt;1013,1,0))</f>
        <v>0</v>
      </c>
      <c r="AZ91" s="125">
        <f t="shared" ref="AZ91:AZ121" si="61">$U$39</f>
        <v>4</v>
      </c>
      <c r="BA91" s="125">
        <f t="shared" ref="BA91:BA121" si="62">$BB$83</f>
        <v>14.7</v>
      </c>
      <c r="BB91" s="125">
        <f t="shared" ref="BB91:BB121" si="63">$BC$83</f>
        <v>20.7</v>
      </c>
      <c r="BC91" s="7">
        <v>15.286666666666665</v>
      </c>
      <c r="BD91" s="7">
        <v>21.193333333333332</v>
      </c>
      <c r="BE91" s="124"/>
      <c r="BF91" s="8">
        <f t="shared" ref="BF91:BF121" si="64">IF(ISBLANK(M4),NA(),M4)</f>
        <v>51</v>
      </c>
      <c r="BG91" s="21">
        <f t="shared" ref="BG91:BG121" si="65">IF(ISBLANK(H4),NA(),H4)</f>
        <v>21.4</v>
      </c>
      <c r="BH91" s="124">
        <f t="shared" ref="BH91:BH121" si="66">IF(ISBLANK(F4),"",IF(Q4&lt;1013,1,0))</f>
        <v>0</v>
      </c>
      <c r="BI91" s="124">
        <f>IF(ISBLANK(L4),"",IF(AQ4&gt;0.4,1,0))</f>
        <v>0</v>
      </c>
      <c r="BJ91" s="144">
        <f t="shared" ref="BJ91:BJ121" si="67">IF(ISBLANK(Z4),"",Z4/3)</f>
        <v>0</v>
      </c>
      <c r="BL91" s="99">
        <v>1</v>
      </c>
    </row>
    <row r="92" spans="1:64" ht="12.75" x14ac:dyDescent="0.2">
      <c r="A92" s="8">
        <f t="shared" si="31"/>
        <v>39</v>
      </c>
      <c r="B92" s="125">
        <f t="shared" si="32"/>
        <v>13.2</v>
      </c>
      <c r="C92" s="125">
        <f t="shared" si="33"/>
        <v>22.2</v>
      </c>
      <c r="D92" s="125">
        <f t="shared" ref="D92:D121" si="68">AVERAGE(B92:C92)</f>
        <v>17.7</v>
      </c>
      <c r="E92" s="125">
        <f t="shared" si="34"/>
        <v>9</v>
      </c>
      <c r="F92" s="7">
        <v>13.775</v>
      </c>
      <c r="G92" s="7">
        <v>22.67</v>
      </c>
      <c r="H92" s="7">
        <f t="shared" ref="H92:H121" si="69">AVERAGE(F92:G92)</f>
        <v>18.2225</v>
      </c>
      <c r="I92" s="7">
        <f t="shared" ref="I92:I121" si="70">G92-F92</f>
        <v>8.8950000000000014</v>
      </c>
      <c r="K92" s="7">
        <f t="shared" si="35"/>
        <v>9.8000000000000007</v>
      </c>
      <c r="L92" s="7">
        <f t="shared" si="36"/>
        <v>22.9</v>
      </c>
      <c r="M92" s="370">
        <f t="shared" si="37"/>
        <v>2.8</v>
      </c>
      <c r="N92" s="1">
        <f t="shared" si="38"/>
        <v>9.9999999999999992E-2</v>
      </c>
      <c r="O92" s="7">
        <f t="shared" si="39"/>
        <v>53</v>
      </c>
      <c r="P92" s="7">
        <f t="shared" si="40"/>
        <v>15.9</v>
      </c>
      <c r="Q92" s="7">
        <f t="shared" si="41"/>
        <v>28</v>
      </c>
      <c r="R92" s="7">
        <f t="shared" si="42"/>
        <v>22</v>
      </c>
      <c r="S92" s="7">
        <f t="shared" si="43"/>
        <v>12.100000000000001</v>
      </c>
      <c r="T92" s="1">
        <v>33</v>
      </c>
      <c r="U92" s="333">
        <f t="shared" si="44"/>
        <v>2</v>
      </c>
      <c r="V92" s="4">
        <v>2</v>
      </c>
      <c r="W92" s="7">
        <f t="shared" si="45"/>
        <v>0.54600000000000004</v>
      </c>
      <c r="X92" s="7">
        <f t="shared" si="46"/>
        <v>9.0090000000000003</v>
      </c>
      <c r="Y92" s="8">
        <f t="shared" si="47"/>
        <v>2</v>
      </c>
      <c r="Z92" s="7">
        <f>IF(ISBLANK(Z5),NA(),SUM($Z$4:Z5))</f>
        <v>0.3</v>
      </c>
      <c r="AA92" s="7">
        <f t="shared" ref="AA92:AA121" si="71">$AB$48*E5</f>
        <v>4</v>
      </c>
      <c r="AB92" s="26">
        <f>IF(ISBLANK(Z5),"",SUM($Z$4:Z5))</f>
        <v>0.3</v>
      </c>
      <c r="AC92" s="115">
        <f t="shared" ref="AC92:AC121" si="72">IF(ISBLANK(Z5),NA(),AB92/AA92)</f>
        <v>7.4999999999999997E-2</v>
      </c>
      <c r="AD92" s="8">
        <f t="shared" si="48"/>
        <v>1013.5</v>
      </c>
      <c r="AE92" s="610">
        <f t="shared" si="49"/>
        <v>1.1656430909925988</v>
      </c>
      <c r="AF92" s="524">
        <f t="shared" si="50"/>
        <v>0.37152777777777773</v>
      </c>
      <c r="AG92" s="22">
        <f>IF(ISBLANK(AP5),NA(),SUM($AP$4:AP5))</f>
        <v>14.5</v>
      </c>
      <c r="AH92" s="7">
        <f>SUM($AS$91:AS92)</f>
        <v>12.439485218114733</v>
      </c>
      <c r="AI92" s="115">
        <f t="shared" si="51"/>
        <v>1.1656430909925988</v>
      </c>
      <c r="AJ92" s="124">
        <f t="shared" si="52"/>
        <v>1</v>
      </c>
      <c r="AK92" s="8">
        <f t="shared" si="53"/>
        <v>1014</v>
      </c>
      <c r="AL92" s="124">
        <f t="shared" si="54"/>
        <v>0</v>
      </c>
      <c r="AM92" s="524">
        <f t="shared" si="55"/>
        <v>0.7729166666666667</v>
      </c>
      <c r="AN92" s="45">
        <f t="array" ref="AN92">MAX(FREQUENCY(IF(AJ91:AJ121=0,ROW(91:121)),IF(AJ91:AJ121&lt;&gt;0,ROW(91:121))))</f>
        <v>4</v>
      </c>
      <c r="AO92" s="524">
        <f t="shared" si="56"/>
        <v>0.72222222222222221</v>
      </c>
      <c r="AP92" s="59" t="s">
        <v>113</v>
      </c>
      <c r="AQ92" s="447">
        <v>4.5999999999999999E-2</v>
      </c>
      <c r="AR92" s="524">
        <f t="shared" si="57"/>
        <v>0.31944444444444448</v>
      </c>
      <c r="AS92" s="7">
        <f t="shared" si="58"/>
        <v>6.2089001086174616</v>
      </c>
      <c r="AT92" s="7">
        <v>13.986175856944927</v>
      </c>
      <c r="AU92" s="4">
        <v>2</v>
      </c>
      <c r="AV92" s="127">
        <f t="shared" si="59"/>
        <v>1</v>
      </c>
      <c r="AW92" s="124">
        <f t="shared" ref="AW92:AW121" si="73">IF(ISBLANK(F5),"",IF(AY50&lt;BC92,1,0))</f>
        <v>0</v>
      </c>
      <c r="AX92" s="124">
        <f t="shared" ref="AX92:AX121" si="74">IF(ISBLANK(G5),"",IF(AY50&gt;BD92,1,0))</f>
        <v>1</v>
      </c>
      <c r="AY92" s="124">
        <f t="shared" si="60"/>
        <v>0</v>
      </c>
      <c r="AZ92" s="125">
        <f t="shared" si="61"/>
        <v>4</v>
      </c>
      <c r="BA92" s="125">
        <f t="shared" si="62"/>
        <v>14.7</v>
      </c>
      <c r="BB92" s="125">
        <f t="shared" si="63"/>
        <v>20.7</v>
      </c>
      <c r="BC92" s="7">
        <v>15.2575</v>
      </c>
      <c r="BD92" s="7">
        <v>21.1875</v>
      </c>
      <c r="BE92" s="124"/>
      <c r="BF92" s="8">
        <f t="shared" si="64"/>
        <v>55</v>
      </c>
      <c r="BG92" s="21">
        <f t="shared" si="65"/>
        <v>22.6</v>
      </c>
      <c r="BH92" s="124">
        <f t="shared" si="66"/>
        <v>0</v>
      </c>
      <c r="BI92" s="124">
        <f t="shared" ref="BI92:BI121" si="75">IF(ISBLANK(L5),"",IF(AQ5&gt;0.4,1,0))</f>
        <v>1</v>
      </c>
      <c r="BJ92" s="144">
        <f t="shared" si="67"/>
        <v>9.9999999999999992E-2</v>
      </c>
      <c r="BL92" s="99">
        <v>2</v>
      </c>
    </row>
    <row r="93" spans="1:64" ht="12.75" x14ac:dyDescent="0.2">
      <c r="A93" s="8">
        <f t="shared" si="31"/>
        <v>43</v>
      </c>
      <c r="B93" s="125">
        <f t="shared" si="32"/>
        <v>13.2</v>
      </c>
      <c r="C93" s="125">
        <f t="shared" si="33"/>
        <v>22.2</v>
      </c>
      <c r="D93" s="125">
        <f t="shared" si="68"/>
        <v>17.7</v>
      </c>
      <c r="E93" s="125">
        <f t="shared" si="34"/>
        <v>9</v>
      </c>
      <c r="F93" s="7">
        <v>13.74</v>
      </c>
      <c r="G93" s="7">
        <v>22.65</v>
      </c>
      <c r="H93" s="7">
        <f t="shared" si="69"/>
        <v>18.195</v>
      </c>
      <c r="I93" s="7">
        <f t="shared" si="70"/>
        <v>8.9099999999999984</v>
      </c>
      <c r="K93" s="7">
        <f t="shared" si="35"/>
        <v>13.9</v>
      </c>
      <c r="L93" s="7">
        <f t="shared" si="36"/>
        <v>22.65</v>
      </c>
      <c r="M93" s="370">
        <f t="shared" si="37"/>
        <v>3</v>
      </c>
      <c r="N93" s="1">
        <f t="shared" si="38"/>
        <v>0</v>
      </c>
      <c r="O93" s="7">
        <f t="shared" si="39"/>
        <v>53.333333333333336</v>
      </c>
      <c r="P93" s="7">
        <f t="shared" si="40"/>
        <v>15.833333333333334</v>
      </c>
      <c r="Q93" s="7">
        <f t="shared" si="41"/>
        <v>28.533333333333331</v>
      </c>
      <c r="R93" s="7">
        <f t="shared" si="42"/>
        <v>22.099999999999998</v>
      </c>
      <c r="S93" s="7">
        <f t="shared" si="43"/>
        <v>12.700000000000001</v>
      </c>
      <c r="T93" s="1">
        <v>34</v>
      </c>
      <c r="U93" s="333">
        <f t="shared" si="44"/>
        <v>2</v>
      </c>
      <c r="V93" s="4">
        <v>3</v>
      </c>
      <c r="W93" s="7">
        <f t="shared" si="45"/>
        <v>0.81900000000000006</v>
      </c>
      <c r="X93" s="7">
        <f t="shared" si="46"/>
        <v>9.282</v>
      </c>
      <c r="Y93" s="8">
        <f t="shared" si="47"/>
        <v>1</v>
      </c>
      <c r="Z93" s="7">
        <f>IF(ISBLANK(Z6),NA(),SUM($Z$4:Z6))</f>
        <v>0.3</v>
      </c>
      <c r="AA93" s="7">
        <f t="shared" si="71"/>
        <v>6</v>
      </c>
      <c r="AB93" s="26">
        <f>IF(ISBLANK(Z6),"",SUM($Z$4:Z6))</f>
        <v>0.3</v>
      </c>
      <c r="AC93" s="115">
        <f t="shared" si="72"/>
        <v>4.9999999999999996E-2</v>
      </c>
      <c r="AD93" s="8">
        <f t="shared" si="48"/>
        <v>1013.8333333333334</v>
      </c>
      <c r="AE93" s="610">
        <f t="shared" si="49"/>
        <v>1.2616503765947309</v>
      </c>
      <c r="AF93" s="524">
        <f t="shared" si="50"/>
        <v>0.32430555555555557</v>
      </c>
      <c r="AG93" s="22">
        <f>IF(ISBLANK(AP6),NA(),SUM($AP$4:AP6))</f>
        <v>23.5</v>
      </c>
      <c r="AH93" s="7">
        <f>SUM($AS$91:AS93)</f>
        <v>18.626396374111099</v>
      </c>
      <c r="AI93" s="115">
        <f t="shared" si="51"/>
        <v>1.2616503765947309</v>
      </c>
      <c r="AJ93" s="124">
        <f t="shared" si="52"/>
        <v>0</v>
      </c>
      <c r="AK93" s="8">
        <f t="shared" si="53"/>
        <v>1014.5</v>
      </c>
      <c r="AL93" s="124">
        <f t="shared" si="54"/>
        <v>0</v>
      </c>
      <c r="AM93" s="524">
        <f t="shared" si="55"/>
        <v>0.6381944444444444</v>
      </c>
      <c r="AN93" s="150">
        <f>COUNTIF(E72:E80, "&lt;-0.5")</f>
        <v>0</v>
      </c>
      <c r="AO93" s="524">
        <f t="shared" si="56"/>
        <v>0.63194444444444442</v>
      </c>
      <c r="AP93" s="59" t="s">
        <v>206</v>
      </c>
      <c r="AQ93" s="447">
        <v>4.2000000000000003E-2</v>
      </c>
      <c r="AR93" s="524">
        <f t="shared" si="57"/>
        <v>0.19375000000000001</v>
      </c>
      <c r="AS93" s="7">
        <f t="shared" si="58"/>
        <v>6.1869111559963663</v>
      </c>
      <c r="AT93" s="7">
        <v>13.936643515807432</v>
      </c>
      <c r="AU93" s="4">
        <v>3</v>
      </c>
      <c r="AV93" s="127">
        <f t="shared" si="59"/>
        <v>1</v>
      </c>
      <c r="AW93" s="124">
        <f t="shared" si="73"/>
        <v>0</v>
      </c>
      <c r="AX93" s="124">
        <f t="shared" si="74"/>
        <v>1</v>
      </c>
      <c r="AY93" s="124">
        <f t="shared" si="60"/>
        <v>1</v>
      </c>
      <c r="AZ93" s="125">
        <f t="shared" si="61"/>
        <v>4</v>
      </c>
      <c r="BA93" s="125">
        <f t="shared" si="62"/>
        <v>14.7</v>
      </c>
      <c r="BB93" s="125">
        <f t="shared" si="63"/>
        <v>20.7</v>
      </c>
      <c r="BC93" s="7">
        <v>15.225</v>
      </c>
      <c r="BD93" s="7">
        <v>21.164999999999999</v>
      </c>
      <c r="BE93" s="124"/>
      <c r="BF93" s="8">
        <f t="shared" si="64"/>
        <v>54</v>
      </c>
      <c r="BG93" s="21">
        <f t="shared" si="65"/>
        <v>22.3</v>
      </c>
      <c r="BH93" s="124">
        <f t="shared" si="66"/>
        <v>0</v>
      </c>
      <c r="BI93" s="124">
        <f t="shared" si="75"/>
        <v>0</v>
      </c>
      <c r="BJ93" s="144">
        <f t="shared" si="67"/>
        <v>0</v>
      </c>
      <c r="BL93" s="99">
        <v>3</v>
      </c>
    </row>
    <row r="94" spans="1:64" ht="12.75" x14ac:dyDescent="0.2">
      <c r="A94" s="8">
        <f t="shared" si="31"/>
        <v>35</v>
      </c>
      <c r="B94" s="125">
        <f t="shared" si="32"/>
        <v>13.2</v>
      </c>
      <c r="C94" s="125">
        <f t="shared" si="33"/>
        <v>22.2</v>
      </c>
      <c r="D94" s="125">
        <f t="shared" si="68"/>
        <v>17.7</v>
      </c>
      <c r="E94" s="125">
        <f t="shared" si="34"/>
        <v>9</v>
      </c>
      <c r="F94" s="7">
        <v>13.705</v>
      </c>
      <c r="G94" s="7">
        <v>22.63</v>
      </c>
      <c r="H94" s="7">
        <f t="shared" si="69"/>
        <v>18.1675</v>
      </c>
      <c r="I94" s="7">
        <f t="shared" si="70"/>
        <v>8.9249999999999989</v>
      </c>
      <c r="K94" s="7">
        <f t="shared" si="35"/>
        <v>3.6</v>
      </c>
      <c r="L94" s="7">
        <f t="shared" si="36"/>
        <v>18.399999999999999</v>
      </c>
      <c r="M94" s="370">
        <f t="shared" si="37"/>
        <v>3.7250000000000001</v>
      </c>
      <c r="N94" s="1">
        <f t="shared" si="38"/>
        <v>3.8666666666666667</v>
      </c>
      <c r="O94" s="7">
        <f t="shared" si="39"/>
        <v>60.5</v>
      </c>
      <c r="P94" s="7">
        <f t="shared" si="40"/>
        <v>16.024999999999999</v>
      </c>
      <c r="Q94" s="7">
        <f t="shared" si="41"/>
        <v>26.45</v>
      </c>
      <c r="R94" s="7">
        <f t="shared" si="42"/>
        <v>21.125</v>
      </c>
      <c r="S94" s="7">
        <f t="shared" si="43"/>
        <v>10.425000000000001</v>
      </c>
      <c r="T94" s="1">
        <v>35</v>
      </c>
      <c r="U94" s="333">
        <f t="shared" si="44"/>
        <v>2</v>
      </c>
      <c r="V94" s="4">
        <v>4</v>
      </c>
      <c r="W94" s="7">
        <f t="shared" si="45"/>
        <v>1.0920000000000001</v>
      </c>
      <c r="X94" s="7">
        <f t="shared" si="46"/>
        <v>9.5550000000000015</v>
      </c>
      <c r="Y94" s="8">
        <f t="shared" si="47"/>
        <v>7</v>
      </c>
      <c r="Z94" s="7">
        <f>IF(ISBLANK(Z7),NA(),SUM($Z$4:Z7))</f>
        <v>11.9</v>
      </c>
      <c r="AA94" s="7">
        <f t="shared" si="71"/>
        <v>8</v>
      </c>
      <c r="AB94" s="26">
        <f>IF(ISBLANK(Z7),"",SUM($Z$4:Z7))</f>
        <v>11.9</v>
      </c>
      <c r="AC94" s="115">
        <f t="shared" si="72"/>
        <v>1.4875</v>
      </c>
      <c r="AD94" s="8">
        <f t="shared" si="48"/>
        <v>1013</v>
      </c>
      <c r="AE94" s="610">
        <f t="shared" si="49"/>
        <v>0.98826085768242777</v>
      </c>
      <c r="AF94" s="524" t="e">
        <f t="shared" si="50"/>
        <v>#N/A</v>
      </c>
      <c r="AG94" s="22">
        <f>IF(ISBLANK(AP7),NA(),SUM($AP$4:AP7))</f>
        <v>24.5</v>
      </c>
      <c r="AH94" s="7">
        <f>SUM($AS$91:AS94)</f>
        <v>24.791025375076568</v>
      </c>
      <c r="AI94" s="115">
        <f t="shared" si="51"/>
        <v>0.98826085768242777</v>
      </c>
      <c r="AJ94" s="124">
        <f t="shared" si="52"/>
        <v>1</v>
      </c>
      <c r="AK94" s="8">
        <f t="shared" si="53"/>
        <v>1010.5</v>
      </c>
      <c r="AL94" s="124">
        <f t="shared" si="54"/>
        <v>1</v>
      </c>
      <c r="AM94" s="524" t="e">
        <f t="shared" si="55"/>
        <v>#N/A</v>
      </c>
      <c r="AN94" s="141">
        <f t="array" ref="AN94">MAX(FREQUENCY(IF(BI91:BI121=1,ROW(91:121)),IF(BI91:BI121&lt;&gt;1,ROW(91:121))))</f>
        <v>5</v>
      </c>
      <c r="AO94" s="524">
        <f t="shared" si="56"/>
        <v>0.8125</v>
      </c>
      <c r="AP94" s="449" t="s">
        <v>105</v>
      </c>
      <c r="AQ94" s="448">
        <v>3.5000000000000003E-2</v>
      </c>
      <c r="AR94" s="524">
        <f t="shared" si="57"/>
        <v>0.31944444444444448</v>
      </c>
      <c r="AS94" s="7">
        <f t="shared" si="58"/>
        <v>6.1646290009654692</v>
      </c>
      <c r="AT94" s="7">
        <v>13.886450706568754</v>
      </c>
      <c r="AU94" s="4">
        <v>4</v>
      </c>
      <c r="AV94" s="127">
        <f t="shared" si="59"/>
        <v>0</v>
      </c>
      <c r="AW94" s="124">
        <f t="shared" si="73"/>
        <v>0</v>
      </c>
      <c r="AX94" s="124">
        <f t="shared" si="74"/>
        <v>0</v>
      </c>
      <c r="AY94" s="124">
        <f t="shared" si="60"/>
        <v>0</v>
      </c>
      <c r="AZ94" s="125">
        <f t="shared" si="61"/>
        <v>4</v>
      </c>
      <c r="BA94" s="125">
        <f t="shared" si="62"/>
        <v>14.7</v>
      </c>
      <c r="BB94" s="125">
        <f t="shared" si="63"/>
        <v>20.7</v>
      </c>
      <c r="BC94" s="7">
        <v>15.192500000000001</v>
      </c>
      <c r="BD94" s="7">
        <v>21.142499999999998</v>
      </c>
      <c r="BE94" s="124"/>
      <c r="BF94" s="8">
        <f t="shared" si="64"/>
        <v>82</v>
      </c>
      <c r="BG94" s="21">
        <f t="shared" si="65"/>
        <v>18.2</v>
      </c>
      <c r="BH94" s="124">
        <f t="shared" si="66"/>
        <v>0</v>
      </c>
      <c r="BI94" s="124">
        <f t="shared" si="75"/>
        <v>1</v>
      </c>
      <c r="BJ94" s="144">
        <f t="shared" si="67"/>
        <v>3.8666666666666667</v>
      </c>
      <c r="BL94" s="99">
        <v>4</v>
      </c>
    </row>
    <row r="95" spans="1:64" ht="12.75" x14ac:dyDescent="0.2">
      <c r="A95" s="8">
        <f t="shared" si="31"/>
        <v>48</v>
      </c>
      <c r="B95" s="125">
        <f t="shared" si="32"/>
        <v>13.2</v>
      </c>
      <c r="C95" s="125">
        <f t="shared" si="33"/>
        <v>22.2</v>
      </c>
      <c r="D95" s="125">
        <f t="shared" si="68"/>
        <v>17.7</v>
      </c>
      <c r="E95" s="125">
        <f t="shared" si="34"/>
        <v>9</v>
      </c>
      <c r="F95" s="7">
        <v>13.67</v>
      </c>
      <c r="G95" s="7">
        <v>22.62</v>
      </c>
      <c r="H95" s="7">
        <f t="shared" si="69"/>
        <v>18.145</v>
      </c>
      <c r="I95" s="7">
        <f t="shared" si="70"/>
        <v>8.9500000000000011</v>
      </c>
      <c r="K95" s="7">
        <f t="shared" si="35"/>
        <v>10</v>
      </c>
      <c r="L95" s="7">
        <f t="shared" si="36"/>
        <v>19.7</v>
      </c>
      <c r="M95" s="370">
        <f t="shared" si="37"/>
        <v>3.7600000000000002</v>
      </c>
      <c r="N95" s="1">
        <f t="shared" si="38"/>
        <v>0</v>
      </c>
      <c r="O95" s="7">
        <f t="shared" si="39"/>
        <v>62</v>
      </c>
      <c r="P95" s="7">
        <f t="shared" si="40"/>
        <v>15.76</v>
      </c>
      <c r="Q95" s="7">
        <f t="shared" si="41"/>
        <v>26.1</v>
      </c>
      <c r="R95" s="7">
        <f t="shared" si="42"/>
        <v>20.759999999999998</v>
      </c>
      <c r="S95" s="7">
        <f t="shared" si="43"/>
        <v>10.34</v>
      </c>
      <c r="T95" s="1">
        <v>36</v>
      </c>
      <c r="U95" s="333">
        <f t="shared" si="44"/>
        <v>2</v>
      </c>
      <c r="V95" s="4">
        <v>5</v>
      </c>
      <c r="W95" s="7">
        <f t="shared" si="45"/>
        <v>1.3650000000000002</v>
      </c>
      <c r="X95" s="7">
        <f t="shared" si="46"/>
        <v>9.8280000000000012</v>
      </c>
      <c r="Y95" s="8">
        <f t="shared" si="47"/>
        <v>4</v>
      </c>
      <c r="Z95" s="7">
        <f>IF(ISBLANK(Z8),NA(),SUM($Z$4:Z8))</f>
        <v>11.9</v>
      </c>
      <c r="AA95" s="7">
        <f t="shared" si="71"/>
        <v>10</v>
      </c>
      <c r="AB95" s="26">
        <f>IF(ISBLANK(Z8),"",SUM($Z$4:Z8))</f>
        <v>11.9</v>
      </c>
      <c r="AC95" s="115">
        <f t="shared" si="72"/>
        <v>1.19</v>
      </c>
      <c r="AD95" s="8">
        <f t="shared" si="48"/>
        <v>1012.6</v>
      </c>
      <c r="AE95" s="610">
        <f t="shared" si="49"/>
        <v>0.98599914924643317</v>
      </c>
      <c r="AF95" s="524">
        <f t="shared" si="50"/>
        <v>0.30555555555555552</v>
      </c>
      <c r="AG95" s="22">
        <f>IF(ISBLANK(AP8),NA(),SUM($AP$4:AP8))</f>
        <v>30.5</v>
      </c>
      <c r="AH95" s="7">
        <f>SUM($AS$91:AS95)</f>
        <v>30.933089570422197</v>
      </c>
      <c r="AI95" s="115">
        <f t="shared" si="51"/>
        <v>0.98599914924643317</v>
      </c>
      <c r="AJ95" s="124">
        <f t="shared" si="52"/>
        <v>0</v>
      </c>
      <c r="AK95" s="8">
        <f t="shared" si="53"/>
        <v>1011</v>
      </c>
      <c r="AL95" s="124">
        <f t="shared" si="54"/>
        <v>0</v>
      </c>
      <c r="AM95" s="524">
        <f t="shared" si="55"/>
        <v>0.7583333333333333</v>
      </c>
      <c r="AN95" s="141">
        <f t="array" ref="AN95">MAX(FREQUENCY(IF(BI91:BI121=0,ROW(91:121)),IF(BI91:BI121&lt;&gt;0,ROW(91:121))))</f>
        <v>4</v>
      </c>
      <c r="AO95" s="524">
        <f t="shared" si="56"/>
        <v>0.75208333333333333</v>
      </c>
      <c r="AP95" s="449" t="s">
        <v>207</v>
      </c>
      <c r="AQ95" s="448">
        <v>0.04</v>
      </c>
      <c r="AR95" s="524">
        <f t="shared" si="57"/>
        <v>0.27152777777777776</v>
      </c>
      <c r="AS95" s="7">
        <f t="shared" si="58"/>
        <v>6.1420641953456299</v>
      </c>
      <c r="AT95" s="7">
        <v>13.835621198273262</v>
      </c>
      <c r="AU95" s="4">
        <v>5</v>
      </c>
      <c r="AV95" s="127">
        <f t="shared" si="59"/>
        <v>1</v>
      </c>
      <c r="AW95" s="124">
        <f t="shared" si="73"/>
        <v>0</v>
      </c>
      <c r="AX95" s="124">
        <f t="shared" si="74"/>
        <v>0</v>
      </c>
      <c r="AY95" s="124">
        <f t="shared" si="60"/>
        <v>0</v>
      </c>
      <c r="AZ95" s="125">
        <f t="shared" si="61"/>
        <v>4</v>
      </c>
      <c r="BA95" s="125">
        <f t="shared" si="62"/>
        <v>14.7</v>
      </c>
      <c r="BB95" s="125">
        <f t="shared" si="63"/>
        <v>20.7</v>
      </c>
      <c r="BC95" s="7">
        <v>15.161666666666667</v>
      </c>
      <c r="BD95" s="7">
        <v>21.12833333333333</v>
      </c>
      <c r="BE95" s="124"/>
      <c r="BF95" s="8">
        <f t="shared" si="64"/>
        <v>68</v>
      </c>
      <c r="BG95" s="21">
        <f t="shared" si="65"/>
        <v>19.3</v>
      </c>
      <c r="BH95" s="124">
        <f t="shared" si="66"/>
        <v>0</v>
      </c>
      <c r="BI95" s="124">
        <f t="shared" si="75"/>
        <v>0</v>
      </c>
      <c r="BJ95" s="144">
        <f t="shared" si="67"/>
        <v>0</v>
      </c>
      <c r="BL95" s="99">
        <v>5</v>
      </c>
    </row>
    <row r="96" spans="1:64" ht="12.75" x14ac:dyDescent="0.2">
      <c r="A96" s="8">
        <f t="shared" si="31"/>
        <v>27</v>
      </c>
      <c r="B96" s="125">
        <f t="shared" si="32"/>
        <v>13.2</v>
      </c>
      <c r="C96" s="125">
        <f t="shared" si="33"/>
        <v>22.2</v>
      </c>
      <c r="D96" s="125">
        <f t="shared" si="68"/>
        <v>17.7</v>
      </c>
      <c r="E96" s="125">
        <f t="shared" si="34"/>
        <v>9</v>
      </c>
      <c r="F96" s="7">
        <v>13.6</v>
      </c>
      <c r="G96" s="7">
        <v>22.61</v>
      </c>
      <c r="H96" s="7">
        <f t="shared" si="69"/>
        <v>18.105</v>
      </c>
      <c r="I96" s="7">
        <f t="shared" si="70"/>
        <v>9.01</v>
      </c>
      <c r="K96" s="7">
        <f t="shared" si="35"/>
        <v>5.0999999999999996</v>
      </c>
      <c r="L96" s="7">
        <f t="shared" si="36"/>
        <v>17.350000000000001</v>
      </c>
      <c r="M96" s="370">
        <f t="shared" si="37"/>
        <v>4</v>
      </c>
      <c r="N96" s="1">
        <f t="shared" si="38"/>
        <v>3.3333333333333333E-2</v>
      </c>
      <c r="O96" s="7">
        <f t="shared" si="39"/>
        <v>62.833333333333336</v>
      </c>
      <c r="P96" s="7">
        <f t="shared" si="40"/>
        <v>15.6</v>
      </c>
      <c r="Q96" s="7">
        <f t="shared" si="41"/>
        <v>25.066666666666666</v>
      </c>
      <c r="R96" s="7">
        <f t="shared" si="42"/>
        <v>20.2</v>
      </c>
      <c r="S96" s="7">
        <f t="shared" si="43"/>
        <v>9.4666666666666668</v>
      </c>
      <c r="T96" s="1">
        <v>37</v>
      </c>
      <c r="U96" s="333">
        <f t="shared" si="44"/>
        <v>2</v>
      </c>
      <c r="V96" s="4">
        <v>6</v>
      </c>
      <c r="W96" s="7">
        <f t="shared" si="45"/>
        <v>1.6380000000000001</v>
      </c>
      <c r="X96" s="7">
        <f t="shared" si="46"/>
        <v>10.101000000000001</v>
      </c>
      <c r="Y96" s="8">
        <f t="shared" si="47"/>
        <v>9</v>
      </c>
      <c r="Z96" s="7">
        <f>IF(ISBLANK(Z9),NA(),SUM($Z$4:Z9))</f>
        <v>12</v>
      </c>
      <c r="AA96" s="7">
        <f t="shared" si="71"/>
        <v>12</v>
      </c>
      <c r="AB96" s="26">
        <f>IF(ISBLANK(Z9),"",SUM($Z$4:Z9))</f>
        <v>12</v>
      </c>
      <c r="AC96" s="115">
        <f t="shared" si="72"/>
        <v>1</v>
      </c>
      <c r="AD96" s="8">
        <f t="shared" si="48"/>
        <v>1011.25</v>
      </c>
      <c r="AE96" s="610">
        <f t="shared" si="49"/>
        <v>0.85014927115057248</v>
      </c>
      <c r="AF96" s="524">
        <f t="shared" si="50"/>
        <v>0.27430555555555552</v>
      </c>
      <c r="AG96" s="22">
        <f>IF(ISBLANK(AP9),NA(),SUM($AP$4:AP9))</f>
        <v>31.5</v>
      </c>
      <c r="AH96" s="7">
        <f>SUM($AS$91:AS96)</f>
        <v>37.052316656542708</v>
      </c>
      <c r="AI96" s="115">
        <f t="shared" si="51"/>
        <v>0.85014927115057248</v>
      </c>
      <c r="AJ96" s="124">
        <f t="shared" si="52"/>
        <v>0</v>
      </c>
      <c r="AK96" s="8">
        <f t="shared" si="53"/>
        <v>1004.5</v>
      </c>
      <c r="AL96" s="124">
        <f t="shared" si="54"/>
        <v>0</v>
      </c>
      <c r="AM96" s="524">
        <f t="shared" si="55"/>
        <v>0.6381944444444444</v>
      </c>
      <c r="AN96" s="124">
        <f>COUNTIF(AU50:AU60, "&lt;-0.5")</f>
        <v>1</v>
      </c>
      <c r="AO96" s="524">
        <f t="shared" si="56"/>
        <v>0.62847222222222221</v>
      </c>
      <c r="AP96" s="449" t="s">
        <v>106</v>
      </c>
      <c r="AQ96" s="448">
        <v>1.2999999999999999E-2</v>
      </c>
      <c r="AR96" s="524">
        <f t="shared" si="57"/>
        <v>0.26041666666666669</v>
      </c>
      <c r="AS96" s="7">
        <f t="shared" si="58"/>
        <v>6.119227086120512</v>
      </c>
      <c r="AT96" s="7">
        <v>13.784178298548809</v>
      </c>
      <c r="AU96" s="4">
        <v>6</v>
      </c>
      <c r="AV96" s="127">
        <f t="shared" si="59"/>
        <v>0</v>
      </c>
      <c r="AW96" s="124">
        <f t="shared" si="73"/>
        <v>0</v>
      </c>
      <c r="AX96" s="124">
        <f t="shared" si="74"/>
        <v>0</v>
      </c>
      <c r="AY96" s="124">
        <f t="shared" si="60"/>
        <v>0</v>
      </c>
      <c r="AZ96" s="125">
        <f t="shared" si="61"/>
        <v>4</v>
      </c>
      <c r="BA96" s="125">
        <f t="shared" si="62"/>
        <v>14.7</v>
      </c>
      <c r="BB96" s="125">
        <f t="shared" si="63"/>
        <v>20.7</v>
      </c>
      <c r="BC96" s="7">
        <v>15.101666666666667</v>
      </c>
      <c r="BD96" s="7">
        <v>21.108333333333334</v>
      </c>
      <c r="BE96" s="124"/>
      <c r="BF96" s="8">
        <f t="shared" si="64"/>
        <v>67</v>
      </c>
      <c r="BG96" s="21">
        <f t="shared" si="65"/>
        <v>17.399999999999999</v>
      </c>
      <c r="BH96" s="124">
        <f t="shared" si="66"/>
        <v>1</v>
      </c>
      <c r="BI96" s="124">
        <f t="shared" si="75"/>
        <v>0</v>
      </c>
      <c r="BJ96" s="144">
        <f t="shared" si="67"/>
        <v>3.3333333333333333E-2</v>
      </c>
      <c r="BL96" s="99">
        <v>6</v>
      </c>
    </row>
    <row r="97" spans="1:64" ht="12.75" x14ac:dyDescent="0.2">
      <c r="A97" s="8">
        <f t="shared" si="31"/>
        <v>36</v>
      </c>
      <c r="B97" s="125">
        <f t="shared" si="32"/>
        <v>13.2</v>
      </c>
      <c r="C97" s="125">
        <f t="shared" si="33"/>
        <v>22.2</v>
      </c>
      <c r="D97" s="125">
        <f t="shared" si="68"/>
        <v>17.7</v>
      </c>
      <c r="E97" s="125">
        <f t="shared" si="34"/>
        <v>9</v>
      </c>
      <c r="F97" s="7">
        <v>13.574999999999999</v>
      </c>
      <c r="G97" s="7">
        <v>22.6</v>
      </c>
      <c r="H97" s="7">
        <f t="shared" si="69"/>
        <v>18.087499999999999</v>
      </c>
      <c r="I97" s="7">
        <f t="shared" si="70"/>
        <v>9.0250000000000021</v>
      </c>
      <c r="K97" s="7">
        <f t="shared" si="35"/>
        <v>7.4</v>
      </c>
      <c r="L97" s="7">
        <f t="shared" si="36"/>
        <v>16.7</v>
      </c>
      <c r="M97" s="370">
        <f t="shared" si="37"/>
        <v>4.2428571428571429</v>
      </c>
      <c r="N97" s="1">
        <f t="shared" si="38"/>
        <v>1.4666666666666668</v>
      </c>
      <c r="O97" s="7">
        <f t="shared" si="39"/>
        <v>64.142857142857139</v>
      </c>
      <c r="P97" s="7">
        <f t="shared" si="40"/>
        <v>15.228571428571428</v>
      </c>
      <c r="Q97" s="7">
        <f t="shared" si="41"/>
        <v>24.400000000000002</v>
      </c>
      <c r="R97" s="7">
        <f t="shared" si="42"/>
        <v>19.542857142857141</v>
      </c>
      <c r="S97" s="7">
        <f t="shared" si="43"/>
        <v>9.1714285714285726</v>
      </c>
      <c r="T97" s="1">
        <v>38</v>
      </c>
      <c r="U97" s="333">
        <f t="shared" si="44"/>
        <v>2</v>
      </c>
      <c r="V97" s="4">
        <v>7</v>
      </c>
      <c r="W97" s="7">
        <f t="shared" si="45"/>
        <v>1.911</v>
      </c>
      <c r="X97" s="7">
        <f t="shared" si="46"/>
        <v>10.374000000000001</v>
      </c>
      <c r="Y97" s="8">
        <f t="shared" si="47"/>
        <v>2</v>
      </c>
      <c r="Z97" s="7">
        <f>IF(ISBLANK(Z10),NA(),SUM($Z$4:Z10))</f>
        <v>16.399999999999999</v>
      </c>
      <c r="AA97" s="7">
        <f t="shared" si="71"/>
        <v>14</v>
      </c>
      <c r="AB97" s="26">
        <f>IF(ISBLANK(Z10),"",SUM($Z$4:Z10))</f>
        <v>16.399999999999999</v>
      </c>
      <c r="AC97" s="115">
        <f t="shared" si="72"/>
        <v>1.1714285714285713</v>
      </c>
      <c r="AD97" s="8">
        <f t="shared" si="48"/>
        <v>1009.9285714285714</v>
      </c>
      <c r="AE97" s="610">
        <f t="shared" si="49"/>
        <v>0.84591693749284236</v>
      </c>
      <c r="AF97" s="524">
        <f t="shared" si="50"/>
        <v>0.22569444444444445</v>
      </c>
      <c r="AG97" s="22">
        <f>IF(ISBLANK(AP10),NA(),SUM($AP$4:AP10))</f>
        <v>36.5</v>
      </c>
      <c r="AH97" s="7">
        <f>SUM($AS$91:AS97)</f>
        <v>43.148444465694176</v>
      </c>
      <c r="AI97" s="115">
        <f t="shared" si="51"/>
        <v>0.84591693749284236</v>
      </c>
      <c r="AJ97" s="124">
        <f t="shared" si="52"/>
        <v>1</v>
      </c>
      <c r="AK97" s="8">
        <f t="shared" si="53"/>
        <v>1002</v>
      </c>
      <c r="AL97" s="124">
        <f t="shared" si="54"/>
        <v>1</v>
      </c>
      <c r="AM97" s="524">
        <f t="shared" si="55"/>
        <v>0.57013888888888886</v>
      </c>
      <c r="AN97" s="150">
        <f>COUNTIF(E48:E66,"&gt;0.5")</f>
        <v>4</v>
      </c>
      <c r="AO97" s="524">
        <f t="shared" si="56"/>
        <v>0.56388888888888888</v>
      </c>
      <c r="AP97" s="449" t="s">
        <v>208</v>
      </c>
      <c r="AQ97" s="448">
        <v>1.0999999999999999E-2</v>
      </c>
      <c r="AR97" s="524">
        <f t="shared" si="57"/>
        <v>0.24027777777777778</v>
      </c>
      <c r="AS97" s="7">
        <f t="shared" si="58"/>
        <v>6.0961278091514686</v>
      </c>
      <c r="AT97" s="7">
        <v>13.732144839448875</v>
      </c>
      <c r="AU97" s="4">
        <v>7</v>
      </c>
      <c r="AV97" s="127">
        <f t="shared" si="59"/>
        <v>1</v>
      </c>
      <c r="AW97" s="124">
        <f t="shared" si="73"/>
        <v>0</v>
      </c>
      <c r="AX97" s="124">
        <f t="shared" si="74"/>
        <v>0</v>
      </c>
      <c r="AY97" s="124">
        <f t="shared" si="60"/>
        <v>0</v>
      </c>
      <c r="AZ97" s="125">
        <f t="shared" si="61"/>
        <v>4</v>
      </c>
      <c r="BA97" s="125">
        <f t="shared" si="62"/>
        <v>14.7</v>
      </c>
      <c r="BB97" s="125">
        <f t="shared" si="63"/>
        <v>20.7</v>
      </c>
      <c r="BC97" s="7">
        <v>15.079166666666666</v>
      </c>
      <c r="BD97" s="7">
        <v>21.095833333333331</v>
      </c>
      <c r="BE97" s="124"/>
      <c r="BF97" s="8">
        <f t="shared" si="64"/>
        <v>72</v>
      </c>
      <c r="BG97" s="21">
        <f t="shared" si="65"/>
        <v>15.6</v>
      </c>
      <c r="BH97" s="124">
        <f t="shared" si="66"/>
        <v>1</v>
      </c>
      <c r="BI97" s="124">
        <f t="shared" si="75"/>
        <v>1</v>
      </c>
      <c r="BJ97" s="144">
        <f t="shared" si="67"/>
        <v>1.4666666666666668</v>
      </c>
      <c r="BL97" s="99">
        <v>7</v>
      </c>
    </row>
    <row r="98" spans="1:64" ht="12.75" x14ac:dyDescent="0.2">
      <c r="A98" s="8">
        <f t="shared" si="31"/>
        <v>50</v>
      </c>
      <c r="B98" s="125">
        <f t="shared" si="32"/>
        <v>13.2</v>
      </c>
      <c r="C98" s="125">
        <f t="shared" si="33"/>
        <v>22.2</v>
      </c>
      <c r="D98" s="125">
        <f t="shared" si="68"/>
        <v>17.7</v>
      </c>
      <c r="E98" s="125">
        <f t="shared" si="34"/>
        <v>9</v>
      </c>
      <c r="F98" s="7">
        <v>13.55</v>
      </c>
      <c r="G98" s="7">
        <v>22.566923076923075</v>
      </c>
      <c r="H98" s="7">
        <f t="shared" si="69"/>
        <v>18.058461538461536</v>
      </c>
      <c r="I98" s="7">
        <f t="shared" si="70"/>
        <v>9.0169230769230744</v>
      </c>
      <c r="K98" s="7">
        <f t="shared" si="35"/>
        <v>9</v>
      </c>
      <c r="L98" s="7">
        <f t="shared" si="36"/>
        <v>16.2</v>
      </c>
      <c r="M98" s="370">
        <f t="shared" si="37"/>
        <v>4.5125000000000002</v>
      </c>
      <c r="N98" s="1">
        <f t="shared" si="38"/>
        <v>0.26666666666666666</v>
      </c>
      <c r="O98" s="7">
        <f t="shared" si="39"/>
        <v>64.5</v>
      </c>
      <c r="P98" s="7">
        <f t="shared" si="40"/>
        <v>14.7875</v>
      </c>
      <c r="Q98" s="7">
        <f t="shared" si="41"/>
        <v>23.9375</v>
      </c>
      <c r="R98" s="7">
        <f t="shared" si="42"/>
        <v>19.149999999999999</v>
      </c>
      <c r="S98" s="7">
        <f t="shared" si="43"/>
        <v>9.15</v>
      </c>
      <c r="T98" s="1">
        <v>39</v>
      </c>
      <c r="U98" s="333">
        <f t="shared" si="44"/>
        <v>2</v>
      </c>
      <c r="V98" s="4">
        <v>8</v>
      </c>
      <c r="W98" s="7">
        <f t="shared" si="45"/>
        <v>2.1840000000000002</v>
      </c>
      <c r="X98" s="7">
        <f t="shared" si="46"/>
        <v>10.647</v>
      </c>
      <c r="Y98" s="8">
        <f t="shared" si="47"/>
        <v>15</v>
      </c>
      <c r="Z98" s="7">
        <f>IF(ISBLANK(Z11),NA(),SUM($Z$4:Z11))</f>
        <v>17.2</v>
      </c>
      <c r="AA98" s="7">
        <f t="shared" si="71"/>
        <v>16</v>
      </c>
      <c r="AB98" s="26">
        <f>IF(ISBLANK(Z11),"",SUM($Z$4:Z11))</f>
        <v>17.2</v>
      </c>
      <c r="AC98" s="115">
        <f t="shared" si="72"/>
        <v>1.075</v>
      </c>
      <c r="AD98" s="8">
        <f t="shared" si="48"/>
        <v>1009.625</v>
      </c>
      <c r="AE98" s="610">
        <f t="shared" si="49"/>
        <v>0.86344871892191455</v>
      </c>
      <c r="AF98" s="524">
        <f t="shared" si="50"/>
        <v>0.2590277777777778</v>
      </c>
      <c r="AG98" s="22">
        <f>IF(ISBLANK(AP11),NA(),SUM($AP$4:AP11))</f>
        <v>42.5</v>
      </c>
      <c r="AH98" s="7">
        <f>SUM($AS$91:AS98)</f>
        <v>49.22122074958277</v>
      </c>
      <c r="AI98" s="115">
        <f t="shared" si="51"/>
        <v>0.86344871892191455</v>
      </c>
      <c r="AJ98" s="124">
        <f t="shared" si="52"/>
        <v>1</v>
      </c>
      <c r="AK98" s="8">
        <f t="shared" si="53"/>
        <v>1007.5</v>
      </c>
      <c r="AL98" s="124">
        <f t="shared" si="54"/>
        <v>0</v>
      </c>
      <c r="AM98" s="524">
        <f t="shared" si="55"/>
        <v>0.6875</v>
      </c>
      <c r="AN98" s="150">
        <f>COUNTIF(E72:E80, "&gt;0.5")</f>
        <v>2</v>
      </c>
      <c r="AO98" s="524">
        <f t="shared" si="56"/>
        <v>0.66736111111111107</v>
      </c>
      <c r="AP98" s="449" t="s">
        <v>112</v>
      </c>
      <c r="AQ98" s="448">
        <v>8.0000000000000002E-3</v>
      </c>
      <c r="AR98" s="524">
        <f t="shared" si="57"/>
        <v>0.24166666666666667</v>
      </c>
      <c r="AS98" s="7">
        <f t="shared" si="58"/>
        <v>6.0727762838885937</v>
      </c>
      <c r="AT98" s="7">
        <v>13.679543165538682</v>
      </c>
      <c r="AU98" s="4">
        <v>8</v>
      </c>
      <c r="AV98" s="127">
        <f t="shared" si="59"/>
        <v>1</v>
      </c>
      <c r="AW98" s="124">
        <f t="shared" si="73"/>
        <v>0</v>
      </c>
      <c r="AX98" s="124">
        <f t="shared" si="74"/>
        <v>0</v>
      </c>
      <c r="AY98" s="124">
        <f t="shared" si="60"/>
        <v>0</v>
      </c>
      <c r="AZ98" s="125">
        <f t="shared" si="61"/>
        <v>4</v>
      </c>
      <c r="BA98" s="125">
        <f t="shared" si="62"/>
        <v>14.7</v>
      </c>
      <c r="BB98" s="125">
        <f t="shared" si="63"/>
        <v>20.7</v>
      </c>
      <c r="BC98" s="7">
        <v>15.05282051282051</v>
      </c>
      <c r="BD98" s="7">
        <v>21.064102564102562</v>
      </c>
      <c r="BE98" s="124"/>
      <c r="BF98" s="8">
        <f t="shared" si="64"/>
        <v>67</v>
      </c>
      <c r="BG98" s="21">
        <f t="shared" si="65"/>
        <v>16.399999999999999</v>
      </c>
      <c r="BH98" s="124">
        <f t="shared" si="66"/>
        <v>0</v>
      </c>
      <c r="BI98" s="124">
        <f t="shared" si="75"/>
        <v>1</v>
      </c>
      <c r="BJ98" s="144">
        <f t="shared" si="67"/>
        <v>0.26666666666666666</v>
      </c>
      <c r="BL98" s="99">
        <v>8</v>
      </c>
    </row>
    <row r="99" spans="1:64" ht="12.75" x14ac:dyDescent="0.2">
      <c r="A99" s="8">
        <f t="shared" si="31"/>
        <v>34</v>
      </c>
      <c r="B99" s="125">
        <f t="shared" si="32"/>
        <v>13.2</v>
      </c>
      <c r="C99" s="125">
        <f t="shared" si="33"/>
        <v>22.2</v>
      </c>
      <c r="D99" s="125">
        <f t="shared" si="68"/>
        <v>17.7</v>
      </c>
      <c r="E99" s="125">
        <f t="shared" si="34"/>
        <v>9</v>
      </c>
      <c r="F99" s="7">
        <v>13.525</v>
      </c>
      <c r="G99" s="7">
        <v>22.533846153846152</v>
      </c>
      <c r="H99" s="7">
        <f t="shared" si="69"/>
        <v>18.029423076923077</v>
      </c>
      <c r="I99" s="7">
        <f t="shared" si="70"/>
        <v>9.0088461538461519</v>
      </c>
      <c r="K99" s="7">
        <f t="shared" si="35"/>
        <v>9.5</v>
      </c>
      <c r="L99" s="7">
        <f t="shared" si="36"/>
        <v>16.350000000000001</v>
      </c>
      <c r="M99" s="370">
        <f t="shared" si="37"/>
        <v>4.5</v>
      </c>
      <c r="N99" s="1">
        <f t="shared" si="38"/>
        <v>0</v>
      </c>
      <c r="O99" s="7">
        <f t="shared" si="39"/>
        <v>63.444444444444443</v>
      </c>
      <c r="P99" s="7">
        <f t="shared" si="40"/>
        <v>14.433333333333334</v>
      </c>
      <c r="Q99" s="7">
        <f t="shared" si="41"/>
        <v>23.62222222222222</v>
      </c>
      <c r="R99" s="7">
        <f t="shared" si="42"/>
        <v>18.81111111111111</v>
      </c>
      <c r="S99" s="7">
        <f t="shared" si="43"/>
        <v>9.18888888888889</v>
      </c>
      <c r="T99" s="1">
        <v>40</v>
      </c>
      <c r="U99" s="333">
        <f t="shared" si="44"/>
        <v>2</v>
      </c>
      <c r="V99" s="4">
        <v>9</v>
      </c>
      <c r="W99" s="7">
        <f t="shared" si="45"/>
        <v>2.4570000000000003</v>
      </c>
      <c r="X99" s="7">
        <f t="shared" si="46"/>
        <v>10.920000000000002</v>
      </c>
      <c r="Y99" s="8">
        <f t="shared" si="47"/>
        <v>11</v>
      </c>
      <c r="Z99" s="7">
        <f>IF(ISBLANK(Z12),NA(),SUM($Z$4:Z12))</f>
        <v>17.2</v>
      </c>
      <c r="AA99" s="7">
        <f t="shared" si="71"/>
        <v>18</v>
      </c>
      <c r="AB99" s="26">
        <f>IF(ISBLANK(Z12),"",SUM($Z$4:Z12))</f>
        <v>17.2</v>
      </c>
      <c r="AC99" s="115">
        <f t="shared" si="72"/>
        <v>0.95555555555555549</v>
      </c>
      <c r="AD99" s="8">
        <f t="shared" si="48"/>
        <v>1010.8333333333334</v>
      </c>
      <c r="AE99" s="610">
        <f t="shared" si="49"/>
        <v>0.93178260412833247</v>
      </c>
      <c r="AF99" s="524">
        <f t="shared" si="50"/>
        <v>0.29166666666666669</v>
      </c>
      <c r="AG99" s="22">
        <f>IF(ISBLANK(AP12),NA(),SUM($AP$4:AP12))</f>
        <v>51.5</v>
      </c>
      <c r="AH99" s="7">
        <f>SUM($AS$91:AS99)</f>
        <v>55.270402958614383</v>
      </c>
      <c r="AI99" s="115">
        <f t="shared" si="51"/>
        <v>0.93178260412833247</v>
      </c>
      <c r="AJ99" s="124">
        <f t="shared" si="52"/>
        <v>0</v>
      </c>
      <c r="AK99" s="8">
        <f t="shared" si="53"/>
        <v>1020.5</v>
      </c>
      <c r="AL99" s="124">
        <f t="shared" si="54"/>
        <v>0</v>
      </c>
      <c r="AM99" s="524">
        <f t="shared" si="55"/>
        <v>0.78472222222222221</v>
      </c>
      <c r="AN99" s="7">
        <f>I39/3</f>
        <v>3</v>
      </c>
      <c r="AO99" s="524">
        <f t="shared" si="56"/>
        <v>0.75</v>
      </c>
      <c r="AP99" s="449" t="s">
        <v>209</v>
      </c>
      <c r="AQ99" s="448">
        <v>1.9E-2</v>
      </c>
      <c r="AR99" s="524">
        <f t="shared" si="57"/>
        <v>0.27569444444444446</v>
      </c>
      <c r="AS99" s="7">
        <f t="shared" si="58"/>
        <v>6.0491822090316125</v>
      </c>
      <c r="AT99" s="7">
        <v>13.626395124120902</v>
      </c>
      <c r="AU99" s="4">
        <v>9</v>
      </c>
      <c r="AV99" s="127">
        <f t="shared" si="59"/>
        <v>1</v>
      </c>
      <c r="AW99" s="124">
        <f t="shared" si="73"/>
        <v>0</v>
      </c>
      <c r="AX99" s="124">
        <f t="shared" si="74"/>
        <v>0</v>
      </c>
      <c r="AY99" s="124">
        <f t="shared" si="60"/>
        <v>1</v>
      </c>
      <c r="AZ99" s="125">
        <f t="shared" si="61"/>
        <v>4</v>
      </c>
      <c r="BA99" s="125">
        <f t="shared" si="62"/>
        <v>14.7</v>
      </c>
      <c r="BB99" s="125">
        <f t="shared" si="63"/>
        <v>20.7</v>
      </c>
      <c r="BC99" s="7">
        <v>15.026474358974356</v>
      </c>
      <c r="BD99" s="7">
        <v>21.032371794871793</v>
      </c>
      <c r="BE99" s="124"/>
      <c r="BF99" s="8">
        <f t="shared" si="64"/>
        <v>55</v>
      </c>
      <c r="BG99" s="21">
        <f t="shared" si="65"/>
        <v>16.100000000000001</v>
      </c>
      <c r="BH99" s="124">
        <f t="shared" si="66"/>
        <v>0</v>
      </c>
      <c r="BI99" s="124">
        <f t="shared" si="75"/>
        <v>0</v>
      </c>
      <c r="BJ99" s="144">
        <f t="shared" si="67"/>
        <v>0</v>
      </c>
      <c r="BL99" s="99">
        <v>9</v>
      </c>
    </row>
    <row r="100" spans="1:64" ht="12.75" x14ac:dyDescent="0.2">
      <c r="A100" s="8">
        <f t="shared" si="31"/>
        <v>35</v>
      </c>
      <c r="B100" s="125">
        <f t="shared" si="32"/>
        <v>13.2</v>
      </c>
      <c r="C100" s="125">
        <f t="shared" si="33"/>
        <v>22.2</v>
      </c>
      <c r="D100" s="125">
        <f t="shared" si="68"/>
        <v>17.7</v>
      </c>
      <c r="E100" s="125">
        <f t="shared" si="34"/>
        <v>9</v>
      </c>
      <c r="F100" s="7">
        <v>13.5</v>
      </c>
      <c r="G100" s="7">
        <v>22.50076923076923</v>
      </c>
      <c r="H100" s="7">
        <f t="shared" si="69"/>
        <v>18.000384615384615</v>
      </c>
      <c r="I100" s="7">
        <f t="shared" si="70"/>
        <v>9.0007692307692295</v>
      </c>
      <c r="K100" s="7">
        <f t="shared" si="35"/>
        <v>13.8</v>
      </c>
      <c r="L100" s="7">
        <f t="shared" si="36"/>
        <v>16.100000000000001</v>
      </c>
      <c r="M100" s="370">
        <f t="shared" si="37"/>
        <v>4.63</v>
      </c>
      <c r="N100" s="1">
        <f t="shared" si="38"/>
        <v>0</v>
      </c>
      <c r="O100" s="7">
        <f t="shared" si="39"/>
        <v>63.1</v>
      </c>
      <c r="P100" s="7">
        <f t="shared" si="40"/>
        <v>13.91</v>
      </c>
      <c r="Q100" s="7">
        <f t="shared" si="41"/>
        <v>23.56</v>
      </c>
      <c r="R100" s="7">
        <f t="shared" si="42"/>
        <v>18.61</v>
      </c>
      <c r="S100" s="7">
        <f t="shared" si="43"/>
        <v>9.65</v>
      </c>
      <c r="T100" s="1">
        <v>41</v>
      </c>
      <c r="U100" s="333">
        <f t="shared" si="44"/>
        <v>2</v>
      </c>
      <c r="V100" s="4">
        <v>10</v>
      </c>
      <c r="W100" s="7">
        <f t="shared" si="45"/>
        <v>2.7300000000000004</v>
      </c>
      <c r="X100" s="7">
        <f t="shared" si="46"/>
        <v>11.193000000000001</v>
      </c>
      <c r="Y100" s="8">
        <f t="shared" si="47"/>
        <v>11</v>
      </c>
      <c r="Z100" s="7">
        <f>IF(ISBLANK(Z13),NA(),SUM($Z$4:Z13))</f>
        <v>17.2</v>
      </c>
      <c r="AA100" s="7">
        <f t="shared" si="71"/>
        <v>20</v>
      </c>
      <c r="AB100" s="26">
        <f>IF(ISBLANK(Z13),"",SUM($Z$4:Z13))</f>
        <v>17.2</v>
      </c>
      <c r="AC100" s="115">
        <f t="shared" si="72"/>
        <v>0.86</v>
      </c>
      <c r="AD100" s="8">
        <f t="shared" si="48"/>
        <v>1011.9</v>
      </c>
      <c r="AE100" s="610">
        <f t="shared" si="49"/>
        <v>0.97070338836189618</v>
      </c>
      <c r="AF100" s="524">
        <f t="shared" si="50"/>
        <v>0.26944444444444443</v>
      </c>
      <c r="AG100" s="22">
        <f>IF(ISBLANK(AP13),NA(),SUM($AP$4:AP13))</f>
        <v>59.5</v>
      </c>
      <c r="AH100" s="7">
        <f>SUM($AS$91:AS100)</f>
        <v>61.295758017707982</v>
      </c>
      <c r="AI100" s="115">
        <f t="shared" si="51"/>
        <v>0.97070338836189618</v>
      </c>
      <c r="AJ100" s="124">
        <f t="shared" si="52"/>
        <v>0</v>
      </c>
      <c r="AK100" s="8">
        <f t="shared" si="53"/>
        <v>1021.5</v>
      </c>
      <c r="AL100" s="124">
        <f t="shared" si="54"/>
        <v>0</v>
      </c>
      <c r="AM100" s="524">
        <f t="shared" si="55"/>
        <v>0.60486111111111118</v>
      </c>
      <c r="AN100" s="150">
        <f>COUNTIF(E48:E66,"&lt;-0.5")</f>
        <v>4</v>
      </c>
      <c r="AO100" s="524">
        <f t="shared" si="56"/>
        <v>0.66041666666666665</v>
      </c>
      <c r="AP100" s="449" t="s">
        <v>111</v>
      </c>
      <c r="AQ100" s="448">
        <v>5.5E-2</v>
      </c>
      <c r="AR100" s="524">
        <f t="shared" si="57"/>
        <v>0.23680555555555557</v>
      </c>
      <c r="AS100" s="7">
        <f t="shared" si="58"/>
        <v>6.0253550590936014</v>
      </c>
      <c r="AT100" s="7">
        <v>13.572722057495092</v>
      </c>
      <c r="AU100" s="4">
        <v>10</v>
      </c>
      <c r="AV100" s="127">
        <f t="shared" si="59"/>
        <v>1</v>
      </c>
      <c r="AW100" s="124">
        <f t="shared" si="73"/>
        <v>0</v>
      </c>
      <c r="AX100" s="124">
        <f t="shared" si="74"/>
        <v>0</v>
      </c>
      <c r="AY100" s="124">
        <f t="shared" si="60"/>
        <v>1</v>
      </c>
      <c r="AZ100" s="125">
        <f t="shared" si="61"/>
        <v>4</v>
      </c>
      <c r="BA100" s="125">
        <f t="shared" si="62"/>
        <v>14.7</v>
      </c>
      <c r="BB100" s="125">
        <f t="shared" si="63"/>
        <v>20.7</v>
      </c>
      <c r="BC100" s="7">
        <v>15.000128205128204</v>
      </c>
      <c r="BD100" s="7">
        <v>21.000641025641023</v>
      </c>
      <c r="BE100" s="124"/>
      <c r="BF100" s="8">
        <f t="shared" si="64"/>
        <v>60</v>
      </c>
      <c r="BG100" s="21">
        <f t="shared" si="65"/>
        <v>16.8</v>
      </c>
      <c r="BH100" s="124">
        <f t="shared" si="66"/>
        <v>0</v>
      </c>
      <c r="BI100" s="124">
        <f t="shared" si="75"/>
        <v>0</v>
      </c>
      <c r="BJ100" s="144">
        <f t="shared" si="67"/>
        <v>0</v>
      </c>
      <c r="BL100" s="99">
        <v>10</v>
      </c>
    </row>
    <row r="101" spans="1:64" ht="12.75" x14ac:dyDescent="0.2">
      <c r="A101" s="8">
        <f t="shared" si="31"/>
        <v>22</v>
      </c>
      <c r="B101" s="125">
        <f t="shared" si="32"/>
        <v>13.2</v>
      </c>
      <c r="C101" s="125">
        <f t="shared" si="33"/>
        <v>22.2</v>
      </c>
      <c r="D101" s="125">
        <f t="shared" si="68"/>
        <v>17.7</v>
      </c>
      <c r="E101" s="125">
        <f t="shared" si="34"/>
        <v>9</v>
      </c>
      <c r="F101" s="7">
        <v>13.475</v>
      </c>
      <c r="G101" s="7">
        <v>22.467692307692307</v>
      </c>
      <c r="H101" s="7">
        <f t="shared" si="69"/>
        <v>17.971346153846152</v>
      </c>
      <c r="I101" s="7">
        <f t="shared" si="70"/>
        <v>8.9926923076923071</v>
      </c>
      <c r="K101" s="7">
        <f t="shared" si="35"/>
        <v>6.6</v>
      </c>
      <c r="L101" s="7">
        <f t="shared" si="36"/>
        <v>18.399999999999999</v>
      </c>
      <c r="M101" s="370">
        <f t="shared" si="37"/>
        <v>4.8272727272727272</v>
      </c>
      <c r="N101" s="1">
        <f t="shared" si="38"/>
        <v>1.5333333333333332</v>
      </c>
      <c r="O101" s="7">
        <f t="shared" si="39"/>
        <v>64.454545454545453</v>
      </c>
      <c r="P101" s="7">
        <f t="shared" si="40"/>
        <v>14.018181818181818</v>
      </c>
      <c r="Q101" s="7">
        <f t="shared" si="41"/>
        <v>23.390909090909091</v>
      </c>
      <c r="R101" s="7">
        <f t="shared" si="42"/>
        <v>18.518181818181816</v>
      </c>
      <c r="S101" s="7">
        <f t="shared" si="43"/>
        <v>9.372727272727273</v>
      </c>
      <c r="T101" s="1">
        <v>42</v>
      </c>
      <c r="U101" s="333">
        <f t="shared" si="44"/>
        <v>2</v>
      </c>
      <c r="V101" s="4">
        <v>11</v>
      </c>
      <c r="W101" s="7">
        <f t="shared" si="45"/>
        <v>3.0030000000000001</v>
      </c>
      <c r="X101" s="7">
        <f t="shared" si="46"/>
        <v>11.466000000000001</v>
      </c>
      <c r="Y101" s="8">
        <f t="shared" si="47"/>
        <v>8</v>
      </c>
      <c r="Z101" s="7">
        <f>IF(ISBLANK(Z14),NA(),SUM($Z$4:Z14))</f>
        <v>21.799999999999997</v>
      </c>
      <c r="AA101" s="7">
        <f t="shared" si="71"/>
        <v>22</v>
      </c>
      <c r="AB101" s="26">
        <f>IF(ISBLANK(Z14),"",SUM($Z$4:Z14))</f>
        <v>21.799999999999997</v>
      </c>
      <c r="AC101" s="115">
        <f t="shared" si="72"/>
        <v>0.99090909090909074</v>
      </c>
      <c r="AD101" s="8">
        <f t="shared" si="48"/>
        <v>1011.9090909090909</v>
      </c>
      <c r="AE101" s="610">
        <f t="shared" si="49"/>
        <v>0.92871810522079323</v>
      </c>
      <c r="AF101" s="524" t="e">
        <f t="shared" si="50"/>
        <v>#N/A</v>
      </c>
      <c r="AG101" s="22">
        <f>IF(ISBLANK(AP14),NA(),SUM($AP$4:AP14))</f>
        <v>62.5</v>
      </c>
      <c r="AH101" s="7">
        <f>SUM($AS$91:AS101)</f>
        <v>67.297062099528318</v>
      </c>
      <c r="AI101" s="115">
        <f t="shared" si="51"/>
        <v>0.92871810522079323</v>
      </c>
      <c r="AJ101" s="124">
        <f t="shared" si="52"/>
        <v>1</v>
      </c>
      <c r="AK101" s="8">
        <f t="shared" si="53"/>
        <v>1012</v>
      </c>
      <c r="AL101" s="124">
        <f t="shared" si="54"/>
        <v>1</v>
      </c>
      <c r="AM101" s="524">
        <f t="shared" si="55"/>
        <v>0.80069444444444438</v>
      </c>
      <c r="AN101" s="124">
        <f>COUNTIF(AU50:AU60, "&gt;0.5")</f>
        <v>4</v>
      </c>
      <c r="AO101" s="524">
        <f t="shared" si="56"/>
        <v>0.74513888888888891</v>
      </c>
      <c r="AP101" s="449" t="s">
        <v>210</v>
      </c>
      <c r="AQ101" s="450">
        <v>0.13800000000000001</v>
      </c>
      <c r="AR101" s="524">
        <f t="shared" si="57"/>
        <v>0.1986111111111111</v>
      </c>
      <c r="AS101" s="7">
        <f t="shared" si="58"/>
        <v>6.0013040818203391</v>
      </c>
      <c r="AT101" s="7">
        <v>13.518544797144525</v>
      </c>
      <c r="AU101" s="4">
        <v>11</v>
      </c>
      <c r="AV101" s="127">
        <f t="shared" si="59"/>
        <v>0</v>
      </c>
      <c r="AW101" s="124">
        <f t="shared" si="73"/>
        <v>0</v>
      </c>
      <c r="AX101" s="124">
        <f t="shared" si="74"/>
        <v>0</v>
      </c>
      <c r="AY101" s="124">
        <f t="shared" si="60"/>
        <v>0</v>
      </c>
      <c r="AZ101" s="125">
        <f t="shared" si="61"/>
        <v>4</v>
      </c>
      <c r="BA101" s="125">
        <f t="shared" si="62"/>
        <v>14.7</v>
      </c>
      <c r="BB101" s="125">
        <f t="shared" si="63"/>
        <v>20.7</v>
      </c>
      <c r="BC101" s="7">
        <v>14.973782051282049</v>
      </c>
      <c r="BD101" s="7">
        <v>20.968910256410254</v>
      </c>
      <c r="BE101" s="124"/>
      <c r="BF101" s="8">
        <f t="shared" si="64"/>
        <v>78</v>
      </c>
      <c r="BG101" s="21">
        <f t="shared" si="65"/>
        <v>17.600000000000001</v>
      </c>
      <c r="BH101" s="124">
        <f t="shared" si="66"/>
        <v>0</v>
      </c>
      <c r="BI101" s="124">
        <f t="shared" si="75"/>
        <v>1</v>
      </c>
      <c r="BJ101" s="144">
        <f t="shared" si="67"/>
        <v>1.5333333333333332</v>
      </c>
      <c r="BL101" s="99">
        <v>11</v>
      </c>
    </row>
    <row r="102" spans="1:64" ht="12.75" x14ac:dyDescent="0.2">
      <c r="A102" s="8">
        <f t="shared" si="31"/>
        <v>32</v>
      </c>
      <c r="B102" s="125">
        <f t="shared" si="32"/>
        <v>13.2</v>
      </c>
      <c r="C102" s="125">
        <f t="shared" si="33"/>
        <v>22.2</v>
      </c>
      <c r="D102" s="125">
        <f t="shared" si="68"/>
        <v>17.7</v>
      </c>
      <c r="E102" s="125">
        <f t="shared" si="34"/>
        <v>9</v>
      </c>
      <c r="F102" s="7">
        <v>13.45</v>
      </c>
      <c r="G102" s="7">
        <v>22.434615384615384</v>
      </c>
      <c r="H102" s="7">
        <f t="shared" si="69"/>
        <v>17.942307692307693</v>
      </c>
      <c r="I102" s="7">
        <f t="shared" si="70"/>
        <v>8.9846153846153847</v>
      </c>
      <c r="K102" s="7">
        <f t="shared" si="35"/>
        <v>6.3</v>
      </c>
      <c r="L102" s="7">
        <f t="shared" si="36"/>
        <v>19.149999999999999</v>
      </c>
      <c r="M102" s="370">
        <f t="shared" si="37"/>
        <v>4.8</v>
      </c>
      <c r="N102" s="1">
        <f t="shared" si="38"/>
        <v>0</v>
      </c>
      <c r="O102" s="7">
        <f t="shared" si="39"/>
        <v>65.416666666666671</v>
      </c>
      <c r="P102" s="7">
        <f t="shared" si="40"/>
        <v>14.183333333333332</v>
      </c>
      <c r="Q102" s="7">
        <f t="shared" si="41"/>
        <v>23.3</v>
      </c>
      <c r="R102" s="7">
        <f t="shared" si="42"/>
        <v>18.55</v>
      </c>
      <c r="S102" s="7">
        <f t="shared" si="43"/>
        <v>9.1166666666666654</v>
      </c>
      <c r="T102" s="1">
        <v>43</v>
      </c>
      <c r="U102" s="333">
        <f t="shared" si="44"/>
        <v>2</v>
      </c>
      <c r="V102" s="4">
        <v>12</v>
      </c>
      <c r="W102" s="7">
        <f t="shared" si="45"/>
        <v>3.2760000000000002</v>
      </c>
      <c r="X102" s="7">
        <f t="shared" si="46"/>
        <v>11.739000000000001</v>
      </c>
      <c r="Y102" s="8">
        <f t="shared" si="47"/>
        <v>2</v>
      </c>
      <c r="Z102" s="7">
        <f>IF(ISBLANK(Z15),NA(),SUM($Z$4:Z15))</f>
        <v>21.799999999999997</v>
      </c>
      <c r="AA102" s="7">
        <f t="shared" si="71"/>
        <v>24</v>
      </c>
      <c r="AB102" s="26">
        <f>IF(ISBLANK(Z15),"",SUM($Z$4:Z15))</f>
        <v>21.799999999999997</v>
      </c>
      <c r="AC102" s="115">
        <f t="shared" si="72"/>
        <v>0.90833333333333321</v>
      </c>
      <c r="AD102" s="8">
        <f t="shared" si="48"/>
        <v>1011.75</v>
      </c>
      <c r="AE102" s="610">
        <f t="shared" si="49"/>
        <v>0.85978537654602294</v>
      </c>
      <c r="AF102" s="524">
        <f t="shared" si="50"/>
        <v>0.24930555555555556</v>
      </c>
      <c r="AG102" s="22">
        <f>IF(ISBLANK(AP15),NA(),SUM($AP$4:AP15))</f>
        <v>63</v>
      </c>
      <c r="AH102" s="7">
        <f>SUM($AS$91:AS102)</f>
        <v>73.274100395946562</v>
      </c>
      <c r="AI102" s="115">
        <f t="shared" si="51"/>
        <v>0.85978537654602294</v>
      </c>
      <c r="AJ102" s="124">
        <f t="shared" si="52"/>
        <v>0</v>
      </c>
      <c r="AK102" s="8">
        <f t="shared" si="53"/>
        <v>1010</v>
      </c>
      <c r="AL102" s="124">
        <f t="shared" si="54"/>
        <v>0</v>
      </c>
      <c r="AM102" s="524">
        <f t="shared" si="55"/>
        <v>0.7284722222222223</v>
      </c>
      <c r="AN102" s="141">
        <f t="array" ref="AN102">MAX(FREQUENCY(IF(AJ91:AJ121=1,ROW(91:121)),IF(AJ91:AJ121&lt;&gt;1,ROW(91:121))))</f>
        <v>5</v>
      </c>
      <c r="AO102" s="524">
        <f t="shared" si="56"/>
        <v>0.71805555555555556</v>
      </c>
      <c r="AP102" s="451" t="s">
        <v>110</v>
      </c>
      <c r="AQ102" s="450">
        <v>0.14099999999999999</v>
      </c>
      <c r="AR102" s="524">
        <f t="shared" si="57"/>
        <v>0.24236111111111111</v>
      </c>
      <c r="AS102" s="7">
        <f t="shared" si="58"/>
        <v>5.9770382964182476</v>
      </c>
      <c r="AT102" s="7">
        <v>13.463883659744441</v>
      </c>
      <c r="AU102" s="4">
        <v>12</v>
      </c>
      <c r="AV102" s="127">
        <f t="shared" si="59"/>
        <v>0</v>
      </c>
      <c r="AW102" s="124">
        <f t="shared" si="73"/>
        <v>0</v>
      </c>
      <c r="AX102" s="124">
        <f t="shared" si="74"/>
        <v>0</v>
      </c>
      <c r="AY102" s="124">
        <f t="shared" si="60"/>
        <v>0</v>
      </c>
      <c r="AZ102" s="125">
        <f t="shared" si="61"/>
        <v>4</v>
      </c>
      <c r="BA102" s="125">
        <f t="shared" si="62"/>
        <v>14.7</v>
      </c>
      <c r="BB102" s="125">
        <f t="shared" si="63"/>
        <v>20.7</v>
      </c>
      <c r="BC102" s="7">
        <v>14.947435897435895</v>
      </c>
      <c r="BD102" s="7">
        <v>20.937179487179485</v>
      </c>
      <c r="BE102" s="124"/>
      <c r="BF102" s="8">
        <f t="shared" si="64"/>
        <v>76</v>
      </c>
      <c r="BG102" s="21">
        <f t="shared" si="65"/>
        <v>18.899999999999999</v>
      </c>
      <c r="BH102" s="124">
        <f t="shared" si="66"/>
        <v>1</v>
      </c>
      <c r="BI102" s="124">
        <f t="shared" si="75"/>
        <v>0</v>
      </c>
      <c r="BJ102" s="144">
        <f t="shared" si="67"/>
        <v>0</v>
      </c>
      <c r="BL102" s="99">
        <v>12</v>
      </c>
    </row>
    <row r="103" spans="1:64" ht="12.75" x14ac:dyDescent="0.2">
      <c r="A103" s="8">
        <f t="shared" si="31"/>
        <v>36</v>
      </c>
      <c r="B103" s="125">
        <f t="shared" si="32"/>
        <v>13.2</v>
      </c>
      <c r="C103" s="125">
        <f t="shared" si="33"/>
        <v>22.2</v>
      </c>
      <c r="D103" s="125">
        <f t="shared" si="68"/>
        <v>17.7</v>
      </c>
      <c r="E103" s="125">
        <f t="shared" si="34"/>
        <v>9</v>
      </c>
      <c r="F103" s="7">
        <v>13.425000000000001</v>
      </c>
      <c r="G103" s="7">
        <v>22.401538461538461</v>
      </c>
      <c r="H103" s="7">
        <f t="shared" si="69"/>
        <v>17.913269230769231</v>
      </c>
      <c r="I103" s="7">
        <f t="shared" si="70"/>
        <v>8.9765384615384605</v>
      </c>
      <c r="K103" s="7">
        <f t="shared" si="35"/>
        <v>5.0999999999999996</v>
      </c>
      <c r="L103" s="7">
        <f t="shared" si="36"/>
        <v>18.649999999999999</v>
      </c>
      <c r="M103" s="370">
        <f t="shared" si="37"/>
        <v>4.8461538461538458</v>
      </c>
      <c r="N103" s="1">
        <f t="shared" si="38"/>
        <v>0.6333333333333333</v>
      </c>
      <c r="O103" s="7">
        <f t="shared" si="39"/>
        <v>66.230769230769226</v>
      </c>
      <c r="P103" s="7">
        <f t="shared" si="40"/>
        <v>14.33076923076923</v>
      </c>
      <c r="Q103" s="7">
        <f t="shared" si="41"/>
        <v>23.138461538461538</v>
      </c>
      <c r="R103" s="7">
        <f t="shared" si="42"/>
        <v>18.530769230769231</v>
      </c>
      <c r="S103" s="7">
        <f t="shared" si="43"/>
        <v>8.8076923076923066</v>
      </c>
      <c r="T103" s="1">
        <v>44</v>
      </c>
      <c r="U103" s="333">
        <f t="shared" si="44"/>
        <v>2</v>
      </c>
      <c r="V103" s="4">
        <v>13</v>
      </c>
      <c r="W103" s="7">
        <f t="shared" si="45"/>
        <v>3.5490000000000004</v>
      </c>
      <c r="X103" s="7">
        <f t="shared" si="46"/>
        <v>12.012</v>
      </c>
      <c r="Y103" s="8">
        <f t="shared" si="47"/>
        <v>3</v>
      </c>
      <c r="Z103" s="7">
        <f>IF(ISBLANK(Z16),NA(),SUM($Z$4:Z16))</f>
        <v>23.699999999999996</v>
      </c>
      <c r="AA103" s="7">
        <f t="shared" si="71"/>
        <v>26</v>
      </c>
      <c r="AB103" s="26">
        <f>IF(ISBLANK(Z16),"",SUM($Z$4:Z16))</f>
        <v>23.699999999999996</v>
      </c>
      <c r="AC103" s="115">
        <f t="shared" si="72"/>
        <v>0.91153846153846141</v>
      </c>
      <c r="AD103" s="8">
        <f t="shared" si="48"/>
        <v>1011.4230769230769</v>
      </c>
      <c r="AE103" s="610">
        <f t="shared" si="49"/>
        <v>0.83305284182777783</v>
      </c>
      <c r="AF103" s="524">
        <f t="shared" si="50"/>
        <v>0.37916666666666665</v>
      </c>
      <c r="AG103" s="22">
        <f>IF(ISBLANK(AP16),NA(),SUM($AP$4:AP16))</f>
        <v>66</v>
      </c>
      <c r="AH103" s="7">
        <f>SUM($AS$91:AS103)</f>
        <v>79.22666688849084</v>
      </c>
      <c r="AI103" s="115">
        <f t="shared" si="51"/>
        <v>0.83305284182777783</v>
      </c>
      <c r="AJ103" s="124">
        <f t="shared" si="52"/>
        <v>1</v>
      </c>
      <c r="AK103" s="8">
        <f t="shared" si="53"/>
        <v>1007.5</v>
      </c>
      <c r="AL103" s="124">
        <f t="shared" si="54"/>
        <v>1</v>
      </c>
      <c r="AM103" s="524">
        <f t="shared" si="55"/>
        <v>0.63402777777777775</v>
      </c>
      <c r="AN103" s="7">
        <f>I39/-3</f>
        <v>-3</v>
      </c>
      <c r="AO103" s="524">
        <f t="shared" si="56"/>
        <v>0.55763888888888891</v>
      </c>
      <c r="AP103" s="451" t="s">
        <v>211</v>
      </c>
      <c r="AQ103" s="450">
        <v>0.14599999999999999</v>
      </c>
      <c r="AR103" s="524">
        <f t="shared" si="57"/>
        <v>0.22569444444444445</v>
      </c>
      <c r="AS103" s="7">
        <f t="shared" si="58"/>
        <v>5.9525664925442792</v>
      </c>
      <c r="AT103" s="7">
        <v>13.408758444886669</v>
      </c>
      <c r="AU103" s="4">
        <v>13</v>
      </c>
      <c r="AV103" s="127">
        <f t="shared" si="59"/>
        <v>0</v>
      </c>
      <c r="AW103" s="124">
        <f t="shared" si="73"/>
        <v>0</v>
      </c>
      <c r="AX103" s="124">
        <f t="shared" si="74"/>
        <v>0</v>
      </c>
      <c r="AY103" s="124">
        <f t="shared" si="60"/>
        <v>0</v>
      </c>
      <c r="AZ103" s="125">
        <f t="shared" si="61"/>
        <v>4</v>
      </c>
      <c r="BA103" s="125">
        <f t="shared" si="62"/>
        <v>14.7</v>
      </c>
      <c r="BB103" s="125">
        <f t="shared" si="63"/>
        <v>20.7</v>
      </c>
      <c r="BC103" s="7">
        <v>14.921089743589743</v>
      </c>
      <c r="BD103" s="7">
        <v>20.905448717948719</v>
      </c>
      <c r="BE103" s="124"/>
      <c r="BF103" s="8">
        <f t="shared" si="64"/>
        <v>76</v>
      </c>
      <c r="BG103" s="21">
        <f t="shared" si="65"/>
        <v>18.3</v>
      </c>
      <c r="BH103" s="124">
        <f t="shared" si="66"/>
        <v>1</v>
      </c>
      <c r="BI103" s="124">
        <f t="shared" si="75"/>
        <v>1</v>
      </c>
      <c r="BJ103" s="144">
        <f t="shared" si="67"/>
        <v>0.6333333333333333</v>
      </c>
      <c r="BL103" s="99">
        <v>13</v>
      </c>
    </row>
    <row r="104" spans="1:64" ht="12.75" x14ac:dyDescent="0.2">
      <c r="A104" s="8">
        <f t="shared" si="31"/>
        <v>40</v>
      </c>
      <c r="B104" s="125">
        <f t="shared" si="32"/>
        <v>13.2</v>
      </c>
      <c r="C104" s="125">
        <f t="shared" si="33"/>
        <v>22.2</v>
      </c>
      <c r="D104" s="125">
        <f t="shared" si="68"/>
        <v>17.7</v>
      </c>
      <c r="E104" s="125">
        <f t="shared" si="34"/>
        <v>9</v>
      </c>
      <c r="F104" s="7">
        <v>13.4</v>
      </c>
      <c r="G104" s="7">
        <v>22.368461538461538</v>
      </c>
      <c r="H104" s="7">
        <f t="shared" si="69"/>
        <v>17.884230769230768</v>
      </c>
      <c r="I104" s="7">
        <f t="shared" si="70"/>
        <v>8.968461538461538</v>
      </c>
      <c r="K104" s="7">
        <f t="shared" si="35"/>
        <v>7.3</v>
      </c>
      <c r="L104" s="7">
        <f t="shared" si="36"/>
        <v>18.75</v>
      </c>
      <c r="M104" s="370">
        <f t="shared" si="37"/>
        <v>4.8142857142857141</v>
      </c>
      <c r="N104" s="1">
        <f t="shared" si="38"/>
        <v>0</v>
      </c>
      <c r="O104" s="7">
        <f t="shared" si="39"/>
        <v>66</v>
      </c>
      <c r="P104" s="7">
        <f t="shared" si="40"/>
        <v>14.385714285714284</v>
      </c>
      <c r="Q104" s="7">
        <f t="shared" si="41"/>
        <v>23.085714285714285</v>
      </c>
      <c r="R104" s="7">
        <f t="shared" si="42"/>
        <v>18.514285714285712</v>
      </c>
      <c r="S104" s="7">
        <f t="shared" si="43"/>
        <v>8.6999999999999993</v>
      </c>
      <c r="T104" s="1">
        <v>45</v>
      </c>
      <c r="U104" s="333">
        <f t="shared" si="44"/>
        <v>2</v>
      </c>
      <c r="V104" s="4">
        <v>14</v>
      </c>
      <c r="W104" s="7">
        <f t="shared" si="45"/>
        <v>3.8220000000000001</v>
      </c>
      <c r="X104" s="7">
        <f t="shared" si="46"/>
        <v>12.285</v>
      </c>
      <c r="Y104" s="8">
        <f t="shared" si="47"/>
        <v>6</v>
      </c>
      <c r="Z104" s="7">
        <f>IF(ISBLANK(Z17),NA(),SUM($Z$4:Z17))</f>
        <v>23.699999999999996</v>
      </c>
      <c r="AA104" s="7">
        <f t="shared" si="71"/>
        <v>28</v>
      </c>
      <c r="AB104" s="26">
        <f>IF(ISBLANK(Z17),"",SUM($Z$4:Z17))</f>
        <v>23.699999999999996</v>
      </c>
      <c r="AC104" s="115">
        <f t="shared" si="72"/>
        <v>0.84642857142857131</v>
      </c>
      <c r="AD104" s="8">
        <f t="shared" si="48"/>
        <v>1011.1785714285714</v>
      </c>
      <c r="AE104" s="610">
        <f t="shared" si="49"/>
        <v>0.82203462286045692</v>
      </c>
      <c r="AF104" s="524">
        <f t="shared" si="50"/>
        <v>0.16250000000000001</v>
      </c>
      <c r="AG104" s="22">
        <f>IF(ISBLANK(AP17),NA(),SUM($AP$4:AP17))</f>
        <v>70</v>
      </c>
      <c r="AH104" s="7">
        <f>SUM($AS$91:AS104)</f>
        <v>85.154564118502748</v>
      </c>
      <c r="AI104" s="115">
        <f t="shared" si="51"/>
        <v>0.82203462286045692</v>
      </c>
      <c r="AJ104" s="124">
        <f t="shared" si="52"/>
        <v>0</v>
      </c>
      <c r="AK104" s="8">
        <f t="shared" si="53"/>
        <v>1008</v>
      </c>
      <c r="AL104" s="124">
        <f t="shared" si="54"/>
        <v>0</v>
      </c>
      <c r="AM104" s="524">
        <f t="shared" si="55"/>
        <v>0.77083333333333337</v>
      </c>
      <c r="AN104" s="25">
        <f>AP39/E34</f>
        <v>5.870967741935484</v>
      </c>
      <c r="AO104" s="524">
        <f t="shared" si="56"/>
        <v>0.61250000000000004</v>
      </c>
      <c r="AP104" s="451" t="s">
        <v>114</v>
      </c>
      <c r="AQ104" s="452">
        <v>0.112</v>
      </c>
      <c r="AR104" s="524">
        <f t="shared" si="57"/>
        <v>0.25277777777777777</v>
      </c>
      <c r="AS104" s="7">
        <f t="shared" si="58"/>
        <v>5.9278972300119026</v>
      </c>
      <c r="AT104" s="7">
        <v>13.353188434417328</v>
      </c>
      <c r="AU104" s="4">
        <v>14</v>
      </c>
      <c r="AV104" s="127">
        <f t="shared" si="59"/>
        <v>1</v>
      </c>
      <c r="AW104" s="124">
        <f t="shared" si="73"/>
        <v>0</v>
      </c>
      <c r="AX104" s="124">
        <f t="shared" si="74"/>
        <v>0</v>
      </c>
      <c r="AY104" s="124">
        <f t="shared" si="60"/>
        <v>0</v>
      </c>
      <c r="AZ104" s="125">
        <f t="shared" si="61"/>
        <v>4</v>
      </c>
      <c r="BA104" s="125">
        <f t="shared" si="62"/>
        <v>14.7</v>
      </c>
      <c r="BB104" s="125">
        <f t="shared" si="63"/>
        <v>20.7</v>
      </c>
      <c r="BC104" s="7">
        <v>14.894743589743589</v>
      </c>
      <c r="BD104" s="7">
        <v>20.873717948717946</v>
      </c>
      <c r="BE104" s="124"/>
      <c r="BF104" s="8">
        <f t="shared" si="64"/>
        <v>63</v>
      </c>
      <c r="BG104" s="21">
        <f t="shared" si="65"/>
        <v>18.3</v>
      </c>
      <c r="BH104" s="124">
        <f t="shared" si="66"/>
        <v>1</v>
      </c>
      <c r="BI104" s="124">
        <f t="shared" si="75"/>
        <v>0</v>
      </c>
      <c r="BJ104" s="144">
        <f t="shared" si="67"/>
        <v>0</v>
      </c>
      <c r="BL104" s="99">
        <v>14</v>
      </c>
    </row>
    <row r="105" spans="1:64" ht="12.75" x14ac:dyDescent="0.2">
      <c r="A105" s="8">
        <f t="shared" si="31"/>
        <v>35</v>
      </c>
      <c r="B105" s="125">
        <f t="shared" si="32"/>
        <v>13.2</v>
      </c>
      <c r="C105" s="125">
        <f t="shared" si="33"/>
        <v>22.2</v>
      </c>
      <c r="D105" s="125">
        <f t="shared" si="68"/>
        <v>17.7</v>
      </c>
      <c r="E105" s="125">
        <f t="shared" si="34"/>
        <v>9</v>
      </c>
      <c r="F105" s="7">
        <v>13.344444444444445</v>
      </c>
      <c r="G105" s="7">
        <v>22.335384615384616</v>
      </c>
      <c r="H105" s="7">
        <f t="shared" si="69"/>
        <v>17.83991452991453</v>
      </c>
      <c r="I105" s="7">
        <f t="shared" si="70"/>
        <v>8.9909401709401706</v>
      </c>
      <c r="K105" s="7">
        <f t="shared" si="35"/>
        <v>9.5</v>
      </c>
      <c r="L105" s="7">
        <f t="shared" si="36"/>
        <v>16.850000000000001</v>
      </c>
      <c r="M105" s="370">
        <f t="shared" si="37"/>
        <v>4.8066666666666666</v>
      </c>
      <c r="N105" s="1">
        <f t="shared" si="38"/>
        <v>3.3333333333333333E-2</v>
      </c>
      <c r="O105" s="7">
        <f t="shared" si="39"/>
        <v>65.466666666666669</v>
      </c>
      <c r="P105" s="7">
        <f t="shared" si="40"/>
        <v>14.233333333333331</v>
      </c>
      <c r="Q105" s="7">
        <f t="shared" si="41"/>
        <v>22.986666666666668</v>
      </c>
      <c r="R105" s="7">
        <f t="shared" si="42"/>
        <v>18.439999999999998</v>
      </c>
      <c r="S105" s="7">
        <f t="shared" si="43"/>
        <v>8.7533333333333321</v>
      </c>
      <c r="T105" s="1">
        <v>46</v>
      </c>
      <c r="U105" s="333">
        <f t="shared" si="44"/>
        <v>2</v>
      </c>
      <c r="V105" s="4">
        <v>15</v>
      </c>
      <c r="W105" s="7">
        <f t="shared" si="45"/>
        <v>4.0950000000000006</v>
      </c>
      <c r="X105" s="7">
        <f t="shared" si="46"/>
        <v>12.558000000000002</v>
      </c>
      <c r="Y105" s="8">
        <f t="shared" si="47"/>
        <v>7</v>
      </c>
      <c r="Z105" s="7">
        <f>IF(ISBLANK(Z18),NA(),SUM($Z$4:Z18))</f>
        <v>23.799999999999997</v>
      </c>
      <c r="AA105" s="7">
        <f t="shared" si="71"/>
        <v>30</v>
      </c>
      <c r="AB105" s="26">
        <f>IF(ISBLANK(Z18),"",SUM($Z$4:Z18))</f>
        <v>23.799999999999997</v>
      </c>
      <c r="AC105" s="115">
        <f t="shared" si="72"/>
        <v>0.79333333333333322</v>
      </c>
      <c r="AD105" s="8">
        <f t="shared" si="48"/>
        <v>1011.4</v>
      </c>
      <c r="AE105" s="610">
        <f t="shared" si="49"/>
        <v>0.8456185699923835</v>
      </c>
      <c r="AF105" s="524" t="e">
        <f t="shared" si="50"/>
        <v>#N/A</v>
      </c>
      <c r="AG105" s="22">
        <f>IF(ISBLANK(AP18),NA(),SUM($AP$4:AP18))</f>
        <v>77</v>
      </c>
      <c r="AH105" s="7">
        <f>SUM($AS$91:AS105)</f>
        <v>91.057602957671023</v>
      </c>
      <c r="AI105" s="115">
        <f t="shared" si="51"/>
        <v>0.8456185699923835</v>
      </c>
      <c r="AJ105" s="124">
        <f t="shared" si="52"/>
        <v>0</v>
      </c>
      <c r="AK105" s="8">
        <f t="shared" si="53"/>
        <v>1014.5</v>
      </c>
      <c r="AL105" s="124">
        <f t="shared" si="54"/>
        <v>0</v>
      </c>
      <c r="AM105" s="524">
        <f t="shared" si="55"/>
        <v>0.62916666666666665</v>
      </c>
      <c r="AN105" s="1">
        <f t="array" ref="AN105">MAX(IF(F4:F34=$F$85,E4:E34,0))</f>
        <v>19</v>
      </c>
      <c r="AO105" s="524">
        <f t="shared" si="56"/>
        <v>0.59513888888888888</v>
      </c>
      <c r="AP105" s="451" t="s">
        <v>212</v>
      </c>
      <c r="AQ105" s="450">
        <v>0.105</v>
      </c>
      <c r="AR105" s="524">
        <f t="shared" si="57"/>
        <v>0.2673611111111111</v>
      </c>
      <c r="AS105" s="7">
        <f t="shared" si="58"/>
        <v>5.9030388391682722</v>
      </c>
      <c r="AT105" s="7">
        <v>13.297192393286444</v>
      </c>
      <c r="AU105" s="4">
        <v>15</v>
      </c>
      <c r="AV105" s="127">
        <f t="shared" si="59"/>
        <v>1</v>
      </c>
      <c r="AW105" s="124">
        <f t="shared" si="73"/>
        <v>0</v>
      </c>
      <c r="AX105" s="124">
        <f t="shared" si="74"/>
        <v>0</v>
      </c>
      <c r="AY105" s="124">
        <f t="shared" si="60"/>
        <v>0</v>
      </c>
      <c r="AZ105" s="125">
        <f t="shared" si="61"/>
        <v>4</v>
      </c>
      <c r="BA105" s="125">
        <f t="shared" si="62"/>
        <v>14.7</v>
      </c>
      <c r="BB105" s="125">
        <f t="shared" si="63"/>
        <v>20.7</v>
      </c>
      <c r="BC105" s="7">
        <v>14.842934472934473</v>
      </c>
      <c r="BD105" s="7">
        <v>20.836894586894587</v>
      </c>
      <c r="BE105" s="124"/>
      <c r="BF105" s="8">
        <f t="shared" si="64"/>
        <v>58</v>
      </c>
      <c r="BG105" s="21">
        <f t="shared" si="65"/>
        <v>17.399999999999999</v>
      </c>
      <c r="BH105" s="124">
        <f t="shared" si="66"/>
        <v>0</v>
      </c>
      <c r="BI105" s="124">
        <f t="shared" si="75"/>
        <v>1</v>
      </c>
      <c r="BJ105" s="144">
        <f t="shared" si="67"/>
        <v>3.3333333333333333E-2</v>
      </c>
      <c r="BL105" s="99">
        <v>15</v>
      </c>
    </row>
    <row r="106" spans="1:64" ht="12.75" x14ac:dyDescent="0.2">
      <c r="A106" s="8">
        <f t="shared" si="31"/>
        <v>15</v>
      </c>
      <c r="B106" s="125">
        <f t="shared" si="32"/>
        <v>13.2</v>
      </c>
      <c r="C106" s="125">
        <f t="shared" si="33"/>
        <v>22.2</v>
      </c>
      <c r="D106" s="125">
        <f t="shared" si="68"/>
        <v>17.7</v>
      </c>
      <c r="E106" s="125">
        <f t="shared" si="34"/>
        <v>9</v>
      </c>
      <c r="F106" s="7">
        <v>13.28888888888889</v>
      </c>
      <c r="G106" s="7">
        <v>22.302307692307693</v>
      </c>
      <c r="H106" s="7">
        <f t="shared" si="69"/>
        <v>17.795598290598292</v>
      </c>
      <c r="I106" s="7">
        <f t="shared" si="70"/>
        <v>9.0134188034188032</v>
      </c>
      <c r="K106" s="7">
        <f t="shared" si="35"/>
        <v>5.5</v>
      </c>
      <c r="L106" s="7">
        <f t="shared" si="36"/>
        <v>17.45</v>
      </c>
      <c r="M106" s="370">
        <f t="shared" si="37"/>
        <v>4.875</v>
      </c>
      <c r="N106" s="1">
        <f t="shared" si="38"/>
        <v>0</v>
      </c>
      <c r="O106" s="7">
        <f t="shared" si="39"/>
        <v>66.0625</v>
      </c>
      <c r="P106" s="7">
        <f t="shared" si="40"/>
        <v>14.262499999999998</v>
      </c>
      <c r="Q106" s="7">
        <f t="shared" si="41"/>
        <v>22.8125</v>
      </c>
      <c r="R106" s="7">
        <f t="shared" si="42"/>
        <v>18.368749999999999</v>
      </c>
      <c r="S106" s="7">
        <f t="shared" si="43"/>
        <v>8.5499999999999989</v>
      </c>
      <c r="T106" s="1">
        <v>47</v>
      </c>
      <c r="U106" s="333">
        <f t="shared" si="44"/>
        <v>2</v>
      </c>
      <c r="V106" s="4">
        <v>16</v>
      </c>
      <c r="W106" s="7">
        <f t="shared" si="45"/>
        <v>4.3680000000000003</v>
      </c>
      <c r="X106" s="7">
        <f t="shared" si="46"/>
        <v>12.831000000000001</v>
      </c>
      <c r="Y106" s="8">
        <f t="shared" si="47"/>
        <v>3</v>
      </c>
      <c r="Z106" s="7">
        <f>IF(ISBLANK(Z19),NA(),SUM($Z$4:Z19))</f>
        <v>23.799999999999997</v>
      </c>
      <c r="AA106" s="7">
        <f t="shared" si="71"/>
        <v>32</v>
      </c>
      <c r="AB106" s="26">
        <f>IF(ISBLANK(Z19),"",SUM($Z$4:Z19))</f>
        <v>23.799999999999997</v>
      </c>
      <c r="AC106" s="115">
        <f t="shared" si="72"/>
        <v>0.74374999999999991</v>
      </c>
      <c r="AD106" s="8">
        <f t="shared" si="48"/>
        <v>1011.71875</v>
      </c>
      <c r="AE106" s="610">
        <f t="shared" si="49"/>
        <v>0.80465791809469656</v>
      </c>
      <c r="AF106" s="524">
        <f t="shared" si="50"/>
        <v>0.2638888888888889</v>
      </c>
      <c r="AG106" s="22">
        <f>IF(ISBLANK(AP19),NA(),SUM($AP$4:AP19))</f>
        <v>78</v>
      </c>
      <c r="AH106" s="7">
        <f>SUM($AS$91:AS106)</f>
        <v>96.935602379569858</v>
      </c>
      <c r="AI106" s="115">
        <f t="shared" si="51"/>
        <v>0.80465791809469656</v>
      </c>
      <c r="AJ106" s="124">
        <f t="shared" si="52"/>
        <v>0</v>
      </c>
      <c r="AK106" s="8">
        <f t="shared" si="53"/>
        <v>1016.5</v>
      </c>
      <c r="AL106" s="124">
        <f t="shared" si="54"/>
        <v>0</v>
      </c>
      <c r="AM106" s="524">
        <f t="shared" si="55"/>
        <v>0.65277777777777779</v>
      </c>
      <c r="AN106" s="1">
        <f t="array" ref="AN106">MAX(IF(G4:G34=$G$86,E4:E34,0))</f>
        <v>3</v>
      </c>
      <c r="AO106" s="524">
        <f t="shared" si="56"/>
        <v>0.6743055555555556</v>
      </c>
      <c r="AP106" s="451" t="s">
        <v>128</v>
      </c>
      <c r="AQ106" s="450">
        <v>5.2999999999999999E-2</v>
      </c>
      <c r="AR106" s="524">
        <f t="shared" si="57"/>
        <v>0.26111111111111113</v>
      </c>
      <c r="AS106" s="7">
        <f t="shared" si="58"/>
        <v>5.8779994218988287</v>
      </c>
      <c r="AT106" s="7">
        <v>13.240788571810915</v>
      </c>
      <c r="AU106" s="4">
        <v>16</v>
      </c>
      <c r="AV106" s="127">
        <f t="shared" si="59"/>
        <v>0</v>
      </c>
      <c r="AW106" s="124">
        <f t="shared" si="73"/>
        <v>0</v>
      </c>
      <c r="AX106" s="124">
        <f t="shared" si="74"/>
        <v>0</v>
      </c>
      <c r="AY106" s="124">
        <f t="shared" si="60"/>
        <v>1</v>
      </c>
      <c r="AZ106" s="125">
        <f t="shared" si="61"/>
        <v>4</v>
      </c>
      <c r="BA106" s="125">
        <f t="shared" si="62"/>
        <v>14.7</v>
      </c>
      <c r="BB106" s="125">
        <f t="shared" si="63"/>
        <v>20.7</v>
      </c>
      <c r="BC106" s="7">
        <v>14.791125356125358</v>
      </c>
      <c r="BD106" s="7">
        <v>20.800071225071228</v>
      </c>
      <c r="BE106" s="124"/>
      <c r="BF106" s="8">
        <f t="shared" si="64"/>
        <v>75</v>
      </c>
      <c r="BG106" s="21">
        <f t="shared" si="65"/>
        <v>17.3</v>
      </c>
      <c r="BH106" s="124">
        <f t="shared" si="66"/>
        <v>0</v>
      </c>
      <c r="BI106" s="124">
        <f t="shared" si="75"/>
        <v>0</v>
      </c>
      <c r="BJ106" s="144">
        <f t="shared" si="67"/>
        <v>0</v>
      </c>
      <c r="BL106" s="99">
        <v>16</v>
      </c>
    </row>
    <row r="107" spans="1:64" ht="12.75" x14ac:dyDescent="0.2">
      <c r="A107" s="8">
        <f t="shared" si="31"/>
        <v>42</v>
      </c>
      <c r="B107" s="125">
        <f t="shared" si="32"/>
        <v>13.2</v>
      </c>
      <c r="C107" s="125">
        <f t="shared" si="33"/>
        <v>22.2</v>
      </c>
      <c r="D107" s="125">
        <f t="shared" si="68"/>
        <v>17.7</v>
      </c>
      <c r="E107" s="125">
        <f t="shared" si="34"/>
        <v>9</v>
      </c>
      <c r="F107" s="7">
        <v>13.233333333333334</v>
      </c>
      <c r="G107" s="7">
        <v>22.26923076923077</v>
      </c>
      <c r="H107" s="7">
        <f t="shared" si="69"/>
        <v>17.751282051282054</v>
      </c>
      <c r="I107" s="7">
        <f t="shared" si="70"/>
        <v>9.0358974358974358</v>
      </c>
      <c r="K107" s="7">
        <f t="shared" si="35"/>
        <v>7.9</v>
      </c>
      <c r="L107" s="7">
        <f t="shared" si="36"/>
        <v>16.25</v>
      </c>
      <c r="M107" s="370">
        <f t="shared" si="37"/>
        <v>4.776470588235294</v>
      </c>
      <c r="N107" s="1">
        <f t="shared" si="38"/>
        <v>0.26666666666666666</v>
      </c>
      <c r="O107" s="7">
        <f t="shared" si="39"/>
        <v>66.294117647058826</v>
      </c>
      <c r="P107" s="7">
        <f t="shared" si="40"/>
        <v>14.147058823529409</v>
      </c>
      <c r="Q107" s="7">
        <f t="shared" si="41"/>
        <v>22.658823529411762</v>
      </c>
      <c r="R107" s="7">
        <f t="shared" si="42"/>
        <v>18.223529411764702</v>
      </c>
      <c r="S107" s="7">
        <f t="shared" si="43"/>
        <v>8.5117647058823529</v>
      </c>
      <c r="T107" s="1">
        <v>48</v>
      </c>
      <c r="U107" s="333">
        <f t="shared" si="44"/>
        <v>2</v>
      </c>
      <c r="V107" s="4">
        <v>17</v>
      </c>
      <c r="W107" s="7">
        <f t="shared" si="45"/>
        <v>4.641</v>
      </c>
      <c r="X107" s="7">
        <f t="shared" si="46"/>
        <v>13.104000000000001</v>
      </c>
      <c r="Y107" s="8">
        <f t="shared" si="47"/>
        <v>2</v>
      </c>
      <c r="Z107" s="7">
        <f>IF(ISBLANK(Z20),NA(),SUM($Z$4:Z20))</f>
        <v>24.599999999999998</v>
      </c>
      <c r="AA107" s="7">
        <f t="shared" si="71"/>
        <v>34</v>
      </c>
      <c r="AB107" s="26">
        <f>IF(ISBLANK(Z20),"",SUM($Z$4:Z20))</f>
        <v>24.599999999999998</v>
      </c>
      <c r="AC107" s="115">
        <f t="shared" si="72"/>
        <v>0.72352941176470587</v>
      </c>
      <c r="AD107" s="8">
        <f t="shared" si="48"/>
        <v>1012.0294117647059</v>
      </c>
      <c r="AE107" s="610">
        <f t="shared" si="49"/>
        <v>0.76856929649016315</v>
      </c>
      <c r="AF107" s="524">
        <f t="shared" si="50"/>
        <v>0.20624999999999999</v>
      </c>
      <c r="AG107" s="22">
        <f>IF(ISBLANK(AP20),NA(),SUM($AP$4:AP20))</f>
        <v>79</v>
      </c>
      <c r="AH107" s="7">
        <f>SUM($AS$91:AS107)</f>
        <v>102.78838923278678</v>
      </c>
      <c r="AI107" s="115">
        <f t="shared" si="51"/>
        <v>0.76856929649016315</v>
      </c>
      <c r="AJ107" s="124">
        <f t="shared" si="52"/>
        <v>1</v>
      </c>
      <c r="AK107" s="8">
        <f t="shared" si="53"/>
        <v>1017</v>
      </c>
      <c r="AL107" s="124">
        <f t="shared" si="54"/>
        <v>0</v>
      </c>
      <c r="AM107" s="524">
        <f t="shared" si="55"/>
        <v>0.6875</v>
      </c>
      <c r="AN107" s="7">
        <f>C85-G39</f>
        <v>-6.6</v>
      </c>
      <c r="AO107" s="524">
        <f t="shared" si="56"/>
        <v>0.63541666666666663</v>
      </c>
      <c r="AP107" s="449" t="s">
        <v>213</v>
      </c>
      <c r="AQ107" s="448">
        <v>3.6999999999999998E-2</v>
      </c>
      <c r="AR107" s="524">
        <f t="shared" si="57"/>
        <v>0.19513888888888889</v>
      </c>
      <c r="AS107" s="7">
        <f t="shared" si="58"/>
        <v>5.8527868532169327</v>
      </c>
      <c r="AT107" s="7">
        <v>13.183994709255309</v>
      </c>
      <c r="AU107" s="4">
        <v>17</v>
      </c>
      <c r="AV107" s="127">
        <f t="shared" si="59"/>
        <v>0</v>
      </c>
      <c r="AW107" s="124">
        <f t="shared" si="73"/>
        <v>0</v>
      </c>
      <c r="AX107" s="124">
        <f t="shared" si="74"/>
        <v>0</v>
      </c>
      <c r="AY107" s="124">
        <f t="shared" si="60"/>
        <v>1</v>
      </c>
      <c r="AZ107" s="125">
        <f t="shared" si="61"/>
        <v>4</v>
      </c>
      <c r="BA107" s="125">
        <f t="shared" si="62"/>
        <v>14.7</v>
      </c>
      <c r="BB107" s="125">
        <f t="shared" si="63"/>
        <v>20.7</v>
      </c>
      <c r="BC107" s="7">
        <v>14.739316239316242</v>
      </c>
      <c r="BD107" s="7">
        <v>20.763247863247866</v>
      </c>
      <c r="BE107" s="124"/>
      <c r="BF107" s="8">
        <f t="shared" si="64"/>
        <v>70</v>
      </c>
      <c r="BG107" s="21">
        <f t="shared" si="65"/>
        <v>15.9</v>
      </c>
      <c r="BH107" s="124">
        <f t="shared" si="66"/>
        <v>0</v>
      </c>
      <c r="BI107" s="124">
        <f t="shared" si="75"/>
        <v>1</v>
      </c>
      <c r="BJ107" s="144">
        <f t="shared" si="67"/>
        <v>0.26666666666666666</v>
      </c>
      <c r="BL107" s="99">
        <v>17</v>
      </c>
    </row>
    <row r="108" spans="1:64" ht="12.75" x14ac:dyDescent="0.2">
      <c r="A108" s="8">
        <f t="shared" si="31"/>
        <v>31</v>
      </c>
      <c r="B108" s="125">
        <f t="shared" si="32"/>
        <v>13.2</v>
      </c>
      <c r="C108" s="125">
        <f t="shared" si="33"/>
        <v>22.2</v>
      </c>
      <c r="D108" s="125">
        <f t="shared" si="68"/>
        <v>17.7</v>
      </c>
      <c r="E108" s="125">
        <f t="shared" si="34"/>
        <v>9</v>
      </c>
      <c r="F108" s="7">
        <v>13.177777777777779</v>
      </c>
      <c r="G108" s="7">
        <v>22.236153846153847</v>
      </c>
      <c r="H108" s="7">
        <f t="shared" si="69"/>
        <v>17.706965811965812</v>
      </c>
      <c r="I108" s="7">
        <f t="shared" si="70"/>
        <v>9.0583760683760683</v>
      </c>
      <c r="K108" s="7">
        <f t="shared" si="35"/>
        <v>5.5</v>
      </c>
      <c r="L108" s="7">
        <f t="shared" si="36"/>
        <v>14.350000000000001</v>
      </c>
      <c r="M108" s="370">
        <f t="shared" si="37"/>
        <v>4.7833333333333341</v>
      </c>
      <c r="N108" s="1">
        <f t="shared" si="38"/>
        <v>4.8666666666666663</v>
      </c>
      <c r="O108" s="7">
        <f t="shared" si="39"/>
        <v>67.166666666666671</v>
      </c>
      <c r="P108" s="7">
        <f t="shared" si="40"/>
        <v>14.005555555555553</v>
      </c>
      <c r="Q108" s="7">
        <f t="shared" si="41"/>
        <v>22.35</v>
      </c>
      <c r="R108" s="7">
        <f t="shared" si="42"/>
        <v>17.972222222222218</v>
      </c>
      <c r="S108" s="7">
        <f t="shared" si="43"/>
        <v>8.3444444444444432</v>
      </c>
      <c r="T108" s="1">
        <v>49</v>
      </c>
      <c r="U108" s="333">
        <f t="shared" si="44"/>
        <v>2</v>
      </c>
      <c r="V108" s="4">
        <v>18</v>
      </c>
      <c r="W108" s="7">
        <f t="shared" si="45"/>
        <v>4.9140000000000006</v>
      </c>
      <c r="X108" s="7">
        <f t="shared" si="46"/>
        <v>13.377000000000001</v>
      </c>
      <c r="Y108" s="8">
        <f t="shared" si="47"/>
        <v>4</v>
      </c>
      <c r="Z108" s="7">
        <f>IF(ISBLANK(Z21),NA(),SUM($Z$4:Z21))</f>
        <v>39.199999999999996</v>
      </c>
      <c r="AA108" s="7">
        <f t="shared" si="71"/>
        <v>36</v>
      </c>
      <c r="AB108" s="26">
        <f>IF(ISBLANK(Z21),"",SUM($Z$4:Z21))</f>
        <v>39.199999999999996</v>
      </c>
      <c r="AC108" s="115">
        <f t="shared" si="72"/>
        <v>1.0888888888888888</v>
      </c>
      <c r="AD108" s="8">
        <f t="shared" si="48"/>
        <v>1012.1944444444445</v>
      </c>
      <c r="AE108" s="610">
        <f t="shared" si="49"/>
        <v>0.72733434217579074</v>
      </c>
      <c r="AF108" s="524" t="e">
        <f t="shared" si="50"/>
        <v>#N/A</v>
      </c>
      <c r="AG108" s="22">
        <f>IF(ISBLANK(AP21),NA(),SUM($AP$4:AP21))</f>
        <v>79</v>
      </c>
      <c r="AH108" s="7">
        <f>SUM($AS$91:AS108)</f>
        <v>108.61579801618436</v>
      </c>
      <c r="AI108" s="115">
        <f t="shared" si="51"/>
        <v>0.72733434217579074</v>
      </c>
      <c r="AJ108" s="124">
        <f t="shared" si="52"/>
        <v>1</v>
      </c>
      <c r="AK108" s="8">
        <f t="shared" si="53"/>
        <v>1015</v>
      </c>
      <c r="AL108" s="124">
        <f t="shared" si="54"/>
        <v>1</v>
      </c>
      <c r="AM108" s="524">
        <f t="shared" si="55"/>
        <v>0.56527777777777777</v>
      </c>
      <c r="AN108" s="124">
        <f t="array" ref="AN108">SUM(IF(Z4:Z34&gt;10,1,0))</f>
        <v>2</v>
      </c>
      <c r="AO108" s="524">
        <f t="shared" si="56"/>
        <v>0.55208333333333337</v>
      </c>
      <c r="AP108" s="303"/>
      <c r="AQ108" s="303"/>
      <c r="AR108" s="524">
        <f t="shared" si="57"/>
        <v>0.17708333333333334</v>
      </c>
      <c r="AS108" s="7">
        <f t="shared" si="58"/>
        <v>5.8274087833975674</v>
      </c>
      <c r="AT108" s="7">
        <v>13.126828038638264</v>
      </c>
      <c r="AU108" s="4">
        <v>18</v>
      </c>
      <c r="AV108" s="127">
        <f t="shared" si="59"/>
        <v>0</v>
      </c>
      <c r="AW108" s="124">
        <f t="shared" si="73"/>
        <v>1</v>
      </c>
      <c r="AX108" s="124">
        <f t="shared" si="74"/>
        <v>0</v>
      </c>
      <c r="AY108" s="124">
        <f t="shared" si="60"/>
        <v>0</v>
      </c>
      <c r="AZ108" s="125">
        <f t="shared" si="61"/>
        <v>4</v>
      </c>
      <c r="BA108" s="125">
        <f t="shared" si="62"/>
        <v>14.7</v>
      </c>
      <c r="BB108" s="125">
        <f t="shared" si="63"/>
        <v>20.7</v>
      </c>
      <c r="BC108" s="7">
        <v>14.687507122507123</v>
      </c>
      <c r="BD108" s="7">
        <v>20.726424501424503</v>
      </c>
      <c r="BE108" s="124"/>
      <c r="BF108" s="8">
        <f t="shared" si="64"/>
        <v>82</v>
      </c>
      <c r="BG108" s="21">
        <f t="shared" si="65"/>
        <v>13.7</v>
      </c>
      <c r="BH108" s="124">
        <f t="shared" si="66"/>
        <v>0</v>
      </c>
      <c r="BI108" s="124">
        <f t="shared" si="75"/>
        <v>1</v>
      </c>
      <c r="BJ108" s="144">
        <f t="shared" si="67"/>
        <v>4.8666666666666663</v>
      </c>
      <c r="BL108" s="99">
        <v>18</v>
      </c>
    </row>
    <row r="109" spans="1:64" ht="12.75" x14ac:dyDescent="0.2">
      <c r="A109" s="8">
        <f t="shared" si="31"/>
        <v>50</v>
      </c>
      <c r="B109" s="125">
        <f t="shared" si="32"/>
        <v>13.2</v>
      </c>
      <c r="C109" s="125">
        <f t="shared" si="33"/>
        <v>22.2</v>
      </c>
      <c r="D109" s="125">
        <f t="shared" si="68"/>
        <v>17.7</v>
      </c>
      <c r="E109" s="125">
        <f t="shared" si="34"/>
        <v>9</v>
      </c>
      <c r="F109" s="7">
        <v>13.122222222222224</v>
      </c>
      <c r="G109" s="7">
        <v>22.203076923076924</v>
      </c>
      <c r="H109" s="7">
        <f t="shared" si="69"/>
        <v>17.662649572649574</v>
      </c>
      <c r="I109" s="7">
        <f t="shared" si="70"/>
        <v>9.0808547008547009</v>
      </c>
      <c r="K109" s="7">
        <f t="shared" si="35"/>
        <v>12.2</v>
      </c>
      <c r="L109" s="7">
        <f t="shared" si="36"/>
        <v>15.2</v>
      </c>
      <c r="M109" s="370">
        <f t="shared" si="37"/>
        <v>4.7263157894736851</v>
      </c>
      <c r="N109" s="1">
        <f t="shared" si="38"/>
        <v>0</v>
      </c>
      <c r="O109" s="7">
        <f t="shared" si="39"/>
        <v>67.473684210526315</v>
      </c>
      <c r="P109" s="7">
        <f t="shared" si="40"/>
        <v>13.747368421052631</v>
      </c>
      <c r="Q109" s="7">
        <f t="shared" si="41"/>
        <v>22.294736842105266</v>
      </c>
      <c r="R109" s="7">
        <f t="shared" si="42"/>
        <v>17.847368421052629</v>
      </c>
      <c r="S109" s="7">
        <f t="shared" si="43"/>
        <v>8.5473684210526297</v>
      </c>
      <c r="T109" s="1">
        <v>50</v>
      </c>
      <c r="U109" s="333">
        <f t="shared" si="44"/>
        <v>2</v>
      </c>
      <c r="V109" s="4">
        <v>19</v>
      </c>
      <c r="W109" s="7">
        <f t="shared" si="45"/>
        <v>5.1870000000000003</v>
      </c>
      <c r="X109" s="7">
        <f t="shared" si="46"/>
        <v>13.65</v>
      </c>
      <c r="Y109" s="8">
        <f t="shared" si="47"/>
        <v>5</v>
      </c>
      <c r="Z109" s="7">
        <f>IF(ISBLANK(Z22),NA(),SUM($Z$4:Z22))</f>
        <v>39.199999999999996</v>
      </c>
      <c r="AA109" s="7">
        <f t="shared" si="71"/>
        <v>38</v>
      </c>
      <c r="AB109" s="26">
        <f>IF(ISBLANK(Z22),"",SUM($Z$4:Z22))</f>
        <v>39.199999999999996</v>
      </c>
      <c r="AC109" s="115">
        <f t="shared" si="72"/>
        <v>1.0315789473684209</v>
      </c>
      <c r="AD109" s="8">
        <f t="shared" si="48"/>
        <v>1012.4736842105264</v>
      </c>
      <c r="AE109" s="610">
        <f t="shared" si="49"/>
        <v>0.77785187802816458</v>
      </c>
      <c r="AF109" s="524">
        <f t="shared" si="50"/>
        <v>0.31458333333333333</v>
      </c>
      <c r="AG109" s="22">
        <f>IF(ISBLANK(AP22),NA(),SUM($AP$4:AP22))</f>
        <v>89</v>
      </c>
      <c r="AH109" s="7">
        <f>SUM($AS$91:AS109)</f>
        <v>114.41767065680013</v>
      </c>
      <c r="AI109" s="115">
        <f t="shared" si="51"/>
        <v>0.77785187802816458</v>
      </c>
      <c r="AJ109" s="124">
        <f t="shared" si="52"/>
        <v>0</v>
      </c>
      <c r="AK109" s="8">
        <f t="shared" si="53"/>
        <v>1017.5</v>
      </c>
      <c r="AL109" s="124">
        <f t="shared" si="54"/>
        <v>0</v>
      </c>
      <c r="AM109" s="524">
        <f t="shared" si="55"/>
        <v>0.72083333333333333</v>
      </c>
      <c r="AO109" s="524">
        <f t="shared" si="56"/>
        <v>0.72083333333333333</v>
      </c>
      <c r="AP109" s="423" t="s">
        <v>129</v>
      </c>
      <c r="AQ109" s="453">
        <f>MAX(AQ92:AQ107)</f>
        <v>0.14599999999999999</v>
      </c>
      <c r="AR109" s="524">
        <f t="shared" si="57"/>
        <v>0.21527777777777779</v>
      </c>
      <c r="AS109" s="7">
        <f t="shared" si="58"/>
        <v>5.8018726406157644</v>
      </c>
      <c r="AT109" s="7">
        <v>13.069305292675795</v>
      </c>
      <c r="AU109" s="4">
        <v>19</v>
      </c>
      <c r="AV109" s="127">
        <f t="shared" si="59"/>
        <v>1</v>
      </c>
      <c r="AW109" s="124">
        <f t="shared" si="73"/>
        <v>0</v>
      </c>
      <c r="AX109" s="124">
        <f t="shared" si="74"/>
        <v>0</v>
      </c>
      <c r="AY109" s="124">
        <f t="shared" si="60"/>
        <v>1</v>
      </c>
      <c r="AZ109" s="125">
        <f t="shared" si="61"/>
        <v>4</v>
      </c>
      <c r="BA109" s="125">
        <f t="shared" si="62"/>
        <v>14.7</v>
      </c>
      <c r="BB109" s="125">
        <f t="shared" si="63"/>
        <v>20.7</v>
      </c>
      <c r="BC109" s="7">
        <v>14.635698005698007</v>
      </c>
      <c r="BD109" s="7">
        <v>20.689601139601141</v>
      </c>
      <c r="BE109" s="124"/>
      <c r="BF109" s="8">
        <f t="shared" si="64"/>
        <v>73</v>
      </c>
      <c r="BG109" s="21">
        <f t="shared" si="65"/>
        <v>15.6</v>
      </c>
      <c r="BH109" s="124">
        <f t="shared" si="66"/>
        <v>0</v>
      </c>
      <c r="BI109" s="124">
        <f t="shared" si="75"/>
        <v>0</v>
      </c>
      <c r="BJ109" s="144">
        <f t="shared" si="67"/>
        <v>0</v>
      </c>
      <c r="BL109" s="99">
        <v>19</v>
      </c>
    </row>
    <row r="110" spans="1:64" ht="12.75" x14ac:dyDescent="0.2">
      <c r="A110" s="8">
        <f t="shared" si="31"/>
        <v>29</v>
      </c>
      <c r="B110" s="125">
        <f t="shared" si="32"/>
        <v>13.2</v>
      </c>
      <c r="C110" s="125">
        <f t="shared" si="33"/>
        <v>22.2</v>
      </c>
      <c r="D110" s="125">
        <f t="shared" si="68"/>
        <v>17.7</v>
      </c>
      <c r="E110" s="125">
        <f t="shared" si="34"/>
        <v>9</v>
      </c>
      <c r="F110" s="7">
        <v>13.066666666666668</v>
      </c>
      <c r="G110" s="7">
        <v>22.2</v>
      </c>
      <c r="H110" s="7">
        <f t="shared" si="69"/>
        <v>17.633333333333333</v>
      </c>
      <c r="I110" s="7">
        <f t="shared" si="70"/>
        <v>9.1333333333333311</v>
      </c>
      <c r="K110" s="7">
        <f t="shared" si="35"/>
        <v>8.5</v>
      </c>
      <c r="L110" s="7">
        <f t="shared" si="36"/>
        <v>17.45</v>
      </c>
      <c r="M110" s="370">
        <f t="shared" si="37"/>
        <v>4.6550000000000002</v>
      </c>
      <c r="N110" s="1">
        <f t="shared" si="38"/>
        <v>1.5333333333333332</v>
      </c>
      <c r="O110" s="7">
        <f t="shared" si="39"/>
        <v>67.849999999999994</v>
      </c>
      <c r="P110" s="7">
        <f t="shared" si="40"/>
        <v>13.719999999999999</v>
      </c>
      <c r="Q110" s="7">
        <f t="shared" si="41"/>
        <v>22.265000000000001</v>
      </c>
      <c r="R110" s="7">
        <f t="shared" si="42"/>
        <v>17.805</v>
      </c>
      <c r="S110" s="7">
        <f t="shared" si="43"/>
        <v>8.5449999999999982</v>
      </c>
      <c r="T110" s="1">
        <v>51</v>
      </c>
      <c r="U110" s="333">
        <f t="shared" si="44"/>
        <v>2</v>
      </c>
      <c r="V110" s="4">
        <v>20</v>
      </c>
      <c r="W110" s="7">
        <f t="shared" si="45"/>
        <v>5.4600000000000009</v>
      </c>
      <c r="X110" s="7">
        <f t="shared" si="46"/>
        <v>13.923000000000002</v>
      </c>
      <c r="Y110" s="8">
        <f t="shared" si="47"/>
        <v>5</v>
      </c>
      <c r="Z110" s="7">
        <f>IF(ISBLANK(Z23),NA(),SUM($Z$4:Z23))</f>
        <v>43.8</v>
      </c>
      <c r="AA110" s="7">
        <f t="shared" si="71"/>
        <v>40</v>
      </c>
      <c r="AB110" s="26">
        <f>IF(ISBLANK(Z23),"",SUM($Z$4:Z23))</f>
        <v>43.8</v>
      </c>
      <c r="AC110" s="115">
        <f t="shared" si="72"/>
        <v>1.095</v>
      </c>
      <c r="AD110" s="8">
        <f t="shared" si="48"/>
        <v>1012.725</v>
      </c>
      <c r="AE110" s="610">
        <f t="shared" si="49"/>
        <v>0.80286965555447065</v>
      </c>
      <c r="AF110" s="524" t="e">
        <f t="shared" si="50"/>
        <v>#N/A</v>
      </c>
      <c r="AG110" s="22">
        <f>IF(ISBLANK(AP23),NA(),SUM($AP$4:AP23))</f>
        <v>96.5</v>
      </c>
      <c r="AH110" s="7">
        <f>SUM($AS$91:AS110)</f>
        <v>120.19385629085214</v>
      </c>
      <c r="AI110" s="115">
        <f t="shared" si="51"/>
        <v>0.80286965555447065</v>
      </c>
      <c r="AJ110" s="124">
        <f t="shared" si="52"/>
        <v>1</v>
      </c>
      <c r="AK110" s="8">
        <f t="shared" si="53"/>
        <v>1017.5</v>
      </c>
      <c r="AL110" s="124">
        <f t="shared" si="54"/>
        <v>1</v>
      </c>
      <c r="AM110" s="524">
        <f t="shared" si="55"/>
        <v>0.51111111111111118</v>
      </c>
      <c r="AO110" s="524">
        <f t="shared" si="56"/>
        <v>0.5131944444444444</v>
      </c>
      <c r="AR110" s="524">
        <f t="shared" si="57"/>
        <v>0.25</v>
      </c>
      <c r="AS110" s="7">
        <f t="shared" si="58"/>
        <v>5.7761856340520144</v>
      </c>
      <c r="AT110" s="7">
        <v>13.011442710776551</v>
      </c>
      <c r="AU110" s="4">
        <v>20</v>
      </c>
      <c r="AV110" s="127">
        <f t="shared" si="59"/>
        <v>1</v>
      </c>
      <c r="AW110" s="124">
        <f t="shared" si="73"/>
        <v>0</v>
      </c>
      <c r="AX110" s="124">
        <f t="shared" si="74"/>
        <v>0</v>
      </c>
      <c r="AY110" s="124">
        <f t="shared" si="60"/>
        <v>1</v>
      </c>
      <c r="AZ110" s="125">
        <f t="shared" si="61"/>
        <v>4</v>
      </c>
      <c r="BA110" s="125">
        <f t="shared" si="62"/>
        <v>14.7</v>
      </c>
      <c r="BB110" s="125">
        <f t="shared" si="63"/>
        <v>20.7</v>
      </c>
      <c r="BC110" s="7">
        <v>14.588888888888889</v>
      </c>
      <c r="BD110" s="7">
        <v>20.677777777777777</v>
      </c>
      <c r="BE110" s="124"/>
      <c r="BF110" s="8">
        <f t="shared" si="64"/>
        <v>75</v>
      </c>
      <c r="BG110" s="21">
        <f t="shared" si="65"/>
        <v>17</v>
      </c>
      <c r="BH110" s="124">
        <f t="shared" si="66"/>
        <v>0</v>
      </c>
      <c r="BI110" s="124">
        <f t="shared" si="75"/>
        <v>1</v>
      </c>
      <c r="BJ110" s="144">
        <f t="shared" si="67"/>
        <v>1.5333333333333332</v>
      </c>
      <c r="BL110" s="99">
        <v>20</v>
      </c>
    </row>
    <row r="111" spans="1:64" ht="12.75" x14ac:dyDescent="0.2">
      <c r="A111" s="8">
        <f t="shared" si="31"/>
        <v>46</v>
      </c>
      <c r="B111" s="125">
        <f t="shared" si="32"/>
        <v>13.2</v>
      </c>
      <c r="C111" s="125">
        <f t="shared" si="33"/>
        <v>22.2</v>
      </c>
      <c r="D111" s="125">
        <f t="shared" si="68"/>
        <v>17.7</v>
      </c>
      <c r="E111" s="125">
        <f t="shared" si="34"/>
        <v>9</v>
      </c>
      <c r="F111" s="7">
        <v>13.011111111111113</v>
      </c>
      <c r="G111" s="7">
        <v>22.099374999999998</v>
      </c>
      <c r="H111" s="7">
        <f t="shared" si="69"/>
        <v>17.555243055555557</v>
      </c>
      <c r="I111" s="7">
        <f t="shared" si="70"/>
        <v>9.0882638888888856</v>
      </c>
      <c r="K111" s="7">
        <f t="shared" si="35"/>
        <v>10.3</v>
      </c>
      <c r="L111" s="7">
        <f t="shared" si="36"/>
        <v>18.149999999999999</v>
      </c>
      <c r="M111" s="370">
        <f t="shared" si="37"/>
        <v>4.5809523809523807</v>
      </c>
      <c r="N111" s="1">
        <f t="shared" si="38"/>
        <v>0</v>
      </c>
      <c r="O111" s="7">
        <f t="shared" si="39"/>
        <v>67.904761904761898</v>
      </c>
      <c r="P111" s="7">
        <f t="shared" si="40"/>
        <v>13.685714285714285</v>
      </c>
      <c r="Q111" s="7">
        <f t="shared" si="41"/>
        <v>22.314285714285717</v>
      </c>
      <c r="R111" s="7">
        <f t="shared" si="42"/>
        <v>17.833333333333332</v>
      </c>
      <c r="S111" s="7">
        <f t="shared" si="43"/>
        <v>8.6285714285714281</v>
      </c>
      <c r="T111" s="1">
        <v>52</v>
      </c>
      <c r="U111" s="333">
        <f t="shared" si="44"/>
        <v>2</v>
      </c>
      <c r="V111" s="4">
        <v>21</v>
      </c>
      <c r="W111" s="7">
        <f t="shared" si="45"/>
        <v>5.7330000000000005</v>
      </c>
      <c r="X111" s="7">
        <f t="shared" si="46"/>
        <v>14.196000000000002</v>
      </c>
      <c r="Y111" s="8">
        <f t="shared" si="47"/>
        <v>7</v>
      </c>
      <c r="Z111" s="7">
        <f>IF(ISBLANK(Z24),NA(),SUM($Z$4:Z24))</f>
        <v>43.8</v>
      </c>
      <c r="AA111" s="7">
        <f t="shared" si="71"/>
        <v>42</v>
      </c>
      <c r="AB111" s="26">
        <f>IF(ISBLANK(Z24),"",SUM($Z$4:Z24))</f>
        <v>43.8</v>
      </c>
      <c r="AC111" s="115">
        <f t="shared" si="72"/>
        <v>1.0428571428571427</v>
      </c>
      <c r="AD111" s="8">
        <f t="shared" si="48"/>
        <v>1012.8095238095239</v>
      </c>
      <c r="AE111" s="610">
        <f t="shared" si="49"/>
        <v>0.81385241248370332</v>
      </c>
      <c r="AF111" s="524">
        <f t="shared" si="50"/>
        <v>6.9444444444444434E-2</v>
      </c>
      <c r="AG111" s="22">
        <f>IF(ISBLANK(AP24),NA(),SUM($AP$4:AP24))</f>
        <v>102.5</v>
      </c>
      <c r="AH111" s="7">
        <f>SUM($AS$91:AS111)</f>
        <v>125.94421104828079</v>
      </c>
      <c r="AI111" s="115">
        <f t="shared" si="51"/>
        <v>0.81385241248370332</v>
      </c>
      <c r="AJ111" s="124">
        <f t="shared" si="52"/>
        <v>0</v>
      </c>
      <c r="AK111" s="8">
        <f t="shared" si="53"/>
        <v>1014.5</v>
      </c>
      <c r="AL111" s="124">
        <f t="shared" si="54"/>
        <v>0</v>
      </c>
      <c r="AM111" s="524">
        <f t="shared" si="55"/>
        <v>0.81805555555555554</v>
      </c>
      <c r="AO111" s="524">
        <f t="shared" si="56"/>
        <v>0.73263888888888884</v>
      </c>
      <c r="AQ111" s="377">
        <f>SUM(AQ92:AQ107)</f>
        <v>1.0010000000000001</v>
      </c>
      <c r="AR111" s="524">
        <f t="shared" si="57"/>
        <v>2.7777777777777776E-2</v>
      </c>
      <c r="AS111" s="7">
        <f t="shared" si="58"/>
        <v>5.7503547574286591</v>
      </c>
      <c r="AT111" s="7">
        <v>12.953256047007896</v>
      </c>
      <c r="AU111" s="4">
        <v>21</v>
      </c>
      <c r="AV111" s="127">
        <f t="shared" si="59"/>
        <v>1</v>
      </c>
      <c r="AW111" s="124">
        <f t="shared" si="73"/>
        <v>0</v>
      </c>
      <c r="AX111" s="124">
        <f t="shared" si="74"/>
        <v>0</v>
      </c>
      <c r="AY111" s="124">
        <f t="shared" si="60"/>
        <v>0</v>
      </c>
      <c r="AZ111" s="125">
        <f t="shared" si="61"/>
        <v>4</v>
      </c>
      <c r="BA111" s="125">
        <f t="shared" si="62"/>
        <v>14.7</v>
      </c>
      <c r="BB111" s="125">
        <f t="shared" si="63"/>
        <v>20.7</v>
      </c>
      <c r="BC111" s="7">
        <v>14.525821759259262</v>
      </c>
      <c r="BD111" s="7">
        <v>20.584664351851853</v>
      </c>
      <c r="BE111" s="124"/>
      <c r="BF111" s="8">
        <f t="shared" si="64"/>
        <v>69</v>
      </c>
      <c r="BG111" s="21">
        <f t="shared" si="65"/>
        <v>18.399999999999999</v>
      </c>
      <c r="BH111" s="124">
        <f t="shared" si="66"/>
        <v>0</v>
      </c>
      <c r="BI111" s="124">
        <f t="shared" si="75"/>
        <v>0</v>
      </c>
      <c r="BJ111" s="144">
        <f t="shared" si="67"/>
        <v>0</v>
      </c>
      <c r="BL111" s="99">
        <v>21</v>
      </c>
    </row>
    <row r="112" spans="1:64" ht="12.75" x14ac:dyDescent="0.2">
      <c r="A112" s="8">
        <f t="shared" si="31"/>
        <v>41</v>
      </c>
      <c r="B112" s="125">
        <f t="shared" si="32"/>
        <v>13.2</v>
      </c>
      <c r="C112" s="125">
        <f t="shared" si="33"/>
        <v>22.2</v>
      </c>
      <c r="D112" s="125">
        <f t="shared" si="68"/>
        <v>17.7</v>
      </c>
      <c r="E112" s="125">
        <f t="shared" si="34"/>
        <v>9</v>
      </c>
      <c r="F112" s="7">
        <v>12.955555555555557</v>
      </c>
      <c r="G112" s="7">
        <v>21.998750000000001</v>
      </c>
      <c r="H112" s="7">
        <f t="shared" si="69"/>
        <v>17.477152777777778</v>
      </c>
      <c r="I112" s="7">
        <f t="shared" si="70"/>
        <v>9.0431944444444436</v>
      </c>
      <c r="K112" s="7">
        <f t="shared" si="35"/>
        <v>10.9</v>
      </c>
      <c r="L112" s="7">
        <f t="shared" si="36"/>
        <v>16.45</v>
      </c>
      <c r="M112" s="370">
        <f t="shared" si="37"/>
        <v>4.540909090909091</v>
      </c>
      <c r="N112" s="1">
        <f t="shared" si="38"/>
        <v>0</v>
      </c>
      <c r="O112" s="7">
        <f t="shared" si="39"/>
        <v>67.727272727272734</v>
      </c>
      <c r="P112" s="7">
        <f t="shared" si="40"/>
        <v>13.563636363636363</v>
      </c>
      <c r="Q112" s="7">
        <f t="shared" si="41"/>
        <v>22.295454545454547</v>
      </c>
      <c r="R112" s="7">
        <f t="shared" si="42"/>
        <v>17.813636363636359</v>
      </c>
      <c r="S112" s="7">
        <f t="shared" si="43"/>
        <v>8.7318181818181824</v>
      </c>
      <c r="T112" s="1">
        <v>53</v>
      </c>
      <c r="U112" s="333">
        <f t="shared" si="44"/>
        <v>2</v>
      </c>
      <c r="V112" s="4">
        <v>22</v>
      </c>
      <c r="W112" s="7">
        <f t="shared" si="45"/>
        <v>6.0060000000000002</v>
      </c>
      <c r="X112" s="7">
        <f t="shared" si="46"/>
        <v>14.469000000000001</v>
      </c>
      <c r="Y112" s="8">
        <f t="shared" si="47"/>
        <v>3</v>
      </c>
      <c r="Z112" s="7">
        <f>IF(ISBLANK(Z25),NA(),SUM($Z$4:Z25))</f>
        <v>43.8</v>
      </c>
      <c r="AA112" s="7">
        <f t="shared" si="71"/>
        <v>44</v>
      </c>
      <c r="AB112" s="26">
        <f>IF(ISBLANK(Z25),"",SUM($Z$4:Z25))</f>
        <v>43.8</v>
      </c>
      <c r="AC112" s="115">
        <f t="shared" si="72"/>
        <v>0.99545454545454537</v>
      </c>
      <c r="AD112" s="8">
        <f t="shared" si="48"/>
        <v>1013.0681818181819</v>
      </c>
      <c r="AE112" s="610">
        <f t="shared" si="49"/>
        <v>0.84682302255891961</v>
      </c>
      <c r="AF112" s="524">
        <f t="shared" si="50"/>
        <v>0.27708333333333335</v>
      </c>
      <c r="AG112" s="22">
        <f>IF(ISBLANK(AP25),NA(),SUM($AP$4:AP25))</f>
        <v>111.5</v>
      </c>
      <c r="AH112" s="7">
        <f>SUM($AS$91:AS112)</f>
        <v>131.66859784122383</v>
      </c>
      <c r="AI112" s="115">
        <f t="shared" si="51"/>
        <v>0.84682302255891961</v>
      </c>
      <c r="AJ112" s="124">
        <f t="shared" si="52"/>
        <v>0</v>
      </c>
      <c r="AK112" s="8">
        <f t="shared" si="53"/>
        <v>1018.5</v>
      </c>
      <c r="AL112" s="124">
        <f t="shared" si="54"/>
        <v>0</v>
      </c>
      <c r="AM112" s="524">
        <f t="shared" si="55"/>
        <v>0.78402777777777777</v>
      </c>
      <c r="AO112" s="524">
        <f t="shared" si="56"/>
        <v>0.58333333333333337</v>
      </c>
      <c r="AR112" s="524">
        <f t="shared" si="57"/>
        <v>0.23263888888888887</v>
      </c>
      <c r="AS112" s="7">
        <f t="shared" si="58"/>
        <v>5.7243867929430383</v>
      </c>
      <c r="AT112" s="7">
        <v>12.894760578955717</v>
      </c>
      <c r="AU112" s="4">
        <v>22</v>
      </c>
      <c r="AV112" s="127">
        <f t="shared" si="59"/>
        <v>1</v>
      </c>
      <c r="AW112" s="124">
        <f t="shared" si="73"/>
        <v>0</v>
      </c>
      <c r="AX112" s="124">
        <f t="shared" si="74"/>
        <v>0</v>
      </c>
      <c r="AY112" s="124">
        <f t="shared" si="60"/>
        <v>1</v>
      </c>
      <c r="AZ112" s="125">
        <f t="shared" si="61"/>
        <v>4</v>
      </c>
      <c r="BA112" s="125">
        <f t="shared" si="62"/>
        <v>14.7</v>
      </c>
      <c r="BB112" s="125">
        <f t="shared" si="63"/>
        <v>20.7</v>
      </c>
      <c r="BC112" s="7">
        <v>14.462754629629632</v>
      </c>
      <c r="BD112" s="7">
        <v>20.491550925925925</v>
      </c>
      <c r="BE112" s="124"/>
      <c r="BF112" s="8">
        <f t="shared" si="64"/>
        <v>64</v>
      </c>
      <c r="BG112" s="21">
        <f t="shared" si="65"/>
        <v>17.399999999999999</v>
      </c>
      <c r="BH112" s="124">
        <f t="shared" si="66"/>
        <v>0</v>
      </c>
      <c r="BI112" s="124">
        <f t="shared" si="75"/>
        <v>0</v>
      </c>
      <c r="BJ112" s="144">
        <f t="shared" si="67"/>
        <v>0</v>
      </c>
      <c r="BL112" s="99">
        <v>22</v>
      </c>
    </row>
    <row r="113" spans="1:64" ht="12.75" x14ac:dyDescent="0.2">
      <c r="A113" s="8">
        <f t="shared" si="31"/>
        <v>22</v>
      </c>
      <c r="B113" s="125">
        <f t="shared" si="32"/>
        <v>13.2</v>
      </c>
      <c r="C113" s="125">
        <f t="shared" si="33"/>
        <v>22.2</v>
      </c>
      <c r="D113" s="125">
        <f t="shared" si="68"/>
        <v>17.7</v>
      </c>
      <c r="E113" s="125">
        <f t="shared" si="34"/>
        <v>9</v>
      </c>
      <c r="F113" s="7">
        <v>12.9</v>
      </c>
      <c r="G113" s="7">
        <v>21.898125</v>
      </c>
      <c r="H113" s="7">
        <f t="shared" si="69"/>
        <v>17.399062499999999</v>
      </c>
      <c r="I113" s="7">
        <f t="shared" si="70"/>
        <v>8.9981249999999999</v>
      </c>
      <c r="K113" s="7">
        <f t="shared" si="35"/>
        <v>2.7</v>
      </c>
      <c r="L113" s="7">
        <f t="shared" si="36"/>
        <v>15.049999999999999</v>
      </c>
      <c r="M113" s="370">
        <f t="shared" si="37"/>
        <v>4.4913043478260875</v>
      </c>
      <c r="N113" s="1">
        <f t="shared" si="38"/>
        <v>3.2666666666666671</v>
      </c>
      <c r="O113" s="7">
        <f t="shared" si="39"/>
        <v>68.608695652173907</v>
      </c>
      <c r="P113" s="7">
        <f t="shared" si="40"/>
        <v>13.569565217391302</v>
      </c>
      <c r="Q113" s="7">
        <f t="shared" si="41"/>
        <v>22.039130434782606</v>
      </c>
      <c r="R113" s="7">
        <f t="shared" si="42"/>
        <v>17.691304347826083</v>
      </c>
      <c r="S113" s="7">
        <f t="shared" si="43"/>
        <v>8.4695652173913043</v>
      </c>
      <c r="T113" s="1">
        <v>54</v>
      </c>
      <c r="U113" s="333">
        <f t="shared" si="44"/>
        <v>2</v>
      </c>
      <c r="V113" s="4">
        <v>23</v>
      </c>
      <c r="W113" s="7">
        <f t="shared" si="45"/>
        <v>6.2790000000000008</v>
      </c>
      <c r="X113" s="7">
        <f t="shared" si="46"/>
        <v>14.742000000000001</v>
      </c>
      <c r="Y113" s="8">
        <f t="shared" si="47"/>
        <v>7</v>
      </c>
      <c r="Z113" s="7">
        <f>IF(ISBLANK(Z26),NA(),SUM($Z$4:Z26))</f>
        <v>53.599999999999994</v>
      </c>
      <c r="AA113" s="7">
        <f t="shared" si="71"/>
        <v>46</v>
      </c>
      <c r="AB113" s="26">
        <f>IF(ISBLANK(Z26),"",SUM($Z$4:Z26))</f>
        <v>53.599999999999994</v>
      </c>
      <c r="AC113" s="115">
        <f t="shared" si="72"/>
        <v>1.1652173913043478</v>
      </c>
      <c r="AD113" s="8">
        <f t="shared" si="48"/>
        <v>1013.1304347826087</v>
      </c>
      <c r="AE113" s="610">
        <f t="shared" si="49"/>
        <v>0.81169489328552891</v>
      </c>
      <c r="AF113" s="524" t="e">
        <f t="shared" si="50"/>
        <v>#N/A</v>
      </c>
      <c r="AG113" s="22">
        <f>IF(ISBLANK(AP26),NA(),SUM($AP$4:AP26))</f>
        <v>111.5</v>
      </c>
      <c r="AH113" s="7">
        <f>SUM($AS$91:AS113)</f>
        <v>137.36688615678869</v>
      </c>
      <c r="AI113" s="115">
        <f t="shared" si="51"/>
        <v>0.81169489328552891</v>
      </c>
      <c r="AJ113" s="124">
        <f t="shared" si="52"/>
        <v>1</v>
      </c>
      <c r="AK113" s="8">
        <f t="shared" si="53"/>
        <v>1014.5</v>
      </c>
      <c r="AL113" s="124">
        <f t="shared" si="54"/>
        <v>1</v>
      </c>
      <c r="AM113" s="524" t="e">
        <f t="shared" si="55"/>
        <v>#N/A</v>
      </c>
      <c r="AO113" s="524">
        <f t="shared" si="56"/>
        <v>0.61805555555555558</v>
      </c>
      <c r="AR113" s="524">
        <f t="shared" si="57"/>
        <v>0.4381944444444445</v>
      </c>
      <c r="AS113" s="7">
        <f t="shared" si="58"/>
        <v>5.6982883155648683</v>
      </c>
      <c r="AT113" s="7">
        <v>12.835971117404714</v>
      </c>
      <c r="AU113" s="4">
        <v>23</v>
      </c>
      <c r="AV113" s="127">
        <f t="shared" si="59"/>
        <v>0</v>
      </c>
      <c r="AW113" s="124">
        <f t="shared" si="73"/>
        <v>0</v>
      </c>
      <c r="AX113" s="124">
        <f t="shared" si="74"/>
        <v>0</v>
      </c>
      <c r="AY113" s="124">
        <f t="shared" si="60"/>
        <v>0</v>
      </c>
      <c r="AZ113" s="125">
        <f t="shared" si="61"/>
        <v>4</v>
      </c>
      <c r="BA113" s="125">
        <f t="shared" si="62"/>
        <v>14.7</v>
      </c>
      <c r="BB113" s="125">
        <f t="shared" si="63"/>
        <v>20.7</v>
      </c>
      <c r="BC113" s="7">
        <v>14.399687500000001</v>
      </c>
      <c r="BD113" s="7">
        <v>20.3984375</v>
      </c>
      <c r="BE113" s="124"/>
      <c r="BF113" s="8">
        <f t="shared" si="64"/>
        <v>88</v>
      </c>
      <c r="BG113" s="21">
        <f t="shared" si="65"/>
        <v>15</v>
      </c>
      <c r="BH113" s="124">
        <f t="shared" si="66"/>
        <v>0</v>
      </c>
      <c r="BI113" s="124">
        <f t="shared" si="75"/>
        <v>1</v>
      </c>
      <c r="BJ113" s="144">
        <f t="shared" si="67"/>
        <v>3.2666666666666671</v>
      </c>
      <c r="BL113" s="99">
        <v>23</v>
      </c>
    </row>
    <row r="114" spans="1:64" ht="12.75" x14ac:dyDescent="0.2">
      <c r="A114" s="8">
        <f t="shared" si="31"/>
        <v>44</v>
      </c>
      <c r="B114" s="125">
        <f t="shared" si="32"/>
        <v>13.2</v>
      </c>
      <c r="C114" s="125">
        <f t="shared" si="33"/>
        <v>22.2</v>
      </c>
      <c r="D114" s="125">
        <f t="shared" si="68"/>
        <v>17.7</v>
      </c>
      <c r="E114" s="125">
        <f t="shared" si="34"/>
        <v>9</v>
      </c>
      <c r="F114" s="7">
        <v>12.824230769230768</v>
      </c>
      <c r="G114" s="7">
        <v>21.797499999999999</v>
      </c>
      <c r="H114" s="7">
        <f t="shared" si="69"/>
        <v>17.310865384615383</v>
      </c>
      <c r="I114" s="7">
        <f t="shared" si="70"/>
        <v>8.9732692307692314</v>
      </c>
      <c r="K114" s="7">
        <f t="shared" si="35"/>
        <v>6.5</v>
      </c>
      <c r="L114" s="7">
        <f t="shared" si="36"/>
        <v>17.45</v>
      </c>
      <c r="M114" s="370">
        <f t="shared" si="37"/>
        <v>4.479166666666667</v>
      </c>
      <c r="N114" s="1">
        <f t="shared" si="38"/>
        <v>0.16666666666666666</v>
      </c>
      <c r="O114" s="7">
        <f t="shared" si="39"/>
        <v>69.041666666666671</v>
      </c>
      <c r="P114" s="7">
        <f t="shared" si="40"/>
        <v>13.595833333333331</v>
      </c>
      <c r="Q114" s="7">
        <f t="shared" si="41"/>
        <v>21.983333333333334</v>
      </c>
      <c r="R114" s="7">
        <f t="shared" si="42"/>
        <v>17.637499999999996</v>
      </c>
      <c r="S114" s="7">
        <f t="shared" si="43"/>
        <v>8.3874999999999993</v>
      </c>
      <c r="T114" s="1">
        <v>55</v>
      </c>
      <c r="U114" s="333">
        <f t="shared" si="44"/>
        <v>2</v>
      </c>
      <c r="V114" s="4">
        <v>24</v>
      </c>
      <c r="W114" s="7">
        <f t="shared" si="45"/>
        <v>6.5520000000000005</v>
      </c>
      <c r="X114" s="7">
        <f t="shared" si="46"/>
        <v>15.015000000000001</v>
      </c>
      <c r="Y114" s="8">
        <f t="shared" si="47"/>
        <v>2</v>
      </c>
      <c r="Z114" s="7">
        <f>IF(ISBLANK(Z27),NA(),SUM($Z$4:Z27))</f>
        <v>54.099999999999994</v>
      </c>
      <c r="AA114" s="7">
        <f t="shared" si="71"/>
        <v>48</v>
      </c>
      <c r="AB114" s="26">
        <f>IF(ISBLANK(Z27),"",SUM($Z$4:Z27))</f>
        <v>54.099999999999994</v>
      </c>
      <c r="AC114" s="115">
        <f t="shared" si="72"/>
        <v>1.1270833333333332</v>
      </c>
      <c r="AD114" s="8">
        <f t="shared" si="48"/>
        <v>1013.125</v>
      </c>
      <c r="AE114" s="610">
        <f t="shared" si="49"/>
        <v>0.80747235981932286</v>
      </c>
      <c r="AF114" s="524">
        <f t="shared" si="50"/>
        <v>0.36805555555555558</v>
      </c>
      <c r="AG114" s="22">
        <f>IF(ISBLANK(AP27),NA(),SUM($AP$4:AP27))</f>
        <v>115.5</v>
      </c>
      <c r="AH114" s="7">
        <f>SUM($AS$91:AS114)</f>
        <v>143.03895185445589</v>
      </c>
      <c r="AI114" s="115">
        <f t="shared" si="51"/>
        <v>0.80747235981932286</v>
      </c>
      <c r="AJ114" s="124">
        <f t="shared" si="52"/>
        <v>1</v>
      </c>
      <c r="AK114" s="8">
        <f t="shared" si="53"/>
        <v>1013</v>
      </c>
      <c r="AL114" s="124">
        <f t="shared" si="54"/>
        <v>0</v>
      </c>
      <c r="AM114" s="524">
        <f t="shared" si="55"/>
        <v>0.69791666666666663</v>
      </c>
      <c r="AO114" s="524">
        <f t="shared" si="56"/>
        <v>0.71527777777777779</v>
      </c>
      <c r="AR114" s="524">
        <f t="shared" si="57"/>
        <v>0.22916666666666666</v>
      </c>
      <c r="AS114" s="7">
        <f t="shared" si="58"/>
        <v>5.6720656976672004</v>
      </c>
      <c r="AT114" s="7">
        <v>12.776902016770091</v>
      </c>
      <c r="AU114" s="4">
        <v>24</v>
      </c>
      <c r="AV114" s="127">
        <f t="shared" si="59"/>
        <v>1</v>
      </c>
      <c r="AW114" s="124">
        <f t="shared" si="73"/>
        <v>0</v>
      </c>
      <c r="AX114" s="124">
        <f t="shared" si="74"/>
        <v>0</v>
      </c>
      <c r="AY114" s="124">
        <f t="shared" si="60"/>
        <v>0</v>
      </c>
      <c r="AZ114" s="125">
        <f t="shared" si="61"/>
        <v>4</v>
      </c>
      <c r="BA114" s="125">
        <f t="shared" si="62"/>
        <v>14.7</v>
      </c>
      <c r="BB114" s="125">
        <f t="shared" si="63"/>
        <v>20.7</v>
      </c>
      <c r="BC114" s="7">
        <v>14.31977564102564</v>
      </c>
      <c r="BD114" s="7">
        <v>20.301955128205126</v>
      </c>
      <c r="BE114" s="124"/>
      <c r="BF114" s="8">
        <f t="shared" si="64"/>
        <v>79</v>
      </c>
      <c r="BG114" s="21">
        <f t="shared" si="65"/>
        <v>16.399999999999999</v>
      </c>
      <c r="BH114" s="124">
        <f t="shared" si="66"/>
        <v>0</v>
      </c>
      <c r="BI114" s="124">
        <f t="shared" si="75"/>
        <v>1</v>
      </c>
      <c r="BJ114" s="144">
        <f t="shared" si="67"/>
        <v>0.16666666666666666</v>
      </c>
      <c r="BL114" s="99">
        <v>24</v>
      </c>
    </row>
    <row r="115" spans="1:64" ht="12.75" x14ac:dyDescent="0.2">
      <c r="A115" s="8">
        <f t="shared" si="31"/>
        <v>41</v>
      </c>
      <c r="B115" s="125">
        <f t="shared" si="32"/>
        <v>13.2</v>
      </c>
      <c r="C115" s="125">
        <f t="shared" si="33"/>
        <v>22.2</v>
      </c>
      <c r="D115" s="125">
        <f t="shared" si="68"/>
        <v>17.7</v>
      </c>
      <c r="E115" s="125">
        <f t="shared" si="34"/>
        <v>9</v>
      </c>
      <c r="F115" s="7">
        <v>12.748461538461537</v>
      </c>
      <c r="G115" s="7">
        <v>21.696874999999999</v>
      </c>
      <c r="H115" s="7">
        <f t="shared" si="69"/>
        <v>17.222668269230766</v>
      </c>
      <c r="I115" s="7">
        <f t="shared" si="70"/>
        <v>8.9484134615384612</v>
      </c>
      <c r="K115" s="7">
        <f t="shared" si="35"/>
        <v>6.1</v>
      </c>
      <c r="L115" s="7">
        <f t="shared" si="36"/>
        <v>16.850000000000001</v>
      </c>
      <c r="M115" s="370">
        <f t="shared" si="37"/>
        <v>4.4800000000000004</v>
      </c>
      <c r="N115" s="1">
        <f t="shared" si="38"/>
        <v>3.1</v>
      </c>
      <c r="O115" s="7">
        <f t="shared" si="39"/>
        <v>69.239999999999995</v>
      </c>
      <c r="P115" s="7">
        <f t="shared" si="40"/>
        <v>13.603999999999999</v>
      </c>
      <c r="Q115" s="7">
        <f t="shared" si="41"/>
        <v>21.9</v>
      </c>
      <c r="R115" s="7">
        <f t="shared" si="42"/>
        <v>17.579999999999995</v>
      </c>
      <c r="S115" s="7">
        <f t="shared" si="43"/>
        <v>8.2959999999999994</v>
      </c>
      <c r="T115" s="1">
        <v>56</v>
      </c>
      <c r="U115" s="333">
        <f t="shared" si="44"/>
        <v>2</v>
      </c>
      <c r="V115" s="4">
        <v>25</v>
      </c>
      <c r="W115" s="7">
        <f t="shared" si="45"/>
        <v>6.8250000000000002</v>
      </c>
      <c r="X115" s="7">
        <f t="shared" si="46"/>
        <v>15.288</v>
      </c>
      <c r="Y115" s="8">
        <f t="shared" si="47"/>
        <v>5</v>
      </c>
      <c r="Z115" s="7">
        <f>IF(ISBLANK(Z28),NA(),SUM($Z$4:Z28))</f>
        <v>63.399999999999991</v>
      </c>
      <c r="AA115" s="7">
        <f t="shared" si="71"/>
        <v>50</v>
      </c>
      <c r="AB115" s="26">
        <f>IF(ISBLANK(Z28),"",SUM($Z$4:Z28))</f>
        <v>63.399999999999991</v>
      </c>
      <c r="AC115" s="115">
        <f t="shared" si="72"/>
        <v>1.2679999999999998</v>
      </c>
      <c r="AD115" s="8">
        <f t="shared" si="48"/>
        <v>1013.02</v>
      </c>
      <c r="AE115" s="610">
        <f t="shared" si="49"/>
        <v>0.80371429280088491</v>
      </c>
      <c r="AF115" s="524" t="e">
        <f t="shared" si="50"/>
        <v>#N/A</v>
      </c>
      <c r="AG115" s="22">
        <f>IF(ISBLANK(AP28),NA(),SUM($AP$4:AP28))</f>
        <v>119.5</v>
      </c>
      <c r="AH115" s="7">
        <f>SUM($AS$91:AS115)</f>
        <v>148.68467696841788</v>
      </c>
      <c r="AI115" s="115">
        <f t="shared" si="51"/>
        <v>0.80371429280088491</v>
      </c>
      <c r="AJ115" s="124">
        <f t="shared" si="52"/>
        <v>1</v>
      </c>
      <c r="AK115" s="8">
        <f t="shared" si="53"/>
        <v>1010.5</v>
      </c>
      <c r="AL115" s="124">
        <f t="shared" si="54"/>
        <v>1</v>
      </c>
      <c r="AM115" s="524">
        <f t="shared" si="55"/>
        <v>0.72916666666666663</v>
      </c>
      <c r="AO115" s="524">
        <f t="shared" si="56"/>
        <v>0.72916666666666663</v>
      </c>
      <c r="AR115" s="524">
        <f t="shared" si="57"/>
        <v>0.125</v>
      </c>
      <c r="AS115" s="7">
        <f t="shared" si="58"/>
        <v>5.6457251139620004</v>
      </c>
      <c r="AT115" s="7">
        <v>12.717567186215451</v>
      </c>
      <c r="AU115" s="4">
        <v>25</v>
      </c>
      <c r="AV115" s="127">
        <f t="shared" si="59"/>
        <v>1</v>
      </c>
      <c r="AW115" s="124">
        <f t="shared" si="73"/>
        <v>0</v>
      </c>
      <c r="AX115" s="124">
        <f t="shared" si="74"/>
        <v>0</v>
      </c>
      <c r="AY115" s="124">
        <f t="shared" si="60"/>
        <v>0</v>
      </c>
      <c r="AZ115" s="125">
        <f t="shared" si="61"/>
        <v>4</v>
      </c>
      <c r="BA115" s="125">
        <f t="shared" si="62"/>
        <v>14.7</v>
      </c>
      <c r="BB115" s="125">
        <f t="shared" si="63"/>
        <v>20.7</v>
      </c>
      <c r="BC115" s="7">
        <v>14.23986378205128</v>
      </c>
      <c r="BD115" s="7">
        <v>20.205472756410252</v>
      </c>
      <c r="BF115" s="8">
        <f t="shared" si="64"/>
        <v>74</v>
      </c>
      <c r="BG115" s="21">
        <f t="shared" si="65"/>
        <v>16.2</v>
      </c>
      <c r="BH115" s="124">
        <f t="shared" si="66"/>
        <v>0</v>
      </c>
      <c r="BI115" s="124">
        <f t="shared" si="75"/>
        <v>1</v>
      </c>
      <c r="BJ115" s="144">
        <f t="shared" si="67"/>
        <v>3.1</v>
      </c>
      <c r="BL115" s="99">
        <v>25</v>
      </c>
    </row>
    <row r="116" spans="1:64" ht="12.75" x14ac:dyDescent="0.2">
      <c r="A116" s="8">
        <f t="shared" si="31"/>
        <v>15</v>
      </c>
      <c r="B116" s="125">
        <f t="shared" si="32"/>
        <v>13.2</v>
      </c>
      <c r="C116" s="125">
        <f t="shared" si="33"/>
        <v>22.2</v>
      </c>
      <c r="D116" s="125">
        <f t="shared" si="68"/>
        <v>17.7</v>
      </c>
      <c r="E116" s="125">
        <f t="shared" si="34"/>
        <v>9</v>
      </c>
      <c r="F116" s="7">
        <v>12.672692307692307</v>
      </c>
      <c r="G116" s="7">
        <v>21.596250000000001</v>
      </c>
      <c r="H116" s="7">
        <f t="shared" si="69"/>
        <v>17.134471153846153</v>
      </c>
      <c r="I116" s="7">
        <f t="shared" si="70"/>
        <v>8.9235576923076945</v>
      </c>
      <c r="K116" s="7">
        <f t="shared" si="35"/>
        <v>6</v>
      </c>
      <c r="L116" s="7">
        <f t="shared" si="36"/>
        <v>14</v>
      </c>
      <c r="M116" s="370">
        <f t="shared" si="37"/>
        <v>4.384615384615385</v>
      </c>
      <c r="N116" s="1">
        <f t="shared" si="38"/>
        <v>2.9</v>
      </c>
      <c r="O116" s="7">
        <f t="shared" si="39"/>
        <v>70.038461538461533</v>
      </c>
      <c r="P116" s="7">
        <f t="shared" si="40"/>
        <v>13.503846153846153</v>
      </c>
      <c r="Q116" s="7">
        <f t="shared" si="41"/>
        <v>21.71153846153846</v>
      </c>
      <c r="R116" s="7">
        <f t="shared" si="42"/>
        <v>17.449999999999996</v>
      </c>
      <c r="S116" s="7">
        <f t="shared" si="43"/>
        <v>8.207692307692307</v>
      </c>
      <c r="T116" s="1">
        <v>57</v>
      </c>
      <c r="U116" s="333">
        <f t="shared" si="44"/>
        <v>2</v>
      </c>
      <c r="V116" s="4">
        <v>26</v>
      </c>
      <c r="W116" s="7">
        <f t="shared" si="45"/>
        <v>7.0980000000000008</v>
      </c>
      <c r="X116" s="7">
        <f t="shared" si="46"/>
        <v>15.561000000000002</v>
      </c>
      <c r="Y116" s="8">
        <f t="shared" si="47"/>
        <v>6</v>
      </c>
      <c r="Z116" s="7">
        <f>IF(ISBLANK(Z29),NA(),SUM($Z$4:Z29))</f>
        <v>72.099999999999994</v>
      </c>
      <c r="AA116" s="7">
        <f t="shared" si="71"/>
        <v>52</v>
      </c>
      <c r="AB116" s="26">
        <f>IF(ISBLANK(Z29),"",SUM($Z$4:Z29))</f>
        <v>72.099999999999994</v>
      </c>
      <c r="AC116" s="115">
        <f t="shared" si="72"/>
        <v>1.3865384615384615</v>
      </c>
      <c r="AD116" s="8">
        <f t="shared" si="48"/>
        <v>1012.7115384615385</v>
      </c>
      <c r="AE116" s="610">
        <f t="shared" si="49"/>
        <v>0.78092621983200627</v>
      </c>
      <c r="AF116" s="524" t="e">
        <f t="shared" si="50"/>
        <v>#N/A</v>
      </c>
      <c r="AG116" s="22">
        <f>IF(ISBLANK(AP29),NA(),SUM($AP$4:AP29))</f>
        <v>120.5</v>
      </c>
      <c r="AH116" s="7">
        <f>SUM($AS$91:AS116)</f>
        <v>154.30394951513102</v>
      </c>
      <c r="AI116" s="115">
        <f t="shared" si="51"/>
        <v>0.78092621983200627</v>
      </c>
      <c r="AJ116" s="124">
        <f t="shared" si="52"/>
        <v>1</v>
      </c>
      <c r="AK116" s="8">
        <f t="shared" si="53"/>
        <v>1005</v>
      </c>
      <c r="AL116" s="124">
        <f t="shared" si="54"/>
        <v>1</v>
      </c>
      <c r="AM116" s="524" t="e">
        <f t="shared" si="55"/>
        <v>#N/A</v>
      </c>
      <c r="AO116" s="524">
        <f t="shared" si="56"/>
        <v>0.69444444444444453</v>
      </c>
      <c r="AR116" s="524">
        <f t="shared" si="57"/>
        <v>0.26041666666666669</v>
      </c>
      <c r="AS116" s="7">
        <f t="shared" si="58"/>
        <v>5.6192725467131535</v>
      </c>
      <c r="AT116" s="7">
        <v>12.657980101395621</v>
      </c>
      <c r="AU116" s="4">
        <v>26</v>
      </c>
      <c r="AV116" s="127">
        <f t="shared" si="59"/>
        <v>0</v>
      </c>
      <c r="AW116" s="124">
        <f t="shared" si="73"/>
        <v>1</v>
      </c>
      <c r="AX116" s="124">
        <f t="shared" si="74"/>
        <v>0</v>
      </c>
      <c r="AY116" s="124">
        <f t="shared" si="60"/>
        <v>0</v>
      </c>
      <c r="AZ116" s="125">
        <f t="shared" si="61"/>
        <v>4</v>
      </c>
      <c r="BA116" s="125">
        <f t="shared" si="62"/>
        <v>14.7</v>
      </c>
      <c r="BB116" s="125">
        <f t="shared" si="63"/>
        <v>20.7</v>
      </c>
      <c r="BC116" s="7">
        <v>14.159951923076921</v>
      </c>
      <c r="BD116" s="7">
        <v>20.108990384615378</v>
      </c>
      <c r="BF116" s="8">
        <f t="shared" si="64"/>
        <v>90</v>
      </c>
      <c r="BG116" s="21">
        <f t="shared" si="65"/>
        <v>14.2</v>
      </c>
      <c r="BH116" s="124">
        <f t="shared" si="66"/>
        <v>1</v>
      </c>
      <c r="BI116" s="124">
        <f t="shared" si="75"/>
        <v>1</v>
      </c>
      <c r="BJ116" s="144">
        <f t="shared" si="67"/>
        <v>2.9</v>
      </c>
      <c r="BL116" s="99">
        <v>26</v>
      </c>
    </row>
    <row r="117" spans="1:64" ht="12.75" x14ac:dyDescent="0.2">
      <c r="A117" s="8">
        <f t="shared" si="31"/>
        <v>39</v>
      </c>
      <c r="B117" s="125">
        <f t="shared" si="32"/>
        <v>13.2</v>
      </c>
      <c r="C117" s="125">
        <f t="shared" si="33"/>
        <v>22.2</v>
      </c>
      <c r="D117" s="125">
        <f t="shared" si="68"/>
        <v>17.7</v>
      </c>
      <c r="E117" s="125">
        <f t="shared" si="34"/>
        <v>9</v>
      </c>
      <c r="F117" s="7">
        <v>12.596923076923076</v>
      </c>
      <c r="G117" s="7">
        <v>21.495625</v>
      </c>
      <c r="H117" s="7">
        <f t="shared" si="69"/>
        <v>17.04627403846154</v>
      </c>
      <c r="I117" s="7">
        <f t="shared" si="70"/>
        <v>8.8987019230769242</v>
      </c>
      <c r="K117" s="7">
        <f t="shared" si="35"/>
        <v>6.7</v>
      </c>
      <c r="L117" s="7">
        <f t="shared" si="36"/>
        <v>14.549999999999999</v>
      </c>
      <c r="M117" s="370">
        <f t="shared" si="37"/>
        <v>4.3851851851851862</v>
      </c>
      <c r="N117" s="1">
        <f t="shared" si="38"/>
        <v>0.26666666666666666</v>
      </c>
      <c r="O117" s="7">
        <f t="shared" si="39"/>
        <v>70.407407407407405</v>
      </c>
      <c r="P117" s="7">
        <f t="shared" si="40"/>
        <v>13.418518518518518</v>
      </c>
      <c r="Q117" s="7">
        <f t="shared" si="41"/>
        <v>21.57037037037037</v>
      </c>
      <c r="R117" s="7">
        <f t="shared" si="42"/>
        <v>17.329629629629625</v>
      </c>
      <c r="S117" s="7">
        <f t="shared" si="43"/>
        <v>8.1518518518518501</v>
      </c>
      <c r="T117" s="1">
        <v>58</v>
      </c>
      <c r="U117" s="333">
        <f t="shared" si="44"/>
        <v>2</v>
      </c>
      <c r="V117" s="4">
        <v>27</v>
      </c>
      <c r="W117" s="7">
        <f t="shared" si="45"/>
        <v>7.3710000000000004</v>
      </c>
      <c r="X117" s="7">
        <f t="shared" si="46"/>
        <v>15.834000000000001</v>
      </c>
      <c r="Y117" s="8">
        <f t="shared" si="47"/>
        <v>9</v>
      </c>
      <c r="Z117" s="7">
        <f>IF(ISBLANK(Z30),NA(),SUM($Z$4:Z30))</f>
        <v>72.899999999999991</v>
      </c>
      <c r="AA117" s="7">
        <f t="shared" si="71"/>
        <v>54</v>
      </c>
      <c r="AB117" s="26">
        <f>IF(ISBLANK(Z30),"",SUM($Z$4:Z30))</f>
        <v>72.899999999999991</v>
      </c>
      <c r="AC117" s="115">
        <f t="shared" si="72"/>
        <v>1.3499999999999999</v>
      </c>
      <c r="AD117" s="8">
        <f t="shared" si="48"/>
        <v>1012.6666666666666</v>
      </c>
      <c r="AE117" s="610">
        <f t="shared" si="49"/>
        <v>0.79738999778709296</v>
      </c>
      <c r="AF117" s="524">
        <f t="shared" si="50"/>
        <v>0.125</v>
      </c>
      <c r="AG117" s="22">
        <f>IF(ISBLANK(AP30),NA(),SUM($AP$4:AP30))</f>
        <v>127.5</v>
      </c>
      <c r="AH117" s="7">
        <f>SUM($AS$91:AS117)</f>
        <v>159.89666330633247</v>
      </c>
      <c r="AI117" s="115">
        <f t="shared" si="51"/>
        <v>0.79738999778709296</v>
      </c>
      <c r="AJ117" s="124">
        <f t="shared" si="52"/>
        <v>1</v>
      </c>
      <c r="AK117" s="8">
        <f t="shared" si="53"/>
        <v>1011.5</v>
      </c>
      <c r="AL117" s="124">
        <f t="shared" si="54"/>
        <v>0</v>
      </c>
      <c r="AM117" s="524">
        <f t="shared" si="55"/>
        <v>0.64375000000000004</v>
      </c>
      <c r="AO117" s="524">
        <f t="shared" si="56"/>
        <v>0.50347222222222221</v>
      </c>
      <c r="AR117" s="524" t="e">
        <f t="shared" si="57"/>
        <v>#N/A</v>
      </c>
      <c r="AS117" s="7">
        <f t="shared" si="58"/>
        <v>5.5927137912014508</v>
      </c>
      <c r="AT117" s="7">
        <v>12.598153816767088</v>
      </c>
      <c r="AU117" s="4">
        <v>27</v>
      </c>
      <c r="AV117" s="127">
        <f t="shared" si="59"/>
        <v>1</v>
      </c>
      <c r="AW117" s="124">
        <f t="shared" si="73"/>
        <v>0</v>
      </c>
      <c r="AX117" s="124">
        <f t="shared" si="74"/>
        <v>0</v>
      </c>
      <c r="AY117" s="124">
        <f t="shared" si="60"/>
        <v>0</v>
      </c>
      <c r="AZ117" s="125">
        <f t="shared" si="61"/>
        <v>4</v>
      </c>
      <c r="BA117" s="125">
        <f t="shared" si="62"/>
        <v>14.7</v>
      </c>
      <c r="BB117" s="125">
        <f t="shared" si="63"/>
        <v>20.7</v>
      </c>
      <c r="BC117" s="7">
        <v>14.08004006410256</v>
      </c>
      <c r="BD117" s="7">
        <v>20.012508012820504</v>
      </c>
      <c r="BF117" s="8">
        <f t="shared" si="64"/>
        <v>80</v>
      </c>
      <c r="BG117" s="21">
        <f t="shared" si="65"/>
        <v>14.2</v>
      </c>
      <c r="BH117" s="124">
        <f t="shared" si="66"/>
        <v>0</v>
      </c>
      <c r="BI117" s="124">
        <f t="shared" si="75"/>
        <v>1</v>
      </c>
      <c r="BJ117" s="144">
        <f t="shared" si="67"/>
        <v>0.26666666666666666</v>
      </c>
      <c r="BL117" s="99">
        <v>27</v>
      </c>
    </row>
    <row r="118" spans="1:64" ht="12.75" x14ac:dyDescent="0.2">
      <c r="A118" s="8">
        <f t="shared" si="31"/>
        <v>37</v>
      </c>
      <c r="B118" s="125">
        <f t="shared" si="32"/>
        <v>13.2</v>
      </c>
      <c r="C118" s="125">
        <f t="shared" si="33"/>
        <v>22.2</v>
      </c>
      <c r="D118" s="125">
        <f t="shared" si="68"/>
        <v>17.7</v>
      </c>
      <c r="E118" s="125">
        <f t="shared" si="34"/>
        <v>9</v>
      </c>
      <c r="F118" s="7">
        <v>12.521153846153846</v>
      </c>
      <c r="G118" s="7">
        <v>21.395</v>
      </c>
      <c r="H118" s="7">
        <f t="shared" si="69"/>
        <v>16.958076923076923</v>
      </c>
      <c r="I118" s="7">
        <f t="shared" si="70"/>
        <v>8.8738461538461539</v>
      </c>
      <c r="K118" s="7">
        <f t="shared" si="35"/>
        <v>7</v>
      </c>
      <c r="L118" s="7">
        <f t="shared" si="36"/>
        <v>15.899999999999999</v>
      </c>
      <c r="M118" s="370">
        <f t="shared" si="37"/>
        <v>4.4250000000000007</v>
      </c>
      <c r="N118" s="1">
        <f t="shared" si="38"/>
        <v>3.3333333333333333E-2</v>
      </c>
      <c r="O118" s="7">
        <f t="shared" si="39"/>
        <v>70.428571428571431</v>
      </c>
      <c r="P118" s="7">
        <f t="shared" si="40"/>
        <v>13.382142857142854</v>
      </c>
      <c r="Q118" s="7">
        <f t="shared" si="41"/>
        <v>21.49285714285714</v>
      </c>
      <c r="R118" s="7">
        <f t="shared" si="42"/>
        <v>17.253571428571423</v>
      </c>
      <c r="S118" s="7">
        <f t="shared" si="43"/>
        <v>8.110714285714284</v>
      </c>
      <c r="T118" s="1">
        <v>59</v>
      </c>
      <c r="U118" s="333">
        <f t="shared" si="44"/>
        <v>2</v>
      </c>
      <c r="V118" s="4">
        <v>28</v>
      </c>
      <c r="W118" s="7">
        <f t="shared" si="45"/>
        <v>7.6440000000000001</v>
      </c>
      <c r="X118" s="7">
        <f t="shared" si="46"/>
        <v>16.107000000000003</v>
      </c>
      <c r="Y118" s="8">
        <f t="shared" si="47"/>
        <v>3</v>
      </c>
      <c r="Z118" s="7">
        <f>IF(ISBLANK(Z31),NA(),SUM($Z$4:Z31))</f>
        <v>72.999999999999986</v>
      </c>
      <c r="AA118" s="7">
        <f t="shared" si="71"/>
        <v>56</v>
      </c>
      <c r="AB118" s="26">
        <f>IF(ISBLANK(Z31),"",SUM($Z$4:Z31))</f>
        <v>72.999999999999986</v>
      </c>
      <c r="AC118" s="115">
        <f t="shared" si="72"/>
        <v>1.3035714285714284</v>
      </c>
      <c r="AD118" s="8">
        <f t="shared" si="48"/>
        <v>1012.7678571428571</v>
      </c>
      <c r="AE118" s="610">
        <f t="shared" si="49"/>
        <v>0.79474096505883807</v>
      </c>
      <c r="AF118" s="524">
        <f t="shared" si="50"/>
        <v>0.33333333333333331</v>
      </c>
      <c r="AG118" s="22">
        <f>IF(ISBLANK(AP31),NA(),SUM($AP$4:AP31))</f>
        <v>131.5</v>
      </c>
      <c r="AH118" s="7">
        <f>SUM($AS$91:AS118)</f>
        <v>165.46271776775026</v>
      </c>
      <c r="AI118" s="115">
        <f t="shared" si="51"/>
        <v>0.79474096505883807</v>
      </c>
      <c r="AJ118" s="124">
        <f t="shared" si="52"/>
        <v>0</v>
      </c>
      <c r="AK118" s="8">
        <f t="shared" si="53"/>
        <v>1015.5</v>
      </c>
      <c r="AL118" s="124">
        <f t="shared" si="54"/>
        <v>0</v>
      </c>
      <c r="AM118" s="524">
        <f t="shared" si="55"/>
        <v>0.62152777777777779</v>
      </c>
      <c r="AO118" s="524">
        <f t="shared" si="56"/>
        <v>0.62847222222222221</v>
      </c>
      <c r="AR118" s="524">
        <f t="shared" si="57"/>
        <v>0.15277777777777776</v>
      </c>
      <c r="AS118" s="7">
        <f t="shared" si="58"/>
        <v>5.5660544614177834</v>
      </c>
      <c r="AT118" s="7">
        <v>12.538100978412487</v>
      </c>
      <c r="AU118" s="4">
        <v>28</v>
      </c>
      <c r="AV118" s="127">
        <f t="shared" si="59"/>
        <v>1</v>
      </c>
      <c r="AW118" s="124">
        <f t="shared" si="73"/>
        <v>0</v>
      </c>
      <c r="AX118" s="124">
        <f t="shared" si="74"/>
        <v>0</v>
      </c>
      <c r="AY118" s="124">
        <f t="shared" si="60"/>
        <v>1</v>
      </c>
      <c r="AZ118" s="125">
        <f t="shared" si="61"/>
        <v>4</v>
      </c>
      <c r="BA118" s="125">
        <f t="shared" si="62"/>
        <v>14.7</v>
      </c>
      <c r="BB118" s="125">
        <f t="shared" si="63"/>
        <v>20.7</v>
      </c>
      <c r="BC118" s="7">
        <v>14.000128205128204</v>
      </c>
      <c r="BD118" s="7">
        <v>19.916025641025634</v>
      </c>
      <c r="BF118" s="8">
        <f t="shared" si="64"/>
        <v>71</v>
      </c>
      <c r="BG118" s="21">
        <f t="shared" si="65"/>
        <v>15.2</v>
      </c>
      <c r="BH118" s="124">
        <f t="shared" si="66"/>
        <v>0</v>
      </c>
      <c r="BI118" s="124">
        <f t="shared" si="75"/>
        <v>0</v>
      </c>
      <c r="BJ118" s="144">
        <f t="shared" si="67"/>
        <v>3.3333333333333333E-2</v>
      </c>
      <c r="BL118" s="99">
        <v>28</v>
      </c>
    </row>
    <row r="119" spans="1:64" ht="12.75" x14ac:dyDescent="0.2">
      <c r="A119" s="8">
        <f t="shared" si="31"/>
        <v>39</v>
      </c>
      <c r="B119" s="125">
        <f t="shared" si="32"/>
        <v>13.2</v>
      </c>
      <c r="C119" s="125">
        <f t="shared" si="33"/>
        <v>22.2</v>
      </c>
      <c r="D119" s="125">
        <f t="shared" si="68"/>
        <v>17.7</v>
      </c>
      <c r="E119" s="125">
        <f t="shared" si="34"/>
        <v>9</v>
      </c>
      <c r="F119" s="7">
        <v>12.445384615384615</v>
      </c>
      <c r="G119" s="7">
        <v>21.294374999999999</v>
      </c>
      <c r="H119" s="7">
        <f t="shared" si="69"/>
        <v>16.869879807692307</v>
      </c>
      <c r="I119" s="7">
        <f t="shared" si="70"/>
        <v>8.8489903846153837</v>
      </c>
      <c r="K119" s="7">
        <f t="shared" si="35"/>
        <v>6</v>
      </c>
      <c r="L119" s="7">
        <f t="shared" si="36"/>
        <v>13.600000000000001</v>
      </c>
      <c r="M119" s="370">
        <f t="shared" si="37"/>
        <v>4.4172413793103456</v>
      </c>
      <c r="N119" s="1">
        <f t="shared" si="38"/>
        <v>0</v>
      </c>
      <c r="O119" s="7">
        <f t="shared" si="39"/>
        <v>70.241379310344826</v>
      </c>
      <c r="P119" s="7">
        <f t="shared" si="40"/>
        <v>13.286206896551722</v>
      </c>
      <c r="Q119" s="7">
        <f t="shared" si="41"/>
        <v>21.324137931034482</v>
      </c>
      <c r="R119" s="7">
        <f t="shared" si="42"/>
        <v>17.144827586206894</v>
      </c>
      <c r="S119" s="7">
        <f t="shared" si="43"/>
        <v>8.0379310344827566</v>
      </c>
      <c r="T119" s="1">
        <v>60</v>
      </c>
      <c r="U119" s="333">
        <f t="shared" si="44"/>
        <v>2</v>
      </c>
      <c r="V119" s="4">
        <v>29</v>
      </c>
      <c r="W119" s="7">
        <f t="shared" si="45"/>
        <v>7.9170000000000007</v>
      </c>
      <c r="X119" s="7">
        <f t="shared" si="46"/>
        <v>16.380000000000003</v>
      </c>
      <c r="Y119" s="8">
        <f t="shared" si="47"/>
        <v>2</v>
      </c>
      <c r="Z119" s="7">
        <f>IF(ISBLANK(Z32),NA(),SUM($Z$4:Z32))</f>
        <v>72.999999999999986</v>
      </c>
      <c r="AA119" s="7">
        <f t="shared" si="71"/>
        <v>58</v>
      </c>
      <c r="AB119" s="26">
        <f>IF(ISBLANK(Z32),"",SUM($Z$4:Z32))</f>
        <v>72.999999999999986</v>
      </c>
      <c r="AC119" s="115">
        <f t="shared" si="72"/>
        <v>1.2586206896551722</v>
      </c>
      <c r="AD119" s="8">
        <f t="shared" si="48"/>
        <v>1012.9137931034483</v>
      </c>
      <c r="AE119" s="610">
        <f t="shared" si="49"/>
        <v>0.79823619501737775</v>
      </c>
      <c r="AF119" s="524">
        <f t="shared" si="50"/>
        <v>0.30277777777777776</v>
      </c>
      <c r="AG119" s="22">
        <f>IF(ISBLANK(AP32),NA(),SUM($AP$4:AP32))</f>
        <v>136.5</v>
      </c>
      <c r="AH119" s="7">
        <f>SUM($AS$91:AS119)</f>
        <v>171.00201776371262</v>
      </c>
      <c r="AI119" s="115">
        <f t="shared" si="51"/>
        <v>0.79823619501737775</v>
      </c>
      <c r="AJ119" s="124">
        <f t="shared" si="52"/>
        <v>0</v>
      </c>
      <c r="AK119" s="8">
        <f t="shared" si="53"/>
        <v>1017</v>
      </c>
      <c r="AL119" s="124">
        <f t="shared" si="54"/>
        <v>0</v>
      </c>
      <c r="AM119" s="524">
        <f t="shared" si="55"/>
        <v>0.56180555555555556</v>
      </c>
      <c r="AO119" s="524">
        <f t="shared" si="56"/>
        <v>0.54583333333333328</v>
      </c>
      <c r="AR119" s="524">
        <f t="shared" si="57"/>
        <v>0.28819444444444448</v>
      </c>
      <c r="AS119" s="7">
        <f t="shared" si="58"/>
        <v>5.5392999959623497</v>
      </c>
      <c r="AT119" s="7">
        <v>12.477833837329174</v>
      </c>
      <c r="AU119" s="4">
        <v>29</v>
      </c>
      <c r="AV119" s="127">
        <f t="shared" si="59"/>
        <v>1</v>
      </c>
      <c r="AW119" s="124">
        <f t="shared" si="73"/>
        <v>1</v>
      </c>
      <c r="AX119" s="124">
        <f t="shared" si="74"/>
        <v>0</v>
      </c>
      <c r="AY119" s="124">
        <f t="shared" si="60"/>
        <v>1</v>
      </c>
      <c r="AZ119" s="125">
        <f t="shared" si="61"/>
        <v>4</v>
      </c>
      <c r="BA119" s="125">
        <f t="shared" si="62"/>
        <v>14.7</v>
      </c>
      <c r="BB119" s="125">
        <f t="shared" si="63"/>
        <v>20.7</v>
      </c>
      <c r="BC119" s="7">
        <v>13.920216346153845</v>
      </c>
      <c r="BD119" s="7">
        <v>19.819543269230763</v>
      </c>
      <c r="BF119" s="8">
        <f t="shared" si="64"/>
        <v>65</v>
      </c>
      <c r="BG119" s="21">
        <f t="shared" si="65"/>
        <v>14.1</v>
      </c>
      <c r="BH119" s="124">
        <f t="shared" si="66"/>
        <v>0</v>
      </c>
      <c r="BI119" s="124">
        <f t="shared" si="75"/>
        <v>0</v>
      </c>
      <c r="BJ119" s="144">
        <f t="shared" si="67"/>
        <v>0</v>
      </c>
      <c r="BL119" s="99">
        <v>29</v>
      </c>
    </row>
    <row r="120" spans="1:64" ht="12.75" x14ac:dyDescent="0.2">
      <c r="A120" s="8">
        <f t="shared" si="31"/>
        <v>19</v>
      </c>
      <c r="B120" s="125">
        <f t="shared" si="32"/>
        <v>13.2</v>
      </c>
      <c r="C120" s="125">
        <f t="shared" si="33"/>
        <v>22.2</v>
      </c>
      <c r="D120" s="125">
        <f t="shared" si="68"/>
        <v>17.7</v>
      </c>
      <c r="E120" s="125">
        <f t="shared" si="34"/>
        <v>9</v>
      </c>
      <c r="F120" s="7">
        <v>12.369615384615384</v>
      </c>
      <c r="G120" s="7">
        <v>21.193750000000001</v>
      </c>
      <c r="H120" s="7">
        <f t="shared" si="69"/>
        <v>16.781682692307694</v>
      </c>
      <c r="I120" s="7">
        <f t="shared" si="70"/>
        <v>8.824134615384617</v>
      </c>
      <c r="K120" s="7">
        <f t="shared" si="35"/>
        <v>3.7</v>
      </c>
      <c r="L120" s="7">
        <f t="shared" si="36"/>
        <v>14.35</v>
      </c>
      <c r="M120" s="370">
        <f t="shared" si="37"/>
        <v>4.3600000000000003</v>
      </c>
      <c r="N120" s="1">
        <f t="shared" si="38"/>
        <v>0</v>
      </c>
      <c r="O120" s="7">
        <f t="shared" si="39"/>
        <v>70.166666666666671</v>
      </c>
      <c r="P120" s="7">
        <f t="shared" si="40"/>
        <v>13.259999999999998</v>
      </c>
      <c r="Q120" s="7">
        <f t="shared" si="41"/>
        <v>21.153333333333332</v>
      </c>
      <c r="R120" s="7">
        <f t="shared" si="42"/>
        <v>17.049999999999997</v>
      </c>
      <c r="S120" s="7">
        <f t="shared" si="43"/>
        <v>7.8933333333333318</v>
      </c>
      <c r="T120" s="1">
        <v>61</v>
      </c>
      <c r="U120" s="333">
        <f t="shared" si="44"/>
        <v>2</v>
      </c>
      <c r="V120" s="4">
        <v>30</v>
      </c>
      <c r="W120" s="7">
        <f t="shared" si="45"/>
        <v>8.1900000000000013</v>
      </c>
      <c r="X120" s="7">
        <f t="shared" si="46"/>
        <v>16.653000000000002</v>
      </c>
      <c r="Y120" s="8">
        <f t="shared" si="47"/>
        <v>2</v>
      </c>
      <c r="Z120" s="7">
        <f>IF(ISBLANK(Z33),NA(),SUM($Z$4:Z33))</f>
        <v>72.999999999999986</v>
      </c>
      <c r="AA120" s="7">
        <f t="shared" si="71"/>
        <v>60</v>
      </c>
      <c r="AB120" s="26">
        <f>IF(ISBLANK(Z33),"",SUM($Z$4:Z33))</f>
        <v>72.999999999999986</v>
      </c>
      <c r="AC120" s="115">
        <f t="shared" si="72"/>
        <v>1.2166666666666663</v>
      </c>
      <c r="AD120" s="8">
        <f t="shared" si="48"/>
        <v>1013.05</v>
      </c>
      <c r="AE120" s="610">
        <f t="shared" si="49"/>
        <v>0.77330769171061986</v>
      </c>
      <c r="AF120" s="524">
        <f t="shared" si="50"/>
        <v>0.3430555555555555</v>
      </c>
      <c r="AG120" s="22">
        <f>IF(ISBLANK(AP33),NA(),SUM($AP$4:AP33))</f>
        <v>136.5</v>
      </c>
      <c r="AH120" s="7">
        <f>SUM($AS$91:AS120)</f>
        <v>176.51447342784195</v>
      </c>
      <c r="AI120" s="115">
        <f t="shared" si="51"/>
        <v>0.77330769171061986</v>
      </c>
      <c r="AJ120" s="124">
        <f t="shared" si="52"/>
        <v>0</v>
      </c>
      <c r="AK120" s="8">
        <f t="shared" si="53"/>
        <v>1017</v>
      </c>
      <c r="AL120" s="124">
        <f t="shared" si="54"/>
        <v>0</v>
      </c>
      <c r="AM120" s="524">
        <f t="shared" si="55"/>
        <v>0.67152777777777783</v>
      </c>
      <c r="AO120" s="524">
        <f t="shared" si="56"/>
        <v>0.67013888888888884</v>
      </c>
      <c r="AR120" s="524">
        <f t="shared" si="57"/>
        <v>0.24861111111111112</v>
      </c>
      <c r="AS120" s="7">
        <f t="shared" si="58"/>
        <v>5.5124556641293445</v>
      </c>
      <c r="AT120" s="7">
        <v>12.417364263135589</v>
      </c>
      <c r="AU120" s="4">
        <v>30</v>
      </c>
      <c r="AV120" s="127">
        <f t="shared" si="59"/>
        <v>0</v>
      </c>
      <c r="AW120" s="124">
        <f t="shared" si="73"/>
        <v>0</v>
      </c>
      <c r="AX120" s="124">
        <f t="shared" si="74"/>
        <v>0</v>
      </c>
      <c r="AY120" s="124">
        <f t="shared" si="60"/>
        <v>1</v>
      </c>
      <c r="AZ120" s="125">
        <f t="shared" si="61"/>
        <v>4</v>
      </c>
      <c r="BA120" s="125">
        <f t="shared" si="62"/>
        <v>14.7</v>
      </c>
      <c r="BB120" s="125">
        <f t="shared" si="63"/>
        <v>20.7</v>
      </c>
      <c r="BC120" s="7">
        <v>13.840304487179484</v>
      </c>
      <c r="BD120" s="7">
        <v>19.723060897435889</v>
      </c>
      <c r="BF120" s="8">
        <f t="shared" si="64"/>
        <v>68</v>
      </c>
      <c r="BG120" s="21">
        <f t="shared" si="65"/>
        <v>14.3</v>
      </c>
      <c r="BH120" s="124">
        <f t="shared" si="66"/>
        <v>0</v>
      </c>
      <c r="BI120" s="124">
        <f t="shared" si="75"/>
        <v>0</v>
      </c>
      <c r="BJ120" s="144">
        <f t="shared" si="67"/>
        <v>0</v>
      </c>
      <c r="BL120" s="99">
        <v>30</v>
      </c>
    </row>
    <row r="121" spans="1:64" ht="12.75" customHeight="1" x14ac:dyDescent="0.2">
      <c r="A121" s="8">
        <f t="shared" si="31"/>
        <v>30</v>
      </c>
      <c r="B121" s="125">
        <f t="shared" si="32"/>
        <v>13.2</v>
      </c>
      <c r="C121" s="125">
        <f t="shared" si="33"/>
        <v>22.2</v>
      </c>
      <c r="D121" s="125">
        <f t="shared" si="68"/>
        <v>17.7</v>
      </c>
      <c r="E121" s="125">
        <f t="shared" si="34"/>
        <v>9</v>
      </c>
      <c r="F121" s="7">
        <v>12.293846153846154</v>
      </c>
      <c r="G121" s="7">
        <v>21.093125000000001</v>
      </c>
      <c r="H121" s="7">
        <f t="shared" si="69"/>
        <v>16.693485576923077</v>
      </c>
      <c r="I121" s="7">
        <f t="shared" si="70"/>
        <v>8.7992788461538467</v>
      </c>
      <c r="K121" s="7">
        <f t="shared" si="35"/>
        <v>5.5</v>
      </c>
      <c r="L121" s="7">
        <f t="shared" si="36"/>
        <v>15.25</v>
      </c>
      <c r="M121" s="370">
        <f t="shared" si="37"/>
        <v>4.2709677419354843</v>
      </c>
      <c r="N121" s="1">
        <f t="shared" si="38"/>
        <v>0</v>
      </c>
      <c r="O121" s="7">
        <f t="shared" si="39"/>
        <v>70.193548387096769</v>
      </c>
      <c r="P121" s="7">
        <f t="shared" si="40"/>
        <v>13.235483870967741</v>
      </c>
      <c r="Q121" s="7">
        <f t="shared" si="41"/>
        <v>21.051612903225806</v>
      </c>
      <c r="R121" s="7">
        <f t="shared" si="42"/>
        <v>16.983870967741932</v>
      </c>
      <c r="S121" s="7">
        <f t="shared" si="43"/>
        <v>7.816129032258063</v>
      </c>
      <c r="T121" s="1">
        <v>62</v>
      </c>
      <c r="U121" s="333">
        <f t="shared" si="44"/>
        <v>2</v>
      </c>
      <c r="V121" s="4">
        <v>31</v>
      </c>
      <c r="W121" s="7">
        <f t="shared" si="45"/>
        <v>8.463000000000001</v>
      </c>
      <c r="X121" s="7">
        <f t="shared" si="46"/>
        <v>16.926000000000002</v>
      </c>
      <c r="Y121" s="8">
        <f t="shared" si="47"/>
        <v>1</v>
      </c>
      <c r="Z121" s="7">
        <f>IF(ISBLANK(Z34),NA(),SUM($Z$4:Z34))</f>
        <v>72.999999999999986</v>
      </c>
      <c r="AA121" s="7">
        <f t="shared" si="71"/>
        <v>62</v>
      </c>
      <c r="AB121" s="26">
        <f>IF(ISBLANK(Z6),"",SUM($Z$4:Z34))</f>
        <v>72.999999999999986</v>
      </c>
      <c r="AC121" s="115">
        <f t="shared" si="72"/>
        <v>1.1774193548387095</v>
      </c>
      <c r="AD121" s="8">
        <f t="shared" si="48"/>
        <v>1013.1290322580645</v>
      </c>
      <c r="AE121" s="610">
        <f t="shared" si="49"/>
        <v>0.75054945054945055</v>
      </c>
      <c r="AF121" s="524">
        <f t="shared" si="50"/>
        <v>0.31111111111111112</v>
      </c>
      <c r="AG121" s="22">
        <f>IF(ISBLANK(AP34),NA(),SUM($AP$4:AP34))</f>
        <v>136.6</v>
      </c>
      <c r="AH121" s="7">
        <f>SUM($AS$91:AS121)</f>
        <v>182</v>
      </c>
      <c r="AI121" s="115">
        <f t="shared" si="51"/>
        <v>0.75054945054945055</v>
      </c>
      <c r="AJ121" s="124">
        <f t="shared" si="52"/>
        <v>0</v>
      </c>
      <c r="AK121" s="8">
        <f t="shared" si="53"/>
        <v>1015.5</v>
      </c>
      <c r="AL121" s="124">
        <f t="shared" si="54"/>
        <v>0</v>
      </c>
      <c r="AM121" s="524">
        <f t="shared" si="55"/>
        <v>0.76111111111111107</v>
      </c>
      <c r="AO121" s="524">
        <f t="shared" si="56"/>
        <v>0.69652777777777775</v>
      </c>
      <c r="AR121" s="524">
        <f t="shared" si="57"/>
        <v>0.24652777777777779</v>
      </c>
      <c r="AS121" s="7">
        <f t="shared" si="58"/>
        <v>5.4855265721580562</v>
      </c>
      <c r="AT121" s="7">
        <v>12.356703758152502</v>
      </c>
      <c r="AU121" s="4">
        <v>31</v>
      </c>
      <c r="AV121" s="127">
        <f t="shared" si="59"/>
        <v>0</v>
      </c>
      <c r="AW121" s="124">
        <f t="shared" si="73"/>
        <v>0</v>
      </c>
      <c r="AX121" s="124">
        <f t="shared" si="74"/>
        <v>0</v>
      </c>
      <c r="AY121" s="124">
        <f t="shared" si="60"/>
        <v>1</v>
      </c>
      <c r="AZ121" s="125">
        <f t="shared" si="61"/>
        <v>4</v>
      </c>
      <c r="BA121" s="125">
        <f t="shared" si="62"/>
        <v>14.7</v>
      </c>
      <c r="BB121" s="125">
        <f t="shared" si="63"/>
        <v>20.7</v>
      </c>
      <c r="BC121" s="7">
        <v>13.760392628205128</v>
      </c>
      <c r="BD121" s="7">
        <v>19.626578525641019</v>
      </c>
      <c r="BF121" s="8">
        <f t="shared" si="64"/>
        <v>71</v>
      </c>
      <c r="BG121" s="21">
        <f t="shared" si="65"/>
        <v>15</v>
      </c>
      <c r="BH121" s="124">
        <f t="shared" si="66"/>
        <v>0</v>
      </c>
      <c r="BI121" s="124">
        <f t="shared" si="75"/>
        <v>0</v>
      </c>
      <c r="BJ121" s="144">
        <f t="shared" si="67"/>
        <v>0</v>
      </c>
      <c r="BL121" s="99"/>
    </row>
    <row r="122" spans="1:64" ht="6" customHeight="1" x14ac:dyDescent="0.2">
      <c r="C122" s="1"/>
      <c r="D122" s="125"/>
      <c r="E122" s="125"/>
      <c r="F122" s="125"/>
      <c r="G122" s="125"/>
      <c r="H122" s="21"/>
      <c r="I122" s="7"/>
      <c r="K122" s="7"/>
      <c r="M122" s="8"/>
      <c r="N122" s="8"/>
      <c r="P122" s="125"/>
      <c r="R122" s="8"/>
      <c r="S122" s="8"/>
      <c r="U122" s="333"/>
      <c r="V122" s="4"/>
      <c r="W122" s="7"/>
      <c r="Z122" s="7"/>
      <c r="AA122" s="7"/>
      <c r="AB122" s="127"/>
      <c r="AC122" s="7"/>
      <c r="AD122" s="115"/>
      <c r="AE122" s="115"/>
      <c r="AG122" s="22"/>
      <c r="AH122" s="8"/>
      <c r="AI122" s="115"/>
      <c r="AJ122" s="124"/>
      <c r="AK122" s="67"/>
      <c r="AL122" s="124"/>
      <c r="AQ122" s="7"/>
      <c r="AS122" s="7"/>
      <c r="AT122" s="7"/>
      <c r="AU122" s="8"/>
      <c r="AV122" s="127"/>
      <c r="AW122" s="124"/>
      <c r="AX122" s="124"/>
      <c r="AY122" s="124"/>
      <c r="AZ122" s="127"/>
      <c r="BA122" s="125"/>
      <c r="BG122" s="127"/>
      <c r="BH122" s="124"/>
      <c r="BI122" s="124"/>
      <c r="BJ122" s="144"/>
      <c r="BL122" s="99"/>
    </row>
    <row r="123" spans="1:64" ht="12.75" x14ac:dyDescent="0.2">
      <c r="C123" s="1"/>
      <c r="R123" s="8"/>
      <c r="S123" s="8"/>
      <c r="V123" s="11" t="s">
        <v>4</v>
      </c>
      <c r="W123" s="7">
        <f>IF(Z38&lt;1,"",AVERAGE(AB4:AB33))</f>
        <v>1.1833333333333333</v>
      </c>
      <c r="X123" s="7">
        <f>MAX(AB4:AB34)</f>
        <v>3.3</v>
      </c>
      <c r="AH123" s="115">
        <f>MIN(AE95:AE121)</f>
        <v>0.72733434217579074</v>
      </c>
      <c r="AI123" s="115">
        <f>MAX(AE95:AE121)</f>
        <v>0.98599914924643317</v>
      </c>
      <c r="AJ123" s="117"/>
      <c r="AK123" s="240"/>
      <c r="AL123" s="117"/>
      <c r="AS123" s="7">
        <f>SUM(AS91:AS121)</f>
        <v>182</v>
      </c>
      <c r="AT123" s="7">
        <f>SUM(AT91:AT121)</f>
        <v>409.97341903295342</v>
      </c>
      <c r="AV123" s="124"/>
      <c r="AW123" s="124"/>
      <c r="AX123" s="124"/>
      <c r="AY123" s="124"/>
      <c r="AZ123" s="124"/>
      <c r="BA123" s="124"/>
      <c r="BE123" s="124"/>
      <c r="BG123" s="7"/>
      <c r="BH123" s="124"/>
      <c r="BL123" s="4"/>
    </row>
    <row r="124" spans="1:64" s="95" customFormat="1" ht="18.75" customHeight="1" x14ac:dyDescent="0.2">
      <c r="C124" s="116"/>
      <c r="R124" s="325"/>
      <c r="S124" s="325"/>
      <c r="AY124" s="326"/>
      <c r="AZ124" s="326"/>
      <c r="BA124" s="326"/>
      <c r="BB124" s="326"/>
      <c r="BC124" s="326"/>
      <c r="BD124" s="326"/>
      <c r="BE124" s="326"/>
      <c r="BF124" s="326"/>
      <c r="BH124" s="326"/>
      <c r="BL124" s="81"/>
    </row>
    <row r="125" spans="1:64" ht="12.75" hidden="1" x14ac:dyDescent="0.2">
      <c r="AY125" s="124"/>
      <c r="AZ125" s="124"/>
      <c r="BA125" s="124"/>
      <c r="BB125" s="124"/>
      <c r="BC125" s="124"/>
      <c r="BD125" s="124"/>
      <c r="BE125" s="124"/>
      <c r="BF125" s="124"/>
      <c r="BG125" s="124"/>
      <c r="BH125" s="124"/>
    </row>
    <row r="126" spans="1:64" ht="12.75" hidden="1" x14ac:dyDescent="0.2">
      <c r="AY126" s="124"/>
      <c r="AZ126" s="124"/>
      <c r="BA126" s="124"/>
      <c r="BB126" s="124"/>
      <c r="BC126" s="124"/>
      <c r="BD126" s="124"/>
      <c r="BE126" s="124"/>
      <c r="BF126" s="124"/>
      <c r="BG126" s="124"/>
      <c r="BH126" s="124"/>
    </row>
    <row r="127" spans="1:64" ht="12.75" hidden="1" x14ac:dyDescent="0.2">
      <c r="AY127" s="124"/>
      <c r="AZ127" s="124"/>
      <c r="BA127" s="124"/>
      <c r="BB127" s="124"/>
      <c r="BC127" s="124"/>
      <c r="BD127" s="124"/>
      <c r="BE127" s="124"/>
      <c r="BF127" s="124"/>
      <c r="BG127" s="124"/>
      <c r="BH127" s="124"/>
    </row>
    <row r="128" spans="1:64" ht="12.75" hidden="1" x14ac:dyDescent="0.2">
      <c r="AY128" s="124"/>
      <c r="AZ128" s="124"/>
      <c r="BA128" s="124"/>
      <c r="BB128" s="124"/>
      <c r="BC128" s="124"/>
      <c r="BD128" s="124"/>
      <c r="BE128" s="124"/>
      <c r="BF128" s="124"/>
      <c r="BG128" s="124"/>
      <c r="BH128" s="124"/>
    </row>
    <row r="129" spans="13:60" ht="12.75" hidden="1" x14ac:dyDescent="0.2">
      <c r="AY129" s="124"/>
      <c r="AZ129" s="124"/>
      <c r="BA129" s="124"/>
      <c r="BB129" s="124"/>
      <c r="BC129" s="124"/>
      <c r="BD129" s="124"/>
      <c r="BE129" s="124"/>
      <c r="BF129" s="124"/>
      <c r="BG129" s="124"/>
      <c r="BH129" s="124"/>
    </row>
    <row r="130" spans="13:60" ht="12.75" hidden="1" x14ac:dyDescent="0.2"/>
    <row r="131" spans="13:60" ht="12.75" hidden="1" x14ac:dyDescent="0.2"/>
    <row r="132" spans="13:60" ht="12.75" hidden="1" x14ac:dyDescent="0.2"/>
    <row r="133" spans="13:60" ht="12.75" hidden="1" x14ac:dyDescent="0.2"/>
    <row r="134" spans="13:60" ht="12.75" hidden="1" x14ac:dyDescent="0.2">
      <c r="M134" s="10"/>
    </row>
  </sheetData>
  <sheetCalcPr fullCalcOnLoad="1"/>
  <mergeCells count="173">
    <mergeCell ref="P1:S1"/>
    <mergeCell ref="U1:X1"/>
    <mergeCell ref="X57:X58"/>
    <mergeCell ref="AP52:AQ52"/>
    <mergeCell ref="AS46:AX46"/>
    <mergeCell ref="AP53:AQ53"/>
    <mergeCell ref="AS55:AT55"/>
    <mergeCell ref="W90:X90"/>
    <mergeCell ref="Q80:AB80"/>
    <mergeCell ref="AP69:AQ72"/>
    <mergeCell ref="AP73:AQ75"/>
    <mergeCell ref="Q82:AB82"/>
    <mergeCell ref="AP82:AQ84"/>
    <mergeCell ref="Q78:AB78"/>
    <mergeCell ref="Q76:AB77"/>
    <mergeCell ref="AS57:AT57"/>
    <mergeCell ref="AS52:AT52"/>
    <mergeCell ref="AS53:AT53"/>
    <mergeCell ref="AS54:AT54"/>
    <mergeCell ref="AS56:AT56"/>
    <mergeCell ref="AS58:AT58"/>
    <mergeCell ref="AP60:AQ62"/>
    <mergeCell ref="B36:C36"/>
    <mergeCell ref="B51:D51"/>
    <mergeCell ref="AG49:AJ49"/>
    <mergeCell ref="Z46:Z47"/>
    <mergeCell ref="AA46:AA47"/>
    <mergeCell ref="H51:I51"/>
    <mergeCell ref="B38:C38"/>
    <mergeCell ref="B42:C42"/>
    <mergeCell ref="H50:I50"/>
    <mergeCell ref="B50:D50"/>
    <mergeCell ref="B1:B2"/>
    <mergeCell ref="C1:C2"/>
    <mergeCell ref="F1:I1"/>
    <mergeCell ref="K1:N1"/>
    <mergeCell ref="BF1:BJ1"/>
    <mergeCell ref="D4:D43"/>
    <mergeCell ref="BA37:BB37"/>
    <mergeCell ref="BA39:BB39"/>
    <mergeCell ref="BA40:BB40"/>
    <mergeCell ref="AL1:AL2"/>
    <mergeCell ref="AN1:AN2"/>
    <mergeCell ref="Z1:AC1"/>
    <mergeCell ref="BA36:BB36"/>
    <mergeCell ref="AL38:AL43"/>
    <mergeCell ref="AS49:AT49"/>
    <mergeCell ref="B49:D49"/>
    <mergeCell ref="Z49:AA49"/>
    <mergeCell ref="BA1:BD1"/>
    <mergeCell ref="BA38:BB38"/>
    <mergeCell ref="AP1:AP2"/>
    <mergeCell ref="AS50:AT50"/>
    <mergeCell ref="Q51:R51"/>
    <mergeCell ref="AS51:AT51"/>
    <mergeCell ref="AA50:AA51"/>
    <mergeCell ref="Q50:R50"/>
    <mergeCell ref="Z50:Z51"/>
    <mergeCell ref="AH50:AI50"/>
    <mergeCell ref="AG51:AJ51"/>
    <mergeCell ref="AC50:AD50"/>
    <mergeCell ref="AD51:AD52"/>
    <mergeCell ref="BF46:BJ46"/>
    <mergeCell ref="BF47:BJ47"/>
    <mergeCell ref="AY47:BD47"/>
    <mergeCell ref="B48:D48"/>
    <mergeCell ref="B46:E46"/>
    <mergeCell ref="B47:D47"/>
    <mergeCell ref="K48:N48"/>
    <mergeCell ref="AS48:AU48"/>
    <mergeCell ref="B56:D56"/>
    <mergeCell ref="B53:D53"/>
    <mergeCell ref="Q52:R52"/>
    <mergeCell ref="K57:N57"/>
    <mergeCell ref="P57:S57"/>
    <mergeCell ref="B55:D55"/>
    <mergeCell ref="Q53:R53"/>
    <mergeCell ref="B54:D54"/>
    <mergeCell ref="B52:D52"/>
    <mergeCell ref="B59:D59"/>
    <mergeCell ref="H59:I59"/>
    <mergeCell ref="AG59:AJ59"/>
    <mergeCell ref="AG58:AJ58"/>
    <mergeCell ref="B58:D58"/>
    <mergeCell ref="U57:U58"/>
    <mergeCell ref="V57:V58"/>
    <mergeCell ref="W57:W58"/>
    <mergeCell ref="B57:D57"/>
    <mergeCell ref="H57:I58"/>
    <mergeCell ref="B65:D65"/>
    <mergeCell ref="B66:D66"/>
    <mergeCell ref="AS59:AT59"/>
    <mergeCell ref="AP59:AQ59"/>
    <mergeCell ref="B63:D63"/>
    <mergeCell ref="H63:I63"/>
    <mergeCell ref="AS60:AT60"/>
    <mergeCell ref="AS62:AT62"/>
    <mergeCell ref="AS63:AT63"/>
    <mergeCell ref="B60:D60"/>
    <mergeCell ref="H60:I60"/>
    <mergeCell ref="B64:D64"/>
    <mergeCell ref="H64:I64"/>
    <mergeCell ref="B61:D61"/>
    <mergeCell ref="B62:D62"/>
    <mergeCell ref="H62:I62"/>
    <mergeCell ref="H66:I66"/>
    <mergeCell ref="B67:D67"/>
    <mergeCell ref="H67:I67"/>
    <mergeCell ref="B68:D68"/>
    <mergeCell ref="H68:I68"/>
    <mergeCell ref="B73:D73"/>
    <mergeCell ref="B69:D69"/>
    <mergeCell ref="H69:I69"/>
    <mergeCell ref="B71:D71"/>
    <mergeCell ref="H71:I71"/>
    <mergeCell ref="H70:I70"/>
    <mergeCell ref="B72:D72"/>
    <mergeCell ref="AG71:AJ71"/>
    <mergeCell ref="AD73:AE73"/>
    <mergeCell ref="B74:D74"/>
    <mergeCell ref="H74:H75"/>
    <mergeCell ref="B75:D75"/>
    <mergeCell ref="Q73:AB73"/>
    <mergeCell ref="B76:D76"/>
    <mergeCell ref="H76:H77"/>
    <mergeCell ref="B77:D77"/>
    <mergeCell ref="Q74:AB75"/>
    <mergeCell ref="B80:D80"/>
    <mergeCell ref="H80:H81"/>
    <mergeCell ref="B78:D78"/>
    <mergeCell ref="B79:D79"/>
    <mergeCell ref="B81:D81"/>
    <mergeCell ref="Q79:AB79"/>
    <mergeCell ref="BF84:BJ84"/>
    <mergeCell ref="BB81:BC81"/>
    <mergeCell ref="B82:D82"/>
    <mergeCell ref="H82:H83"/>
    <mergeCell ref="AH82:AI82"/>
    <mergeCell ref="B83:D83"/>
    <mergeCell ref="Q83:AB83"/>
    <mergeCell ref="AP79:AQ81"/>
    <mergeCell ref="H78:H79"/>
    <mergeCell ref="AH79:AI79"/>
    <mergeCell ref="AQ1:AQ2"/>
    <mergeCell ref="AS1:AY1"/>
    <mergeCell ref="AP76:AQ78"/>
    <mergeCell ref="AP63:AQ68"/>
    <mergeCell ref="AH68:AI68"/>
    <mergeCell ref="AH72:AI72"/>
    <mergeCell ref="AG67:AJ67"/>
    <mergeCell ref="AG66:AJ66"/>
    <mergeCell ref="AG73:AJ73"/>
    <mergeCell ref="AG74:AJ74"/>
    <mergeCell ref="AG81:AJ81"/>
    <mergeCell ref="Q81:AB81"/>
    <mergeCell ref="AG78:AJ78"/>
    <mergeCell ref="AD1:AE1"/>
    <mergeCell ref="AH53:AI53"/>
    <mergeCell ref="AH57:AI57"/>
    <mergeCell ref="AC57:AE57"/>
    <mergeCell ref="AG56:AJ56"/>
    <mergeCell ref="AG1:AJ1"/>
    <mergeCell ref="AH75:AI75"/>
    <mergeCell ref="AA52:AA53"/>
    <mergeCell ref="AC51:AC52"/>
    <mergeCell ref="Z57:AB57"/>
    <mergeCell ref="AH65:AI65"/>
    <mergeCell ref="AA54:AA55"/>
    <mergeCell ref="Z54:Z55"/>
    <mergeCell ref="Z52:Z53"/>
    <mergeCell ref="AG52:AJ52"/>
    <mergeCell ref="AG64:AJ64"/>
    <mergeCell ref="AH60:AI60"/>
  </mergeCells>
  <phoneticPr fontId="4" type="noConversion"/>
  <conditionalFormatting sqref="C4:C34">
    <cfRule type="cellIs" dxfId="682" priority="1" stopIfTrue="1" operator="notEqual">
      <formula>G4</formula>
    </cfRule>
  </conditionalFormatting>
  <conditionalFormatting sqref="AC4:AC34">
    <cfRule type="cellIs" dxfId="681" priority="2" stopIfTrue="1" operator="equal">
      <formula>$AC$86</formula>
    </cfRule>
    <cfRule type="cellIs" dxfId="680" priority="3" stopIfTrue="1" operator="equal">
      <formula>0</formula>
    </cfRule>
    <cfRule type="expression" dxfId="679" priority="4" stopIfTrue="1">
      <formula>Z4=0.1</formula>
    </cfRule>
  </conditionalFormatting>
  <conditionalFormatting sqref="W46:W53">
    <cfRule type="expression" dxfId="678" priority="5" stopIfTrue="1">
      <formula>X46=$X$55</formula>
    </cfRule>
  </conditionalFormatting>
  <conditionalFormatting sqref="B4:B34">
    <cfRule type="cellIs" dxfId="677" priority="6" stopIfTrue="1" operator="notEqual">
      <formula>F4</formula>
    </cfRule>
  </conditionalFormatting>
  <conditionalFormatting sqref="AP92:AP107">
    <cfRule type="expression" dxfId="676" priority="7" stopIfTrue="1">
      <formula>AQ92=$AQ$109</formula>
    </cfRule>
  </conditionalFormatting>
  <conditionalFormatting sqref="BG49:BG79">
    <cfRule type="expression" dxfId="675" priority="8" stopIfTrue="1">
      <formula>IF(J4=1,1,0)</formula>
    </cfRule>
  </conditionalFormatting>
  <conditionalFormatting sqref="B72:D80 B48:C66 D48 D51:D52 D54:D66">
    <cfRule type="expression" dxfId="674" priority="9" stopIfTrue="1">
      <formula>IF(F48&gt;0.5,1,0)</formula>
    </cfRule>
    <cfRule type="expression" dxfId="673" priority="10" stopIfTrue="1">
      <formula>IF(F48&lt;0.2,1,0)</formula>
    </cfRule>
  </conditionalFormatting>
  <conditionalFormatting sqref="AS50:AT60">
    <cfRule type="expression" dxfId="672" priority="11" stopIfTrue="1">
      <formula>IF(AV50&gt;0.5,1,0)</formula>
    </cfRule>
    <cfRule type="expression" dxfId="671" priority="12" stopIfTrue="1">
      <formula>IF(AV50&lt;0.2,1,0)</formula>
    </cfRule>
  </conditionalFormatting>
  <conditionalFormatting sqref="BD35">
    <cfRule type="cellIs" dxfId="670" priority="13" stopIfTrue="1" operator="equal">
      <formula>#REF!</formula>
    </cfRule>
    <cfRule type="expression" dxfId="669" priority="14" stopIfTrue="1">
      <formula>AY123=1</formula>
    </cfRule>
    <cfRule type="expression" dxfId="668" priority="15" stopIfTrue="1">
      <formula>BH123=1</formula>
    </cfRule>
  </conditionalFormatting>
  <conditionalFormatting sqref="F4:F34 I4:I34">
    <cfRule type="cellIs" dxfId="667" priority="16" stopIfTrue="1" operator="equal">
      <formula>$F$85</formula>
    </cfRule>
    <cfRule type="cellIs" dxfId="666" priority="17" stopIfTrue="1" operator="equal">
      <formula>$F$86</formula>
    </cfRule>
    <cfRule type="expression" dxfId="665" priority="18" stopIfTrue="1">
      <formula>IF(B4&lt;0,1,0)</formula>
    </cfRule>
  </conditionalFormatting>
  <conditionalFormatting sqref="BF49:BF79">
    <cfRule type="cellIs" dxfId="664" priority="19" stopIfTrue="1" operator="greaterThan">
      <formula>0.9</formula>
    </cfRule>
    <cfRule type="expression" dxfId="663" priority="20" stopIfTrue="1">
      <formula>IF(O4=1,1,0)</formula>
    </cfRule>
  </conditionalFormatting>
  <conditionalFormatting sqref="D53">
    <cfRule type="expression" dxfId="662" priority="21" stopIfTrue="1">
      <formula>IF(H50&gt;0.5,1,0)</formula>
    </cfRule>
    <cfRule type="expression" dxfId="661" priority="22" stopIfTrue="1">
      <formula>IF(H50&lt;0.2,1,0)</formula>
    </cfRule>
  </conditionalFormatting>
  <conditionalFormatting sqref="D49:D50">
    <cfRule type="expression" dxfId="660" priority="23" stopIfTrue="1">
      <formula>IF(L53&gt;0.5,1,0)</formula>
    </cfRule>
    <cfRule type="expression" dxfId="659" priority="24" stopIfTrue="1">
      <formula>IF(L53&lt;0.2,1,0)</formula>
    </cfRule>
  </conditionalFormatting>
  <conditionalFormatting sqref="BA49:BA79">
    <cfRule type="cellIs" dxfId="658" priority="25" stopIfTrue="1" operator="equal">
      <formula>$BB$86</formula>
    </cfRule>
    <cfRule type="expression" dxfId="657" priority="26" stopIfTrue="1">
      <formula>IF(AX91=1,1,0)</formula>
    </cfRule>
    <cfRule type="expression" dxfId="656" priority="27" stopIfTrue="1">
      <formula>IF(AW91=1,1,0)</formula>
    </cfRule>
  </conditionalFormatting>
  <conditionalFormatting sqref="AQ92:AQ107">
    <cfRule type="cellIs" dxfId="655" priority="28" stopIfTrue="1" operator="equal">
      <formula>$AQ$109</formula>
    </cfRule>
  </conditionalFormatting>
  <conditionalFormatting sqref="AB91:AB121">
    <cfRule type="cellIs" dxfId="654" priority="29" stopIfTrue="1" operator="equal">
      <formula>0</formula>
    </cfRule>
  </conditionalFormatting>
  <conditionalFormatting sqref="AM4:AM34">
    <cfRule type="cellIs" dxfId="653" priority="30" stopIfTrue="1" operator="equal">
      <formula>$AH$86</formula>
    </cfRule>
    <cfRule type="cellIs" dxfId="652" priority="31" stopIfTrue="1" operator="equal">
      <formula>$AH$85</formula>
    </cfRule>
  </conditionalFormatting>
  <conditionalFormatting sqref="AE4:AE34">
    <cfRule type="cellIs" dxfId="651" priority="32" stopIfTrue="1" operator="equal">
      <formula>$AD$86</formula>
    </cfRule>
    <cfRule type="cellIs" dxfId="650" priority="33" stopIfTrue="1" operator="equal">
      <formula>0</formula>
    </cfRule>
  </conditionalFormatting>
  <conditionalFormatting sqref="AY49:AZ79">
    <cfRule type="cellIs" dxfId="649" priority="34" stopIfTrue="1" operator="equal">
      <formula>$BA$84</formula>
    </cfRule>
    <cfRule type="cellIs" dxfId="648" priority="35" stopIfTrue="1" operator="equal">
      <formula>$BB$84</formula>
    </cfRule>
  </conditionalFormatting>
  <conditionalFormatting sqref="AW4:AW34 BI35">
    <cfRule type="cellIs" dxfId="647" priority="36" stopIfTrue="1" operator="equal">
      <formula>$AW$85</formula>
    </cfRule>
    <cfRule type="cellIs" dxfId="646" priority="37" stopIfTrue="1" operator="equal">
      <formula>$AW$86</formula>
    </cfRule>
  </conditionalFormatting>
  <conditionalFormatting sqref="BC35 BD4:BD34">
    <cfRule type="cellIs" dxfId="645" priority="38" stopIfTrue="1" operator="equal">
      <formula>$BD$85</formula>
    </cfRule>
    <cfRule type="cellIs" dxfId="644" priority="39" stopIfTrue="1" operator="equal">
      <formula>$BD$86</formula>
    </cfRule>
  </conditionalFormatting>
  <conditionalFormatting sqref="BC49:BC80">
    <cfRule type="cellIs" dxfId="643" priority="40" stopIfTrue="1" operator="equal">
      <formula>$AU$85</formula>
    </cfRule>
    <cfRule type="cellIs" dxfId="642" priority="41" stopIfTrue="1" operator="equal">
      <formula>$AU$86</formula>
    </cfRule>
  </conditionalFormatting>
  <conditionalFormatting sqref="BD49:BD80">
    <cfRule type="cellIs" dxfId="641" priority="42" stopIfTrue="1" operator="equal">
      <formula>#REF!</formula>
    </cfRule>
    <cfRule type="cellIs" dxfId="640" priority="43" stopIfTrue="1" operator="equal">
      <formula>#REF!</formula>
    </cfRule>
  </conditionalFormatting>
  <conditionalFormatting sqref="BF35 BF4:BG34">
    <cfRule type="cellIs" dxfId="639" priority="44" stopIfTrue="1" operator="equal">
      <formula>$BF$85</formula>
    </cfRule>
    <cfRule type="cellIs" dxfId="638" priority="45" stopIfTrue="1" operator="equal">
      <formula>$BF$86</formula>
    </cfRule>
  </conditionalFormatting>
  <conditionalFormatting sqref="BG35">
    <cfRule type="cellIs" dxfId="637" priority="46" stopIfTrue="1" operator="equal">
      <formula>$BG$85</formula>
    </cfRule>
    <cfRule type="cellIs" dxfId="636" priority="47" stopIfTrue="1" operator="equal">
      <formula>$BG$86</formula>
    </cfRule>
  </conditionalFormatting>
  <conditionalFormatting sqref="BH4:BH35">
    <cfRule type="cellIs" dxfId="635" priority="48" stopIfTrue="1" operator="equal">
      <formula>$BH$85</formula>
    </cfRule>
    <cfRule type="cellIs" dxfId="634" priority="49" stopIfTrue="1" operator="equal">
      <formula>$BH$86</formula>
    </cfRule>
  </conditionalFormatting>
  <conditionalFormatting sqref="BA4:BA35 BB4:BB34">
    <cfRule type="cellIs" dxfId="633" priority="50" stopIfTrue="1" operator="equal">
      <formula>$BA$85</formula>
    </cfRule>
    <cfRule type="cellIs" dxfId="632" priority="51" stopIfTrue="1" operator="equal">
      <formula>$BA$86</formula>
    </cfRule>
  </conditionalFormatting>
  <conditionalFormatting sqref="BF80">
    <cfRule type="cellIs" dxfId="631" priority="52" stopIfTrue="1" operator="greaterThan">
      <formula>0.9</formula>
    </cfRule>
  </conditionalFormatting>
  <conditionalFormatting sqref="BG80">
    <cfRule type="cellIs" dxfId="630" priority="53" stopIfTrue="1" operator="lessThan">
      <formula>0.3</formula>
    </cfRule>
  </conditionalFormatting>
  <conditionalFormatting sqref="BJ8:BJ35">
    <cfRule type="cellIs" dxfId="629" priority="54" stopIfTrue="1" operator="equal">
      <formula>$BJ$85</formula>
    </cfRule>
    <cfRule type="cellIs" dxfId="628" priority="55" stopIfTrue="1" operator="equal">
      <formula>$BJ$86</formula>
    </cfRule>
  </conditionalFormatting>
  <conditionalFormatting sqref="BI4:BI34">
    <cfRule type="cellIs" dxfId="627" priority="56" stopIfTrue="1" operator="equal">
      <formula>$BI$86</formula>
    </cfRule>
    <cfRule type="cellIs" dxfId="626" priority="57" stopIfTrue="1" operator="equal">
      <formula>$BI$85</formula>
    </cfRule>
  </conditionalFormatting>
  <conditionalFormatting sqref="AY35:AZ35">
    <cfRule type="cellIs" dxfId="625" priority="58" stopIfTrue="1" operator="equal">
      <formula>$AY$85</formula>
    </cfRule>
    <cfRule type="cellIs" dxfId="624" priority="59" stopIfTrue="1" operator="equal">
      <formula>$AY$86</formula>
    </cfRule>
  </conditionalFormatting>
  <conditionalFormatting sqref="AY4:AY34">
    <cfRule type="cellIs" dxfId="623" priority="60" stopIfTrue="1" operator="equal">
      <formula>$AY$85</formula>
    </cfRule>
    <cfRule type="cellIs" dxfId="622" priority="61" stopIfTrue="1" operator="equal">
      <formula>$AY$86</formula>
    </cfRule>
  </conditionalFormatting>
  <conditionalFormatting sqref="AR4:AR34">
    <cfRule type="cellIs" dxfId="621" priority="62" stopIfTrue="1" operator="equal">
      <formula>$M$92</formula>
    </cfRule>
  </conditionalFormatting>
  <conditionalFormatting sqref="AV50:AV60 F72:F80 F48:F66">
    <cfRule type="cellIs" dxfId="620" priority="63" stopIfTrue="1" operator="between">
      <formula>0.45</formula>
      <formula>0.55</formula>
    </cfRule>
  </conditionalFormatting>
  <conditionalFormatting sqref="AS8:AS34">
    <cfRule type="cellIs" dxfId="619" priority="64" stopIfTrue="1" operator="equal">
      <formula>$AS$85</formula>
    </cfRule>
    <cfRule type="cellIs" dxfId="618" priority="65" stopIfTrue="1" operator="equal">
      <formula>$AS$86</formula>
    </cfRule>
  </conditionalFormatting>
  <conditionalFormatting sqref="AI4:AI35">
    <cfRule type="cellIs" dxfId="617" priority="66" stopIfTrue="1" operator="equal">
      <formula>$AI$85</formula>
    </cfRule>
    <cfRule type="cellIs" dxfId="616" priority="67" stopIfTrue="1" operator="equal">
      <formula>$AI$86</formula>
    </cfRule>
  </conditionalFormatting>
  <conditionalFormatting sqref="AJ4:AJ35">
    <cfRule type="cellIs" dxfId="615" priority="68" stopIfTrue="1" operator="equal">
      <formula>$AJ$85</formula>
    </cfRule>
    <cfRule type="cellIs" dxfId="614" priority="69" stopIfTrue="1" operator="equal">
      <formula>$AJ$86</formula>
    </cfRule>
  </conditionalFormatting>
  <conditionalFormatting sqref="AT4:AT35">
    <cfRule type="cellIs" dxfId="613" priority="70" stopIfTrue="1" operator="equal">
      <formula>$AT$85</formula>
    </cfRule>
    <cfRule type="cellIs" dxfId="612" priority="71" stopIfTrue="1" operator="equal">
      <formula>$AT$86</formula>
    </cfRule>
  </conditionalFormatting>
  <conditionalFormatting sqref="AU4:AU35">
    <cfRule type="cellIs" dxfId="611" priority="72" stopIfTrue="1" operator="equal">
      <formula>$AU$85</formula>
    </cfRule>
    <cfRule type="cellIs" dxfId="610" priority="73" stopIfTrue="1" operator="equal">
      <formula>$AU$86</formula>
    </cfRule>
  </conditionalFormatting>
  <conditionalFormatting sqref="AV35:AW35 AV4:AV34">
    <cfRule type="cellIs" dxfId="609" priority="74" stopIfTrue="1" operator="equal">
      <formula>$AV$85</formula>
    </cfRule>
    <cfRule type="cellIs" dxfId="608" priority="75" stopIfTrue="1" operator="equal">
      <formula>$AV$86</formula>
    </cfRule>
  </conditionalFormatting>
  <conditionalFormatting sqref="AX4:AX35">
    <cfRule type="cellIs" dxfId="607" priority="76" stopIfTrue="1" operator="equal">
      <formula>$AX$85</formula>
    </cfRule>
    <cfRule type="cellIs" dxfId="606" priority="77" stopIfTrue="1" operator="equal">
      <formula>$AX$86</formula>
    </cfRule>
  </conditionalFormatting>
  <conditionalFormatting sqref="AG4:AG34">
    <cfRule type="cellIs" dxfId="605" priority="78" stopIfTrue="1" operator="equal">
      <formula>$AG$85</formula>
    </cfRule>
    <cfRule type="cellIs" dxfId="604" priority="79" stopIfTrue="1" operator="equal">
      <formula>$AG$86</formula>
    </cfRule>
  </conditionalFormatting>
  <conditionalFormatting sqref="AH4:AH35">
    <cfRule type="cellIs" dxfId="603" priority="80" stopIfTrue="1" operator="equal">
      <formula>$AH$85</formula>
    </cfRule>
    <cfRule type="cellIs" dxfId="602" priority="81" stopIfTrue="1" operator="equal">
      <formula>$AH$86</formula>
    </cfRule>
  </conditionalFormatting>
  <conditionalFormatting sqref="AP4:AP34">
    <cfRule type="cellIs" dxfId="601" priority="82" stopIfTrue="1" operator="equal">
      <formula>$AP$86</formula>
    </cfRule>
    <cfRule type="cellIs" dxfId="600" priority="83" stopIfTrue="1" operator="equal">
      <formula>0.001</formula>
    </cfRule>
  </conditionalFormatting>
  <conditionalFormatting sqref="AN26">
    <cfRule type="expression" dxfId="599" priority="84" stopIfTrue="1">
      <formula>$AS$36</formula>
    </cfRule>
  </conditionalFormatting>
  <conditionalFormatting sqref="BH49:BH79">
    <cfRule type="cellIs" dxfId="598" priority="85" stopIfTrue="1" operator="greaterThan">
      <formula>0.9</formula>
    </cfRule>
  </conditionalFormatting>
  <conditionalFormatting sqref="BI49:BI79">
    <cfRule type="cellIs" dxfId="597" priority="86" stopIfTrue="1" operator="greaterThan">
      <formula>0.5</formula>
    </cfRule>
  </conditionalFormatting>
  <conditionalFormatting sqref="X46:X53">
    <cfRule type="cellIs" dxfId="596" priority="87" stopIfTrue="1" operator="equal">
      <formula>$X$55</formula>
    </cfRule>
  </conditionalFormatting>
  <conditionalFormatting sqref="L4:L34">
    <cfRule type="cellIs" dxfId="595" priority="88" stopIfTrue="1" operator="equal">
      <formula>98</formula>
    </cfRule>
    <cfRule type="cellIs" dxfId="594" priority="89" stopIfTrue="1" operator="equal">
      <formula>$L$85</formula>
    </cfRule>
    <cfRule type="cellIs" dxfId="593" priority="90" stopIfTrue="1" operator="equal">
      <formula>$L$86</formula>
    </cfRule>
  </conditionalFormatting>
  <conditionalFormatting sqref="K4:K34">
    <cfRule type="cellIs" dxfId="592" priority="91" stopIfTrue="1" operator="equal">
      <formula>$K$85</formula>
    </cfRule>
    <cfRule type="cellIs" dxfId="591" priority="92" stopIfTrue="1" operator="equal">
      <formula>$K$86</formula>
    </cfRule>
  </conditionalFormatting>
  <conditionalFormatting sqref="X4:X34">
    <cfRule type="cellIs" dxfId="590" priority="93" stopIfTrue="1" operator="equal">
      <formula>10</formula>
    </cfRule>
    <cfRule type="cellIs" priority="94" stopIfTrue="1" operator="equal">
      <formula>0</formula>
    </cfRule>
  </conditionalFormatting>
  <conditionalFormatting sqref="N4:N34">
    <cfRule type="cellIs" dxfId="589" priority="95" stopIfTrue="1" operator="equal">
      <formula>$N$85</formula>
    </cfRule>
    <cfRule type="cellIs" dxfId="588" priority="96" stopIfTrue="1" operator="equal">
      <formula>$N$86</formula>
    </cfRule>
  </conditionalFormatting>
  <conditionalFormatting sqref="AB34 AA4:AA34">
    <cfRule type="cellIs" dxfId="587" priority="97" stopIfTrue="1" operator="equal">
      <formula>$AA$86</formula>
    </cfRule>
  </conditionalFormatting>
  <conditionalFormatting sqref="P4:P34">
    <cfRule type="cellIs" dxfId="586" priority="98" stopIfTrue="1" operator="equal">
      <formula>$P$85</formula>
    </cfRule>
    <cfRule type="cellIs" dxfId="585" priority="99" stopIfTrue="1" operator="equal">
      <formula>$P$86</formula>
    </cfRule>
  </conditionalFormatting>
  <conditionalFormatting sqref="S4:S34">
    <cfRule type="cellIs" dxfId="584" priority="100" stopIfTrue="1" operator="equal">
      <formula>$S$85</formula>
    </cfRule>
    <cfRule type="cellIs" dxfId="583" priority="101" stopIfTrue="1" operator="equal">
      <formula>$S$86</formula>
    </cfRule>
  </conditionalFormatting>
  <conditionalFormatting sqref="R4:R34">
    <cfRule type="cellIs" dxfId="582" priority="102" stopIfTrue="1" operator="equal">
      <formula>$R$85</formula>
    </cfRule>
    <cfRule type="cellIs" dxfId="581" priority="103" stopIfTrue="1" operator="equal">
      <formula>$R$86</formula>
    </cfRule>
  </conditionalFormatting>
  <conditionalFormatting sqref="Q4:Q34">
    <cfRule type="cellIs" dxfId="580" priority="104" stopIfTrue="1" operator="equal">
      <formula>$Q$85</formula>
    </cfRule>
    <cfRule type="cellIs" dxfId="579" priority="105" stopIfTrue="1" operator="equal">
      <formula>$Q$86</formula>
    </cfRule>
  </conditionalFormatting>
  <conditionalFormatting sqref="U47 U49:U50 U53:U56">
    <cfRule type="cellIs" dxfId="578" priority="106" stopIfTrue="1" operator="equal">
      <formula>$W$86</formula>
    </cfRule>
    <cfRule type="cellIs" dxfId="577" priority="107" stopIfTrue="1" operator="equal">
      <formula>$W$85</formula>
    </cfRule>
  </conditionalFormatting>
  <conditionalFormatting sqref="H35">
    <cfRule type="cellIs" dxfId="576" priority="108" stopIfTrue="1" operator="equal">
      <formula>$H$85</formula>
    </cfRule>
    <cfRule type="cellIs" dxfId="575" priority="109" stopIfTrue="1" operator="equal">
      <formula>$H$86</formula>
    </cfRule>
  </conditionalFormatting>
  <conditionalFormatting sqref="M4:M34">
    <cfRule type="cellIs" dxfId="574" priority="110" stopIfTrue="1" operator="equal">
      <formula>$M$85</formula>
    </cfRule>
    <cfRule type="cellIs" dxfId="573" priority="111" stopIfTrue="1" operator="equal">
      <formula>$M$86</formula>
    </cfRule>
  </conditionalFormatting>
  <conditionalFormatting sqref="AB4:AB33">
    <cfRule type="cellIs" dxfId="572" priority="112" stopIfTrue="1" operator="equal">
      <formula>$X$123</formula>
    </cfRule>
  </conditionalFormatting>
  <conditionalFormatting sqref="AD4:AD34">
    <cfRule type="cellIs" dxfId="571" priority="113" stopIfTrue="1" operator="equal">
      <formula>$AE$86</formula>
    </cfRule>
    <cfRule type="cellIs" dxfId="570" priority="114" stopIfTrue="1" operator="equal">
      <formula>$AE$85</formula>
    </cfRule>
  </conditionalFormatting>
  <conditionalFormatting sqref="AQ4:AQ34">
    <cfRule type="cellIs" dxfId="569" priority="115" stopIfTrue="1" operator="equal">
      <formula>0</formula>
    </cfRule>
    <cfRule type="cellIs" dxfId="568" priority="116" stopIfTrue="1" operator="equal">
      <formula>$AQ$86</formula>
    </cfRule>
    <cfRule type="cellIs" dxfId="567" priority="117" stopIfTrue="1" operator="between">
      <formula>0.1</formula>
      <formula>0.4</formula>
    </cfRule>
  </conditionalFormatting>
  <conditionalFormatting sqref="U4:U34">
    <cfRule type="cellIs" dxfId="566" priority="118" stopIfTrue="1" operator="equal">
      <formula>$U$86</formula>
    </cfRule>
    <cfRule type="cellIs" dxfId="565" priority="119" stopIfTrue="1" operator="equal">
      <formula>$U$85</formula>
    </cfRule>
  </conditionalFormatting>
  <conditionalFormatting sqref="W4:W34">
    <cfRule type="cellIs" dxfId="564" priority="120" stopIfTrue="1" operator="equal">
      <formula>$W$86</formula>
    </cfRule>
    <cfRule type="cellIs" dxfId="563" priority="121" stopIfTrue="1" operator="equal">
      <formula>$W$85</formula>
    </cfRule>
  </conditionalFormatting>
  <conditionalFormatting sqref="V4:V34">
    <cfRule type="cellIs" dxfId="562" priority="122" stopIfTrue="1" operator="equal">
      <formula>$V$86</formula>
    </cfRule>
    <cfRule type="cellIs" dxfId="561" priority="123" stopIfTrue="1" operator="equal">
      <formula>$V$85</formula>
    </cfRule>
  </conditionalFormatting>
  <conditionalFormatting sqref="Z4:Z34">
    <cfRule type="cellIs" dxfId="560" priority="124" stopIfTrue="1" operator="equal">
      <formula>0</formula>
    </cfRule>
    <cfRule type="cellIs" dxfId="559" priority="125" stopIfTrue="1" operator="equal">
      <formula>$Z$86</formula>
    </cfRule>
    <cfRule type="cellIs" dxfId="558" priority="126" stopIfTrue="1" operator="lessThan">
      <formula>0.2</formula>
    </cfRule>
  </conditionalFormatting>
  <conditionalFormatting sqref="E48:E66 AU50:AU60">
    <cfRule type="cellIs" dxfId="557" priority="127" stopIfTrue="1" operator="notBetween">
      <formula>-0.5</formula>
      <formula>0.5</formula>
    </cfRule>
    <cfRule type="cellIs" dxfId="556" priority="128" stopIfTrue="1" operator="between">
      <formula>-0.2</formula>
      <formula>0.2</formula>
    </cfRule>
  </conditionalFormatting>
  <conditionalFormatting sqref="E72:E80">
    <cfRule type="cellIs" dxfId="555" priority="129" stopIfTrue="1" operator="notBetween">
      <formula>-0.5</formula>
      <formula>0.5</formula>
    </cfRule>
    <cfRule type="cellIs" dxfId="554" priority="130" stopIfTrue="1" operator="between">
      <formula>-0.2</formula>
      <formula>0.2</formula>
    </cfRule>
  </conditionalFormatting>
  <conditionalFormatting sqref="BC4:BC34">
    <cfRule type="cellIs" dxfId="553" priority="131" stopIfTrue="1" operator="equal">
      <formula>$BC$85</formula>
    </cfRule>
    <cfRule type="cellIs" dxfId="552" priority="132" stopIfTrue="1" operator="equal">
      <formula>$BC$86</formula>
    </cfRule>
  </conditionalFormatting>
  <conditionalFormatting sqref="G4:G34">
    <cfRule type="cellIs" dxfId="551" priority="133" stopIfTrue="1" operator="equal">
      <formula>$G$85</formula>
    </cfRule>
    <cfRule type="cellIs" dxfId="550" priority="134" stopIfTrue="1" operator="equal">
      <formula>$G$86</formula>
    </cfRule>
    <cfRule type="cellIs" dxfId="549" priority="135" stopIfTrue="1" operator="greaterThan">
      <formula>25</formula>
    </cfRule>
  </conditionalFormatting>
  <conditionalFormatting sqref="H4:H34">
    <cfRule type="cellIs" dxfId="548" priority="136" stopIfTrue="1" operator="equal">
      <formula>$H$85</formula>
    </cfRule>
    <cfRule type="cellIs" dxfId="547" priority="137" stopIfTrue="1" operator="equal">
      <formula>$H$86</formula>
    </cfRule>
    <cfRule type="expression" dxfId="546" priority="138" stopIfTrue="1">
      <formula>IF(D4&lt;0,1,0)</formula>
    </cfRule>
  </conditionalFormatting>
  <pageMargins left="0.75" right="0.75" top="1" bottom="1" header="0.5" footer="0.5"/>
  <pageSetup paperSize="9" orientation="portrait" horizontalDpi="4294967293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tabColor indexed="42"/>
  </sheetPr>
  <dimension ref="AB8"/>
  <sheetViews>
    <sheetView zoomScale="75" workbookViewId="0">
      <selection activeCell="AB8" sqref="AB8"/>
    </sheetView>
  </sheetViews>
  <sheetFormatPr defaultRowHeight="12.75" x14ac:dyDescent="0.2"/>
  <sheetData>
    <row r="8" spans="28:28" ht="15.75" x14ac:dyDescent="0.25">
      <c r="AB8" s="614" t="s">
        <v>504</v>
      </c>
    </row>
  </sheetData>
  <phoneticPr fontId="4" type="noConversion"/>
  <pageMargins left="0.75" right="0.75" top="1" bottom="1" header="0.5" footer="0.5"/>
  <headerFooter alignWithMargins="0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>
    <tabColor indexed="11"/>
  </sheetPr>
  <dimension ref="A1:CK134"/>
  <sheetViews>
    <sheetView zoomScale="90" workbookViewId="0">
      <pane xSplit="1" topLeftCell="B1" activePane="topRight" state="frozen"/>
      <selection activeCell="AN72" sqref="AN72"/>
      <selection pane="topRight" activeCell="U24" sqref="U24"/>
    </sheetView>
  </sheetViews>
  <sheetFormatPr defaultRowHeight="0" customHeight="1" zeroHeight="1" x14ac:dyDescent="0.2"/>
  <cols>
    <col min="1" max="1" width="2.85546875" style="1" customWidth="1"/>
    <col min="2" max="2" width="5.28515625" style="1" customWidth="1"/>
    <col min="3" max="3" width="5.140625" style="7" customWidth="1"/>
    <col min="4" max="4" width="13.5703125" style="1" customWidth="1"/>
    <col min="5" max="5" width="8.85546875" style="1" customWidth="1"/>
    <col min="6" max="9" width="9.28515625" style="1" customWidth="1"/>
    <col min="10" max="10" width="0.7109375" style="1" customWidth="1"/>
    <col min="11" max="13" width="8.5703125" style="1" customWidth="1"/>
    <col min="14" max="14" width="7.85546875" style="1" customWidth="1"/>
    <col min="15" max="15" width="1" style="1" customWidth="1"/>
    <col min="16" max="17" width="7.28515625" style="1" customWidth="1"/>
    <col min="18" max="18" width="8.5703125" style="1" customWidth="1"/>
    <col min="19" max="19" width="7.140625" style="1" customWidth="1"/>
    <col min="20" max="20" width="0.7109375" style="1" customWidth="1"/>
    <col min="21" max="22" width="9.28515625" style="1" customWidth="1"/>
    <col min="23" max="23" width="9.7109375" style="1" customWidth="1"/>
    <col min="24" max="24" width="9.28515625" style="1" customWidth="1"/>
    <col min="25" max="25" width="0.85546875" style="1" customWidth="1"/>
    <col min="26" max="26" width="10.42578125" style="1" customWidth="1"/>
    <col min="27" max="27" width="9.42578125" style="1" customWidth="1"/>
    <col min="28" max="28" width="10.5703125" style="1" customWidth="1"/>
    <col min="29" max="29" width="9.28515625" style="1" customWidth="1"/>
    <col min="30" max="30" width="9.85546875" style="1" customWidth="1"/>
    <col min="31" max="31" width="10.140625" style="1" customWidth="1"/>
    <col min="32" max="32" width="0.85546875" style="1" customWidth="1"/>
    <col min="33" max="34" width="8.42578125" style="1" customWidth="1"/>
    <col min="35" max="35" width="8.85546875" style="1" customWidth="1"/>
    <col min="36" max="36" width="8.42578125" style="1" customWidth="1"/>
    <col min="37" max="37" width="0.5703125" style="1" customWidth="1"/>
    <col min="38" max="38" width="8.140625" style="1" customWidth="1"/>
    <col min="39" max="39" width="0.42578125" style="1" customWidth="1"/>
    <col min="40" max="40" width="43.42578125" style="1" customWidth="1"/>
    <col min="41" max="41" width="0.7109375" style="1" customWidth="1"/>
    <col min="42" max="43" width="7.85546875" style="1" customWidth="1"/>
    <col min="44" max="44" width="0.7109375" style="1" customWidth="1"/>
    <col min="45" max="48" width="8.85546875" style="1" customWidth="1"/>
    <col min="49" max="49" width="8.5703125" style="1" customWidth="1"/>
    <col min="50" max="51" width="9.140625" style="1" customWidth="1"/>
    <col min="52" max="52" width="0.5703125" style="1" customWidth="1"/>
    <col min="53" max="53" width="8.28515625" style="1" customWidth="1"/>
    <col min="54" max="54" width="7.7109375" style="1" customWidth="1"/>
    <col min="55" max="55" width="8.5703125" style="1" customWidth="1"/>
    <col min="56" max="56" width="8.85546875" style="1" customWidth="1"/>
    <col min="57" max="57" width="0.5703125" style="1" customWidth="1"/>
    <col min="58" max="62" width="8.85546875" style="1" customWidth="1"/>
    <col min="63" max="63" width="1" style="1" customWidth="1"/>
    <col min="64" max="64" width="2.140625" style="1" customWidth="1"/>
    <col min="65" max="89" width="1.140625" style="1" hidden="1" customWidth="1"/>
    <col min="90" max="91" width="0" style="1" hidden="1" customWidth="1"/>
    <col min="92" max="16384" width="9.140625" style="1"/>
  </cols>
  <sheetData>
    <row r="1" spans="1:64" ht="13.5" customHeight="1" x14ac:dyDescent="0.2">
      <c r="A1" s="88">
        <v>1</v>
      </c>
      <c r="B1" s="676" t="s">
        <v>100</v>
      </c>
      <c r="C1" s="677" t="s">
        <v>99</v>
      </c>
      <c r="D1" s="109">
        <f ca="1">D2/E1</f>
        <v>72.274098440007705</v>
      </c>
      <c r="E1" s="98">
        <f ca="1">COUNT(A3:BL88)</f>
        <v>2440</v>
      </c>
      <c r="F1" s="678" t="s">
        <v>186</v>
      </c>
      <c r="G1" s="678"/>
      <c r="H1" s="678"/>
      <c r="I1" s="678"/>
      <c r="J1" s="6"/>
      <c r="K1" s="679" t="s">
        <v>147</v>
      </c>
      <c r="L1" s="679"/>
      <c r="M1" s="679"/>
      <c r="N1" s="680"/>
      <c r="O1" s="2"/>
      <c r="P1" s="664" t="s">
        <v>0</v>
      </c>
      <c r="Q1" s="664"/>
      <c r="R1" s="664"/>
      <c r="S1" s="665"/>
      <c r="T1" s="3"/>
      <c r="U1" s="666" t="s">
        <v>139</v>
      </c>
      <c r="V1" s="666"/>
      <c r="W1" s="666"/>
      <c r="X1" s="666"/>
      <c r="Y1" s="86"/>
      <c r="Z1" s="674" t="s">
        <v>107</v>
      </c>
      <c r="AA1" s="674"/>
      <c r="AB1" s="674"/>
      <c r="AC1" s="675"/>
      <c r="AD1" s="673" t="s">
        <v>198</v>
      </c>
      <c r="AE1" s="673"/>
      <c r="AF1" s="137"/>
      <c r="AG1" s="672" t="s">
        <v>157</v>
      </c>
      <c r="AH1" s="672"/>
      <c r="AI1" s="672"/>
      <c r="AJ1" s="672"/>
      <c r="AK1" s="6"/>
      <c r="AL1" s="690" t="s">
        <v>252</v>
      </c>
      <c r="AM1" s="86"/>
      <c r="AN1" s="667" t="s">
        <v>1</v>
      </c>
      <c r="AO1" s="399"/>
      <c r="AP1" s="691" t="s">
        <v>122</v>
      </c>
      <c r="AQ1" s="671" t="s">
        <v>192</v>
      </c>
      <c r="AR1" s="86"/>
      <c r="AS1" s="670" t="s">
        <v>12</v>
      </c>
      <c r="AT1" s="670"/>
      <c r="AU1" s="670"/>
      <c r="AV1" s="670"/>
      <c r="AW1" s="670"/>
      <c r="AX1" s="670"/>
      <c r="AY1" s="670"/>
      <c r="AZ1" s="6"/>
      <c r="BA1" s="667" t="s">
        <v>366</v>
      </c>
      <c r="BB1" s="667"/>
      <c r="BC1" s="667"/>
      <c r="BD1" s="667"/>
      <c r="BE1" s="67"/>
      <c r="BF1" s="667" t="s">
        <v>20</v>
      </c>
      <c r="BG1" s="667"/>
      <c r="BH1" s="667"/>
      <c r="BI1" s="667"/>
      <c r="BJ1" s="667"/>
      <c r="BK1" s="88"/>
      <c r="BL1" s="78"/>
    </row>
    <row r="2" spans="1:64" ht="12.75" customHeight="1" x14ac:dyDescent="0.2">
      <c r="A2" s="67"/>
      <c r="B2" s="676"/>
      <c r="C2" s="677"/>
      <c r="D2" s="104">
        <f ca="1">SUM(A3:BL88)</f>
        <v>176348.80019361881</v>
      </c>
      <c r="E2" s="292" t="s">
        <v>150</v>
      </c>
      <c r="F2" s="468" t="s">
        <v>101</v>
      </c>
      <c r="G2" s="469" t="s">
        <v>102</v>
      </c>
      <c r="H2" s="470" t="s">
        <v>156</v>
      </c>
      <c r="I2" s="471" t="s">
        <v>5</v>
      </c>
      <c r="J2" s="6"/>
      <c r="K2" s="212" t="s">
        <v>2</v>
      </c>
      <c r="L2" s="213" t="s">
        <v>3</v>
      </c>
      <c r="M2" s="395" t="s">
        <v>156</v>
      </c>
      <c r="N2" s="398" t="s">
        <v>5</v>
      </c>
      <c r="O2" s="20"/>
      <c r="P2" s="264" t="s">
        <v>2</v>
      </c>
      <c r="Q2" s="258" t="s">
        <v>3</v>
      </c>
      <c r="R2" s="265" t="s">
        <v>4</v>
      </c>
      <c r="S2" s="4" t="s">
        <v>5</v>
      </c>
      <c r="T2" s="67"/>
      <c r="U2" s="217" t="s">
        <v>156</v>
      </c>
      <c r="V2" s="97" t="s">
        <v>3</v>
      </c>
      <c r="W2" s="97" t="s">
        <v>154</v>
      </c>
      <c r="X2" s="217" t="s">
        <v>104</v>
      </c>
      <c r="Y2" s="133"/>
      <c r="Z2" s="424" t="s">
        <v>152</v>
      </c>
      <c r="AA2" s="458" t="s">
        <v>108</v>
      </c>
      <c r="AB2" s="458" t="s">
        <v>197</v>
      </c>
      <c r="AC2" s="508" t="s">
        <v>141</v>
      </c>
      <c r="AD2" s="179" t="s">
        <v>4</v>
      </c>
      <c r="AE2" s="179" t="s">
        <v>3</v>
      </c>
      <c r="AF2" s="68"/>
      <c r="AG2" s="299" t="s">
        <v>2</v>
      </c>
      <c r="AH2" s="309" t="s">
        <v>3</v>
      </c>
      <c r="AI2" s="308" t="s">
        <v>156</v>
      </c>
      <c r="AJ2" s="99" t="s">
        <v>5</v>
      </c>
      <c r="AK2" s="310"/>
      <c r="AL2" s="690"/>
      <c r="AM2" s="86"/>
      <c r="AN2" s="667"/>
      <c r="AO2" s="399"/>
      <c r="AP2" s="692"/>
      <c r="AQ2" s="671"/>
      <c r="AR2" s="86"/>
      <c r="AS2" s="181" t="s">
        <v>21</v>
      </c>
      <c r="AT2" s="294" t="s">
        <v>22</v>
      </c>
      <c r="AU2" s="295" t="s">
        <v>23</v>
      </c>
      <c r="AV2" s="365" t="s">
        <v>24</v>
      </c>
      <c r="AW2" s="263" t="s">
        <v>187</v>
      </c>
      <c r="AX2" s="374" t="s">
        <v>188</v>
      </c>
      <c r="AY2" s="371" t="s">
        <v>124</v>
      </c>
      <c r="AZ2" s="6"/>
      <c r="BA2" s="181" t="s">
        <v>21</v>
      </c>
      <c r="BB2" s="294" t="s">
        <v>22</v>
      </c>
      <c r="BC2" s="295" t="s">
        <v>23</v>
      </c>
      <c r="BD2" s="365" t="s">
        <v>24</v>
      </c>
      <c r="BE2" s="67"/>
      <c r="BF2" s="181" t="s">
        <v>21</v>
      </c>
      <c r="BG2" s="294" t="s">
        <v>25</v>
      </c>
      <c r="BH2" s="365" t="s">
        <v>24</v>
      </c>
      <c r="BI2" s="179" t="s">
        <v>7</v>
      </c>
      <c r="BJ2" s="419" t="s">
        <v>196</v>
      </c>
      <c r="BK2" s="88"/>
      <c r="BL2" s="78"/>
    </row>
    <row r="3" spans="1:64" ht="1.5" customHeight="1" x14ac:dyDescent="0.2">
      <c r="A3" s="67"/>
      <c r="B3" s="128"/>
      <c r="C3" s="283"/>
      <c r="D3" s="67"/>
      <c r="E3" s="68"/>
      <c r="F3" s="68"/>
      <c r="G3" s="68"/>
      <c r="H3" s="68"/>
      <c r="I3" s="68"/>
      <c r="J3" s="6"/>
      <c r="K3" s="68"/>
      <c r="L3" s="68"/>
      <c r="M3" s="68"/>
      <c r="N3" s="84"/>
      <c r="O3" s="20"/>
      <c r="P3" s="257"/>
      <c r="Q3" s="68"/>
      <c r="R3" s="68"/>
      <c r="S3" s="68"/>
      <c r="T3" s="67"/>
      <c r="U3" s="63"/>
      <c r="V3" s="63"/>
      <c r="W3" s="63"/>
      <c r="X3" s="63"/>
      <c r="Y3" s="67"/>
      <c r="Z3" s="425"/>
      <c r="AA3" s="500"/>
      <c r="AB3" s="500"/>
      <c r="AC3" s="509"/>
      <c r="AD3" s="63"/>
      <c r="AE3" s="63"/>
      <c r="AF3" s="67"/>
      <c r="AG3" s="63"/>
      <c r="AH3" s="63"/>
      <c r="AI3" s="63"/>
      <c r="AJ3" s="63"/>
      <c r="AK3" s="67"/>
      <c r="AL3" s="132"/>
      <c r="AM3" s="6"/>
      <c r="AN3" s="67"/>
      <c r="AO3" s="88"/>
      <c r="AP3" s="63"/>
      <c r="AQ3" s="63"/>
      <c r="AR3" s="67"/>
      <c r="AS3" s="67"/>
      <c r="AT3" s="67"/>
      <c r="AU3" s="67"/>
      <c r="AV3" s="366"/>
      <c r="AW3" s="67"/>
      <c r="AX3" s="375"/>
      <c r="AY3" s="372"/>
      <c r="AZ3" s="6"/>
      <c r="BA3" s="67"/>
      <c r="BB3" s="67"/>
      <c r="BC3" s="6"/>
      <c r="BD3" s="366"/>
      <c r="BE3" s="67"/>
      <c r="BF3" s="67"/>
      <c r="BG3" s="67"/>
      <c r="BH3" s="366"/>
      <c r="BI3" s="6"/>
      <c r="BJ3" s="87"/>
      <c r="BK3" s="88"/>
      <c r="BL3" s="78"/>
    </row>
    <row r="4" spans="1:64" ht="12.75" customHeight="1" x14ac:dyDescent="0.2">
      <c r="A4" s="277">
        <v>1</v>
      </c>
      <c r="B4" s="131">
        <v>10.199999999999999</v>
      </c>
      <c r="C4" s="282">
        <v>19.899999999999999</v>
      </c>
      <c r="D4" s="685" t="s">
        <v>226</v>
      </c>
      <c r="E4" s="113">
        <v>1</v>
      </c>
      <c r="F4" s="23">
        <v>10.199999999999999</v>
      </c>
      <c r="G4" s="23">
        <v>19.899999999999999</v>
      </c>
      <c r="H4" s="553">
        <v>15.2</v>
      </c>
      <c r="I4" s="23">
        <v>9.6999999999999993</v>
      </c>
      <c r="J4" s="6">
        <v>0</v>
      </c>
      <c r="K4" s="24">
        <v>49</v>
      </c>
      <c r="L4" s="24">
        <v>93</v>
      </c>
      <c r="M4" s="554">
        <v>71</v>
      </c>
      <c r="N4" s="24">
        <v>44</v>
      </c>
      <c r="O4" s="50">
        <v>0</v>
      </c>
      <c r="P4" s="24">
        <v>1012</v>
      </c>
      <c r="Q4" s="24">
        <v>1016</v>
      </c>
      <c r="R4" s="24">
        <v>1014</v>
      </c>
      <c r="S4" s="24">
        <v>4</v>
      </c>
      <c r="T4" s="50"/>
      <c r="U4" s="553">
        <v>4.3</v>
      </c>
      <c r="V4" s="553">
        <v>11.2</v>
      </c>
      <c r="W4" s="553">
        <v>16.600000000000001</v>
      </c>
      <c r="X4" s="485" t="s">
        <v>106</v>
      </c>
      <c r="Y4" s="72">
        <v>0</v>
      </c>
      <c r="Z4" s="539">
        <v>0</v>
      </c>
      <c r="AA4" s="23" t="s">
        <v>619</v>
      </c>
      <c r="AB4" s="23"/>
      <c r="AC4" s="510" t="s">
        <v>619</v>
      </c>
      <c r="AD4" s="7" t="s">
        <v>619</v>
      </c>
      <c r="AE4" s="485" t="s">
        <v>619</v>
      </c>
      <c r="AF4" s="72"/>
      <c r="AG4" s="553">
        <v>8.1999999999999993</v>
      </c>
      <c r="AH4" s="553">
        <v>12.6</v>
      </c>
      <c r="AI4" s="553">
        <v>9.6999999999999993</v>
      </c>
      <c r="AJ4" s="7">
        <v>4.4000000000000004</v>
      </c>
      <c r="AK4" s="54"/>
      <c r="AL4" s="485" t="s">
        <v>661</v>
      </c>
      <c r="AM4" s="134"/>
      <c r="AN4" s="23" t="s">
        <v>8</v>
      </c>
      <c r="AO4" s="400"/>
      <c r="AP4" s="485">
        <v>8</v>
      </c>
      <c r="AQ4" s="485">
        <v>0</v>
      </c>
      <c r="AR4" s="134"/>
      <c r="AS4" s="26">
        <f>IF(ISBLANK(F4),"",(AVERAGE($F$4:F4)))</f>
        <v>10.199999999999999</v>
      </c>
      <c r="AT4" s="25">
        <f>IF(ISBLANK(G4),"",(AVERAGE($G$4:G4)))</f>
        <v>19.899999999999999</v>
      </c>
      <c r="AU4" s="25">
        <f>IF(ISBLANK(H4),"",(AVERAGE($H$4:H4)))</f>
        <v>15.2</v>
      </c>
      <c r="AV4" s="367">
        <f>IF(ISBLANK(G4),"",(AVERAGE($I$4:I4)))</f>
        <v>9.6999999999999993</v>
      </c>
      <c r="AW4" s="22">
        <f>IF(ISBLANK(M4),"",AVERAGE($M$4:M4))</f>
        <v>71</v>
      </c>
      <c r="AX4" s="376">
        <f>IF(ISBLANK(P4),"",(AVERAGE($R$4:R4)))</f>
        <v>1014</v>
      </c>
      <c r="AY4" s="368">
        <f>IF(ISBLANK(U4),"",(AVERAGE($U$4:U4)))</f>
        <v>4.3</v>
      </c>
      <c r="AZ4" s="6"/>
      <c r="BA4" s="25">
        <f>IF(ISBLANK(F4),"",F4-F91)</f>
        <v>-2.018076923076924</v>
      </c>
      <c r="BB4" s="25">
        <f>IF(ISBLANK(G4),"",G4-G91)</f>
        <v>-1.0925000000000011</v>
      </c>
      <c r="BC4" s="25">
        <f>IF(ISBLANK(G4),"",AVERAGE(BA4:BB4))</f>
        <v>-1.5552884615384626</v>
      </c>
      <c r="BD4" s="367">
        <f>IF(ISBLANK(G4),"",BB4-BA4)</f>
        <v>0.92557692307692285</v>
      </c>
      <c r="BE4" s="67"/>
      <c r="BF4" s="25">
        <f>IF(ISBLANK(F4),"",AS4-AVERAGE($F$91:F91))</f>
        <v>-2.018076923076924</v>
      </c>
      <c r="BG4" s="25">
        <f>IF(ISBLANK(G4),"",AT4-AVERAGE($G$91:G91))</f>
        <v>-1.0925000000000011</v>
      </c>
      <c r="BH4" s="367">
        <f>IF(ISBLANK(G4),"",BG4-BF4)</f>
        <v>0.92557692307692285</v>
      </c>
      <c r="BI4" s="115">
        <f t="shared" ref="BI4:BI33" si="0">IF(ISBLANK(Z4),"",AB91/AA91)</f>
        <v>0</v>
      </c>
      <c r="BJ4" s="115">
        <f t="shared" ref="BJ4:BJ34" si="1">IF(ISBLANK(AP4),"",AG91/AH91)</f>
        <v>1.6121374599927578</v>
      </c>
      <c r="BK4" s="402"/>
      <c r="BL4" s="572">
        <v>1</v>
      </c>
    </row>
    <row r="5" spans="1:64" ht="12.75" customHeight="1" x14ac:dyDescent="0.2">
      <c r="A5" s="278">
        <f t="shared" ref="A5:A33" si="2">SUM(A4+1)</f>
        <v>2</v>
      </c>
      <c r="B5" s="131">
        <v>13.1</v>
      </c>
      <c r="C5" s="282">
        <v>25.8</v>
      </c>
      <c r="D5" s="685"/>
      <c r="E5" s="99">
        <f t="shared" ref="E5:E33" si="3">SUM(E4+1)</f>
        <v>2</v>
      </c>
      <c r="F5" s="23">
        <v>13.1</v>
      </c>
      <c r="G5" s="23">
        <v>25.8</v>
      </c>
      <c r="H5" s="553">
        <v>19.100000000000001</v>
      </c>
      <c r="I5" s="23">
        <v>12.7</v>
      </c>
      <c r="J5" s="6">
        <v>0</v>
      </c>
      <c r="K5" s="24">
        <v>46</v>
      </c>
      <c r="L5" s="24">
        <v>91</v>
      </c>
      <c r="M5" s="554">
        <v>71</v>
      </c>
      <c r="N5" s="24">
        <v>45</v>
      </c>
      <c r="O5" s="50">
        <v>0</v>
      </c>
      <c r="P5" s="24">
        <v>1010</v>
      </c>
      <c r="Q5" s="24">
        <v>1012</v>
      </c>
      <c r="R5" s="24">
        <v>1011</v>
      </c>
      <c r="S5" s="24">
        <v>2</v>
      </c>
      <c r="T5" s="50"/>
      <c r="U5" s="553">
        <v>3.4</v>
      </c>
      <c r="V5" s="553">
        <v>9.6999999999999993</v>
      </c>
      <c r="W5" s="553">
        <v>13</v>
      </c>
      <c r="X5" s="555" t="s">
        <v>110</v>
      </c>
      <c r="Y5" s="72">
        <v>0</v>
      </c>
      <c r="Z5" s="539">
        <v>0</v>
      </c>
      <c r="AA5" s="23" t="s">
        <v>619</v>
      </c>
      <c r="AB5" s="23"/>
      <c r="AC5" s="510" t="s">
        <v>619</v>
      </c>
      <c r="AD5" s="7" t="s">
        <v>619</v>
      </c>
      <c r="AE5" s="485" t="s">
        <v>619</v>
      </c>
      <c r="AF5" s="72"/>
      <c r="AG5" s="553">
        <v>10.199999999999999</v>
      </c>
      <c r="AH5" s="553">
        <v>16</v>
      </c>
      <c r="AI5" s="553">
        <v>13.4</v>
      </c>
      <c r="AJ5" s="7">
        <v>5.8</v>
      </c>
      <c r="AK5" s="54"/>
      <c r="AL5" s="485" t="s">
        <v>662</v>
      </c>
      <c r="AM5" s="134"/>
      <c r="AN5" s="47" t="s">
        <v>16</v>
      </c>
      <c r="AO5" s="400"/>
      <c r="AP5" s="485">
        <v>8</v>
      </c>
      <c r="AQ5" s="485">
        <v>0</v>
      </c>
      <c r="AR5" s="134"/>
      <c r="AS5" s="26">
        <f>IF(ISBLANK(F5),"",(AVERAGE($F$4:F5)))</f>
        <v>11.649999999999999</v>
      </c>
      <c r="AT5" s="26">
        <f>IF(ISBLANK(G5),"",(AVERAGE($G$4:G5)))</f>
        <v>22.85</v>
      </c>
      <c r="AU5" s="25">
        <f>IF(ISBLANK(H5),"",(AVERAGE($H$4:H5)))</f>
        <v>17.149999999999999</v>
      </c>
      <c r="AV5" s="368">
        <f>IF(ISBLANK(G5),"",(AVERAGE($I$4:I5)))</f>
        <v>11.2</v>
      </c>
      <c r="AW5" s="22">
        <f>IF(ISBLANK(M5),"",AVERAGE($M$4:M5))</f>
        <v>71</v>
      </c>
      <c r="AX5" s="376">
        <f>IF(ISBLANK(P5),"",(AVERAGE($R$4:R5)))</f>
        <v>1012.5</v>
      </c>
      <c r="AY5" s="368">
        <f>IF(ISBLANK(U5),"",(AVERAGE($U$4:U5)))</f>
        <v>3.8499999999999996</v>
      </c>
      <c r="AZ5" s="6"/>
      <c r="BA5" s="25">
        <f t="shared" ref="BA5:BA34" si="4">IF(ISBLANK(F5),"",F5-F92)</f>
        <v>0.95769230769230695</v>
      </c>
      <c r="BB5" s="25">
        <f t="shared" ref="BB5:BB34" si="5">IF(ISBLANK(G5),"",G5-G92)</f>
        <v>4.9081250000000018</v>
      </c>
      <c r="BC5" s="25">
        <f>IF(ISBLANK(G5),"",AVERAGE(BA5:BB5))</f>
        <v>2.9329086538461544</v>
      </c>
      <c r="BD5" s="367">
        <f>IF(ISBLANK(G5),"",BB5-BA5)</f>
        <v>3.9504326923076949</v>
      </c>
      <c r="BE5" s="72"/>
      <c r="BF5" s="25">
        <f>IF(ISBLANK(F5),"",AS5-AVERAGE($F$91:F92))</f>
        <v>-0.53019230769231029</v>
      </c>
      <c r="BG5" s="25">
        <f>IF(ISBLANK(G5),"",AT5-AVERAGE($G$91:G92))</f>
        <v>1.9078125000000021</v>
      </c>
      <c r="BH5" s="367">
        <f t="shared" ref="BH5:BH10" si="6">IF(ISBLANK(G5),"",BG5-BF5)</f>
        <v>2.4380048076923124</v>
      </c>
      <c r="BI5" s="115">
        <f t="shared" si="0"/>
        <v>0</v>
      </c>
      <c r="BJ5" s="115">
        <f t="shared" si="1"/>
        <v>1.6161469353337201</v>
      </c>
      <c r="BK5" s="420"/>
      <c r="BL5" s="572">
        <v>2</v>
      </c>
    </row>
    <row r="6" spans="1:64" ht="12.75" customHeight="1" x14ac:dyDescent="0.2">
      <c r="A6" s="278">
        <f t="shared" si="2"/>
        <v>3</v>
      </c>
      <c r="B6" s="131">
        <v>15.3</v>
      </c>
      <c r="C6" s="282">
        <v>23.1</v>
      </c>
      <c r="D6" s="685"/>
      <c r="E6" s="99">
        <f t="shared" si="3"/>
        <v>3</v>
      </c>
      <c r="F6" s="23">
        <v>15.3</v>
      </c>
      <c r="G6" s="23">
        <v>23.1</v>
      </c>
      <c r="H6" s="553">
        <v>18.8</v>
      </c>
      <c r="I6" s="23">
        <v>7.8</v>
      </c>
      <c r="J6" s="6">
        <v>0</v>
      </c>
      <c r="K6" s="24">
        <v>58</v>
      </c>
      <c r="L6" s="24">
        <v>89</v>
      </c>
      <c r="M6" s="554">
        <v>72</v>
      </c>
      <c r="N6" s="24">
        <v>31</v>
      </c>
      <c r="O6" s="50">
        <v>0</v>
      </c>
      <c r="P6" s="24">
        <v>1007</v>
      </c>
      <c r="Q6" s="24">
        <v>1010</v>
      </c>
      <c r="R6" s="24">
        <v>1008.5</v>
      </c>
      <c r="S6" s="24">
        <v>3</v>
      </c>
      <c r="T6" s="50"/>
      <c r="U6" s="553">
        <v>5.5</v>
      </c>
      <c r="V6" s="553">
        <v>13.2</v>
      </c>
      <c r="W6" s="553">
        <v>16.3</v>
      </c>
      <c r="X6" s="485" t="s">
        <v>110</v>
      </c>
      <c r="Y6" s="72">
        <v>0</v>
      </c>
      <c r="Z6" s="539">
        <v>0</v>
      </c>
      <c r="AA6" s="23" t="s">
        <v>619</v>
      </c>
      <c r="AB6" s="23"/>
      <c r="AC6" s="510" t="s">
        <v>619</v>
      </c>
      <c r="AD6" s="7" t="s">
        <v>619</v>
      </c>
      <c r="AE6" s="485" t="s">
        <v>619</v>
      </c>
      <c r="AF6" s="72"/>
      <c r="AG6" s="553">
        <v>12.1</v>
      </c>
      <c r="AH6" s="553">
        <v>15.1</v>
      </c>
      <c r="AI6" s="553">
        <v>13.6</v>
      </c>
      <c r="AJ6" s="7">
        <v>3</v>
      </c>
      <c r="AK6" s="54"/>
      <c r="AL6" s="485" t="s">
        <v>663</v>
      </c>
      <c r="AM6" s="134"/>
      <c r="AN6" s="23" t="s">
        <v>8</v>
      </c>
      <c r="AO6" s="400"/>
      <c r="AP6" s="485">
        <v>6</v>
      </c>
      <c r="AQ6" s="485">
        <v>0</v>
      </c>
      <c r="AR6" s="134"/>
      <c r="AS6" s="26">
        <f>IF(ISBLANK(F6),"",(AVERAGE($F$4:F6)))</f>
        <v>12.866666666666665</v>
      </c>
      <c r="AT6" s="26">
        <f>IF(ISBLANK(G6),"",(AVERAGE($G$4:G6)))</f>
        <v>22.933333333333337</v>
      </c>
      <c r="AU6" s="25">
        <f>IF(ISBLANK(H6),"",(AVERAGE($H$4:H6)))</f>
        <v>17.7</v>
      </c>
      <c r="AV6" s="368">
        <f>IF(ISBLANK(G6),"",(AVERAGE($I$4:I6)))</f>
        <v>10.066666666666666</v>
      </c>
      <c r="AW6" s="22">
        <f>IF(ISBLANK(M6),"",AVERAGE($M$4:M6))</f>
        <v>71.333333333333329</v>
      </c>
      <c r="AX6" s="376">
        <f>IF(ISBLANK(P6),"",(AVERAGE($R$4:R6)))</f>
        <v>1011.1666666666666</v>
      </c>
      <c r="AY6" s="368">
        <f>IF(ISBLANK(U6),"",(AVERAGE($U$4:U6)))</f>
        <v>4.3999999999999995</v>
      </c>
      <c r="AZ6" s="6"/>
      <c r="BA6" s="25">
        <f t="shared" si="4"/>
        <v>3.2334615384615386</v>
      </c>
      <c r="BB6" s="25">
        <f t="shared" si="5"/>
        <v>2.3087499999999999</v>
      </c>
      <c r="BC6" s="25">
        <f>IF(ISBLANK(G6),"",AVERAGE(BA6:BB6))</f>
        <v>2.7711057692307692</v>
      </c>
      <c r="BD6" s="367">
        <f t="shared" ref="BD6:BD34" si="7">IF(ISBLANK(G6),"",BB6-BA6)</f>
        <v>-0.92471153846153875</v>
      </c>
      <c r="BE6" s="72"/>
      <c r="BF6" s="25">
        <f>IF(ISBLANK(F6),"",AS6-AVERAGE($F$91:F93))</f>
        <v>0.7243589743589709</v>
      </c>
      <c r="BG6" s="25">
        <f>IF(ISBLANK(G6),"",AT6-AVERAGE($G$91:G93))</f>
        <v>2.0414583333333383</v>
      </c>
      <c r="BH6" s="367">
        <f t="shared" si="6"/>
        <v>1.3170993589743674</v>
      </c>
      <c r="BI6" s="115">
        <f t="shared" si="0"/>
        <v>0</v>
      </c>
      <c r="BJ6" s="115">
        <f t="shared" si="1"/>
        <v>1.4851681162628343</v>
      </c>
      <c r="BK6" s="402"/>
      <c r="BL6" s="572">
        <v>3</v>
      </c>
    </row>
    <row r="7" spans="1:64" ht="12.75" customHeight="1" x14ac:dyDescent="0.2">
      <c r="A7" s="278">
        <f t="shared" si="2"/>
        <v>4</v>
      </c>
      <c r="B7" s="131">
        <v>15.7</v>
      </c>
      <c r="C7" s="282">
        <v>19.2</v>
      </c>
      <c r="D7" s="685"/>
      <c r="E7" s="99">
        <f t="shared" si="3"/>
        <v>4</v>
      </c>
      <c r="F7" s="23">
        <v>14.4</v>
      </c>
      <c r="G7" s="23">
        <v>19.2</v>
      </c>
      <c r="H7" s="553">
        <v>16.7</v>
      </c>
      <c r="I7" s="23">
        <v>4.8</v>
      </c>
      <c r="J7" s="6">
        <v>0</v>
      </c>
      <c r="K7" s="24">
        <v>72</v>
      </c>
      <c r="L7" s="24">
        <v>90</v>
      </c>
      <c r="M7" s="554">
        <v>82</v>
      </c>
      <c r="N7" s="24">
        <v>18</v>
      </c>
      <c r="O7" s="50">
        <v>1</v>
      </c>
      <c r="P7" s="24">
        <v>1005</v>
      </c>
      <c r="Q7" s="24">
        <v>1007</v>
      </c>
      <c r="R7" s="24">
        <v>1006</v>
      </c>
      <c r="S7" s="24">
        <v>2</v>
      </c>
      <c r="T7" s="50"/>
      <c r="U7" s="553">
        <v>5.4</v>
      </c>
      <c r="V7" s="553">
        <v>12.1</v>
      </c>
      <c r="W7" s="553">
        <v>17</v>
      </c>
      <c r="X7" s="485" t="s">
        <v>110</v>
      </c>
      <c r="Y7" s="72">
        <v>2</v>
      </c>
      <c r="Z7" s="539">
        <v>3.8</v>
      </c>
      <c r="AA7" s="23">
        <v>3.3</v>
      </c>
      <c r="AB7" s="23">
        <v>0.8</v>
      </c>
      <c r="AC7" s="510">
        <v>9.0261282660332565E-2</v>
      </c>
      <c r="AD7" s="7">
        <v>1.2666666666666666</v>
      </c>
      <c r="AE7" s="485">
        <v>6</v>
      </c>
      <c r="AF7" s="72"/>
      <c r="AG7" s="553">
        <v>9.8000000000000007</v>
      </c>
      <c r="AH7" s="553">
        <v>16.399999999999999</v>
      </c>
      <c r="AI7" s="553">
        <v>13.6</v>
      </c>
      <c r="AJ7" s="7">
        <v>6.6</v>
      </c>
      <c r="AK7" s="54"/>
      <c r="AL7" s="485" t="s">
        <v>374</v>
      </c>
      <c r="AM7" s="134"/>
      <c r="AN7" s="23" t="s">
        <v>664</v>
      </c>
      <c r="AO7" s="400"/>
      <c r="AP7" s="485">
        <v>1.5</v>
      </c>
      <c r="AQ7" s="485">
        <v>3</v>
      </c>
      <c r="AR7" s="134"/>
      <c r="AS7" s="26">
        <f>IF(ISBLANK(F7),"",(AVERAGE($F$4:F7)))</f>
        <v>13.249999999999998</v>
      </c>
      <c r="AT7" s="26">
        <f>IF(ISBLANK(G7),"",(AVERAGE($G$4:G7)))</f>
        <v>22.000000000000004</v>
      </c>
      <c r="AU7" s="25">
        <f>IF(ISBLANK(H7),"",(AVERAGE($H$4:H7)))</f>
        <v>17.45</v>
      </c>
      <c r="AV7" s="368">
        <f>IF(ISBLANK(G7),"",(AVERAGE($I$4:I7)))</f>
        <v>8.75</v>
      </c>
      <c r="AW7" s="22">
        <f>IF(ISBLANK(M7),"",AVERAGE($M$4:M7))</f>
        <v>74</v>
      </c>
      <c r="AX7" s="376">
        <f>IF(ISBLANK(P7),"",(AVERAGE($R$4:R7)))</f>
        <v>1009.875</v>
      </c>
      <c r="AY7" s="368">
        <f>IF(ISBLANK(U7),"",(AVERAGE($U$4:U7)))</f>
        <v>4.6500000000000004</v>
      </c>
      <c r="AZ7" s="6"/>
      <c r="BA7" s="25">
        <f t="shared" si="4"/>
        <v>2.4092307692307688</v>
      </c>
      <c r="BB7" s="25">
        <f t="shared" si="5"/>
        <v>-1.4906250000000014</v>
      </c>
      <c r="BC7" s="25">
        <f t="shared" ref="BC7:BC34" si="8">IF(ISBLANK(G7),"",AVERAGE(BA7:BB7))</f>
        <v>0.45930288461538371</v>
      </c>
      <c r="BD7" s="367">
        <f t="shared" si="7"/>
        <v>-3.8998557692307703</v>
      </c>
      <c r="BE7" s="72"/>
      <c r="BF7" s="25">
        <f>IF(ISBLANK(F7),"",AS7-AVERAGE($F$91:F94))</f>
        <v>1.1455769230769199</v>
      </c>
      <c r="BG7" s="25">
        <f>IF(ISBLANK(G7),"",AT7-AVERAGE($G$91:G94))</f>
        <v>1.1584375000000051</v>
      </c>
      <c r="BH7" s="367">
        <f t="shared" si="6"/>
        <v>1.2860576923085176E-2</v>
      </c>
      <c r="BI7" s="115">
        <f t="shared" si="0"/>
        <v>0.43181818181818177</v>
      </c>
      <c r="BJ7" s="115">
        <f t="shared" si="1"/>
        <v>1.1928062210571511</v>
      </c>
      <c r="BK7" s="402"/>
      <c r="BL7" s="572">
        <v>4</v>
      </c>
    </row>
    <row r="8" spans="1:64" ht="12.75" customHeight="1" x14ac:dyDescent="0.2">
      <c r="A8" s="278">
        <f t="shared" si="2"/>
        <v>5</v>
      </c>
      <c r="B8" s="131">
        <v>11.6</v>
      </c>
      <c r="C8" s="282">
        <v>19.100000000000001</v>
      </c>
      <c r="D8" s="685"/>
      <c r="E8" s="99">
        <f t="shared" si="3"/>
        <v>5</v>
      </c>
      <c r="F8" s="23">
        <v>11.6</v>
      </c>
      <c r="G8" s="23">
        <v>19.100000000000001</v>
      </c>
      <c r="H8" s="553">
        <v>15.3</v>
      </c>
      <c r="I8" s="23">
        <v>7.5</v>
      </c>
      <c r="J8" s="6">
        <v>0</v>
      </c>
      <c r="K8" s="24">
        <v>48</v>
      </c>
      <c r="L8" s="24">
        <v>84</v>
      </c>
      <c r="M8" s="554">
        <v>70</v>
      </c>
      <c r="N8" s="24">
        <v>36</v>
      </c>
      <c r="O8" s="50">
        <v>0</v>
      </c>
      <c r="P8" s="24">
        <v>1008</v>
      </c>
      <c r="Q8" s="24">
        <v>1015</v>
      </c>
      <c r="R8" s="24">
        <v>1011.5</v>
      </c>
      <c r="S8" s="24">
        <v>7</v>
      </c>
      <c r="T8" s="50"/>
      <c r="U8" s="553">
        <v>8</v>
      </c>
      <c r="V8" s="553">
        <v>20.7</v>
      </c>
      <c r="W8" s="553">
        <v>29.9</v>
      </c>
      <c r="X8" s="485" t="s">
        <v>110</v>
      </c>
      <c r="Y8" s="72">
        <v>1</v>
      </c>
      <c r="Z8" s="539">
        <v>0.3</v>
      </c>
      <c r="AA8" s="23" t="s">
        <v>619</v>
      </c>
      <c r="AB8" s="23"/>
      <c r="AC8" s="510">
        <v>7.1258907363420448E-3</v>
      </c>
      <c r="AD8" s="7">
        <v>0.3</v>
      </c>
      <c r="AE8" s="485" t="s">
        <v>8</v>
      </c>
      <c r="AF8" s="72"/>
      <c r="AG8" s="553">
        <v>7.3</v>
      </c>
      <c r="AH8" s="553">
        <v>11.8</v>
      </c>
      <c r="AI8" s="553">
        <v>9.6999999999999993</v>
      </c>
      <c r="AJ8" s="7">
        <v>4.5</v>
      </c>
      <c r="AK8" s="54"/>
      <c r="AL8" s="485" t="s">
        <v>507</v>
      </c>
      <c r="AM8" s="134"/>
      <c r="AN8" s="391" t="s">
        <v>669</v>
      </c>
      <c r="AO8" s="400"/>
      <c r="AP8" s="485">
        <v>6</v>
      </c>
      <c r="AQ8" s="485">
        <v>1</v>
      </c>
      <c r="AR8" s="134"/>
      <c r="AS8" s="26">
        <f>IF(ISBLANK(F8),"",(AVERAGE($F$4:F8)))</f>
        <v>12.919999999999998</v>
      </c>
      <c r="AT8" s="26">
        <f>IF(ISBLANK(G8),"",(AVERAGE($G$4:G8)))</f>
        <v>21.420000000000005</v>
      </c>
      <c r="AU8" s="25">
        <f>IF(ISBLANK(H8),"",(AVERAGE($H$4:H8)))</f>
        <v>17.02</v>
      </c>
      <c r="AV8" s="368">
        <f>IF(ISBLANK(G8),"",(AVERAGE($I$4:I8)))</f>
        <v>8.5</v>
      </c>
      <c r="AW8" s="22">
        <f>IF(ISBLANK(M8),"",AVERAGE($M$4:M8))</f>
        <v>73.2</v>
      </c>
      <c r="AX8" s="376">
        <f>IF(ISBLANK(P8),"",(AVERAGE($R$4:R8)))</f>
        <v>1010.2</v>
      </c>
      <c r="AY8" s="368">
        <f>IF(ISBLANK(U8),"",(AVERAGE($U$4:U8)))</f>
        <v>5.32</v>
      </c>
      <c r="AZ8" s="6"/>
      <c r="BA8" s="25">
        <f t="shared" si="4"/>
        <v>-0.3149999999999995</v>
      </c>
      <c r="BB8" s="25">
        <f t="shared" si="5"/>
        <v>-1.4899999999999984</v>
      </c>
      <c r="BC8" s="25">
        <f t="shared" si="8"/>
        <v>-0.90249999999999897</v>
      </c>
      <c r="BD8" s="367">
        <f t="shared" si="7"/>
        <v>-1.1749999999999989</v>
      </c>
      <c r="BE8" s="72"/>
      <c r="BF8" s="25">
        <f>IF(ISBLANK(F8),"",AS8-AVERAGE($F$91:F95))</f>
        <v>0.85346153846153605</v>
      </c>
      <c r="BG8" s="25">
        <f>IF(ISBLANK(G8),"",AT8-AVERAGE($G$91:G95))</f>
        <v>0.62875000000000725</v>
      </c>
      <c r="BH8" s="367">
        <f t="shared" si="6"/>
        <v>-0.2247115384615288</v>
      </c>
      <c r="BI8" s="115">
        <f t="shared" si="0"/>
        <v>0.37272727272727268</v>
      </c>
      <c r="BJ8" s="115">
        <f t="shared" si="1"/>
        <v>1.200898511428123</v>
      </c>
      <c r="BK8" s="420"/>
      <c r="BL8" s="572">
        <v>5</v>
      </c>
    </row>
    <row r="9" spans="1:64" ht="12.75" customHeight="1" x14ac:dyDescent="0.2">
      <c r="A9" s="278">
        <f t="shared" si="2"/>
        <v>6</v>
      </c>
      <c r="B9" s="131">
        <v>14.9</v>
      </c>
      <c r="C9" s="282">
        <v>17.899999999999999</v>
      </c>
      <c r="D9" s="685"/>
      <c r="E9" s="99">
        <f t="shared" si="3"/>
        <v>6</v>
      </c>
      <c r="F9" s="23">
        <v>13</v>
      </c>
      <c r="G9" s="23">
        <v>17.899999999999999</v>
      </c>
      <c r="H9" s="553">
        <v>15.5</v>
      </c>
      <c r="I9" s="23">
        <v>4.9000000000000004</v>
      </c>
      <c r="J9" s="6">
        <v>0</v>
      </c>
      <c r="K9" s="24">
        <v>77</v>
      </c>
      <c r="L9" s="24">
        <v>94</v>
      </c>
      <c r="M9" s="554">
        <v>85</v>
      </c>
      <c r="N9" s="24">
        <v>17</v>
      </c>
      <c r="O9" s="50">
        <v>1</v>
      </c>
      <c r="P9" s="24">
        <v>1004</v>
      </c>
      <c r="Q9" s="24">
        <v>1012</v>
      </c>
      <c r="R9" s="24">
        <v>1008</v>
      </c>
      <c r="S9" s="24">
        <v>8</v>
      </c>
      <c r="T9" s="50"/>
      <c r="U9" s="553">
        <v>9.8000000000000007</v>
      </c>
      <c r="V9" s="553">
        <v>21</v>
      </c>
      <c r="W9" s="553">
        <v>33.9</v>
      </c>
      <c r="X9" s="485" t="s">
        <v>110</v>
      </c>
      <c r="Y9" s="72">
        <v>2</v>
      </c>
      <c r="Z9" s="539">
        <v>21.7</v>
      </c>
      <c r="AA9" s="23">
        <v>18.399999999999999</v>
      </c>
      <c r="AB9" s="23">
        <v>7.4</v>
      </c>
      <c r="AC9" s="510">
        <v>0.51543942992874126</v>
      </c>
      <c r="AD9" s="7">
        <v>4.34</v>
      </c>
      <c r="AE9" s="485">
        <v>100</v>
      </c>
      <c r="AF9" s="72"/>
      <c r="AG9" s="553">
        <v>9.6</v>
      </c>
      <c r="AH9" s="553">
        <v>15.7</v>
      </c>
      <c r="AI9" s="553">
        <v>12.9</v>
      </c>
      <c r="AJ9" s="7">
        <v>6.1</v>
      </c>
      <c r="AK9" s="54"/>
      <c r="AL9" s="485" t="s">
        <v>239</v>
      </c>
      <c r="AM9" s="134"/>
      <c r="AN9" s="23" t="s">
        <v>666</v>
      </c>
      <c r="AO9" s="400"/>
      <c r="AP9" s="485">
        <v>0</v>
      </c>
      <c r="AQ9" s="485">
        <v>5</v>
      </c>
      <c r="AR9" s="134"/>
      <c r="AS9" s="26">
        <f>IF(ISBLANK(F9),"",(AVERAGE($F$4:F9)))</f>
        <v>12.933333333333332</v>
      </c>
      <c r="AT9" s="26">
        <f>IF(ISBLANK(G9),"",(AVERAGE($G$4:G9)))</f>
        <v>20.833333333333339</v>
      </c>
      <c r="AU9" s="25">
        <f>IF(ISBLANK(H9),"",(AVERAGE($H$4:H9)))</f>
        <v>16.766666666666666</v>
      </c>
      <c r="AV9" s="368">
        <f>IF(ISBLANK(G9),"",(AVERAGE($I$4:I9)))</f>
        <v>7.8999999999999995</v>
      </c>
      <c r="AW9" s="22">
        <f>IF(ISBLANK(M9),"",AVERAGE($M$4:M9))</f>
        <v>75.166666666666671</v>
      </c>
      <c r="AX9" s="376">
        <f>IF(ISBLANK(P9),"",(AVERAGE($R$4:R9)))</f>
        <v>1009.8333333333334</v>
      </c>
      <c r="AY9" s="368">
        <f>IF(ISBLANK(U9),"",(AVERAGE($U$4:U9)))</f>
        <v>6.0666666666666673</v>
      </c>
      <c r="AZ9" s="6"/>
      <c r="BA9" s="25">
        <f t="shared" si="4"/>
        <v>1.1607692307692297</v>
      </c>
      <c r="BB9" s="25">
        <f t="shared" si="5"/>
        <v>-2.4976923076923079</v>
      </c>
      <c r="BC9" s="25">
        <f t="shared" si="8"/>
        <v>-0.66846153846153911</v>
      </c>
      <c r="BD9" s="367">
        <f t="shared" si="7"/>
        <v>-3.6584615384615375</v>
      </c>
      <c r="BE9" s="72"/>
      <c r="BF9" s="25">
        <f>IF(ISBLANK(F9),"",AS9-AVERAGE($F$91:F96))</f>
        <v>0.90467948717948588</v>
      </c>
      <c r="BG9" s="25">
        <f>IF(ISBLANK(G9),"",AT9-AVERAGE($G$91:G96))</f>
        <v>0.10767628205128688</v>
      </c>
      <c r="BH9" s="367">
        <f t="shared" si="6"/>
        <v>-0.797003205128199</v>
      </c>
      <c r="BI9" s="115">
        <f t="shared" si="0"/>
        <v>1.9545454545454541</v>
      </c>
      <c r="BJ9" s="115">
        <f t="shared" si="1"/>
        <v>1.0032789660819728</v>
      </c>
      <c r="BK9" s="402"/>
      <c r="BL9" s="572">
        <v>6</v>
      </c>
    </row>
    <row r="10" spans="1:64" ht="12.75" customHeight="1" x14ac:dyDescent="0.2">
      <c r="A10" s="278">
        <f t="shared" si="2"/>
        <v>7</v>
      </c>
      <c r="B10" s="131">
        <v>11.8</v>
      </c>
      <c r="C10" s="282">
        <v>17</v>
      </c>
      <c r="D10" s="685"/>
      <c r="E10" s="99">
        <f t="shared" si="3"/>
        <v>7</v>
      </c>
      <c r="F10" s="23">
        <v>11.8</v>
      </c>
      <c r="G10" s="23">
        <v>17</v>
      </c>
      <c r="H10" s="553">
        <v>14.2</v>
      </c>
      <c r="I10" s="23">
        <v>5.2</v>
      </c>
      <c r="J10" s="6">
        <v>0</v>
      </c>
      <c r="K10" s="24">
        <v>63</v>
      </c>
      <c r="L10" s="24">
        <v>85</v>
      </c>
      <c r="M10" s="554">
        <v>76</v>
      </c>
      <c r="N10" s="24">
        <v>22</v>
      </c>
      <c r="O10" s="50">
        <v>0</v>
      </c>
      <c r="P10" s="24">
        <v>1007</v>
      </c>
      <c r="Q10" s="24">
        <v>1012</v>
      </c>
      <c r="R10" s="24">
        <v>1009.5</v>
      </c>
      <c r="S10" s="24">
        <v>5</v>
      </c>
      <c r="T10" s="50"/>
      <c r="U10" s="553">
        <v>7.6</v>
      </c>
      <c r="V10" s="553">
        <v>16.100000000000001</v>
      </c>
      <c r="W10" s="553">
        <v>23.7</v>
      </c>
      <c r="X10" s="485" t="s">
        <v>110</v>
      </c>
      <c r="Y10" s="72">
        <v>1</v>
      </c>
      <c r="Z10" s="539">
        <v>0.5</v>
      </c>
      <c r="AA10" s="23">
        <v>0.5</v>
      </c>
      <c r="AB10" s="23">
        <v>0.3</v>
      </c>
      <c r="AC10" s="510">
        <v>1.1876484560570074E-2</v>
      </c>
      <c r="AD10" s="7">
        <v>0.5</v>
      </c>
      <c r="AE10" s="485" t="s">
        <v>8</v>
      </c>
      <c r="AF10" s="72"/>
      <c r="AG10" s="553">
        <v>9</v>
      </c>
      <c r="AH10" s="553">
        <v>11.1</v>
      </c>
      <c r="AI10" s="553">
        <v>9.8000000000000007</v>
      </c>
      <c r="AJ10" s="7">
        <v>2.1</v>
      </c>
      <c r="AK10" s="54"/>
      <c r="AL10" s="485" t="s">
        <v>670</v>
      </c>
      <c r="AM10" s="134"/>
      <c r="AN10" s="391" t="s">
        <v>672</v>
      </c>
      <c r="AO10" s="400"/>
      <c r="AP10" s="485">
        <v>1.5</v>
      </c>
      <c r="AQ10" s="485">
        <v>1</v>
      </c>
      <c r="AR10" s="134"/>
      <c r="AS10" s="26">
        <f>IF(ISBLANK(F10),"",(AVERAGE($F$4:F10)))</f>
        <v>12.77142857142857</v>
      </c>
      <c r="AT10" s="26">
        <f>IF(ISBLANK(G10),"",(AVERAGE($G$4:G10)))</f>
        <v>20.285714285714288</v>
      </c>
      <c r="AU10" s="25">
        <f>IF(ISBLANK(H10),"",(AVERAGE($H$4:H10)))</f>
        <v>16.399999999999999</v>
      </c>
      <c r="AV10" s="368">
        <f>IF(ISBLANK(G10),"",(AVERAGE($I$4:I10)))</f>
        <v>7.5142857142857142</v>
      </c>
      <c r="AW10" s="22">
        <f>IF(ISBLANK(M10),"",AVERAGE($M$4:M10))</f>
        <v>75.285714285714292</v>
      </c>
      <c r="AX10" s="376">
        <f>IF(ISBLANK(P10),"",(AVERAGE($R$4:R10)))</f>
        <v>1009.7857142857143</v>
      </c>
      <c r="AY10" s="368">
        <f>IF(ISBLANK(U10),"",(AVERAGE($U$4:U10)))</f>
        <v>6.2857142857142865</v>
      </c>
      <c r="AZ10" s="6"/>
      <c r="BA10" s="25">
        <f t="shared" si="4"/>
        <v>3.6538461538460965E-2</v>
      </c>
      <c r="BB10" s="25">
        <f t="shared" si="5"/>
        <v>-3.2053846153846131</v>
      </c>
      <c r="BC10" s="25">
        <f t="shared" si="8"/>
        <v>-1.584423076923076</v>
      </c>
      <c r="BD10" s="367">
        <f t="shared" si="7"/>
        <v>-3.241923076923074</v>
      </c>
      <c r="BE10" s="72"/>
      <c r="BF10" s="25">
        <f>IF(ISBLANK(F10),"",AS10-AVERAGE($F$91:F97))</f>
        <v>0.78065934065933895</v>
      </c>
      <c r="BG10" s="25">
        <f>IF(ISBLANK(G10),"",AT10-AVERAGE($G$91:G97))</f>
        <v>-0.36561813186812842</v>
      </c>
      <c r="BH10" s="367">
        <f t="shared" si="6"/>
        <v>-1.1462774725274674</v>
      </c>
      <c r="BI10" s="115">
        <f t="shared" si="0"/>
        <v>1.7077922077922074</v>
      </c>
      <c r="BJ10" s="115">
        <f t="shared" si="1"/>
        <v>0.90597363619022098</v>
      </c>
      <c r="BK10" s="402"/>
      <c r="BL10" s="572">
        <v>7</v>
      </c>
    </row>
    <row r="11" spans="1:64" ht="12.75" customHeight="1" x14ac:dyDescent="0.2">
      <c r="A11" s="278">
        <f t="shared" si="2"/>
        <v>8</v>
      </c>
      <c r="B11" s="131">
        <v>12.6</v>
      </c>
      <c r="C11" s="282">
        <v>19.399999999999999</v>
      </c>
      <c r="D11" s="685"/>
      <c r="E11" s="99">
        <f t="shared" si="3"/>
        <v>8</v>
      </c>
      <c r="F11" s="23">
        <v>12.6</v>
      </c>
      <c r="G11" s="23">
        <v>19.399999999999999</v>
      </c>
      <c r="H11" s="553">
        <v>15.8</v>
      </c>
      <c r="I11" s="23">
        <v>6.8</v>
      </c>
      <c r="J11" s="6">
        <v>0</v>
      </c>
      <c r="K11" s="24">
        <v>70</v>
      </c>
      <c r="L11" s="24">
        <v>89</v>
      </c>
      <c r="M11" s="554">
        <v>80</v>
      </c>
      <c r="N11" s="24">
        <v>19</v>
      </c>
      <c r="O11" s="50">
        <v>0</v>
      </c>
      <c r="P11" s="24">
        <v>1008</v>
      </c>
      <c r="Q11" s="24">
        <v>1011</v>
      </c>
      <c r="R11" s="24">
        <v>1009.5</v>
      </c>
      <c r="S11" s="24">
        <v>3</v>
      </c>
      <c r="T11" s="50"/>
      <c r="U11" s="553">
        <v>5.9</v>
      </c>
      <c r="V11" s="553">
        <v>13</v>
      </c>
      <c r="W11" s="553">
        <v>20.6</v>
      </c>
      <c r="X11" s="485" t="s">
        <v>110</v>
      </c>
      <c r="Y11" s="72">
        <v>1</v>
      </c>
      <c r="Z11" s="539">
        <v>0.3</v>
      </c>
      <c r="AA11" s="23" t="s">
        <v>8</v>
      </c>
      <c r="AB11" s="23" t="s">
        <v>8</v>
      </c>
      <c r="AC11" s="510">
        <v>7.1258907363420448E-3</v>
      </c>
      <c r="AD11" s="7">
        <v>0.6</v>
      </c>
      <c r="AE11" s="485" t="s">
        <v>8</v>
      </c>
      <c r="AF11" s="72"/>
      <c r="AG11" s="553">
        <v>10.3</v>
      </c>
      <c r="AH11" s="553">
        <v>14.8</v>
      </c>
      <c r="AI11" s="553">
        <v>12.3</v>
      </c>
      <c r="AJ11" s="7">
        <v>4.5</v>
      </c>
      <c r="AK11" s="54"/>
      <c r="AL11" s="485" t="s">
        <v>374</v>
      </c>
      <c r="AM11" s="134"/>
      <c r="AN11" s="391" t="s">
        <v>673</v>
      </c>
      <c r="AO11" s="400"/>
      <c r="AP11" s="485">
        <v>2</v>
      </c>
      <c r="AQ11" s="485">
        <v>0.5</v>
      </c>
      <c r="AR11" s="134"/>
      <c r="AS11" s="26">
        <f>IF(ISBLANK(F11),"",(AVERAGE($F$4:F11)))</f>
        <v>12.749999999999998</v>
      </c>
      <c r="AT11" s="26">
        <f>IF(ISBLANK(G11),"",(AVERAGE($G$4:G11)))</f>
        <v>20.175000000000004</v>
      </c>
      <c r="AU11" s="25">
        <f>IF(ISBLANK(H11),"",(AVERAGE($H$4:H11)))</f>
        <v>16.324999999999999</v>
      </c>
      <c r="AV11" s="368">
        <f>IF(ISBLANK(G11),"",(AVERAGE($I$4:I11)))</f>
        <v>7.4249999999999998</v>
      </c>
      <c r="AW11" s="22">
        <f>IF(ISBLANK(M11),"",AVERAGE($M$4:M11))</f>
        <v>75.875</v>
      </c>
      <c r="AX11" s="376">
        <f>IF(ISBLANK(P11),"",(AVERAGE($R$4:R11)))</f>
        <v>1009.75</v>
      </c>
      <c r="AY11" s="368">
        <f>IF(ISBLANK(U11),"",(AVERAGE($U$4:U11)))</f>
        <v>6.2375000000000007</v>
      </c>
      <c r="AZ11" s="6"/>
      <c r="BA11" s="25">
        <f t="shared" si="4"/>
        <v>0.91230769230769049</v>
      </c>
      <c r="BB11" s="25">
        <f t="shared" si="5"/>
        <v>-0.61307692307692108</v>
      </c>
      <c r="BC11" s="25">
        <f t="shared" si="8"/>
        <v>0.14961538461538471</v>
      </c>
      <c r="BD11" s="367">
        <f t="shared" si="7"/>
        <v>-1.5253846153846116</v>
      </c>
      <c r="BE11" s="72"/>
      <c r="BF11" s="25">
        <f>IF(ISBLANK(F11),"",AS11-AVERAGE($F$91:F98))</f>
        <v>0.79711538461538289</v>
      </c>
      <c r="BG11" s="25">
        <f>IF(ISBLANK(G11),"",AT11-AVERAGE($G$91:G98))</f>
        <v>-0.39655048076922483</v>
      </c>
      <c r="BH11" s="367">
        <f t="shared" ref="BH11:BH20" si="9">IF(ISBLANK(G11),"",BG11-BF11)</f>
        <v>-1.1936658653846077</v>
      </c>
      <c r="BI11" s="115">
        <f t="shared" si="0"/>
        <v>1.511363636363636</v>
      </c>
      <c r="BJ11" s="115">
        <f t="shared" si="1"/>
        <v>0.8460208828803486</v>
      </c>
      <c r="BK11" s="420"/>
      <c r="BL11" s="572">
        <v>8</v>
      </c>
    </row>
    <row r="12" spans="1:64" ht="12.75" customHeight="1" x14ac:dyDescent="0.2">
      <c r="A12" s="278">
        <f t="shared" si="2"/>
        <v>9</v>
      </c>
      <c r="B12" s="131">
        <v>15.7</v>
      </c>
      <c r="C12" s="282">
        <v>21.7</v>
      </c>
      <c r="D12" s="685"/>
      <c r="E12" s="99">
        <f t="shared" si="3"/>
        <v>9</v>
      </c>
      <c r="F12" s="23">
        <v>15.7</v>
      </c>
      <c r="G12" s="23">
        <v>21.7</v>
      </c>
      <c r="H12" s="553">
        <v>18.5</v>
      </c>
      <c r="I12" s="23">
        <v>6</v>
      </c>
      <c r="J12" s="6">
        <v>0</v>
      </c>
      <c r="K12" s="24">
        <v>73</v>
      </c>
      <c r="L12" s="24">
        <v>96</v>
      </c>
      <c r="M12" s="554">
        <v>85</v>
      </c>
      <c r="N12" s="24">
        <v>23</v>
      </c>
      <c r="O12" s="50">
        <v>0</v>
      </c>
      <c r="P12" s="24">
        <v>1008</v>
      </c>
      <c r="Q12" s="24">
        <v>1010</v>
      </c>
      <c r="R12" s="24">
        <v>1009</v>
      </c>
      <c r="S12" s="24">
        <v>2</v>
      </c>
      <c r="T12" s="50"/>
      <c r="U12" s="553">
        <v>4.4000000000000004</v>
      </c>
      <c r="V12" s="553">
        <v>11.2</v>
      </c>
      <c r="W12" s="553">
        <v>15.2</v>
      </c>
      <c r="X12" s="485" t="s">
        <v>110</v>
      </c>
      <c r="Y12" s="72">
        <v>2</v>
      </c>
      <c r="Z12" s="539">
        <v>3.8</v>
      </c>
      <c r="AA12" s="23">
        <v>3.6</v>
      </c>
      <c r="AB12" s="23">
        <v>1.9</v>
      </c>
      <c r="AC12" s="510">
        <v>9.0261282660332565E-2</v>
      </c>
      <c r="AD12" s="7">
        <v>3.8</v>
      </c>
      <c r="AE12" s="485">
        <v>20</v>
      </c>
      <c r="AF12" s="72"/>
      <c r="AG12" s="553">
        <v>14.6</v>
      </c>
      <c r="AH12" s="553">
        <v>17.7</v>
      </c>
      <c r="AI12" s="553">
        <v>15.9</v>
      </c>
      <c r="AJ12" s="7">
        <v>3.1</v>
      </c>
      <c r="AK12" s="54"/>
      <c r="AL12" s="485" t="s">
        <v>319</v>
      </c>
      <c r="AM12" s="134"/>
      <c r="AN12" s="555" t="s">
        <v>671</v>
      </c>
      <c r="AO12" s="400"/>
      <c r="AP12" s="485">
        <v>0.5</v>
      </c>
      <c r="AQ12" s="485">
        <v>1</v>
      </c>
      <c r="AR12" s="134"/>
      <c r="AS12" s="26">
        <f>IF(ISBLANK(F12),"",(AVERAGE($F$4:F12)))</f>
        <v>13.077777777777776</v>
      </c>
      <c r="AT12" s="26">
        <f>IF(ISBLANK(G12),"",(AVERAGE($G$4:G12)))</f>
        <v>20.344444444444449</v>
      </c>
      <c r="AU12" s="25">
        <f>IF(ISBLANK(H12),"",(AVERAGE($H$4:H12)))</f>
        <v>16.566666666666666</v>
      </c>
      <c r="AV12" s="368">
        <f>IF(ISBLANK(G12),"",(AVERAGE($I$4:I12)))</f>
        <v>7.2666666666666675</v>
      </c>
      <c r="AW12" s="22">
        <f>IF(ISBLANK(M12),"",AVERAGE($M$4:M12))</f>
        <v>76.888888888888886</v>
      </c>
      <c r="AX12" s="376">
        <f>IF(ISBLANK(P12),"",(AVERAGE($R$4:R12)))</f>
        <v>1009.6666666666666</v>
      </c>
      <c r="AY12" s="368">
        <f>IF(ISBLANK(U12),"",(AVERAGE($U$4:U12)))</f>
        <v>6.0333333333333341</v>
      </c>
      <c r="AZ12" s="6"/>
      <c r="BA12" s="25">
        <f t="shared" si="4"/>
        <v>4.0880769230769207</v>
      </c>
      <c r="BB12" s="25">
        <f t="shared" si="5"/>
        <v>1.879230769230773</v>
      </c>
      <c r="BC12" s="25">
        <f t="shared" si="8"/>
        <v>2.9836538461538469</v>
      </c>
      <c r="BD12" s="367">
        <f t="shared" si="7"/>
        <v>-2.2088461538461477</v>
      </c>
      <c r="BE12" s="72"/>
      <c r="BF12" s="25">
        <f>IF(ISBLANK(F12),"",AS12-AVERAGE($F$91:F99))</f>
        <v>1.1627777777777766</v>
      </c>
      <c r="BG12" s="25">
        <f>IF(ISBLANK(G12),"",AT12-AVERAGE($G$91:G99))</f>
        <v>-0.14368589743589055</v>
      </c>
      <c r="BH12" s="367">
        <f t="shared" si="9"/>
        <v>-1.3064636752136671</v>
      </c>
      <c r="BI12" s="115">
        <f t="shared" si="0"/>
        <v>1.5353535353535352</v>
      </c>
      <c r="BJ12" s="115">
        <f t="shared" si="1"/>
        <v>0.76536545293428027</v>
      </c>
      <c r="BK12" s="402"/>
      <c r="BL12" s="572">
        <v>9</v>
      </c>
    </row>
    <row r="13" spans="1:64" ht="12.75" customHeight="1" x14ac:dyDescent="0.2">
      <c r="A13" s="278">
        <f t="shared" si="2"/>
        <v>10</v>
      </c>
      <c r="B13" s="131">
        <v>17.8</v>
      </c>
      <c r="C13" s="282">
        <v>22.7</v>
      </c>
      <c r="D13" s="685"/>
      <c r="E13" s="99">
        <f t="shared" si="3"/>
        <v>10</v>
      </c>
      <c r="F13" s="23">
        <v>16.2</v>
      </c>
      <c r="G13" s="23">
        <v>22.7</v>
      </c>
      <c r="H13" s="553">
        <v>19.2</v>
      </c>
      <c r="I13" s="23">
        <v>6.5</v>
      </c>
      <c r="J13" s="6">
        <v>0</v>
      </c>
      <c r="K13" s="24">
        <v>67</v>
      </c>
      <c r="L13" s="24">
        <v>92</v>
      </c>
      <c r="M13" s="554">
        <v>82</v>
      </c>
      <c r="N13" s="24">
        <v>25</v>
      </c>
      <c r="O13" s="50">
        <v>1</v>
      </c>
      <c r="P13" s="24">
        <v>1003</v>
      </c>
      <c r="Q13" s="24">
        <v>1009</v>
      </c>
      <c r="R13" s="24">
        <v>1006</v>
      </c>
      <c r="S13" s="24">
        <v>6</v>
      </c>
      <c r="T13" s="50"/>
      <c r="U13" s="553">
        <v>6.4</v>
      </c>
      <c r="V13" s="553">
        <v>16.100000000000001</v>
      </c>
      <c r="W13" s="553">
        <v>24.4</v>
      </c>
      <c r="X13" s="485" t="s">
        <v>111</v>
      </c>
      <c r="Y13" s="72">
        <v>1</v>
      </c>
      <c r="Z13" s="539">
        <v>0.3</v>
      </c>
      <c r="AA13" s="23" t="s">
        <v>8</v>
      </c>
      <c r="AB13" s="23" t="s">
        <v>8</v>
      </c>
      <c r="AC13" s="510">
        <v>7.1258907363420448E-3</v>
      </c>
      <c r="AD13" s="7">
        <v>0.6</v>
      </c>
      <c r="AE13" s="485" t="s">
        <v>8</v>
      </c>
      <c r="AF13" s="72"/>
      <c r="AG13" s="553">
        <v>12.6</v>
      </c>
      <c r="AH13" s="553">
        <v>18.600000000000001</v>
      </c>
      <c r="AI13" s="553">
        <v>15.9</v>
      </c>
      <c r="AJ13" s="7">
        <v>6</v>
      </c>
      <c r="AK13" s="54"/>
      <c r="AL13" s="485" t="s">
        <v>675</v>
      </c>
      <c r="AM13" s="134"/>
      <c r="AN13" s="609" t="s">
        <v>676</v>
      </c>
      <c r="AO13" s="400"/>
      <c r="AP13" s="485">
        <v>2</v>
      </c>
      <c r="AQ13" s="485">
        <v>0.5</v>
      </c>
      <c r="AR13" s="134"/>
      <c r="AS13" s="26">
        <f>IF(ISBLANK(F13),"",(AVERAGE($F$4:F13)))</f>
        <v>13.389999999999997</v>
      </c>
      <c r="AT13" s="26">
        <f>IF(ISBLANK(G13),"",(AVERAGE($G$4:G13)))</f>
        <v>20.580000000000002</v>
      </c>
      <c r="AU13" s="25">
        <f>IF(ISBLANK(H13),"",(AVERAGE($H$4:H13)))</f>
        <v>16.829999999999998</v>
      </c>
      <c r="AV13" s="368">
        <f>IF(ISBLANK(G13),"",(AVERAGE($I$4:I13)))</f>
        <v>7.19</v>
      </c>
      <c r="AW13" s="22">
        <f>IF(ISBLANK(M13),"",AVERAGE($M$4:M13))</f>
        <v>77.400000000000006</v>
      </c>
      <c r="AX13" s="376">
        <f>IF(ISBLANK(P13),"",(AVERAGE($R$4:R13)))</f>
        <v>1009.3</v>
      </c>
      <c r="AY13" s="368">
        <f>IF(ISBLANK(U13),"",(AVERAGE($U$4:U13)))</f>
        <v>6.07</v>
      </c>
      <c r="AZ13" s="6"/>
      <c r="BA13" s="25">
        <f t="shared" si="4"/>
        <v>4.6638461538461513</v>
      </c>
      <c r="BB13" s="25">
        <f t="shared" si="5"/>
        <v>3.0715384615384664</v>
      </c>
      <c r="BC13" s="25">
        <f t="shared" si="8"/>
        <v>3.8676923076923089</v>
      </c>
      <c r="BD13" s="367">
        <f t="shared" si="7"/>
        <v>-1.5923076923076849</v>
      </c>
      <c r="BE13" s="72"/>
      <c r="BF13" s="25">
        <f>IF(ISBLANK(F13),"",AS13-AVERAGE($F$91:F100))</f>
        <v>1.5128846153846123</v>
      </c>
      <c r="BG13" s="25">
        <f>IF(ISBLANK(G13),"",AT13-AVERAGE($G$91:G100))</f>
        <v>0.17783653846154479</v>
      </c>
      <c r="BH13" s="367">
        <f t="shared" si="9"/>
        <v>-1.3350480769230675</v>
      </c>
      <c r="BI13" s="115">
        <f t="shared" si="0"/>
        <v>1.3954545454545455</v>
      </c>
      <c r="BJ13" s="115">
        <f t="shared" si="1"/>
        <v>0.73182709620604514</v>
      </c>
      <c r="BK13" s="402"/>
      <c r="BL13" s="572">
        <v>10</v>
      </c>
    </row>
    <row r="14" spans="1:64" ht="12.75" customHeight="1" x14ac:dyDescent="0.2">
      <c r="A14" s="278">
        <f t="shared" si="2"/>
        <v>11</v>
      </c>
      <c r="B14" s="131">
        <v>15.1</v>
      </c>
      <c r="C14" s="282">
        <v>20.2</v>
      </c>
      <c r="D14" s="685"/>
      <c r="E14" s="99">
        <f t="shared" si="3"/>
        <v>11</v>
      </c>
      <c r="F14" s="23">
        <v>15.1</v>
      </c>
      <c r="G14" s="23">
        <v>20.2</v>
      </c>
      <c r="H14" s="553">
        <v>16.899999999999999</v>
      </c>
      <c r="I14" s="23">
        <v>5.0999999999999996</v>
      </c>
      <c r="J14" s="6">
        <v>0</v>
      </c>
      <c r="K14" s="24">
        <v>51</v>
      </c>
      <c r="L14" s="24">
        <v>91</v>
      </c>
      <c r="M14" s="554">
        <v>75</v>
      </c>
      <c r="N14" s="24">
        <v>40</v>
      </c>
      <c r="O14" s="50">
        <v>0</v>
      </c>
      <c r="P14" s="24">
        <v>1003</v>
      </c>
      <c r="Q14" s="24">
        <v>1007</v>
      </c>
      <c r="R14" s="24">
        <v>1005</v>
      </c>
      <c r="S14" s="24">
        <v>4</v>
      </c>
      <c r="T14" s="50"/>
      <c r="U14" s="553">
        <v>7.8</v>
      </c>
      <c r="V14" s="553">
        <v>21.5</v>
      </c>
      <c r="W14" s="553">
        <v>31.7</v>
      </c>
      <c r="X14" s="485" t="s">
        <v>110</v>
      </c>
      <c r="Y14" s="72">
        <v>2</v>
      </c>
      <c r="Z14" s="539">
        <v>3.6</v>
      </c>
      <c r="AA14" s="23">
        <v>2.5</v>
      </c>
      <c r="AB14" s="23">
        <v>1.1000000000000001</v>
      </c>
      <c r="AC14" s="510">
        <v>8.5510688836104548E-2</v>
      </c>
      <c r="AD14" s="7">
        <v>1.8</v>
      </c>
      <c r="AE14" s="485">
        <v>10</v>
      </c>
      <c r="AF14" s="72"/>
      <c r="AG14" s="553">
        <v>9.1999999999999993</v>
      </c>
      <c r="AH14" s="553">
        <v>14.4</v>
      </c>
      <c r="AI14" s="553">
        <v>12.3</v>
      </c>
      <c r="AJ14" s="7">
        <v>5.2</v>
      </c>
      <c r="AK14" s="54"/>
      <c r="AL14" s="485" t="s">
        <v>677</v>
      </c>
      <c r="AM14" s="134"/>
      <c r="AN14" s="555" t="s">
        <v>678</v>
      </c>
      <c r="AO14" s="400"/>
      <c r="AP14" s="485">
        <v>6</v>
      </c>
      <c r="AQ14" s="485">
        <v>2</v>
      </c>
      <c r="AR14" s="134"/>
      <c r="AS14" s="26">
        <f>IF(ISBLANK(F14),"",(AVERAGE($F$4:F14)))</f>
        <v>13.545454545454543</v>
      </c>
      <c r="AT14" s="26">
        <f>IF(ISBLANK(G14),"",(AVERAGE($G$4:G14)))</f>
        <v>20.545454545454547</v>
      </c>
      <c r="AU14" s="25">
        <f>IF(ISBLANK(H14),"",(AVERAGE($H$4:H14)))</f>
        <v>16.836363636363636</v>
      </c>
      <c r="AV14" s="368">
        <f>IF(ISBLANK(G14),"",(AVERAGE($I$4:I14)))</f>
        <v>7</v>
      </c>
      <c r="AW14" s="22">
        <f>IF(ISBLANK(M14),"",AVERAGE($M$4:M14))</f>
        <v>77.181818181818187</v>
      </c>
      <c r="AX14" s="376">
        <f>IF(ISBLANK(P14),"",(AVERAGE($R$4:R14)))</f>
        <v>1008.9090909090909</v>
      </c>
      <c r="AY14" s="368">
        <f>IF(ISBLANK(U14),"",(AVERAGE($U$4:U14)))</f>
        <v>6.2272727272727275</v>
      </c>
      <c r="AZ14" s="6"/>
      <c r="BA14" s="25">
        <f t="shared" si="4"/>
        <v>3.6396153846153823</v>
      </c>
      <c r="BB14" s="25">
        <f t="shared" si="5"/>
        <v>0.76384615384615984</v>
      </c>
      <c r="BC14" s="25">
        <f t="shared" si="8"/>
        <v>2.201730769230771</v>
      </c>
      <c r="BD14" s="367">
        <f t="shared" si="7"/>
        <v>-2.8757692307692224</v>
      </c>
      <c r="BE14" s="72"/>
      <c r="BF14" s="25">
        <f>IF(ISBLANK(F14),"",AS14-AVERAGE($F$91:F101))</f>
        <v>1.7062237762237746</v>
      </c>
      <c r="BG14" s="25">
        <f>IF(ISBLANK(G14),"",AT14-AVERAGE($G$91:G101))</f>
        <v>0.23111013986014584</v>
      </c>
      <c r="BH14" s="367">
        <f t="shared" si="9"/>
        <v>-1.4751136363636288</v>
      </c>
      <c r="BI14" s="115">
        <f t="shared" si="0"/>
        <v>1.4173553719008261</v>
      </c>
      <c r="BJ14" s="115">
        <f t="shared" si="1"/>
        <v>0.77974610037860181</v>
      </c>
      <c r="BK14" s="402"/>
      <c r="BL14" s="572">
        <v>11</v>
      </c>
    </row>
    <row r="15" spans="1:64" ht="12.75" customHeight="1" x14ac:dyDescent="0.2">
      <c r="A15" s="278">
        <f t="shared" si="2"/>
        <v>12</v>
      </c>
      <c r="B15" s="131">
        <v>15.3</v>
      </c>
      <c r="C15" s="282">
        <v>20.6</v>
      </c>
      <c r="D15" s="685"/>
      <c r="E15" s="99">
        <f t="shared" si="3"/>
        <v>12</v>
      </c>
      <c r="F15" s="23">
        <v>14.6</v>
      </c>
      <c r="G15" s="23">
        <v>20.6</v>
      </c>
      <c r="H15" s="553">
        <v>17.899999999999999</v>
      </c>
      <c r="I15" s="23">
        <v>6</v>
      </c>
      <c r="J15" s="6">
        <v>0</v>
      </c>
      <c r="K15" s="24">
        <v>48</v>
      </c>
      <c r="L15" s="24">
        <v>92</v>
      </c>
      <c r="M15" s="554">
        <v>71</v>
      </c>
      <c r="N15" s="24">
        <v>44</v>
      </c>
      <c r="O15" s="50">
        <v>1</v>
      </c>
      <c r="P15" s="24">
        <v>1000</v>
      </c>
      <c r="Q15" s="24">
        <v>1010</v>
      </c>
      <c r="R15" s="24">
        <v>1005</v>
      </c>
      <c r="S15" s="24">
        <v>10</v>
      </c>
      <c r="T15" s="50"/>
      <c r="U15" s="553">
        <v>10.8</v>
      </c>
      <c r="V15" s="553">
        <v>22.1</v>
      </c>
      <c r="W15" s="553">
        <v>37.4</v>
      </c>
      <c r="X15" s="485" t="s">
        <v>110</v>
      </c>
      <c r="Y15" s="72">
        <v>1</v>
      </c>
      <c r="Z15" s="539">
        <v>0.3</v>
      </c>
      <c r="AA15" s="23">
        <v>0.3</v>
      </c>
      <c r="AB15" s="23" t="s">
        <v>8</v>
      </c>
      <c r="AC15" s="510">
        <v>7.1258907363420448E-3</v>
      </c>
      <c r="AD15" s="7">
        <v>0.6</v>
      </c>
      <c r="AE15" s="485" t="s">
        <v>8</v>
      </c>
      <c r="AF15" s="72"/>
      <c r="AG15" s="553">
        <v>7.7</v>
      </c>
      <c r="AH15" s="553">
        <v>17.2</v>
      </c>
      <c r="AI15" s="553">
        <v>12.1</v>
      </c>
      <c r="AJ15" s="7">
        <v>9.5</v>
      </c>
      <c r="AK15" s="54"/>
      <c r="AL15" s="485" t="s">
        <v>679</v>
      </c>
      <c r="AM15" s="134"/>
      <c r="AN15" s="609" t="s">
        <v>680</v>
      </c>
      <c r="AO15" s="400"/>
      <c r="AP15" s="485">
        <v>6</v>
      </c>
      <c r="AQ15" s="485">
        <v>0.5</v>
      </c>
      <c r="AR15" s="134"/>
      <c r="AS15" s="26">
        <f>IF(ISBLANK(F15),"",(AVERAGE($F$4:F15)))</f>
        <v>13.633333333333331</v>
      </c>
      <c r="AT15" s="26">
        <f>IF(ISBLANK(G15),"",(AVERAGE($G$4:G15)))</f>
        <v>20.55</v>
      </c>
      <c r="AU15" s="25">
        <f>IF(ISBLANK(H15),"",(AVERAGE($H$4:H15)))</f>
        <v>16.925000000000001</v>
      </c>
      <c r="AV15" s="368">
        <f>IF(ISBLANK(G15),"",(AVERAGE($I$4:I15)))</f>
        <v>6.916666666666667</v>
      </c>
      <c r="AW15" s="22">
        <f>IF(ISBLANK(M15),"",AVERAGE($M$4:M15))</f>
        <v>76.666666666666671</v>
      </c>
      <c r="AX15" s="376">
        <f>IF(ISBLANK(P15),"",(AVERAGE($R$4:R15)))</f>
        <v>1008.5833333333334</v>
      </c>
      <c r="AY15" s="368">
        <f>IF(ISBLANK(U15),"",(AVERAGE($U$4:U15)))</f>
        <v>6.6083333333333334</v>
      </c>
      <c r="AZ15" s="6"/>
      <c r="BA15" s="25">
        <f t="shared" si="4"/>
        <v>3.2153846153846128</v>
      </c>
      <c r="BB15" s="25">
        <f t="shared" si="5"/>
        <v>1.3561538461538554</v>
      </c>
      <c r="BC15" s="25">
        <f t="shared" si="8"/>
        <v>2.2857692307692341</v>
      </c>
      <c r="BD15" s="367">
        <f t="shared" si="7"/>
        <v>-1.8592307692307575</v>
      </c>
      <c r="BE15" s="72"/>
      <c r="BF15" s="25">
        <f>IF(ISBLANK(F15),"",AS15-AVERAGE($F$91:F102))</f>
        <v>1.8319871794871769</v>
      </c>
      <c r="BG15" s="25">
        <f>IF(ISBLANK(G15),"",AT15-AVERAGE($G$91:G102))</f>
        <v>0.3248637820512883</v>
      </c>
      <c r="BH15" s="367">
        <f t="shared" si="9"/>
        <v>-1.5071233974358886</v>
      </c>
      <c r="BI15" s="115">
        <f t="shared" si="0"/>
        <v>1.3106060606060603</v>
      </c>
      <c r="BJ15" s="115">
        <f t="shared" si="1"/>
        <v>0.82022286176581383</v>
      </c>
      <c r="BK15" s="402"/>
      <c r="BL15" s="572">
        <v>12</v>
      </c>
    </row>
    <row r="16" spans="1:64" ht="12.75" customHeight="1" x14ac:dyDescent="0.2">
      <c r="A16" s="278">
        <f t="shared" si="2"/>
        <v>13</v>
      </c>
      <c r="B16" s="131">
        <v>12.7</v>
      </c>
      <c r="C16" s="282">
        <v>18.5</v>
      </c>
      <c r="D16" s="685"/>
      <c r="E16" s="99">
        <f t="shared" si="3"/>
        <v>13</v>
      </c>
      <c r="F16" s="23">
        <v>12.4</v>
      </c>
      <c r="G16" s="23">
        <v>18.5</v>
      </c>
      <c r="H16" s="553">
        <v>15</v>
      </c>
      <c r="I16" s="23">
        <v>6.1</v>
      </c>
      <c r="J16" s="6">
        <v>0</v>
      </c>
      <c r="K16" s="24">
        <v>46</v>
      </c>
      <c r="L16" s="24">
        <v>78</v>
      </c>
      <c r="M16" s="554">
        <v>65</v>
      </c>
      <c r="N16" s="24">
        <v>32</v>
      </c>
      <c r="O16" s="50">
        <v>1</v>
      </c>
      <c r="P16" s="24">
        <v>1010</v>
      </c>
      <c r="Q16" s="24">
        <v>1015</v>
      </c>
      <c r="R16" s="24">
        <v>1012.5</v>
      </c>
      <c r="S16" s="24">
        <v>5</v>
      </c>
      <c r="T16" s="50"/>
      <c r="U16" s="553">
        <v>7.5</v>
      </c>
      <c r="V16" s="553">
        <v>20.8</v>
      </c>
      <c r="W16" s="553">
        <v>27.7</v>
      </c>
      <c r="X16" s="485" t="s">
        <v>110</v>
      </c>
      <c r="Y16" s="72">
        <v>0</v>
      </c>
      <c r="Z16" s="539">
        <v>0.3</v>
      </c>
      <c r="AA16" s="23" t="s">
        <v>8</v>
      </c>
      <c r="AB16" s="23" t="s">
        <v>8</v>
      </c>
      <c r="AC16" s="510">
        <v>7.1258907363420448E-3</v>
      </c>
      <c r="AD16" s="7">
        <v>1</v>
      </c>
      <c r="AE16" s="485" t="s">
        <v>8</v>
      </c>
      <c r="AF16" s="72"/>
      <c r="AG16" s="553">
        <v>4.8</v>
      </c>
      <c r="AH16" s="553">
        <v>11.2</v>
      </c>
      <c r="AI16" s="553">
        <v>8.1999999999999993</v>
      </c>
      <c r="AJ16" s="7">
        <v>6.4</v>
      </c>
      <c r="AK16" s="54"/>
      <c r="AL16" s="485" t="s">
        <v>681</v>
      </c>
      <c r="AM16" s="134"/>
      <c r="AN16" s="609" t="s">
        <v>682</v>
      </c>
      <c r="AO16" s="400"/>
      <c r="AP16" s="485">
        <v>7</v>
      </c>
      <c r="AQ16" s="485">
        <v>0.3</v>
      </c>
      <c r="AR16" s="134"/>
      <c r="AS16" s="26">
        <f>IF(ISBLANK(F16),"",(AVERAGE($F$4:F16)))</f>
        <v>13.538461538461537</v>
      </c>
      <c r="AT16" s="26">
        <f>IF(ISBLANK(G16),"",(AVERAGE($G$4:G16)))</f>
        <v>20.392307692307693</v>
      </c>
      <c r="AU16" s="25">
        <f>IF(ISBLANK(H16),"",(AVERAGE($H$4:H16)))</f>
        <v>16.776923076923076</v>
      </c>
      <c r="AV16" s="368">
        <f>IF(ISBLANK(G16),"",(AVERAGE($I$4:I16)))</f>
        <v>6.8538461538461535</v>
      </c>
      <c r="AW16" s="22">
        <f>IF(ISBLANK(M16),"",AVERAGE($M$4:M16))</f>
        <v>75.769230769230774</v>
      </c>
      <c r="AX16" s="376">
        <f>IF(ISBLANK(P16),"",(AVERAGE($R$4:R16)))</f>
        <v>1008.8846153846154</v>
      </c>
      <c r="AY16" s="368">
        <f>IF(ISBLANK(U16),"",(AVERAGE($U$4:U16)))</f>
        <v>6.6769230769230763</v>
      </c>
      <c r="AZ16" s="6"/>
      <c r="BA16" s="25">
        <f t="shared" si="4"/>
        <v>1.0911538461538441</v>
      </c>
      <c r="BB16" s="25">
        <f t="shared" si="5"/>
        <v>-0.55153846153845265</v>
      </c>
      <c r="BC16" s="25">
        <f t="shared" si="8"/>
        <v>0.26980769230769575</v>
      </c>
      <c r="BD16" s="367">
        <f t="shared" si="7"/>
        <v>-1.6426923076922968</v>
      </c>
      <c r="BE16" s="72"/>
      <c r="BF16" s="25">
        <f>IF(ISBLANK(F16),"",AS16-AVERAGE($F$91:F103))</f>
        <v>1.7749999999999968</v>
      </c>
      <c r="BG16" s="25">
        <f>IF(ISBLANK(G16),"",AT16-AVERAGE($G$91:G103))</f>
        <v>0.25744822485207663</v>
      </c>
      <c r="BH16" s="367">
        <f t="shared" si="9"/>
        <v>-1.5175517751479202</v>
      </c>
      <c r="BI16" s="115">
        <f t="shared" si="0"/>
        <v>1.22027972027972</v>
      </c>
      <c r="BJ16" s="115">
        <f t="shared" si="1"/>
        <v>0.87096027876493898</v>
      </c>
      <c r="BK16" s="402"/>
      <c r="BL16" s="572">
        <v>13</v>
      </c>
    </row>
    <row r="17" spans="1:64" ht="12.75" customHeight="1" x14ac:dyDescent="0.2">
      <c r="A17" s="278">
        <f t="shared" si="2"/>
        <v>14</v>
      </c>
      <c r="B17" s="131">
        <v>10.199999999999999</v>
      </c>
      <c r="C17" s="282">
        <v>18.7</v>
      </c>
      <c r="D17" s="685"/>
      <c r="E17" s="99">
        <f t="shared" si="3"/>
        <v>14</v>
      </c>
      <c r="F17" s="23">
        <v>10.199999999999999</v>
      </c>
      <c r="G17" s="23">
        <v>18.7</v>
      </c>
      <c r="H17" s="553">
        <v>14.2</v>
      </c>
      <c r="I17" s="23">
        <v>8.5</v>
      </c>
      <c r="J17" s="6">
        <v>0</v>
      </c>
      <c r="K17" s="24">
        <v>43</v>
      </c>
      <c r="L17" s="24">
        <v>84</v>
      </c>
      <c r="M17" s="554">
        <v>64</v>
      </c>
      <c r="N17" s="24">
        <v>41</v>
      </c>
      <c r="O17" s="50">
        <v>0</v>
      </c>
      <c r="P17" s="24">
        <v>1016</v>
      </c>
      <c r="Q17" s="24">
        <v>1020</v>
      </c>
      <c r="R17" s="24">
        <v>1018</v>
      </c>
      <c r="S17" s="24">
        <v>4</v>
      </c>
      <c r="T17" s="50"/>
      <c r="U17" s="553">
        <v>5</v>
      </c>
      <c r="V17" s="553">
        <v>11.4</v>
      </c>
      <c r="W17" s="553">
        <v>17.3</v>
      </c>
      <c r="X17" s="485" t="s">
        <v>114</v>
      </c>
      <c r="Y17" s="72">
        <v>0</v>
      </c>
      <c r="Z17" s="539">
        <v>0</v>
      </c>
      <c r="AA17" s="23" t="s">
        <v>619</v>
      </c>
      <c r="AB17" s="23"/>
      <c r="AC17" s="510" t="s">
        <v>619</v>
      </c>
      <c r="AD17" s="7" t="s">
        <v>619</v>
      </c>
      <c r="AE17" s="485" t="s">
        <v>619</v>
      </c>
      <c r="AF17" s="72"/>
      <c r="AG17" s="553">
        <v>5.6</v>
      </c>
      <c r="AH17" s="553">
        <v>9.8000000000000007</v>
      </c>
      <c r="AI17" s="553">
        <v>7.3</v>
      </c>
      <c r="AJ17" s="7">
        <v>4.2</v>
      </c>
      <c r="AK17" s="54"/>
      <c r="AL17" s="485" t="s">
        <v>683</v>
      </c>
      <c r="AM17" s="134"/>
      <c r="AN17" s="555" t="s">
        <v>8</v>
      </c>
      <c r="AO17" s="400"/>
      <c r="AP17" s="485">
        <v>9</v>
      </c>
      <c r="AQ17" s="485">
        <v>0</v>
      </c>
      <c r="AR17" s="134"/>
      <c r="AS17" s="26">
        <f>IF(ISBLANK(F17),"",(AVERAGE($F$4:F17)))</f>
        <v>13.299999999999997</v>
      </c>
      <c r="AT17" s="26">
        <f>IF(ISBLANK(G17),"",(AVERAGE($G$4:G17)))</f>
        <v>20.271428571428572</v>
      </c>
      <c r="AU17" s="25">
        <f>IF(ISBLANK(H17),"",(AVERAGE($H$4:H17)))</f>
        <v>16.592857142857142</v>
      </c>
      <c r="AV17" s="368">
        <f>IF(ISBLANK(G17),"",(AVERAGE($I$4:I17)))</f>
        <v>6.9714285714285706</v>
      </c>
      <c r="AW17" s="22">
        <f>IF(ISBLANK(M17),"",AVERAGE($M$4:M17))</f>
        <v>74.928571428571431</v>
      </c>
      <c r="AX17" s="376">
        <f>IF(ISBLANK(P17),"",(AVERAGE($R$4:R17)))</f>
        <v>1009.5357142857143</v>
      </c>
      <c r="AY17" s="368">
        <f>IF(ISBLANK(U17),"",(AVERAGE($U$4:U17)))</f>
        <v>6.5571428571428569</v>
      </c>
      <c r="AZ17" s="6"/>
      <c r="BA17" s="25">
        <f t="shared" si="4"/>
        <v>-1.0330769230769263</v>
      </c>
      <c r="BB17" s="25">
        <f t="shared" si="5"/>
        <v>-0.15923076923075996</v>
      </c>
      <c r="BC17" s="25">
        <f t="shared" si="8"/>
        <v>-0.59615384615384315</v>
      </c>
      <c r="BD17" s="367">
        <f t="shared" si="7"/>
        <v>0.87384615384616637</v>
      </c>
      <c r="BE17" s="72"/>
      <c r="BF17" s="25">
        <f>IF(ISBLANK(F17),"",AS17-AVERAGE($F$91:F104))</f>
        <v>1.5744230769230718</v>
      </c>
      <c r="BG17" s="25">
        <f>IF(ISBLANK(G17),"",AT17-AVERAGE($G$91:G104))</f>
        <v>0.22768543956044596</v>
      </c>
      <c r="BH17" s="367">
        <f t="shared" si="9"/>
        <v>-1.3467376373626259</v>
      </c>
      <c r="BI17" s="115">
        <f t="shared" si="0"/>
        <v>1.1331168831168827</v>
      </c>
      <c r="BJ17" s="115">
        <f t="shared" si="1"/>
        <v>0.94475786175609067</v>
      </c>
      <c r="BK17" s="402"/>
      <c r="BL17" s="572">
        <v>14</v>
      </c>
    </row>
    <row r="18" spans="1:64" ht="12.75" customHeight="1" x14ac:dyDescent="0.2">
      <c r="A18" s="278">
        <f t="shared" si="2"/>
        <v>15</v>
      </c>
      <c r="B18" s="131">
        <v>7.2</v>
      </c>
      <c r="C18" s="282">
        <v>20</v>
      </c>
      <c r="D18" s="685"/>
      <c r="E18" s="99">
        <f t="shared" si="3"/>
        <v>15</v>
      </c>
      <c r="F18" s="23">
        <v>7.2</v>
      </c>
      <c r="G18" s="23">
        <v>20</v>
      </c>
      <c r="H18" s="553">
        <v>14.2</v>
      </c>
      <c r="I18" s="23">
        <v>12.8</v>
      </c>
      <c r="J18" s="6">
        <v>0</v>
      </c>
      <c r="K18" s="24">
        <v>46</v>
      </c>
      <c r="L18" s="24">
        <v>93</v>
      </c>
      <c r="M18" s="554">
        <v>69</v>
      </c>
      <c r="N18" s="24">
        <v>47</v>
      </c>
      <c r="O18" s="50">
        <v>0</v>
      </c>
      <c r="P18" s="24">
        <v>1019</v>
      </c>
      <c r="Q18" s="24">
        <v>1021</v>
      </c>
      <c r="R18" s="24">
        <v>1020</v>
      </c>
      <c r="S18" s="24">
        <v>2</v>
      </c>
      <c r="T18" s="50"/>
      <c r="U18" s="553">
        <v>2.1</v>
      </c>
      <c r="V18" s="553">
        <v>8.1</v>
      </c>
      <c r="W18" s="553">
        <v>10.9</v>
      </c>
      <c r="X18" s="485" t="s">
        <v>106</v>
      </c>
      <c r="Y18" s="72">
        <v>0</v>
      </c>
      <c r="Z18" s="539">
        <v>0</v>
      </c>
      <c r="AA18" s="23" t="s">
        <v>619</v>
      </c>
      <c r="AB18" s="23"/>
      <c r="AC18" s="510" t="s">
        <v>619</v>
      </c>
      <c r="AD18" s="7" t="s">
        <v>619</v>
      </c>
      <c r="AE18" s="485" t="s">
        <v>619</v>
      </c>
      <c r="AF18" s="72"/>
      <c r="AG18" s="553">
        <v>5</v>
      </c>
      <c r="AH18" s="553">
        <v>11.3</v>
      </c>
      <c r="AI18" s="553">
        <v>8.1999999999999993</v>
      </c>
      <c r="AJ18" s="7">
        <v>6.3</v>
      </c>
      <c r="AK18" s="54"/>
      <c r="AL18" s="485" t="s">
        <v>684</v>
      </c>
      <c r="AM18" s="134"/>
      <c r="AN18" s="555" t="s">
        <v>8</v>
      </c>
      <c r="AO18" s="400"/>
      <c r="AP18" s="485">
        <v>8</v>
      </c>
      <c r="AQ18" s="485">
        <v>0</v>
      </c>
      <c r="AR18" s="134"/>
      <c r="AS18" s="26">
        <f>IF(ISBLANK(F18),"",(AVERAGE($F$4:F18)))</f>
        <v>12.893333333333329</v>
      </c>
      <c r="AT18" s="26">
        <f>IF(ISBLANK(G18),"",(AVERAGE($G$4:G18)))</f>
        <v>20.253333333333334</v>
      </c>
      <c r="AU18" s="25">
        <f>IF(ISBLANK(H18),"",(AVERAGE($H$4:H18)))</f>
        <v>16.43333333333333</v>
      </c>
      <c r="AV18" s="368">
        <f>IF(ISBLANK(G18),"",(AVERAGE($I$4:I18)))</f>
        <v>7.3599999999999994</v>
      </c>
      <c r="AW18" s="22">
        <f>IF(ISBLANK(M18),"",AVERAGE($M$4:M18))</f>
        <v>74.533333333333331</v>
      </c>
      <c r="AX18" s="376">
        <f>IF(ISBLANK(P18),"",(AVERAGE($R$4:R18)))</f>
        <v>1010.2333333333333</v>
      </c>
      <c r="AY18" s="368">
        <f>IF(ISBLANK(U18),"",(AVERAGE($U$4:U18)))</f>
        <v>6.26</v>
      </c>
      <c r="AZ18" s="6"/>
      <c r="BA18" s="25">
        <f t="shared" si="4"/>
        <v>-3.9573076923076949</v>
      </c>
      <c r="BB18" s="25">
        <f t="shared" si="5"/>
        <v>1.3330769230769342</v>
      </c>
      <c r="BC18" s="25">
        <f t="shared" si="8"/>
        <v>-1.3121153846153804</v>
      </c>
      <c r="BD18" s="367">
        <f t="shared" si="7"/>
        <v>5.290384615384629</v>
      </c>
      <c r="BE18" s="72"/>
      <c r="BF18" s="25">
        <f>IF(ISBLANK(F18),"",AS18-AVERAGE($F$91:F105))</f>
        <v>1.2056410256410199</v>
      </c>
      <c r="BG18" s="25">
        <f>IF(ISBLANK(G18),"",AT18-AVERAGE($G$91:G105))</f>
        <v>0.30137820512821278</v>
      </c>
      <c r="BH18" s="367">
        <f t="shared" si="9"/>
        <v>-0.90426282051280715</v>
      </c>
      <c r="BI18" s="115">
        <f t="shared" si="0"/>
        <v>1.0575757575757574</v>
      </c>
      <c r="BJ18" s="115">
        <f t="shared" si="1"/>
        <v>0.9954583994572771</v>
      </c>
      <c r="BK18" s="402"/>
      <c r="BL18" s="572">
        <v>15</v>
      </c>
    </row>
    <row r="19" spans="1:64" ht="12.75" customHeight="1" x14ac:dyDescent="0.2">
      <c r="A19" s="278">
        <f t="shared" si="2"/>
        <v>16</v>
      </c>
      <c r="B19" s="131">
        <v>12.5</v>
      </c>
      <c r="C19" s="282">
        <v>21.8</v>
      </c>
      <c r="D19" s="685"/>
      <c r="E19" s="99">
        <f t="shared" si="3"/>
        <v>16</v>
      </c>
      <c r="F19" s="23">
        <v>12.5</v>
      </c>
      <c r="G19" s="23">
        <v>21.8</v>
      </c>
      <c r="H19" s="553">
        <v>16.8</v>
      </c>
      <c r="I19" s="23">
        <v>9.3000000000000007</v>
      </c>
      <c r="J19" s="6">
        <v>0</v>
      </c>
      <c r="K19" s="24">
        <v>48</v>
      </c>
      <c r="L19" s="24">
        <v>90</v>
      </c>
      <c r="M19" s="554">
        <v>70</v>
      </c>
      <c r="N19" s="24">
        <v>42</v>
      </c>
      <c r="O19" s="50">
        <v>0</v>
      </c>
      <c r="P19" s="24">
        <v>1009</v>
      </c>
      <c r="Q19" s="24">
        <v>1019</v>
      </c>
      <c r="R19" s="24">
        <v>1014</v>
      </c>
      <c r="S19" s="24">
        <v>10</v>
      </c>
      <c r="T19" s="50"/>
      <c r="U19" s="553">
        <v>4.7</v>
      </c>
      <c r="V19" s="553">
        <v>13</v>
      </c>
      <c r="W19" s="553">
        <v>17.5</v>
      </c>
      <c r="X19" s="485" t="s">
        <v>111</v>
      </c>
      <c r="Y19" s="72">
        <v>0</v>
      </c>
      <c r="Z19" s="539">
        <v>0</v>
      </c>
      <c r="AA19" s="23" t="s">
        <v>619</v>
      </c>
      <c r="AB19" s="23"/>
      <c r="AC19" s="510" t="s">
        <v>619</v>
      </c>
      <c r="AD19" s="7" t="s">
        <v>619</v>
      </c>
      <c r="AE19" s="485" t="s">
        <v>619</v>
      </c>
      <c r="AF19" s="72"/>
      <c r="AG19" s="553">
        <v>9.6</v>
      </c>
      <c r="AH19" s="553">
        <v>13</v>
      </c>
      <c r="AI19" s="553">
        <v>11</v>
      </c>
      <c r="AJ19" s="7">
        <v>3.4</v>
      </c>
      <c r="AK19" s="54"/>
      <c r="AL19" s="485" t="s">
        <v>685</v>
      </c>
      <c r="AM19" s="134"/>
      <c r="AN19" s="555" t="s">
        <v>8</v>
      </c>
      <c r="AO19" s="400"/>
      <c r="AP19" s="485">
        <v>6</v>
      </c>
      <c r="AQ19" s="485">
        <v>0</v>
      </c>
      <c r="AR19" s="134"/>
      <c r="AS19" s="26">
        <f>IF(ISBLANK(F19),"",(AVERAGE($F$4:F19)))</f>
        <v>12.868749999999997</v>
      </c>
      <c r="AT19" s="26">
        <f>IF(ISBLANK(G19),"",(AVERAGE($G$4:G19)))</f>
        <v>20.350000000000001</v>
      </c>
      <c r="AU19" s="25">
        <f>IF(ISBLANK(H19),"",(AVERAGE($H$4:H19)))</f>
        <v>16.456249999999997</v>
      </c>
      <c r="AV19" s="368">
        <f>IF(ISBLANK(G19),"",(AVERAGE($I$4:I19)))</f>
        <v>7.4812499999999993</v>
      </c>
      <c r="AW19" s="22">
        <f>IF(ISBLANK(M19),"",AVERAGE($M$4:M19))</f>
        <v>74.25</v>
      </c>
      <c r="AX19" s="376">
        <f>IF(ISBLANK(P19),"",(AVERAGE($R$4:R19)))</f>
        <v>1010.46875</v>
      </c>
      <c r="AY19" s="368">
        <f>IF(ISBLANK(U19),"",(AVERAGE($U$4:U19)))</f>
        <v>6.1624999999999996</v>
      </c>
      <c r="AZ19" s="6"/>
      <c r="BA19" s="25">
        <f t="shared" si="4"/>
        <v>1.4184615384615356</v>
      </c>
      <c r="BB19" s="25">
        <f t="shared" si="5"/>
        <v>3.3253846153846283</v>
      </c>
      <c r="BC19" s="25">
        <f t="shared" si="8"/>
        <v>2.3719230769230819</v>
      </c>
      <c r="BD19" s="367">
        <f t="shared" si="7"/>
        <v>1.9069230769230927</v>
      </c>
      <c r="BE19" s="72"/>
      <c r="BF19" s="25">
        <f>IF(ISBLANK(F19),"",AS19-AVERAGE($F$91:F106))</f>
        <v>1.2189423076923038</v>
      </c>
      <c r="BG19" s="25">
        <f>IF(ISBLANK(G19),"",AT19-AVERAGE($G$91:G106))</f>
        <v>0.4903786057692372</v>
      </c>
      <c r="BH19" s="367">
        <f t="shared" si="9"/>
        <v>-0.72856370192306663</v>
      </c>
      <c r="BI19" s="115">
        <f t="shared" si="0"/>
        <v>0.99147727272727237</v>
      </c>
      <c r="BJ19" s="115">
        <f t="shared" si="1"/>
        <v>1.0142088378428442</v>
      </c>
      <c r="BK19" s="402"/>
      <c r="BL19" s="572">
        <v>16</v>
      </c>
    </row>
    <row r="20" spans="1:64" ht="12.75" customHeight="1" x14ac:dyDescent="0.2">
      <c r="A20" s="278">
        <f t="shared" si="2"/>
        <v>17</v>
      </c>
      <c r="B20" s="131">
        <v>13.9</v>
      </c>
      <c r="C20" s="282">
        <v>18.399999999999999</v>
      </c>
      <c r="D20" s="685"/>
      <c r="E20" s="99">
        <f t="shared" si="3"/>
        <v>17</v>
      </c>
      <c r="F20" s="23">
        <v>10.1</v>
      </c>
      <c r="G20" s="23">
        <v>18.399999999999999</v>
      </c>
      <c r="H20" s="553">
        <v>14.6</v>
      </c>
      <c r="I20" s="23">
        <v>8.3000000000000007</v>
      </c>
      <c r="J20" s="6">
        <v>0</v>
      </c>
      <c r="K20" s="24">
        <v>48</v>
      </c>
      <c r="L20" s="24">
        <v>86</v>
      </c>
      <c r="M20" s="554">
        <v>74</v>
      </c>
      <c r="N20" s="24">
        <v>38</v>
      </c>
      <c r="O20" s="50">
        <v>1</v>
      </c>
      <c r="P20" s="24">
        <v>1004</v>
      </c>
      <c r="Q20" s="24">
        <v>1009</v>
      </c>
      <c r="R20" s="24">
        <v>1006.5</v>
      </c>
      <c r="S20" s="24">
        <v>5</v>
      </c>
      <c r="T20" s="50"/>
      <c r="U20" s="553">
        <v>6.2</v>
      </c>
      <c r="V20" s="553">
        <v>15.4</v>
      </c>
      <c r="W20" s="553">
        <v>19.899999999999999</v>
      </c>
      <c r="X20" s="485" t="s">
        <v>110</v>
      </c>
      <c r="Y20" s="72">
        <v>2</v>
      </c>
      <c r="Z20" s="539">
        <v>1.4</v>
      </c>
      <c r="AA20" s="23">
        <v>0.8</v>
      </c>
      <c r="AB20" s="23">
        <v>0.3</v>
      </c>
      <c r="AC20" s="510">
        <v>3.3254156769596206E-2</v>
      </c>
      <c r="AD20" s="7">
        <v>0.7</v>
      </c>
      <c r="AE20" s="485">
        <v>1.5</v>
      </c>
      <c r="AF20" s="72"/>
      <c r="AG20" s="553">
        <v>6.8</v>
      </c>
      <c r="AH20" s="553">
        <v>12.3</v>
      </c>
      <c r="AI20" s="553">
        <v>9.8000000000000007</v>
      </c>
      <c r="AJ20" s="7">
        <v>5.5</v>
      </c>
      <c r="AK20" s="54"/>
      <c r="AL20" s="485" t="s">
        <v>686</v>
      </c>
      <c r="AM20" s="134"/>
      <c r="AN20" s="555" t="s">
        <v>687</v>
      </c>
      <c r="AO20" s="400"/>
      <c r="AP20" s="485">
        <v>4</v>
      </c>
      <c r="AQ20" s="485">
        <v>2</v>
      </c>
      <c r="AR20" s="134"/>
      <c r="AS20" s="26">
        <f>IF(ISBLANK(F20),"",(AVERAGE($F$4:F20)))</f>
        <v>12.705882352941174</v>
      </c>
      <c r="AT20" s="26">
        <f>IF(ISBLANK(G20),"",(AVERAGE($G$4:G20)))</f>
        <v>20.235294117647058</v>
      </c>
      <c r="AU20" s="25">
        <f>IF(ISBLANK(H20),"",(AVERAGE($H$4:H20)))</f>
        <v>16.347058823529409</v>
      </c>
      <c r="AV20" s="368">
        <f>IF(ISBLANK(G20),"",(AVERAGE($I$4:I20)))</f>
        <v>7.5294117647058814</v>
      </c>
      <c r="AW20" s="22">
        <f>IF(ISBLANK(M20),"",AVERAGE($M$4:M20))</f>
        <v>74.235294117647058</v>
      </c>
      <c r="AX20" s="376">
        <f>IF(ISBLANK(P20),"",(AVERAGE($R$4:R20)))</f>
        <v>1010.2352941176471</v>
      </c>
      <c r="AY20" s="368">
        <f>IF(ISBLANK(U20),"",(AVERAGE($U$4:U20)))</f>
        <v>6.1647058823529406</v>
      </c>
      <c r="AZ20" s="6"/>
      <c r="BA20" s="25">
        <f t="shared" si="4"/>
        <v>-0.90576923076923421</v>
      </c>
      <c r="BB20" s="25">
        <f t="shared" si="5"/>
        <v>0.11769230769231953</v>
      </c>
      <c r="BC20" s="25">
        <f t="shared" si="8"/>
        <v>-0.39403846153845734</v>
      </c>
      <c r="BD20" s="367">
        <f t="shared" si="7"/>
        <v>1.0234615384615537</v>
      </c>
      <c r="BE20" s="72"/>
      <c r="BF20" s="25">
        <f>IF(ISBLANK(F20),"",AS20-AVERAGE($F$91:F107))</f>
        <v>1.0939592760180972</v>
      </c>
      <c r="BG20" s="25">
        <f>IF(ISBLANK(G20),"",AT20-AVERAGE($G$91:G107))</f>
        <v>0.46845588235294855</v>
      </c>
      <c r="BH20" s="367">
        <f t="shared" si="9"/>
        <v>-0.62550339366514862</v>
      </c>
      <c r="BI20" s="115">
        <f t="shared" si="0"/>
        <v>0.9705882352941172</v>
      </c>
      <c r="BJ20" s="115">
        <f t="shared" si="1"/>
        <v>1.0064575818300727</v>
      </c>
      <c r="BK20" s="402"/>
      <c r="BL20" s="572">
        <v>17</v>
      </c>
    </row>
    <row r="21" spans="1:64" ht="12.75" customHeight="1" x14ac:dyDescent="0.2">
      <c r="A21" s="278">
        <f t="shared" si="2"/>
        <v>18</v>
      </c>
      <c r="B21" s="131">
        <v>8</v>
      </c>
      <c r="C21" s="282">
        <v>16.3</v>
      </c>
      <c r="D21" s="685"/>
      <c r="E21" s="99">
        <f t="shared" si="3"/>
        <v>18</v>
      </c>
      <c r="F21" s="23">
        <v>8</v>
      </c>
      <c r="G21" s="23">
        <v>16.3</v>
      </c>
      <c r="H21" s="553">
        <v>11.8</v>
      </c>
      <c r="I21" s="23">
        <v>8.3000000000000007</v>
      </c>
      <c r="J21" s="6">
        <v>0</v>
      </c>
      <c r="K21" s="24">
        <v>62</v>
      </c>
      <c r="L21" s="24">
        <v>94</v>
      </c>
      <c r="M21" s="554">
        <v>82</v>
      </c>
      <c r="N21" s="24">
        <v>32</v>
      </c>
      <c r="O21" s="50">
        <v>0</v>
      </c>
      <c r="P21" s="24">
        <v>1003</v>
      </c>
      <c r="Q21" s="24">
        <v>1008</v>
      </c>
      <c r="R21" s="24">
        <v>1005.5</v>
      </c>
      <c r="S21" s="24">
        <v>5</v>
      </c>
      <c r="T21" s="50"/>
      <c r="U21" s="553">
        <v>3.5</v>
      </c>
      <c r="V21" s="553">
        <v>7.8</v>
      </c>
      <c r="W21" s="553">
        <v>10</v>
      </c>
      <c r="X21" s="485" t="s">
        <v>114</v>
      </c>
      <c r="Y21" s="72">
        <v>0</v>
      </c>
      <c r="Z21" s="539">
        <v>0.1</v>
      </c>
      <c r="AA21" s="23"/>
      <c r="AB21" s="23"/>
      <c r="AC21" s="510">
        <v>2.3752969121140152E-3</v>
      </c>
      <c r="AD21" s="7" t="s">
        <v>619</v>
      </c>
      <c r="AE21" s="485" t="s">
        <v>619</v>
      </c>
      <c r="AF21" s="72"/>
      <c r="AG21" s="553">
        <v>6.8</v>
      </c>
      <c r="AH21" s="553">
        <v>10.9</v>
      </c>
      <c r="AI21" s="553">
        <v>8.6999999999999993</v>
      </c>
      <c r="AJ21" s="7">
        <v>4.0999999999999996</v>
      </c>
      <c r="AK21" s="54"/>
      <c r="AL21" s="485" t="s">
        <v>688</v>
      </c>
      <c r="AM21" s="134"/>
      <c r="AN21" s="566" t="s">
        <v>689</v>
      </c>
      <c r="AO21" s="400"/>
      <c r="AP21" s="485">
        <v>4</v>
      </c>
      <c r="AQ21" s="485">
        <v>0.4</v>
      </c>
      <c r="AR21" s="134"/>
      <c r="AS21" s="26">
        <f>IF(ISBLANK(F21),"",(AVERAGE($F$4:F21)))</f>
        <v>12.444444444444441</v>
      </c>
      <c r="AT21" s="26">
        <f>IF(ISBLANK(G21),"",(AVERAGE($G$4:G21)))</f>
        <v>20.016666666666666</v>
      </c>
      <c r="AU21" s="25">
        <f>IF(ISBLANK(H21),"",(AVERAGE($H$4:H21)))</f>
        <v>16.094444444444445</v>
      </c>
      <c r="AV21" s="368">
        <f>IF(ISBLANK(G21),"",(AVERAGE($I$4:I21)))</f>
        <v>7.5722222222222211</v>
      </c>
      <c r="AW21" s="22">
        <f>IF(ISBLANK(M21),"",AVERAGE($M$4:M21))</f>
        <v>74.666666666666671</v>
      </c>
      <c r="AX21" s="376">
        <f>IF(ISBLANK(P21),"",(AVERAGE($R$4:R21)))</f>
        <v>1009.9722222222222</v>
      </c>
      <c r="AY21" s="368">
        <f>IF(ISBLANK(U21),"",(AVERAGE($U$4:U21)))</f>
        <v>6.0166666666666666</v>
      </c>
      <c r="AZ21" s="6"/>
      <c r="BA21" s="25">
        <f t="shared" si="4"/>
        <v>-2.9299999999999997</v>
      </c>
      <c r="BB21" s="25">
        <f t="shared" si="5"/>
        <v>-1.7899999999999991</v>
      </c>
      <c r="BC21" s="25">
        <f t="shared" si="8"/>
        <v>-2.3599999999999994</v>
      </c>
      <c r="BD21" s="367">
        <f t="shared" si="7"/>
        <v>1.1400000000000006</v>
      </c>
      <c r="BE21" s="72"/>
      <c r="BF21" s="25">
        <f>IF(ISBLANK(F21),"",AS21-AVERAGE($F$91:F108))</f>
        <v>0.8704059829059787</v>
      </c>
      <c r="BG21" s="25">
        <f>IF(ISBLANK(G21),"",AT21-AVERAGE($G$91:G108))</f>
        <v>0.34298611111111654</v>
      </c>
      <c r="BH21" s="367">
        <f t="shared" ref="BH21:BH29" si="10">IF(ISBLANK(G21),"",BG21-BF21)</f>
        <v>-0.52741987179486216</v>
      </c>
      <c r="BI21" s="115">
        <f t="shared" si="0"/>
        <v>0.91919191919191889</v>
      </c>
      <c r="BJ21" s="115">
        <f t="shared" si="1"/>
        <v>0.99982788412888335</v>
      </c>
      <c r="BK21" s="402"/>
      <c r="BL21" s="572">
        <v>18</v>
      </c>
    </row>
    <row r="22" spans="1:64" ht="12.75" customHeight="1" x14ac:dyDescent="0.2">
      <c r="A22" s="278">
        <f t="shared" si="2"/>
        <v>19</v>
      </c>
      <c r="B22" s="131">
        <v>9.6</v>
      </c>
      <c r="C22" s="282">
        <v>18.5</v>
      </c>
      <c r="D22" s="685"/>
      <c r="E22" s="99">
        <f t="shared" si="3"/>
        <v>19</v>
      </c>
      <c r="F22" s="23">
        <v>9.6</v>
      </c>
      <c r="G22" s="23">
        <v>18.5</v>
      </c>
      <c r="H22" s="553">
        <v>14.2</v>
      </c>
      <c r="I22" s="23">
        <v>8.9</v>
      </c>
      <c r="J22" s="6">
        <v>0</v>
      </c>
      <c r="K22" s="24">
        <v>55</v>
      </c>
      <c r="L22" s="24">
        <v>90</v>
      </c>
      <c r="M22" s="554">
        <v>76</v>
      </c>
      <c r="N22" s="24">
        <v>35</v>
      </c>
      <c r="O22" s="50">
        <v>0</v>
      </c>
      <c r="P22" s="24">
        <v>1008</v>
      </c>
      <c r="Q22" s="24">
        <v>1017</v>
      </c>
      <c r="R22" s="24">
        <v>1012.5</v>
      </c>
      <c r="S22" s="24">
        <v>9</v>
      </c>
      <c r="T22" s="50"/>
      <c r="U22" s="553">
        <v>5.3</v>
      </c>
      <c r="V22" s="553">
        <v>12.1</v>
      </c>
      <c r="W22" s="553">
        <v>17.600000000000001</v>
      </c>
      <c r="X22" s="485" t="s">
        <v>110</v>
      </c>
      <c r="Y22" s="72">
        <v>0</v>
      </c>
      <c r="Z22" s="539">
        <v>0</v>
      </c>
      <c r="AA22" s="23" t="s">
        <v>619</v>
      </c>
      <c r="AB22" s="23"/>
      <c r="AC22" s="510" t="s">
        <v>619</v>
      </c>
      <c r="AD22" s="7" t="s">
        <v>619</v>
      </c>
      <c r="AE22" s="485" t="s">
        <v>619</v>
      </c>
      <c r="AF22" s="72"/>
      <c r="AG22" s="553">
        <v>7.8</v>
      </c>
      <c r="AH22" s="553">
        <v>12.4</v>
      </c>
      <c r="AI22" s="553">
        <v>9.9</v>
      </c>
      <c r="AJ22" s="7">
        <v>4.5999999999999996</v>
      </c>
      <c r="AK22" s="54"/>
      <c r="AL22" s="485" t="s">
        <v>690</v>
      </c>
      <c r="AM22" s="134"/>
      <c r="AN22" s="23" t="s">
        <v>8</v>
      </c>
      <c r="AO22" s="400"/>
      <c r="AP22" s="485">
        <v>6</v>
      </c>
      <c r="AQ22" s="485">
        <v>0</v>
      </c>
      <c r="AR22" s="134"/>
      <c r="AS22" s="26">
        <f>IF(ISBLANK(F22),"",(AVERAGE($F$4:F22)))</f>
        <v>12.294736842105261</v>
      </c>
      <c r="AT22" s="26">
        <f>IF(ISBLANK(G22),"",(AVERAGE($G$4:G22)))</f>
        <v>19.936842105263157</v>
      </c>
      <c r="AU22" s="25">
        <f>IF(ISBLANK(H22),"",(AVERAGE($H$4:H22)))</f>
        <v>15.994736842105262</v>
      </c>
      <c r="AV22" s="368">
        <f>IF(ISBLANK(G22),"",(AVERAGE($I$4:I22)))</f>
        <v>7.6421052631578945</v>
      </c>
      <c r="AW22" s="22">
        <f>IF(ISBLANK(M22),"",AVERAGE($M$4:M22))</f>
        <v>74.736842105263165</v>
      </c>
      <c r="AX22" s="376">
        <f>IF(ISBLANK(P22),"",(AVERAGE($R$4:R22)))</f>
        <v>1010.1052631578947</v>
      </c>
      <c r="AY22" s="368">
        <f>IF(ISBLANK(U22),"",(AVERAGE($U$4:U22)))</f>
        <v>5.9789473684210526</v>
      </c>
      <c r="AZ22" s="6"/>
      <c r="BA22" s="25">
        <f t="shared" si="4"/>
        <v>-1.2590000000000003</v>
      </c>
      <c r="BB22" s="25">
        <f t="shared" si="5"/>
        <v>0.5296666666666674</v>
      </c>
      <c r="BC22" s="25">
        <f t="shared" si="8"/>
        <v>-0.36466666666666647</v>
      </c>
      <c r="BD22" s="367">
        <f t="shared" si="7"/>
        <v>1.7886666666666677</v>
      </c>
      <c r="BE22" s="72"/>
      <c r="BF22" s="25">
        <f>IF(ISBLANK(F22),"",AS22-AVERAGE($F$91:F109))</f>
        <v>0.75833198380566458</v>
      </c>
      <c r="BG22" s="25">
        <f>IF(ISBLANK(G22),"",AT22-AVERAGE($G$91:G109))</f>
        <v>0.35281140350878104</v>
      </c>
      <c r="BH22" s="367">
        <f t="shared" si="10"/>
        <v>-0.40552058029688354</v>
      </c>
      <c r="BI22" s="115">
        <f t="shared" si="0"/>
        <v>0.87081339712918626</v>
      </c>
      <c r="BJ22" s="115">
        <f t="shared" si="1"/>
        <v>1.0163602069799123</v>
      </c>
      <c r="BK22" s="402"/>
      <c r="BL22" s="572">
        <v>19</v>
      </c>
    </row>
    <row r="23" spans="1:64" ht="12.75" customHeight="1" x14ac:dyDescent="0.2">
      <c r="A23" s="278">
        <f t="shared" si="2"/>
        <v>20</v>
      </c>
      <c r="B23" s="131">
        <v>15</v>
      </c>
      <c r="C23" s="282">
        <v>18.600000000000001</v>
      </c>
      <c r="D23" s="685"/>
      <c r="E23" s="99">
        <f t="shared" si="3"/>
        <v>20</v>
      </c>
      <c r="F23" s="23">
        <v>14.8</v>
      </c>
      <c r="G23" s="23">
        <v>18.600000000000001</v>
      </c>
      <c r="H23" s="553">
        <v>16.600000000000001</v>
      </c>
      <c r="I23" s="23">
        <v>3.8</v>
      </c>
      <c r="J23" s="6">
        <v>0</v>
      </c>
      <c r="K23" s="24">
        <v>74</v>
      </c>
      <c r="L23" s="24">
        <v>90</v>
      </c>
      <c r="M23" s="554">
        <v>79</v>
      </c>
      <c r="N23" s="24">
        <v>16</v>
      </c>
      <c r="O23" s="50">
        <v>1</v>
      </c>
      <c r="P23" s="24">
        <v>1016</v>
      </c>
      <c r="Q23" s="24">
        <v>1018</v>
      </c>
      <c r="R23" s="24">
        <v>1017</v>
      </c>
      <c r="S23" s="24">
        <v>2</v>
      </c>
      <c r="T23" s="50"/>
      <c r="U23" s="553">
        <v>7.4</v>
      </c>
      <c r="V23" s="553">
        <v>14.5</v>
      </c>
      <c r="W23" s="553">
        <v>22.1</v>
      </c>
      <c r="X23" s="555" t="s">
        <v>110</v>
      </c>
      <c r="Y23" s="72">
        <v>2</v>
      </c>
      <c r="Z23" s="539">
        <v>1.6</v>
      </c>
      <c r="AA23" s="23">
        <v>1.4</v>
      </c>
      <c r="AB23" s="23">
        <v>0.5</v>
      </c>
      <c r="AC23" s="510">
        <v>3.8004750593824244E-2</v>
      </c>
      <c r="AD23" s="7">
        <v>0.8</v>
      </c>
      <c r="AE23" s="485">
        <v>3.3</v>
      </c>
      <c r="AF23" s="72"/>
      <c r="AG23" s="553">
        <v>11.4</v>
      </c>
      <c r="AH23" s="553">
        <v>14.1</v>
      </c>
      <c r="AI23" s="553">
        <v>12.9</v>
      </c>
      <c r="AJ23" s="7">
        <v>2.7</v>
      </c>
      <c r="AK23" s="54"/>
      <c r="AL23" s="485" t="s">
        <v>566</v>
      </c>
      <c r="AM23" s="134"/>
      <c r="AN23" s="23" t="s">
        <v>691</v>
      </c>
      <c r="AO23" s="400"/>
      <c r="AP23" s="485">
        <v>0.5</v>
      </c>
      <c r="AQ23" s="485">
        <v>2</v>
      </c>
      <c r="AR23" s="134"/>
      <c r="AS23" s="26">
        <f>IF(ISBLANK(F23),"",(AVERAGE($F$4:F23)))</f>
        <v>12.419999999999998</v>
      </c>
      <c r="AT23" s="26">
        <f>IF(ISBLANK(G23),"",(AVERAGE($G$4:G23)))</f>
        <v>19.87</v>
      </c>
      <c r="AU23" s="25">
        <f>IF(ISBLANK(H23),"",(AVERAGE($H$4:H23)))</f>
        <v>16.024999999999999</v>
      </c>
      <c r="AV23" s="368">
        <f>IF(ISBLANK(G23),"",(AVERAGE($I$4:I23)))</f>
        <v>7.45</v>
      </c>
      <c r="AW23" s="22">
        <f>IF(ISBLANK(M23),"",AVERAGE($M$4:M23))</f>
        <v>74.95</v>
      </c>
      <c r="AX23" s="376">
        <f>IF(ISBLANK(P23),"",(AVERAGE($R$4:R23)))</f>
        <v>1010.45</v>
      </c>
      <c r="AY23" s="368">
        <f>IF(ISBLANK(U23),"",(AVERAGE($U$4:U23)))</f>
        <v>6.05</v>
      </c>
      <c r="AZ23" s="6"/>
      <c r="BA23" s="25">
        <f t="shared" si="4"/>
        <v>4.0120000000000005</v>
      </c>
      <c r="BB23" s="25">
        <f t="shared" si="5"/>
        <v>0.74933333333333607</v>
      </c>
      <c r="BC23" s="25">
        <f t="shared" si="8"/>
        <v>2.3806666666666683</v>
      </c>
      <c r="BD23" s="367">
        <f t="shared" si="7"/>
        <v>-3.2626666666666644</v>
      </c>
      <c r="BE23" s="72"/>
      <c r="BF23" s="25">
        <f>IF(ISBLANK(F23),"",AS23-AVERAGE($F$91:F110))</f>
        <v>0.92101538461538013</v>
      </c>
      <c r="BG23" s="25">
        <f>IF(ISBLANK(G23),"",AT23-AVERAGE($G$91:G110))</f>
        <v>0.37263750000001039</v>
      </c>
      <c r="BH23" s="367">
        <f t="shared" si="10"/>
        <v>-0.54837788461536974</v>
      </c>
      <c r="BI23" s="115">
        <f t="shared" si="0"/>
        <v>0.86363636363636342</v>
      </c>
      <c r="BJ23" s="115">
        <f t="shared" si="1"/>
        <v>0.97339731639220461</v>
      </c>
      <c r="BK23" s="88"/>
      <c r="BL23" s="572">
        <v>20</v>
      </c>
    </row>
    <row r="24" spans="1:64" ht="12.75" customHeight="1" x14ac:dyDescent="0.2">
      <c r="A24" s="278">
        <f t="shared" si="2"/>
        <v>21</v>
      </c>
      <c r="B24" s="131">
        <v>13.4</v>
      </c>
      <c r="C24" s="282">
        <v>17.3</v>
      </c>
      <c r="D24" s="685"/>
      <c r="E24" s="99">
        <f t="shared" si="3"/>
        <v>21</v>
      </c>
      <c r="F24" s="23">
        <v>13.4</v>
      </c>
      <c r="G24" s="23">
        <v>17.3</v>
      </c>
      <c r="H24" s="553">
        <v>14.9</v>
      </c>
      <c r="I24" s="23">
        <v>3.9</v>
      </c>
      <c r="J24" s="6">
        <v>0</v>
      </c>
      <c r="K24" s="24">
        <v>52</v>
      </c>
      <c r="L24" s="24">
        <v>95</v>
      </c>
      <c r="M24" s="554">
        <v>79</v>
      </c>
      <c r="N24" s="24">
        <v>43</v>
      </c>
      <c r="O24" s="50">
        <v>0</v>
      </c>
      <c r="P24" s="24">
        <v>1016</v>
      </c>
      <c r="Q24" s="24">
        <v>1018</v>
      </c>
      <c r="R24" s="24">
        <v>1017</v>
      </c>
      <c r="S24" s="24">
        <v>2</v>
      </c>
      <c r="T24" s="50"/>
      <c r="U24" s="553">
        <v>4.2</v>
      </c>
      <c r="V24" s="553">
        <v>15.2</v>
      </c>
      <c r="W24" s="553">
        <v>22.5</v>
      </c>
      <c r="X24" s="555" t="s">
        <v>110</v>
      </c>
      <c r="Y24" s="72">
        <v>1</v>
      </c>
      <c r="Z24" s="539">
        <v>0.8</v>
      </c>
      <c r="AA24" s="23">
        <v>0.5</v>
      </c>
      <c r="AB24" s="23">
        <v>0.3</v>
      </c>
      <c r="AC24" s="510">
        <v>1.9002375296912122E-2</v>
      </c>
      <c r="AD24" s="7">
        <v>0.26666666666666666</v>
      </c>
      <c r="AE24" s="485">
        <v>0.6</v>
      </c>
      <c r="AF24" s="72"/>
      <c r="AG24" s="553">
        <v>6.5</v>
      </c>
      <c r="AH24" s="553">
        <v>14</v>
      </c>
      <c r="AI24" s="553">
        <v>11</v>
      </c>
      <c r="AJ24" s="7">
        <v>7.5</v>
      </c>
      <c r="AK24" s="54"/>
      <c r="AL24" s="485" t="s">
        <v>692</v>
      </c>
      <c r="AM24" s="134"/>
      <c r="AN24" s="391" t="s">
        <v>693</v>
      </c>
      <c r="AO24" s="400"/>
      <c r="AP24" s="485">
        <v>3.5</v>
      </c>
      <c r="AQ24" s="485">
        <v>3</v>
      </c>
      <c r="AR24" s="134"/>
      <c r="AS24" s="26">
        <f>IF(ISBLANK(F24),"",(AVERAGE($F$4:F24)))</f>
        <v>12.466666666666665</v>
      </c>
      <c r="AT24" s="26">
        <f>IF(ISBLANK(G24),"",(AVERAGE($G$4:G24)))</f>
        <v>19.74761904761905</v>
      </c>
      <c r="AU24" s="25">
        <f>IF(ISBLANK(H24),"",(AVERAGE($H$4:H24)))</f>
        <v>15.97142857142857</v>
      </c>
      <c r="AV24" s="368">
        <f>IF(ISBLANK(G24),"",(AVERAGE($I$4:I24)))</f>
        <v>7.2809523809523808</v>
      </c>
      <c r="AW24" s="22">
        <f>IF(ISBLANK(M24),"",AVERAGE($M$4:M24))</f>
        <v>75.142857142857139</v>
      </c>
      <c r="AX24" s="376">
        <f>IF(ISBLANK(P24),"",(AVERAGE($R$4:R24)))</f>
        <v>1010.7619047619048</v>
      </c>
      <c r="AY24" s="368">
        <f>IF(ISBLANK(U24),"",(AVERAGE($U$4:U24)))</f>
        <v>5.961904761904762</v>
      </c>
      <c r="AZ24" s="6"/>
      <c r="BA24" s="25">
        <f t="shared" si="4"/>
        <v>2.6829999999999998</v>
      </c>
      <c r="BB24" s="25">
        <f t="shared" si="5"/>
        <v>-0.43099999999999739</v>
      </c>
      <c r="BC24" s="25">
        <f t="shared" si="8"/>
        <v>1.1260000000000012</v>
      </c>
      <c r="BD24" s="367">
        <f t="shared" si="7"/>
        <v>-3.1139999999999972</v>
      </c>
      <c r="BE24" s="72"/>
      <c r="BF24" s="25">
        <f>IF(ISBLANK(F24),"",AS24-AVERAGE($F$91:F111))</f>
        <v>1.00491941391941</v>
      </c>
      <c r="BG24" s="25">
        <f>IF(ISBLANK(G24),"",AT24-AVERAGE($G$91:G111))</f>
        <v>0.3343690476190595</v>
      </c>
      <c r="BH24" s="367">
        <f t="shared" si="10"/>
        <v>-0.67055036630035048</v>
      </c>
      <c r="BI24" s="115">
        <f t="shared" si="0"/>
        <v>0.83982683982683959</v>
      </c>
      <c r="BJ24" s="115">
        <f t="shared" si="1"/>
        <v>0.96487736956051107</v>
      </c>
      <c r="BK24" s="88"/>
      <c r="BL24" s="572">
        <v>21</v>
      </c>
    </row>
    <row r="25" spans="1:64" ht="12.75" customHeight="1" x14ac:dyDescent="0.2">
      <c r="A25" s="278">
        <f t="shared" si="2"/>
        <v>22</v>
      </c>
      <c r="B25" s="131">
        <v>12.5</v>
      </c>
      <c r="C25" s="282">
        <v>18.600000000000001</v>
      </c>
      <c r="D25" s="685"/>
      <c r="E25" s="99">
        <f t="shared" si="3"/>
        <v>22</v>
      </c>
      <c r="F25" s="23">
        <v>12.5</v>
      </c>
      <c r="G25" s="23">
        <v>18.600000000000001</v>
      </c>
      <c r="H25" s="553">
        <v>15.3</v>
      </c>
      <c r="I25" s="23">
        <v>6.1</v>
      </c>
      <c r="J25" s="6">
        <v>0</v>
      </c>
      <c r="K25" s="24">
        <v>47</v>
      </c>
      <c r="L25" s="24">
        <v>86</v>
      </c>
      <c r="M25" s="554">
        <v>69</v>
      </c>
      <c r="N25" s="24">
        <v>39</v>
      </c>
      <c r="O25" s="50">
        <v>0</v>
      </c>
      <c r="P25" s="24">
        <v>1018</v>
      </c>
      <c r="Q25" s="24">
        <v>1021</v>
      </c>
      <c r="R25" s="24">
        <v>1019.5</v>
      </c>
      <c r="S25" s="24">
        <v>3</v>
      </c>
      <c r="T25" s="50"/>
      <c r="U25" s="553">
        <v>4.7</v>
      </c>
      <c r="V25" s="553">
        <v>11.8</v>
      </c>
      <c r="W25" s="553">
        <v>17</v>
      </c>
      <c r="X25" s="555" t="s">
        <v>114</v>
      </c>
      <c r="Y25" s="72">
        <v>0</v>
      </c>
      <c r="Z25" s="539">
        <v>0</v>
      </c>
      <c r="AA25" s="23" t="s">
        <v>619</v>
      </c>
      <c r="AB25" s="23"/>
      <c r="AC25" s="510" t="s">
        <v>619</v>
      </c>
      <c r="AD25" s="7" t="s">
        <v>619</v>
      </c>
      <c r="AE25" s="485" t="s">
        <v>619</v>
      </c>
      <c r="AF25" s="72"/>
      <c r="AG25" s="553">
        <v>6.8</v>
      </c>
      <c r="AH25" s="553">
        <v>12.2</v>
      </c>
      <c r="AI25" s="553">
        <v>9.4</v>
      </c>
      <c r="AJ25" s="7">
        <v>5.4</v>
      </c>
      <c r="AK25" s="54"/>
      <c r="AL25" s="485" t="s">
        <v>694</v>
      </c>
      <c r="AM25" s="134"/>
      <c r="AN25" s="23" t="s">
        <v>8</v>
      </c>
      <c r="AO25" s="400"/>
      <c r="AP25" s="485">
        <v>4.5</v>
      </c>
      <c r="AQ25" s="485">
        <v>0</v>
      </c>
      <c r="AR25" s="134"/>
      <c r="AS25" s="26">
        <f>IF(ISBLANK(F25),"",(AVERAGE($F$4:F25)))</f>
        <v>12.468181818181817</v>
      </c>
      <c r="AT25" s="26">
        <f>IF(ISBLANK(G25),"",(AVERAGE($G$4:G25)))</f>
        <v>19.695454545454549</v>
      </c>
      <c r="AU25" s="25">
        <f>IF(ISBLANK(H25),"",(AVERAGE($H$4:H25)))</f>
        <v>15.94090909090909</v>
      </c>
      <c r="AV25" s="368">
        <f>IF(ISBLANK(G25),"",(AVERAGE($I$4:I25)))</f>
        <v>7.2272727272727275</v>
      </c>
      <c r="AW25" s="22">
        <f>IF(ISBLANK(M25),"",AVERAGE($M$4:M25))</f>
        <v>74.86363636363636</v>
      </c>
      <c r="AX25" s="376">
        <f>IF(ISBLANK(P25),"",(AVERAGE($R$4:R25)))</f>
        <v>1011.1590909090909</v>
      </c>
      <c r="AY25" s="368">
        <f>IF(ISBLANK(U25),"",(AVERAGE($U$4:U25)))</f>
        <v>5.9045454545454552</v>
      </c>
      <c r="AZ25" s="6"/>
      <c r="BA25" s="25">
        <f t="shared" si="4"/>
        <v>1.8539999999999992</v>
      </c>
      <c r="BB25" s="25">
        <f t="shared" si="5"/>
        <v>0.98866666666667058</v>
      </c>
      <c r="BC25" s="25">
        <f t="shared" si="8"/>
        <v>1.4213333333333349</v>
      </c>
      <c r="BD25" s="367">
        <f t="shared" si="7"/>
        <v>-0.86533333333332862</v>
      </c>
      <c r="BE25" s="72"/>
      <c r="BF25" s="25">
        <f>IF(ISBLANK(F25),"",AS25-AVERAGE($F$91:F112))</f>
        <v>1.0435139860139824</v>
      </c>
      <c r="BG25" s="25">
        <f>IF(ISBLANK(G25),"",AT25-AVERAGE($G$91:G112))</f>
        <v>0.36410984848485839</v>
      </c>
      <c r="BH25" s="367">
        <f t="shared" si="10"/>
        <v>-0.67940413752912399</v>
      </c>
      <c r="BI25" s="115">
        <f t="shared" si="0"/>
        <v>0.80165289256198313</v>
      </c>
      <c r="BJ25" s="115">
        <f t="shared" si="1"/>
        <v>0.96699587352494332</v>
      </c>
      <c r="BK25" s="88"/>
      <c r="BL25" s="572">
        <v>22</v>
      </c>
    </row>
    <row r="26" spans="1:64" ht="12.75" customHeight="1" x14ac:dyDescent="0.2">
      <c r="A26" s="278">
        <f t="shared" si="2"/>
        <v>23</v>
      </c>
      <c r="B26" s="131">
        <v>9.9</v>
      </c>
      <c r="C26" s="282">
        <v>18.3</v>
      </c>
      <c r="D26" s="685"/>
      <c r="E26" s="99">
        <f t="shared" si="3"/>
        <v>23</v>
      </c>
      <c r="F26" s="23">
        <v>9.9</v>
      </c>
      <c r="G26" s="23">
        <v>18.3</v>
      </c>
      <c r="H26" s="553">
        <v>14.1</v>
      </c>
      <c r="I26" s="23">
        <v>8.4</v>
      </c>
      <c r="J26" s="6">
        <v>0</v>
      </c>
      <c r="K26" s="24">
        <v>55</v>
      </c>
      <c r="L26" s="24">
        <v>90</v>
      </c>
      <c r="M26" s="554">
        <v>73</v>
      </c>
      <c r="N26" s="24">
        <v>35</v>
      </c>
      <c r="O26" s="50">
        <v>0</v>
      </c>
      <c r="P26" s="24">
        <v>1016</v>
      </c>
      <c r="Q26" s="24">
        <v>1020</v>
      </c>
      <c r="R26" s="24">
        <v>1018</v>
      </c>
      <c r="S26" s="24">
        <v>4</v>
      </c>
      <c r="T26" s="50"/>
      <c r="U26" s="553">
        <v>4.5</v>
      </c>
      <c r="V26" s="553">
        <v>11.4</v>
      </c>
      <c r="W26" s="553">
        <v>13</v>
      </c>
      <c r="X26" s="555" t="s">
        <v>110</v>
      </c>
      <c r="Y26" s="72">
        <v>0</v>
      </c>
      <c r="Z26" s="539">
        <v>0</v>
      </c>
      <c r="AA26" s="23" t="s">
        <v>619</v>
      </c>
      <c r="AB26" s="23"/>
      <c r="AC26" s="510" t="s">
        <v>619</v>
      </c>
      <c r="AD26" s="7" t="s">
        <v>619</v>
      </c>
      <c r="AE26" s="485" t="s">
        <v>619</v>
      </c>
      <c r="AF26" s="72"/>
      <c r="AG26" s="553">
        <v>7.7</v>
      </c>
      <c r="AH26" s="553">
        <v>11.1</v>
      </c>
      <c r="AI26" s="553">
        <v>9.1</v>
      </c>
      <c r="AJ26" s="7">
        <v>3.4</v>
      </c>
      <c r="AK26" s="54"/>
      <c r="AL26" s="485" t="s">
        <v>695</v>
      </c>
      <c r="AM26" s="134"/>
      <c r="AN26" s="23" t="s">
        <v>8</v>
      </c>
      <c r="AO26" s="400"/>
      <c r="AP26" s="485">
        <v>9</v>
      </c>
      <c r="AQ26" s="485">
        <v>0</v>
      </c>
      <c r="AR26" s="134"/>
      <c r="AS26" s="26">
        <f>IF(ISBLANK(F26),"",(AVERAGE($F$4:F26)))</f>
        <v>12.356521739130432</v>
      </c>
      <c r="AT26" s="26">
        <f>IF(ISBLANK(G26),"",(AVERAGE($G$4:G26)))</f>
        <v>19.634782608695655</v>
      </c>
      <c r="AU26" s="25">
        <f>IF(ISBLANK(H26),"",(AVERAGE($H$4:H26)))</f>
        <v>15.860869565217392</v>
      </c>
      <c r="AV26" s="368">
        <f>IF(ISBLANK(G26),"",(AVERAGE($I$4:I26)))</f>
        <v>7.2782608695652176</v>
      </c>
      <c r="AW26" s="22">
        <f>IF(ISBLANK(M26),"",AVERAGE($M$4:M26))</f>
        <v>74.782608695652172</v>
      </c>
      <c r="AX26" s="376">
        <f>IF(ISBLANK(P26),"",(AVERAGE($R$4:R26)))</f>
        <v>1011.4565217391304</v>
      </c>
      <c r="AY26" s="368">
        <f>IF(ISBLANK(U26),"",(AVERAGE($U$4:U26)))</f>
        <v>5.8434782608695652</v>
      </c>
      <c r="AZ26" s="6"/>
      <c r="BA26" s="25">
        <f t="shared" si="4"/>
        <v>-0.67499999999999893</v>
      </c>
      <c r="BB26" s="25">
        <f t="shared" si="5"/>
        <v>0.80833333333333712</v>
      </c>
      <c r="BC26" s="25">
        <f t="shared" si="8"/>
        <v>6.6666666666669094E-2</v>
      </c>
      <c r="BD26" s="367">
        <f t="shared" si="7"/>
        <v>1.4833333333333361</v>
      </c>
      <c r="BE26" s="72"/>
      <c r="BF26" s="25">
        <f>IF(ISBLANK(F26),"",AS26-AVERAGE($F$91:F113))</f>
        <v>0.96879598662206945</v>
      </c>
      <c r="BG26" s="25">
        <f>IF(ISBLANK(G26),"",AT26-AVERAGE($G$91:G113))</f>
        <v>0.38342391304349022</v>
      </c>
      <c r="BH26" s="367">
        <f t="shared" si="10"/>
        <v>-0.58537207357857923</v>
      </c>
      <c r="BI26" s="115">
        <f t="shared" si="0"/>
        <v>0.76679841897233181</v>
      </c>
      <c r="BJ26" s="115">
        <f t="shared" si="1"/>
        <v>1.0109011675607369</v>
      </c>
      <c r="BK26" s="88"/>
      <c r="BL26" s="572">
        <v>23</v>
      </c>
    </row>
    <row r="27" spans="1:64" ht="12.75" customHeight="1" x14ac:dyDescent="0.2">
      <c r="A27" s="278">
        <f t="shared" si="2"/>
        <v>24</v>
      </c>
      <c r="B27" s="131">
        <v>8</v>
      </c>
      <c r="C27" s="282">
        <v>20.100000000000001</v>
      </c>
      <c r="D27" s="685"/>
      <c r="E27" s="99">
        <f t="shared" si="3"/>
        <v>24</v>
      </c>
      <c r="F27" s="23">
        <v>8</v>
      </c>
      <c r="G27" s="23">
        <v>20.100000000000001</v>
      </c>
      <c r="H27" s="553">
        <v>14.5</v>
      </c>
      <c r="I27" s="23">
        <v>12.1</v>
      </c>
      <c r="J27" s="6">
        <v>0</v>
      </c>
      <c r="K27" s="24">
        <v>54</v>
      </c>
      <c r="L27" s="24">
        <v>95</v>
      </c>
      <c r="M27" s="555">
        <v>76</v>
      </c>
      <c r="N27" s="24">
        <v>41</v>
      </c>
      <c r="O27" s="50">
        <v>0</v>
      </c>
      <c r="P27" s="24">
        <v>1014</v>
      </c>
      <c r="Q27" s="24">
        <v>1016</v>
      </c>
      <c r="R27" s="24">
        <v>1015</v>
      </c>
      <c r="S27" s="24">
        <v>2</v>
      </c>
      <c r="T27" s="50"/>
      <c r="U27" s="553">
        <v>2.5</v>
      </c>
      <c r="V27" s="553">
        <v>9.1999999999999993</v>
      </c>
      <c r="W27" s="553">
        <v>10.9</v>
      </c>
      <c r="X27" s="555" t="s">
        <v>111</v>
      </c>
      <c r="Y27" s="72">
        <v>0</v>
      </c>
      <c r="Z27" s="539">
        <v>0</v>
      </c>
      <c r="AA27" s="23" t="s">
        <v>619</v>
      </c>
      <c r="AB27" s="23"/>
      <c r="AC27" s="510" t="s">
        <v>619</v>
      </c>
      <c r="AD27" s="7" t="s">
        <v>619</v>
      </c>
      <c r="AE27" s="485" t="s">
        <v>619</v>
      </c>
      <c r="AF27" s="72"/>
      <c r="AG27" s="553">
        <v>6.3</v>
      </c>
      <c r="AH27" s="553">
        <v>14.2</v>
      </c>
      <c r="AI27" s="553">
        <v>10</v>
      </c>
      <c r="AJ27" s="7">
        <v>7.9</v>
      </c>
      <c r="AK27" s="6"/>
      <c r="AL27" s="485" t="s">
        <v>507</v>
      </c>
      <c r="AM27" s="134"/>
      <c r="AN27" s="23" t="s">
        <v>8</v>
      </c>
      <c r="AO27" s="400"/>
      <c r="AP27" s="485">
        <v>6</v>
      </c>
      <c r="AQ27" s="485">
        <v>0</v>
      </c>
      <c r="AR27" s="134"/>
      <c r="AS27" s="26">
        <f>IF(ISBLANK(F27),"",(AVERAGE($F$4:F27)))</f>
        <v>12.174999999999997</v>
      </c>
      <c r="AT27" s="26">
        <f>IF(ISBLANK(G27),"",(AVERAGE($G$4:G27)))</f>
        <v>19.654166666666672</v>
      </c>
      <c r="AU27" s="25">
        <f>IF(ISBLANK(H27),"",(AVERAGE($H$4:H27)))</f>
        <v>15.804166666666667</v>
      </c>
      <c r="AV27" s="368">
        <f>IF(ISBLANK(G27),"",(AVERAGE($I$4:I27)))</f>
        <v>7.479166666666667</v>
      </c>
      <c r="AW27" s="22">
        <f>IF(ISBLANK(M27),"",AVERAGE($M$4:M27))</f>
        <v>74.833333333333329</v>
      </c>
      <c r="AX27" s="376">
        <f>IF(ISBLANK(P27),"",(AVERAGE($R$4:R27)))</f>
        <v>1011.6041666666666</v>
      </c>
      <c r="AY27" s="368">
        <f>IF(ISBLANK(U27),"",(AVERAGE($U$4:U27)))</f>
        <v>5.7041666666666666</v>
      </c>
      <c r="AZ27" s="6"/>
      <c r="BA27" s="25">
        <f t="shared" si="4"/>
        <v>-2.5040000000000013</v>
      </c>
      <c r="BB27" s="25">
        <f t="shared" si="5"/>
        <v>2.7280000000000051</v>
      </c>
      <c r="BC27" s="25">
        <f t="shared" si="8"/>
        <v>0.11200000000000188</v>
      </c>
      <c r="BD27" s="367">
        <f t="shared" si="7"/>
        <v>5.2320000000000064</v>
      </c>
      <c r="BE27" s="72"/>
      <c r="BF27" s="25">
        <f>IF(ISBLANK(F27),"",AS27-AVERAGE($F$91:F114))</f>
        <v>0.82409615384614909</v>
      </c>
      <c r="BG27" s="25">
        <f>IF(ISBLANK(G27),"",AT27-AVERAGE($G$91:G114))</f>
        <v>0.48111458333334411</v>
      </c>
      <c r="BH27" s="367">
        <f t="shared" si="10"/>
        <v>-0.34298157051280498</v>
      </c>
      <c r="BI27" s="115">
        <f t="shared" si="0"/>
        <v>0.73484848484848464</v>
      </c>
      <c r="BJ27" s="115">
        <f t="shared" si="1"/>
        <v>1.0248558748829926</v>
      </c>
      <c r="BK27" s="88"/>
      <c r="BL27" s="572">
        <v>24</v>
      </c>
    </row>
    <row r="28" spans="1:64" ht="12.75" customHeight="1" x14ac:dyDescent="0.2">
      <c r="A28" s="278">
        <f t="shared" si="2"/>
        <v>25</v>
      </c>
      <c r="B28" s="131">
        <v>11.4</v>
      </c>
      <c r="C28" s="282">
        <v>20.9</v>
      </c>
      <c r="D28" s="685"/>
      <c r="E28" s="99">
        <f t="shared" si="3"/>
        <v>25</v>
      </c>
      <c r="F28" s="23">
        <v>11.4</v>
      </c>
      <c r="G28" s="23">
        <v>20.9</v>
      </c>
      <c r="H28" s="553">
        <v>16.7</v>
      </c>
      <c r="I28" s="23">
        <v>9.5</v>
      </c>
      <c r="J28" s="6">
        <v>0</v>
      </c>
      <c r="K28" s="24">
        <v>56</v>
      </c>
      <c r="L28" s="24">
        <v>91</v>
      </c>
      <c r="M28" s="555">
        <v>77</v>
      </c>
      <c r="N28" s="24">
        <v>35</v>
      </c>
      <c r="O28" s="50">
        <v>0</v>
      </c>
      <c r="P28" s="24">
        <v>1016</v>
      </c>
      <c r="Q28" s="24">
        <v>1017</v>
      </c>
      <c r="R28" s="24">
        <v>1016.5</v>
      </c>
      <c r="S28" s="24">
        <v>1</v>
      </c>
      <c r="T28" s="50"/>
      <c r="U28" s="553">
        <v>5.3</v>
      </c>
      <c r="V28" s="553">
        <v>17.3</v>
      </c>
      <c r="W28" s="553">
        <v>25.3</v>
      </c>
      <c r="X28" s="555" t="s">
        <v>111</v>
      </c>
      <c r="Y28" s="72">
        <v>0</v>
      </c>
      <c r="Z28" s="539">
        <v>0</v>
      </c>
      <c r="AA28" s="23" t="s">
        <v>619</v>
      </c>
      <c r="AB28" s="23"/>
      <c r="AC28" s="510" t="s">
        <v>619</v>
      </c>
      <c r="AD28" s="7" t="s">
        <v>619</v>
      </c>
      <c r="AE28" s="485" t="s">
        <v>619</v>
      </c>
      <c r="AF28" s="72"/>
      <c r="AG28" s="553">
        <v>9.1999999999999993</v>
      </c>
      <c r="AH28" s="553">
        <v>14.7</v>
      </c>
      <c r="AI28" s="553">
        <v>12.4</v>
      </c>
      <c r="AJ28" s="7">
        <v>5.5</v>
      </c>
      <c r="AK28" s="6"/>
      <c r="AL28" s="485" t="s">
        <v>696</v>
      </c>
      <c r="AM28" s="134"/>
      <c r="AN28" s="23" t="s">
        <v>8</v>
      </c>
      <c r="AO28" s="400"/>
      <c r="AP28" s="485">
        <v>7.5</v>
      </c>
      <c r="AQ28" s="485">
        <v>0</v>
      </c>
      <c r="AR28" s="134"/>
      <c r="AS28" s="26">
        <f>IF(ISBLANK(F28),"",(AVERAGE($F$4:F28)))</f>
        <v>12.143999999999997</v>
      </c>
      <c r="AT28" s="26">
        <f>IF(ISBLANK(G28),"",(AVERAGE($G$4:G28)))</f>
        <v>19.704000000000004</v>
      </c>
      <c r="AU28" s="25">
        <f>IF(ISBLANK(H28),"",(AVERAGE($H$4:H28)))</f>
        <v>15.84</v>
      </c>
      <c r="AV28" s="368">
        <f>IF(ISBLANK(G28),"",(AVERAGE($I$4:I28)))</f>
        <v>7.56</v>
      </c>
      <c r="AW28" s="22">
        <f>IF(ISBLANK(M28),"",AVERAGE($M$4:M28))</f>
        <v>74.92</v>
      </c>
      <c r="AX28" s="376">
        <f>IF(ISBLANK(P28),"",(AVERAGE($R$4:R28)))</f>
        <v>1011.8</v>
      </c>
      <c r="AY28" s="368">
        <f>IF(ISBLANK(U28),"",(AVERAGE($U$4:U28)))</f>
        <v>5.6880000000000006</v>
      </c>
      <c r="AZ28" s="6"/>
      <c r="BA28" s="25">
        <f t="shared" si="4"/>
        <v>0.96699999999999875</v>
      </c>
      <c r="BB28" s="25">
        <f t="shared" si="5"/>
        <v>3.6476666666666695</v>
      </c>
      <c r="BC28" s="25">
        <f t="shared" si="8"/>
        <v>2.3073333333333341</v>
      </c>
      <c r="BD28" s="367">
        <f t="shared" si="7"/>
        <v>2.6806666666666707</v>
      </c>
      <c r="BE28" s="72"/>
      <c r="BF28" s="25">
        <f>IF(ISBLANK(F28),"",AS28-AVERAGE($F$91:F115))</f>
        <v>0.8298123076923023</v>
      </c>
      <c r="BG28" s="25">
        <f>IF(ISBLANK(G28),"",AT28-AVERAGE($G$91:G115))</f>
        <v>0.60777666666667685</v>
      </c>
      <c r="BH28" s="367">
        <f t="shared" si="10"/>
        <v>-0.22203564102562545</v>
      </c>
      <c r="BI28" s="115">
        <f t="shared" si="0"/>
        <v>0.70545454545454522</v>
      </c>
      <c r="BJ28" s="115">
        <f t="shared" si="1"/>
        <v>1.0508526183055464</v>
      </c>
      <c r="BK28" s="88"/>
      <c r="BL28" s="572">
        <v>25</v>
      </c>
    </row>
    <row r="29" spans="1:64" ht="12.75" customHeight="1" x14ac:dyDescent="0.2">
      <c r="A29" s="278">
        <f t="shared" si="2"/>
        <v>26</v>
      </c>
      <c r="B29" s="131">
        <v>16.3</v>
      </c>
      <c r="C29" s="282">
        <v>21.1</v>
      </c>
      <c r="D29" s="685"/>
      <c r="E29" s="99">
        <f t="shared" si="3"/>
        <v>26</v>
      </c>
      <c r="F29" s="23">
        <v>15</v>
      </c>
      <c r="G29" s="23">
        <v>21.1</v>
      </c>
      <c r="H29" s="553">
        <v>17.7</v>
      </c>
      <c r="I29" s="23">
        <v>6.1</v>
      </c>
      <c r="J29" s="6">
        <v>0</v>
      </c>
      <c r="K29" s="24">
        <v>66</v>
      </c>
      <c r="L29" s="24">
        <v>91</v>
      </c>
      <c r="M29" s="555">
        <v>82</v>
      </c>
      <c r="N29" s="24">
        <v>25</v>
      </c>
      <c r="O29" s="50">
        <v>1</v>
      </c>
      <c r="P29" s="24">
        <v>1016</v>
      </c>
      <c r="Q29" s="24">
        <v>1026</v>
      </c>
      <c r="R29" s="24">
        <v>1021</v>
      </c>
      <c r="S29" s="24">
        <v>10</v>
      </c>
      <c r="T29" s="50"/>
      <c r="U29" s="553">
        <v>3.8</v>
      </c>
      <c r="V29" s="553">
        <v>11.2</v>
      </c>
      <c r="W29" s="553">
        <v>15.4</v>
      </c>
      <c r="X29" s="555" t="s">
        <v>110</v>
      </c>
      <c r="Y29" s="72">
        <v>2</v>
      </c>
      <c r="Z29" s="539">
        <v>3</v>
      </c>
      <c r="AA29" s="23">
        <v>3</v>
      </c>
      <c r="AB29" s="23">
        <v>1.4</v>
      </c>
      <c r="AC29" s="510">
        <v>7.1258907363420443E-2</v>
      </c>
      <c r="AD29" s="7">
        <v>2</v>
      </c>
      <c r="AE29" s="485">
        <v>20</v>
      </c>
      <c r="AF29" s="72"/>
      <c r="AG29" s="553">
        <v>13.3</v>
      </c>
      <c r="AH29" s="553">
        <v>16.7</v>
      </c>
      <c r="AI29" s="553">
        <v>14.5</v>
      </c>
      <c r="AJ29" s="7">
        <v>3.4</v>
      </c>
      <c r="AK29" s="6"/>
      <c r="AL29" s="485" t="s">
        <v>594</v>
      </c>
      <c r="AM29" s="134"/>
      <c r="AN29" s="23" t="s">
        <v>697</v>
      </c>
      <c r="AO29" s="400"/>
      <c r="AP29" s="485">
        <v>1</v>
      </c>
      <c r="AQ29" s="485">
        <v>1.5</v>
      </c>
      <c r="AR29" s="134"/>
      <c r="AS29" s="26">
        <f>IF(ISBLANK(F29),"",(AVERAGE($F$4:F29)))</f>
        <v>12.253846153846151</v>
      </c>
      <c r="AT29" s="26">
        <f>IF(ISBLANK(G29),"",(AVERAGE($G$4:G29)))</f>
        <v>19.757692307692309</v>
      </c>
      <c r="AU29" s="25">
        <f>IF(ISBLANK(H29),"",(AVERAGE($H$4:H29)))</f>
        <v>15.911538461538461</v>
      </c>
      <c r="AV29" s="368">
        <f>IF(ISBLANK(G29),"",(AVERAGE($I$4:I29)))</f>
        <v>7.5038461538461538</v>
      </c>
      <c r="AW29" s="22">
        <f>IF(ISBLANK(M29),"",AVERAGE($M$4:M29))</f>
        <v>75.192307692307693</v>
      </c>
      <c r="AX29" s="376">
        <f>IF(ISBLANK(P29),"",(AVERAGE($R$4:R29)))</f>
        <v>1012.1538461538462</v>
      </c>
      <c r="AY29" s="368">
        <f>IF(ISBLANK(U29),"",(AVERAGE($U$4:U29)))</f>
        <v>5.6153846153846168</v>
      </c>
      <c r="AZ29" s="6"/>
      <c r="BA29" s="25">
        <f t="shared" si="4"/>
        <v>4.6379999999999981</v>
      </c>
      <c r="BB29" s="25">
        <f t="shared" si="5"/>
        <v>3.9673333333333396</v>
      </c>
      <c r="BC29" s="25">
        <f t="shared" si="8"/>
        <v>4.3026666666666689</v>
      </c>
      <c r="BD29" s="367">
        <f t="shared" si="7"/>
        <v>-0.67066666666665853</v>
      </c>
      <c r="BE29" s="72"/>
      <c r="BF29" s="25">
        <f>IF(ISBLANK(F29),"",AS29-AVERAGE($F$91:F116))</f>
        <v>0.97628106508875234</v>
      </c>
      <c r="BG29" s="25">
        <f>IF(ISBLANK(G29),"",AT29-AVERAGE($G$91:G116))</f>
        <v>0.73699038461539246</v>
      </c>
      <c r="BH29" s="367">
        <f t="shared" si="10"/>
        <v>-0.23929068047335988</v>
      </c>
      <c r="BI29" s="115">
        <f t="shared" si="0"/>
        <v>0.7307692307692305</v>
      </c>
      <c r="BJ29" s="115">
        <f t="shared" si="1"/>
        <v>1.0214384374550085</v>
      </c>
      <c r="BK29" s="88"/>
      <c r="BL29" s="572">
        <v>26</v>
      </c>
    </row>
    <row r="30" spans="1:64" ht="12.75" customHeight="1" x14ac:dyDescent="0.2">
      <c r="A30" s="278">
        <f t="shared" si="2"/>
        <v>27</v>
      </c>
      <c r="B30" s="131">
        <v>12.8</v>
      </c>
      <c r="C30" s="282">
        <v>20.399999999999999</v>
      </c>
      <c r="D30" s="685"/>
      <c r="E30" s="99">
        <f t="shared" si="3"/>
        <v>27</v>
      </c>
      <c r="F30" s="23">
        <v>12.8</v>
      </c>
      <c r="G30" s="23">
        <v>20.399999999999999</v>
      </c>
      <c r="H30" s="553">
        <v>15.7</v>
      </c>
      <c r="I30" s="23">
        <v>7.6</v>
      </c>
      <c r="J30" s="6">
        <v>0</v>
      </c>
      <c r="K30" s="24">
        <v>70</v>
      </c>
      <c r="L30" s="24">
        <v>97</v>
      </c>
      <c r="M30" s="554">
        <v>88</v>
      </c>
      <c r="N30" s="24">
        <v>27</v>
      </c>
      <c r="O30" s="50">
        <v>0</v>
      </c>
      <c r="P30" s="24">
        <v>1026</v>
      </c>
      <c r="Q30" s="24">
        <v>1030</v>
      </c>
      <c r="R30" s="24">
        <v>1028</v>
      </c>
      <c r="S30" s="24">
        <v>4</v>
      </c>
      <c r="T30" s="50"/>
      <c r="U30" s="553">
        <v>2</v>
      </c>
      <c r="V30" s="553">
        <v>7.1</v>
      </c>
      <c r="W30" s="553">
        <v>9.8000000000000007</v>
      </c>
      <c r="X30" s="553" t="s">
        <v>110</v>
      </c>
      <c r="Y30" s="72">
        <v>1</v>
      </c>
      <c r="Z30" s="539">
        <v>0.3</v>
      </c>
      <c r="AA30" s="23" t="s">
        <v>8</v>
      </c>
      <c r="AB30" s="23" t="s">
        <v>8</v>
      </c>
      <c r="AC30" s="510">
        <v>7.1258907363420448E-3</v>
      </c>
      <c r="AD30" s="7">
        <v>0.6</v>
      </c>
      <c r="AE30" s="485" t="s">
        <v>8</v>
      </c>
      <c r="AF30" s="72"/>
      <c r="AG30" s="553">
        <v>12.2</v>
      </c>
      <c r="AH30" s="553">
        <v>15.8</v>
      </c>
      <c r="AI30" s="553">
        <v>13.6</v>
      </c>
      <c r="AJ30" s="7">
        <v>3.6</v>
      </c>
      <c r="AK30" s="72"/>
      <c r="AL30" s="485" t="s">
        <v>698</v>
      </c>
      <c r="AM30" s="134"/>
      <c r="AN30" s="23" t="s">
        <v>699</v>
      </c>
      <c r="AO30" s="400"/>
      <c r="AP30" s="485">
        <v>5</v>
      </c>
      <c r="AQ30" s="485">
        <v>0.5</v>
      </c>
      <c r="AR30" s="134"/>
      <c r="AS30" s="26">
        <f>IF(ISBLANK(F30),"",(AVERAGE($F$4:F30)))</f>
        <v>12.274074074074072</v>
      </c>
      <c r="AT30" s="26">
        <f>IF(ISBLANK(G30),"",(AVERAGE($G$4:G30)))</f>
        <v>19.781481481481482</v>
      </c>
      <c r="AU30" s="25">
        <f>IF(ISBLANK(H30),"",(AVERAGE($H$4:H30)))</f>
        <v>15.903703703703703</v>
      </c>
      <c r="AV30" s="368">
        <f>IF(ISBLANK(G30),"",(AVERAGE($I$4:I30)))</f>
        <v>7.5074074074074071</v>
      </c>
      <c r="AW30" s="22">
        <f>IF(ISBLANK(M30),"",AVERAGE($M$4:M30))</f>
        <v>75.666666666666671</v>
      </c>
      <c r="AX30" s="376">
        <f>IF(ISBLANK(P30),"",(AVERAGE($R$4:R30)))</f>
        <v>1012.7407407407408</v>
      </c>
      <c r="AY30" s="368">
        <f>IF(ISBLANK(U30),"",(AVERAGE($U$4:U30)))</f>
        <v>5.4814814814814827</v>
      </c>
      <c r="AZ30" s="6"/>
      <c r="BA30" s="25">
        <f t="shared" si="4"/>
        <v>2.5089999999999986</v>
      </c>
      <c r="BB30" s="25">
        <f t="shared" si="5"/>
        <v>3.387000000000004</v>
      </c>
      <c r="BC30" s="25">
        <f t="shared" si="8"/>
        <v>2.9480000000000013</v>
      </c>
      <c r="BD30" s="367">
        <f t="shared" si="7"/>
        <v>0.87800000000000544</v>
      </c>
      <c r="BE30" s="72"/>
      <c r="BF30" s="25">
        <f>IF(ISBLANK(F30),"",AS30-AVERAGE($F$91:F117))</f>
        <v>1.0330484330484282</v>
      </c>
      <c r="BG30" s="25">
        <f>IF(ISBLANK(G30),"",AT30-AVERAGE($G$91:G117))</f>
        <v>0.83513888888889554</v>
      </c>
      <c r="BH30" s="367">
        <f>IF(ISBLANK(G30),"",BG30-BF30)</f>
        <v>-0.19790954415953266</v>
      </c>
      <c r="BI30" s="115">
        <f t="shared" si="0"/>
        <v>0.70875420875420847</v>
      </c>
      <c r="BJ30" s="115">
        <f t="shared" si="1"/>
        <v>1.0262048819058174</v>
      </c>
      <c r="BK30" s="421"/>
      <c r="BL30" s="572">
        <v>27</v>
      </c>
    </row>
    <row r="31" spans="1:64" ht="12.75" customHeight="1" x14ac:dyDescent="0.2">
      <c r="A31" s="278">
        <f t="shared" si="2"/>
        <v>28</v>
      </c>
      <c r="B31" s="131">
        <v>12.6</v>
      </c>
      <c r="C31" s="282">
        <v>24.9</v>
      </c>
      <c r="D31" s="685"/>
      <c r="E31" s="99">
        <f t="shared" si="3"/>
        <v>28</v>
      </c>
      <c r="F31" s="23">
        <v>12.6</v>
      </c>
      <c r="G31" s="23">
        <v>24.9</v>
      </c>
      <c r="H31" s="553">
        <v>18.600000000000001</v>
      </c>
      <c r="I31" s="23">
        <v>12.3</v>
      </c>
      <c r="J31" s="6">
        <v>0</v>
      </c>
      <c r="K31" s="24">
        <v>51</v>
      </c>
      <c r="L31" s="24">
        <v>98</v>
      </c>
      <c r="M31" s="554">
        <v>77</v>
      </c>
      <c r="N31" s="24">
        <v>47</v>
      </c>
      <c r="O31" s="50">
        <v>0</v>
      </c>
      <c r="P31" s="24">
        <v>1024</v>
      </c>
      <c r="Q31" s="24">
        <v>1029</v>
      </c>
      <c r="R31" s="24">
        <v>1026.5</v>
      </c>
      <c r="S31" s="24">
        <v>5</v>
      </c>
      <c r="T31" s="50"/>
      <c r="U31" s="553">
        <v>2.2999999999999998</v>
      </c>
      <c r="V31" s="553">
        <v>10.199999999999999</v>
      </c>
      <c r="W31" s="553">
        <v>14.5</v>
      </c>
      <c r="X31" s="485" t="s">
        <v>112</v>
      </c>
      <c r="Y31" s="72">
        <v>0</v>
      </c>
      <c r="Z31" s="539">
        <v>0</v>
      </c>
      <c r="AA31" s="23" t="s">
        <v>619</v>
      </c>
      <c r="AB31" s="23"/>
      <c r="AC31" s="510" t="s">
        <v>619</v>
      </c>
      <c r="AD31" s="7" t="s">
        <v>619</v>
      </c>
      <c r="AE31" s="485" t="s">
        <v>619</v>
      </c>
      <c r="AF31" s="72"/>
      <c r="AG31" s="553">
        <v>12.1</v>
      </c>
      <c r="AH31" s="553">
        <v>18.100000000000001</v>
      </c>
      <c r="AI31" s="553">
        <v>13.9</v>
      </c>
      <c r="AJ31" s="7">
        <v>6</v>
      </c>
      <c r="AK31" s="72"/>
      <c r="AL31" s="485" t="s">
        <v>238</v>
      </c>
      <c r="AM31" s="134"/>
      <c r="AN31" s="47" t="s">
        <v>253</v>
      </c>
      <c r="AO31" s="400"/>
      <c r="AP31" s="485">
        <v>10.6</v>
      </c>
      <c r="AQ31" s="485">
        <v>0</v>
      </c>
      <c r="AR31" s="134"/>
      <c r="AS31" s="26">
        <f>IF(ISBLANK(F31),"",(AVERAGE($F$4:F31)))</f>
        <v>12.285714285714283</v>
      </c>
      <c r="AT31" s="26">
        <f>IF(ISBLANK(G31),"",(AVERAGE($G$4:G31)))</f>
        <v>19.964285714285715</v>
      </c>
      <c r="AU31" s="25">
        <f>IF(ISBLANK(H31),"",(AVERAGE($H$4:H31)))</f>
        <v>16</v>
      </c>
      <c r="AV31" s="368">
        <f>IF(ISBLANK(G31),"",(AVERAGE($I$4:I31)))</f>
        <v>7.6785714285714288</v>
      </c>
      <c r="AW31" s="22">
        <f>IF(ISBLANK(M31),"",AVERAGE($M$4:M31))</f>
        <v>75.714285714285708</v>
      </c>
      <c r="AX31" s="376">
        <f>IF(ISBLANK(P31),"",(AVERAGE($R$4:R31)))</f>
        <v>1013.2321428571429</v>
      </c>
      <c r="AY31" s="368">
        <f>IF(ISBLANK(U31),"",(AVERAGE($U$4:U31)))</f>
        <v>5.3678571428571447</v>
      </c>
      <c r="AZ31" s="6"/>
      <c r="BA31" s="25">
        <f t="shared" si="4"/>
        <v>2.379999999999999</v>
      </c>
      <c r="BB31" s="25">
        <f t="shared" si="5"/>
        <v>8.0066666666666713</v>
      </c>
      <c r="BC31" s="25">
        <f t="shared" si="8"/>
        <v>5.1933333333333351</v>
      </c>
      <c r="BD31" s="367">
        <f t="shared" si="7"/>
        <v>5.6266666666666723</v>
      </c>
      <c r="BE31" s="72"/>
      <c r="BF31" s="25">
        <f>IF(ISBLANK(F31),"",AS31-AVERAGE($F$91:F118))</f>
        <v>1.0811538461538408</v>
      </c>
      <c r="BG31" s="25">
        <f>IF(ISBLANK(G31),"",AT31-AVERAGE($G$91:G118))</f>
        <v>1.0912648809523873</v>
      </c>
      <c r="BH31" s="367">
        <f>IF(ISBLANK(G31),"",BG31-BF31)</f>
        <v>1.011103479854647E-2</v>
      </c>
      <c r="BI31" s="115">
        <f t="shared" si="0"/>
        <v>0.68344155844155818</v>
      </c>
      <c r="BJ31" s="115">
        <f t="shared" si="1"/>
        <v>1.0740961339102704</v>
      </c>
      <c r="BK31" s="421"/>
      <c r="BL31" s="572">
        <v>28</v>
      </c>
    </row>
    <row r="32" spans="1:64" ht="12.75" customHeight="1" x14ac:dyDescent="0.2">
      <c r="A32" s="278">
        <f t="shared" si="2"/>
        <v>29</v>
      </c>
      <c r="B32" s="131">
        <v>14</v>
      </c>
      <c r="C32" s="282">
        <v>26.9</v>
      </c>
      <c r="D32" s="685"/>
      <c r="E32" s="99">
        <f t="shared" si="3"/>
        <v>29</v>
      </c>
      <c r="F32" s="23">
        <v>14</v>
      </c>
      <c r="G32" s="23">
        <v>26.9</v>
      </c>
      <c r="H32" s="553">
        <v>19.600000000000001</v>
      </c>
      <c r="I32" s="23">
        <v>12.9</v>
      </c>
      <c r="J32" s="6">
        <v>0</v>
      </c>
      <c r="K32" s="24">
        <v>42</v>
      </c>
      <c r="L32" s="24">
        <v>96</v>
      </c>
      <c r="M32" s="554">
        <v>72</v>
      </c>
      <c r="N32" s="24">
        <v>54</v>
      </c>
      <c r="O32" s="50">
        <v>0</v>
      </c>
      <c r="P32" s="24">
        <v>1023</v>
      </c>
      <c r="Q32" s="24">
        <v>1025</v>
      </c>
      <c r="R32" s="24">
        <v>1024</v>
      </c>
      <c r="S32" s="24">
        <v>2</v>
      </c>
      <c r="T32" s="50"/>
      <c r="U32" s="553">
        <v>1.8</v>
      </c>
      <c r="V32" s="553">
        <v>9.8000000000000007</v>
      </c>
      <c r="W32" s="553">
        <v>12.5</v>
      </c>
      <c r="X32" s="485" t="s">
        <v>106</v>
      </c>
      <c r="Y32" s="72">
        <v>0</v>
      </c>
      <c r="Z32" s="557">
        <v>0</v>
      </c>
      <c r="AA32" s="558" t="s">
        <v>619</v>
      </c>
      <c r="AB32" s="23"/>
      <c r="AC32" s="510" t="s">
        <v>619</v>
      </c>
      <c r="AD32" s="7" t="s">
        <v>619</v>
      </c>
      <c r="AE32" s="559" t="s">
        <v>619</v>
      </c>
      <c r="AF32" s="72"/>
      <c r="AG32" s="553">
        <v>11</v>
      </c>
      <c r="AH32" s="553">
        <v>17.399999999999999</v>
      </c>
      <c r="AI32" s="553">
        <v>13.7</v>
      </c>
      <c r="AJ32" s="7">
        <v>6.4</v>
      </c>
      <c r="AK32" s="72"/>
      <c r="AL32" s="485" t="s">
        <v>238</v>
      </c>
      <c r="AM32" s="134"/>
      <c r="AN32" s="47" t="s">
        <v>480</v>
      </c>
      <c r="AO32" s="400"/>
      <c r="AP32" s="485">
        <v>10.61</v>
      </c>
      <c r="AQ32" s="485">
        <v>0</v>
      </c>
      <c r="AR32" s="134"/>
      <c r="AS32" s="26">
        <f>IF(ISBLANK(F32),"",(AVERAGE($F$4:F32)))</f>
        <v>12.344827586206895</v>
      </c>
      <c r="AT32" s="26">
        <f>IF(ISBLANK(G32),"",(AVERAGE($G$4:G32)))</f>
        <v>20.203448275862069</v>
      </c>
      <c r="AU32" s="25">
        <f>IF(ISBLANK(H32),"",(AVERAGE($H$4:H32)))</f>
        <v>16.124137931034483</v>
      </c>
      <c r="AV32" s="368">
        <f>IF(ISBLANK(G32),"",(AVERAGE($I$4:I32)))</f>
        <v>7.8586206896551722</v>
      </c>
      <c r="AW32" s="22">
        <f>IF(ISBLANK(M32),"",AVERAGE($M$4:M32))</f>
        <v>75.58620689655173</v>
      </c>
      <c r="AX32" s="376">
        <f>IF(ISBLANK(P32),"",(AVERAGE($R$4:R32)))</f>
        <v>1013.6034482758621</v>
      </c>
      <c r="AY32" s="368">
        <f>IF(ISBLANK(U32),"",(AVERAGE($U$4:U32)))</f>
        <v>5.244827586206898</v>
      </c>
      <c r="AZ32" s="6"/>
      <c r="BA32" s="25">
        <f t="shared" si="4"/>
        <v>3.8509999999999973</v>
      </c>
      <c r="BB32" s="25">
        <f t="shared" si="5"/>
        <v>10.126333333333339</v>
      </c>
      <c r="BC32" s="25">
        <f t="shared" si="8"/>
        <v>6.9886666666666679</v>
      </c>
      <c r="BD32" s="367">
        <f t="shared" si="7"/>
        <v>6.2753333333333412</v>
      </c>
      <c r="BE32" s="72"/>
      <c r="BF32" s="25">
        <f>IF(ISBLANK(F32),"",AS32-AVERAGE($F$91:F119))</f>
        <v>1.1766657824933642</v>
      </c>
      <c r="BG32" s="25">
        <f>IF(ISBLANK(G32),"",AT32-AVERAGE($G$91:G119))</f>
        <v>1.4028189655172447</v>
      </c>
      <c r="BH32" s="367">
        <f>IF(ISBLANK(G32),"",BG32-BF32)</f>
        <v>0.22615318302388054</v>
      </c>
      <c r="BI32" s="115">
        <f t="shared" si="0"/>
        <v>0.65987460815046994</v>
      </c>
      <c r="BJ32" s="115">
        <f t="shared" si="1"/>
        <v>1.1192043019247508</v>
      </c>
      <c r="BK32" s="88"/>
      <c r="BL32" s="572">
        <v>29</v>
      </c>
    </row>
    <row r="33" spans="1:64" ht="12.75" customHeight="1" x14ac:dyDescent="0.2">
      <c r="A33" s="278">
        <f t="shared" si="2"/>
        <v>30</v>
      </c>
      <c r="B33" s="131">
        <v>13.5</v>
      </c>
      <c r="C33" s="282">
        <v>27.4</v>
      </c>
      <c r="D33" s="685"/>
      <c r="E33" s="99">
        <f t="shared" si="3"/>
        <v>30</v>
      </c>
      <c r="F33" s="23">
        <v>13.5</v>
      </c>
      <c r="G33" s="23">
        <v>27.4</v>
      </c>
      <c r="H33" s="553">
        <v>19.399999999999999</v>
      </c>
      <c r="I33" s="23">
        <v>13.9</v>
      </c>
      <c r="J33" s="6">
        <v>0</v>
      </c>
      <c r="K33" s="24">
        <v>40</v>
      </c>
      <c r="L33" s="24">
        <v>95</v>
      </c>
      <c r="M33" s="554">
        <v>69</v>
      </c>
      <c r="N33" s="24">
        <v>55</v>
      </c>
      <c r="O33" s="50">
        <v>0</v>
      </c>
      <c r="P33" s="24">
        <v>1022</v>
      </c>
      <c r="Q33" s="24">
        <v>1024</v>
      </c>
      <c r="R33" s="24">
        <v>1023</v>
      </c>
      <c r="S33" s="24">
        <v>2</v>
      </c>
      <c r="T33" s="50"/>
      <c r="U33" s="553">
        <v>2.2000000000000002</v>
      </c>
      <c r="V33" s="553">
        <v>10.7</v>
      </c>
      <c r="W33" s="553">
        <v>14.5</v>
      </c>
      <c r="X33" s="485" t="s">
        <v>111</v>
      </c>
      <c r="Y33" s="72">
        <v>0</v>
      </c>
      <c r="Z33" s="557">
        <v>0</v>
      </c>
      <c r="AA33" s="558" t="s">
        <v>619</v>
      </c>
      <c r="AB33" s="23"/>
      <c r="AC33" s="510" t="s">
        <v>619</v>
      </c>
      <c r="AD33" s="7" t="s">
        <v>619</v>
      </c>
      <c r="AE33" s="559" t="s">
        <v>619</v>
      </c>
      <c r="AF33" s="72"/>
      <c r="AG33" s="553">
        <v>10.5</v>
      </c>
      <c r="AH33" s="553">
        <v>17.2</v>
      </c>
      <c r="AI33" s="553">
        <v>12.7</v>
      </c>
      <c r="AJ33" s="7">
        <v>6.7</v>
      </c>
      <c r="AK33" s="72"/>
      <c r="AL33" s="485" t="s">
        <v>238</v>
      </c>
      <c r="AM33" s="134"/>
      <c r="AN33" s="47" t="s">
        <v>480</v>
      </c>
      <c r="AO33" s="400"/>
      <c r="AP33" s="485">
        <v>10.6</v>
      </c>
      <c r="AQ33" s="485">
        <v>0</v>
      </c>
      <c r="AR33" s="134"/>
      <c r="AS33" s="26">
        <f>IF(ISBLANK(F33),"",(AVERAGE($F$4:F33)))</f>
        <v>12.383333333333331</v>
      </c>
      <c r="AT33" s="26">
        <f>IF(ISBLANK(G33),"",(AVERAGE($G$4:G33)))</f>
        <v>20.443333333333332</v>
      </c>
      <c r="AU33" s="25">
        <f>IF(ISBLANK(H33),"",(AVERAGE($H$4:H33)))</f>
        <v>16.233333333333334</v>
      </c>
      <c r="AV33" s="368">
        <f>IF(ISBLANK(G33),"",(AVERAGE($I$4:I33)))</f>
        <v>8.06</v>
      </c>
      <c r="AW33" s="22">
        <f>IF(ISBLANK(M33),"",AVERAGE($M$4:M33))</f>
        <v>75.36666666666666</v>
      </c>
      <c r="AX33" s="376">
        <f>IF(ISBLANK(P33),"",(AVERAGE($R$4:R33)))</f>
        <v>1013.9166666666666</v>
      </c>
      <c r="AY33" s="368">
        <f>IF(ISBLANK(U33),"",(AVERAGE($U$4:U33)))</f>
        <v>5.1433333333333344</v>
      </c>
      <c r="AZ33" s="6"/>
      <c r="BA33" s="25">
        <f t="shared" si="4"/>
        <v>3.421999999999997</v>
      </c>
      <c r="BB33" s="25">
        <f t="shared" si="5"/>
        <v>10.746000000000006</v>
      </c>
      <c r="BC33" s="25">
        <f t="shared" si="8"/>
        <v>7.0840000000000014</v>
      </c>
      <c r="BD33" s="367">
        <f t="shared" si="7"/>
        <v>7.3240000000000087</v>
      </c>
      <c r="BE33" s="72"/>
      <c r="BF33" s="25">
        <f>IF(ISBLANK(F33),"",AS33-AVERAGE($F$91:F120))</f>
        <v>1.2515102564102509</v>
      </c>
      <c r="BG33" s="25">
        <f>IF(ISBLANK(G33),"",AT33-AVERAGE($G$91:G120))</f>
        <v>1.7142583333333334</v>
      </c>
      <c r="BH33" s="367">
        <f>IF(ISBLANK(G33),"",BG33-BF33)</f>
        <v>0.46274807692308251</v>
      </c>
      <c r="BI33" s="115">
        <f t="shared" si="0"/>
        <v>0.63787878787878771</v>
      </c>
      <c r="BJ33" s="115">
        <f t="shared" si="1"/>
        <v>1.1616666666666666</v>
      </c>
      <c r="BK33" s="88"/>
      <c r="BL33" s="572">
        <v>30</v>
      </c>
    </row>
    <row r="34" spans="1:64" ht="9" hidden="1" customHeight="1" x14ac:dyDescent="0.2">
      <c r="A34" s="278">
        <v>31</v>
      </c>
      <c r="B34" s="131" t="str">
        <f>IF(ISBLANK(F34),"",F34)</f>
        <v/>
      </c>
      <c r="C34" s="282" t="str">
        <f>IF(ISBLANK(G34),"",G34)</f>
        <v/>
      </c>
      <c r="D34" s="685"/>
      <c r="E34" s="99">
        <v>30</v>
      </c>
      <c r="F34" s="23"/>
      <c r="G34" s="23"/>
      <c r="H34" s="553"/>
      <c r="I34" s="23"/>
      <c r="J34" s="6"/>
      <c r="K34" s="24"/>
      <c r="L34" s="24"/>
      <c r="M34" s="554"/>
      <c r="N34" s="24"/>
      <c r="O34" s="50"/>
      <c r="P34" s="24"/>
      <c r="Q34" s="24"/>
      <c r="R34" s="24" t="str">
        <f>IF(ISBLANK(P34),"",AVERAGE(P34:Q34))</f>
        <v/>
      </c>
      <c r="S34" s="24"/>
      <c r="T34" s="50"/>
      <c r="U34" s="553"/>
      <c r="V34" s="553"/>
      <c r="W34" s="553"/>
      <c r="X34" s="485"/>
      <c r="Y34" s="72" t="str">
        <f>IF(ISBLANK(Z34),"",IF(AQ34&lt;0.5,0,IF(Z34=0,0,IF(Z34&lt;1,1,2))))</f>
        <v/>
      </c>
      <c r="Z34" s="557"/>
      <c r="AA34" s="558"/>
      <c r="AB34" s="558"/>
      <c r="AC34" s="563"/>
      <c r="AD34" s="7" t="str">
        <f>IF(Z34&lt;0.3,"",Z34/AQ34)</f>
        <v/>
      </c>
      <c r="AE34" s="559"/>
      <c r="AF34" s="72"/>
      <c r="AG34" s="553"/>
      <c r="AH34" s="553"/>
      <c r="AI34" s="553"/>
      <c r="AJ34" s="26"/>
      <c r="AK34" s="72"/>
      <c r="AL34" s="485"/>
      <c r="AM34" s="134"/>
      <c r="AN34" s="23"/>
      <c r="AO34" s="400"/>
      <c r="AP34" s="485"/>
      <c r="AQ34" s="485"/>
      <c r="AR34" s="134"/>
      <c r="AS34" s="26"/>
      <c r="AT34" s="26"/>
      <c r="AU34" s="25"/>
      <c r="AV34" s="368"/>
      <c r="AW34" s="22"/>
      <c r="AX34" s="376"/>
      <c r="AY34" s="368"/>
      <c r="AZ34" s="6"/>
      <c r="BA34" s="25" t="str">
        <f t="shared" si="4"/>
        <v/>
      </c>
      <c r="BB34" s="25" t="str">
        <f t="shared" si="5"/>
        <v/>
      </c>
      <c r="BC34" s="25" t="str">
        <f t="shared" si="8"/>
        <v/>
      </c>
      <c r="BD34" s="367" t="str">
        <f t="shared" si="7"/>
        <v/>
      </c>
      <c r="BE34" s="72"/>
      <c r="BF34" s="25" t="str">
        <f>IF(ISBLANK(F34),"",AS34-AVERAGE($F$91:F121))</f>
        <v/>
      </c>
      <c r="BG34" s="25" t="str">
        <f>IF(ISBLANK(G34),"",AT34-AVERAGE($G$91:G121))</f>
        <v/>
      </c>
      <c r="BH34" s="367" t="str">
        <f>IF(ISBLANK(G34),"",BG34-BF34)</f>
        <v/>
      </c>
      <c r="BI34" s="138"/>
      <c r="BJ34" s="115" t="str">
        <f t="shared" si="1"/>
        <v/>
      </c>
      <c r="BK34" s="88"/>
      <c r="BL34" s="572">
        <v>31</v>
      </c>
    </row>
    <row r="35" spans="1:64" s="10" customFormat="1" ht="3" customHeight="1" x14ac:dyDescent="0.2">
      <c r="A35" s="72"/>
      <c r="B35" s="284"/>
      <c r="C35" s="285"/>
      <c r="D35" s="685"/>
      <c r="E35" s="15"/>
      <c r="F35" s="29"/>
      <c r="G35" s="29"/>
      <c r="H35" s="28"/>
      <c r="I35" s="29"/>
      <c r="J35" s="6"/>
      <c r="K35" s="30"/>
      <c r="L35" s="30"/>
      <c r="M35" s="30"/>
      <c r="N35" s="30"/>
      <c r="O35" s="17"/>
      <c r="P35" s="30"/>
      <c r="Q35" s="30"/>
      <c r="R35" s="30"/>
      <c r="S35" s="30"/>
      <c r="T35" s="50"/>
      <c r="U35" s="28"/>
      <c r="V35" s="28"/>
      <c r="W35" s="32"/>
      <c r="X35" s="28"/>
      <c r="Y35" s="67"/>
      <c r="Z35" s="501"/>
      <c r="AA35" s="501"/>
      <c r="AB35" s="501"/>
      <c r="AC35" s="511"/>
      <c r="AD35" s="28"/>
      <c r="AE35" s="28"/>
      <c r="AF35" s="6"/>
      <c r="AG35" s="28"/>
      <c r="AH35" s="28"/>
      <c r="AI35" s="28"/>
      <c r="AJ35" s="28"/>
      <c r="AK35" s="67"/>
      <c r="AL35" s="95"/>
      <c r="AM35" s="6"/>
      <c r="AN35" s="29"/>
      <c r="AO35" s="400"/>
      <c r="AP35" s="28"/>
      <c r="AQ35" s="28"/>
      <c r="AR35" s="67"/>
      <c r="AS35" s="31"/>
      <c r="AT35" s="32"/>
      <c r="AU35" s="83"/>
      <c r="AV35" s="33"/>
      <c r="AW35" s="33"/>
      <c r="AX35" s="32"/>
      <c r="AY35" s="112"/>
      <c r="AZ35" s="54"/>
      <c r="BA35" s="112"/>
      <c r="BB35" s="112"/>
      <c r="BC35" s="112"/>
      <c r="BD35" s="82"/>
      <c r="BE35" s="402"/>
      <c r="BF35" s="32"/>
      <c r="BG35" s="32"/>
      <c r="BH35" s="32"/>
      <c r="BI35" s="28"/>
      <c r="BJ35" s="584"/>
      <c r="BK35" s="88"/>
      <c r="BL35" s="78"/>
    </row>
    <row r="36" spans="1:64" ht="12.75" customHeight="1" x14ac:dyDescent="0.2">
      <c r="A36" s="67"/>
      <c r="B36" s="697"/>
      <c r="C36" s="698"/>
      <c r="D36" s="685"/>
      <c r="E36" s="4"/>
      <c r="F36" s="25"/>
      <c r="G36" s="25"/>
      <c r="H36" s="21"/>
      <c r="I36" s="25"/>
      <c r="J36" s="18"/>
      <c r="K36" s="22"/>
      <c r="L36" s="22"/>
      <c r="M36" s="22"/>
      <c r="N36" s="22"/>
      <c r="O36" s="18"/>
      <c r="P36" s="48"/>
      <c r="Q36" s="48"/>
      <c r="R36" s="48"/>
      <c r="S36" s="48"/>
      <c r="T36" s="67"/>
      <c r="U36" s="21"/>
      <c r="V36" s="21"/>
      <c r="W36" s="21"/>
      <c r="X36" s="21"/>
      <c r="Y36" s="67"/>
      <c r="Z36" s="458" t="s">
        <v>34</v>
      </c>
      <c r="AA36" s="502"/>
      <c r="AB36" s="502"/>
      <c r="AC36" s="512"/>
      <c r="AD36" s="430" t="s">
        <v>202</v>
      </c>
      <c r="AE36" s="111"/>
      <c r="AF36" s="6"/>
      <c r="AG36" s="21"/>
      <c r="AJ36" s="21"/>
      <c r="AK36" s="67"/>
      <c r="AM36" s="6"/>
      <c r="AN36" s="182" t="s">
        <v>121</v>
      </c>
      <c r="AO36" s="402"/>
      <c r="AP36" s="185" t="s">
        <v>34</v>
      </c>
      <c r="AQ36" s="520" t="s">
        <v>34</v>
      </c>
      <c r="AR36" s="67"/>
      <c r="AS36" s="271" t="s">
        <v>16</v>
      </c>
      <c r="AT36" s="152" t="s">
        <v>26</v>
      </c>
      <c r="AU36" s="11" t="s">
        <v>41</v>
      </c>
      <c r="AV36" s="416" t="s">
        <v>81</v>
      </c>
      <c r="AW36" s="11" t="s">
        <v>6</v>
      </c>
      <c r="AX36" s="296" t="s">
        <v>79</v>
      </c>
      <c r="AY36" s="182" t="s">
        <v>201</v>
      </c>
      <c r="AZ36" s="71"/>
      <c r="BA36" s="699" t="s">
        <v>78</v>
      </c>
      <c r="BB36" s="699"/>
      <c r="BC36" s="569" t="s">
        <v>200</v>
      </c>
      <c r="BD36" s="417" t="s">
        <v>253</v>
      </c>
      <c r="BE36" s="402"/>
      <c r="BH36" s="21"/>
      <c r="BK36" s="88"/>
      <c r="BL36" s="78"/>
    </row>
    <row r="37" spans="1:64" ht="3" customHeight="1" x14ac:dyDescent="0.2">
      <c r="A37" s="73"/>
      <c r="B37" s="284"/>
      <c r="C37" s="286"/>
      <c r="D37" s="685"/>
      <c r="E37" s="35"/>
      <c r="F37" s="36"/>
      <c r="G37" s="36"/>
      <c r="H37" s="34"/>
      <c r="I37" s="36"/>
      <c r="J37" s="60"/>
      <c r="K37" s="37"/>
      <c r="L37" s="37"/>
      <c r="M37" s="37"/>
      <c r="N37" s="37"/>
      <c r="O37" s="18"/>
      <c r="P37" s="37"/>
      <c r="Q37" s="37"/>
      <c r="R37" s="37"/>
      <c r="S37" s="37"/>
      <c r="T37" s="73"/>
      <c r="U37" s="34"/>
      <c r="V37" s="34"/>
      <c r="W37" s="34"/>
      <c r="X37" s="34"/>
      <c r="Y37" s="73"/>
      <c r="Z37" s="503"/>
      <c r="AA37" s="503"/>
      <c r="AB37" s="503"/>
      <c r="AC37" s="513"/>
      <c r="AD37" s="261"/>
      <c r="AE37" s="261"/>
      <c r="AF37" s="6"/>
      <c r="AG37" s="34"/>
      <c r="AH37" s="34"/>
      <c r="AI37" s="34"/>
      <c r="AJ37" s="34"/>
      <c r="AK37" s="73"/>
      <c r="AL37" s="95"/>
      <c r="AM37" s="6"/>
      <c r="AN37" s="34"/>
      <c r="AO37" s="403"/>
      <c r="AP37" s="34"/>
      <c r="AQ37" s="34"/>
      <c r="AR37" s="73"/>
      <c r="AS37" s="272"/>
      <c r="AT37" s="270"/>
      <c r="AU37" s="36"/>
      <c r="AV37" s="269"/>
      <c r="AW37" s="36"/>
      <c r="AX37" s="297"/>
      <c r="AY37" s="269"/>
      <c r="AZ37" s="76"/>
      <c r="BA37" s="687"/>
      <c r="BB37" s="687"/>
      <c r="BC37" s="36"/>
      <c r="BD37" s="34"/>
      <c r="BE37" s="522"/>
      <c r="BF37" s="95"/>
      <c r="BG37" s="34"/>
      <c r="BH37" s="34"/>
      <c r="BI37" s="364"/>
      <c r="BJ37" s="364"/>
      <c r="BK37" s="403"/>
      <c r="BL37" s="79"/>
    </row>
    <row r="38" spans="1:64" ht="12.75" customHeight="1" x14ac:dyDescent="0.2">
      <c r="A38" s="67"/>
      <c r="B38" s="700" t="s">
        <v>4</v>
      </c>
      <c r="C38" s="701"/>
      <c r="D38" s="685"/>
      <c r="E38" s="4" t="s">
        <v>4</v>
      </c>
      <c r="F38" s="152">
        <f>IF(ISBLANK(F4),"",AVERAGE(F4:F34))</f>
        <v>12.383333333333331</v>
      </c>
      <c r="G38" s="151">
        <f>IF(ISBLANK(G4),"",AVERAGE(G4:G34))</f>
        <v>20.443333333333332</v>
      </c>
      <c r="H38" s="14">
        <f>IF(ISBLANK(H4),"",AVERAGE(H4:H34))</f>
        <v>16.233333333333334</v>
      </c>
      <c r="I38" s="129">
        <f>IF(ISBLANK(F4),"",AVERAGE(I4:I34))</f>
        <v>8.06</v>
      </c>
      <c r="J38" s="19"/>
      <c r="K38" s="156">
        <f>IF(ISBLANK(K4),"",AVERAGE(K4:K34))</f>
        <v>55.9</v>
      </c>
      <c r="L38" s="153">
        <f>IF(ISBLANK(K4),"",AVERAGE(L4:L34))</f>
        <v>90.833333333333329</v>
      </c>
      <c r="M38" s="9">
        <f>IF(ISBLANK(M4),"",AVERAGE(M4:M34))</f>
        <v>75.36666666666666</v>
      </c>
      <c r="N38" s="398">
        <f>IF(ISBLANK(K4),"",AVERAGE(N4:N34))</f>
        <v>34.93333333333333</v>
      </c>
      <c r="O38" s="18"/>
      <c r="P38" s="154">
        <f>IF(ISBLANK(P4),"",AVERAGE(P4:P34))</f>
        <v>1011.7</v>
      </c>
      <c r="Q38" s="155">
        <f>IF(ISBLANK(P4),"",AVERAGE(Q4:Q34))</f>
        <v>1016.1333333333333</v>
      </c>
      <c r="R38" s="378">
        <f>IF(ISBLANK(P4),"",AVERAGE(P4:Q34))</f>
        <v>1013.9166666666666</v>
      </c>
      <c r="S38" s="130">
        <f>IF(ISBLANK(P4),"",AVERAGE(S4:S34))</f>
        <v>4.4333333333333336</v>
      </c>
      <c r="T38" s="70"/>
      <c r="U38" s="266">
        <f>IF(ISBLANK(U4),"",AVERAGE(U4:U34))</f>
        <v>5.1433333333333344</v>
      </c>
      <c r="V38" s="266">
        <f>IF(ISBLANK(V4),"",AVERAGE(V4:V34))</f>
        <v>13.496666666666666</v>
      </c>
      <c r="W38" s="266">
        <f>IF(ISBLANK(U4),"",AVERAGE(W4:W34))</f>
        <v>19.269999999999996</v>
      </c>
      <c r="X38" s="266" t="s">
        <v>110</v>
      </c>
      <c r="Y38" s="56"/>
      <c r="Z38" s="466">
        <f>SUM(Z4:Z34)</f>
        <v>42.099999999999987</v>
      </c>
      <c r="AA38" s="466">
        <f>IF($AN$38=0,"",AVERAGE(AA4:AA34))</f>
        <v>3.4299999999999997</v>
      </c>
      <c r="AB38" s="466">
        <f>IF($AN$38=0,"",AVERAGE(AB4:AB34))</f>
        <v>1.555555555555556</v>
      </c>
      <c r="AC38" s="514">
        <f>IF($AN$38=0,"",AVERAGE(AC4:AC34))</f>
        <v>6.2500000000000028E-2</v>
      </c>
      <c r="AD38" s="182">
        <f>IF(Z38&lt;0.1,"",Z38/AQ38)</f>
        <v>1.7396694214876027</v>
      </c>
      <c r="AE38" s="182">
        <f>IF($AN$38=0,"",AVERAGE(AE4:AE34))</f>
        <v>20.175000000000001</v>
      </c>
      <c r="AF38" s="6"/>
      <c r="AG38" s="263">
        <f>IF(ISBLANK(AG4),"",AVERAGE(AG4:AG34))</f>
        <v>9.1333333333333329</v>
      </c>
      <c r="AH38" s="321">
        <f>IF(ISBLANK(AH4),"",AVERAGE(AH4:AH34))</f>
        <v>14.26</v>
      </c>
      <c r="AI38" s="301">
        <f>IF(ISBLANK(AI4),"",AVERAGE(AI4:AI34))</f>
        <v>11.583333333333334</v>
      </c>
      <c r="AJ38" s="46">
        <f>IF(ISBLANK(AG4),"",AVERAGE(AJ4:AJ34))</f>
        <v>5.1266666666666669</v>
      </c>
      <c r="AK38" s="311"/>
      <c r="AL38" s="669" t="s">
        <v>487</v>
      </c>
      <c r="AM38" s="6"/>
      <c r="AN38" s="254">
        <f>COUNTIF(AL91:AL120,1)</f>
        <v>7</v>
      </c>
      <c r="AO38" s="224"/>
      <c r="AP38" s="528">
        <f>SUM(AP4:AP34)</f>
        <v>160.30999999999997</v>
      </c>
      <c r="AQ38" s="432">
        <f>SUM(AQ4:AQ34)</f>
        <v>24.2</v>
      </c>
      <c r="AR38" s="56"/>
      <c r="AS38" s="358">
        <f>COUNTIF(G4:G34, "&gt;25")</f>
        <v>3</v>
      </c>
      <c r="AT38" s="357">
        <f>COUNTIF(B4:B34,"&lt;0")</f>
        <v>0</v>
      </c>
      <c r="AU38" s="145">
        <f>SUM(COUNTIF(AN4:AN34,"Thunder"),COUNTIF(AN4:AN34,"*Thunder*"),COUNTIF(AN4:AN34,"*Storm*"))</f>
        <v>0</v>
      </c>
      <c r="AV38" s="396">
        <f xml:space="preserve"> SUM(COUNTIF(AN4:AN34,"*Slt*"),COUNTIF(AN4:AN34,"*Snw*"))</f>
        <v>0</v>
      </c>
      <c r="AW38" s="145">
        <f>COUNTIF(W4:W34, "&gt;38")</f>
        <v>0</v>
      </c>
      <c r="AX38" s="359">
        <f xml:space="preserve"> SUM(COUNTIF(AN4:AN34,"Hail"),COUNTIF(AN4:AN34,"*Hail*"))</f>
        <v>0</v>
      </c>
      <c r="AY38" s="396">
        <f>COUNTIF(Z4:Z34,"&gt;19.9")</f>
        <v>1</v>
      </c>
      <c r="AZ38" s="360"/>
      <c r="BA38" s="689">
        <f xml:space="preserve"> SUM(COUNTIF(AN4:AN34,"cm"),COUNTIF(AN4:AN34,"*cm*"))</f>
        <v>0</v>
      </c>
      <c r="BB38" s="689"/>
      <c r="BC38" s="568">
        <f xml:space="preserve"> SUM(COUNTIF(AN4:AN34,"Dense"),COUNTIF(AN4:AN34,"*Dense*"))</f>
        <v>1</v>
      </c>
      <c r="BD38" s="417">
        <f t="array" ref="BD38">SUM(IF(AP4:AP34&gt;0.95*AT91:AT121,1,0))</f>
        <v>3</v>
      </c>
      <c r="BE38" s="523"/>
      <c r="BH38" s="25"/>
      <c r="BK38" s="88"/>
      <c r="BL38" s="78"/>
    </row>
    <row r="39" spans="1:64" ht="12.75" customHeight="1" x14ac:dyDescent="0.2">
      <c r="A39" s="67"/>
      <c r="B39" s="214">
        <f>IF(ISBLANK(F4),"",AVERAGE(B4:B34))</f>
        <v>12.75333333333333</v>
      </c>
      <c r="C39" s="287">
        <f>IF(ISBLANK(P4),"",AVERAGE(C4:C34))</f>
        <v>20.443333333333332</v>
      </c>
      <c r="D39" s="686"/>
      <c r="E39" s="4" t="s">
        <v>9</v>
      </c>
      <c r="F39" s="163">
        <v>11.1</v>
      </c>
      <c r="G39" s="94">
        <v>18.7</v>
      </c>
      <c r="H39" s="390" t="s">
        <v>4</v>
      </c>
      <c r="I39" s="162">
        <f>G39-F39</f>
        <v>7.6</v>
      </c>
      <c r="J39" s="19"/>
      <c r="K39" s="22"/>
      <c r="L39" s="22"/>
      <c r="M39" s="538" t="s">
        <v>4</v>
      </c>
      <c r="N39" s="22"/>
      <c r="O39" s="18"/>
      <c r="P39" s="22"/>
      <c r="Q39" s="22"/>
      <c r="R39" s="380">
        <v>1013.25</v>
      </c>
      <c r="S39" s="22"/>
      <c r="T39" s="70"/>
      <c r="U39" s="259">
        <v>3.9</v>
      </c>
      <c r="V39" s="259"/>
      <c r="X39" s="260"/>
      <c r="Y39" s="70"/>
      <c r="Z39" s="504">
        <v>66</v>
      </c>
      <c r="AA39" s="105"/>
      <c r="AB39" s="505"/>
      <c r="AC39" s="515"/>
      <c r="AD39" s="490">
        <f>Z39/AQ39</f>
        <v>1.7837837837837838</v>
      </c>
      <c r="AF39" s="6"/>
      <c r="AG39" s="25"/>
      <c r="AI39" s="25"/>
      <c r="AJ39" s="25"/>
      <c r="AK39" s="56"/>
      <c r="AL39" s="669"/>
      <c r="AM39" s="6"/>
      <c r="AN39" s="253">
        <v>9</v>
      </c>
      <c r="AO39" s="224"/>
      <c r="AP39" s="529">
        <v>138</v>
      </c>
      <c r="AQ39" s="460">
        <v>37</v>
      </c>
      <c r="AR39" s="67"/>
      <c r="AT39" s="357">
        <v>0</v>
      </c>
      <c r="AU39" s="22">
        <v>2</v>
      </c>
      <c r="AV39" s="396">
        <v>0</v>
      </c>
      <c r="AW39" s="145"/>
      <c r="AX39" s="359"/>
      <c r="AZ39" s="360"/>
      <c r="BA39" s="689">
        <v>0</v>
      </c>
      <c r="BB39" s="689"/>
      <c r="BC39" s="145"/>
      <c r="BD39" s="145"/>
      <c r="BE39" s="360"/>
      <c r="BF39" s="147"/>
      <c r="BG39" s="147"/>
      <c r="BH39" s="147"/>
      <c r="BI39" s="147"/>
      <c r="BK39" s="88"/>
      <c r="BL39" s="78"/>
    </row>
    <row r="40" spans="1:64" ht="12.75" customHeight="1" x14ac:dyDescent="0.2">
      <c r="A40" s="67"/>
      <c r="B40" s="215">
        <f>IF(ISBLANK(F4),"",B39-F38)</f>
        <v>0.36999999999999922</v>
      </c>
      <c r="C40" s="288">
        <f>IF(ISBLANK(P4),"",C39-G38)</f>
        <v>0</v>
      </c>
      <c r="D40" s="686"/>
      <c r="E40" s="4" t="s">
        <v>10</v>
      </c>
      <c r="F40" s="152">
        <f>IF(ISBLANK(F4),"",F38-F39)</f>
        <v>1.2833333333333314</v>
      </c>
      <c r="G40" s="151">
        <f>IF(ISBLANK(G4),"",G38-G39)</f>
        <v>1.7433333333333323</v>
      </c>
      <c r="H40" s="383">
        <f>IF(M53&lt;1,"",AVERAGE(F4:G34))</f>
        <v>16.413333333333327</v>
      </c>
      <c r="I40" s="129">
        <f>IF(ISBLANK(F4),"",SUM(I38-I39))</f>
        <v>0.46000000000000085</v>
      </c>
      <c r="J40" s="19"/>
      <c r="K40" s="22"/>
      <c r="L40" s="22"/>
      <c r="M40" s="537">
        <f>IF(M53&lt;1,"",AVERAGE(K4:L34))</f>
        <v>73.36666666666666</v>
      </c>
      <c r="N40" s="25"/>
      <c r="O40" s="18"/>
      <c r="P40" s="102"/>
      <c r="Q40" s="22"/>
      <c r="R40" s="378">
        <f>IF(ISBLANK(P4),"",R38-R39)</f>
        <v>0.66666666666662877</v>
      </c>
      <c r="S40" s="22"/>
      <c r="T40" s="70"/>
      <c r="U40" s="266">
        <f>IF(ISBLANK(U4),"",U38-U39)</f>
        <v>1.2433333333333345</v>
      </c>
      <c r="V40" s="435">
        <f>IF(ISBLANK(U5),"",CORREL(U4:U34,V4:V34))</f>
        <v>0.89892401287400148</v>
      </c>
      <c r="W40" s="435">
        <f>IF(ISBLANK(U5),"",CORREL(U4:U34,W4:W34))</f>
        <v>0.91686356245894785</v>
      </c>
      <c r="X40" s="435">
        <f>IF(ISBLANK(V5),"",CORREL(V4:V34,W4:W34))</f>
        <v>0.97620406776641566</v>
      </c>
      <c r="Y40" s="70"/>
      <c r="Z40" s="465">
        <f>IF(ISBLANK(Z4),"",AB47/AB48)</f>
        <v>0.6378787878787876</v>
      </c>
      <c r="AA40" s="506">
        <f>Z38/Z39</f>
        <v>0.63787878787878771</v>
      </c>
      <c r="AB40" s="506"/>
      <c r="AC40" s="516"/>
      <c r="AD40" s="262">
        <f>IF(Z38&lt;0.3,"",AD38/(Z39/AQ39))</f>
        <v>0.97526922113698944</v>
      </c>
      <c r="AE40" s="527">
        <f>IF($AN$38=0,"",AVERAGE(AD4:AD34))</f>
        <v>1.2782222222222221</v>
      </c>
      <c r="AF40" s="6"/>
      <c r="AI40" s="25"/>
      <c r="AJ40" s="25"/>
      <c r="AK40" s="56"/>
      <c r="AL40" s="669"/>
      <c r="AM40" s="6"/>
      <c r="AN40" s="254">
        <f>SUM(AN38-AN39)</f>
        <v>-2</v>
      </c>
      <c r="AO40" s="224"/>
      <c r="AP40" s="530">
        <f>IF(ISBLANK(AP4),"",AP47/AP54)</f>
        <v>1.1616666666666666</v>
      </c>
      <c r="AQ40" s="427">
        <f>IF(ISBLANK(AQ4),"",AQ47/(AQ39/E34))</f>
        <v>0.65405405405405403</v>
      </c>
      <c r="AR40" s="418"/>
      <c r="AT40" s="357">
        <f>SUM(AT38-AT39)</f>
        <v>0</v>
      </c>
      <c r="AU40" s="145">
        <f>SUM(AU38-AU39)</f>
        <v>-2</v>
      </c>
      <c r="AV40" s="396">
        <f>AV38-AV39</f>
        <v>0</v>
      </c>
      <c r="AW40" s="145"/>
      <c r="AX40" s="359"/>
      <c r="AZ40" s="360"/>
      <c r="BA40" s="689">
        <f>BA38-BA39</f>
        <v>0</v>
      </c>
      <c r="BB40" s="689"/>
      <c r="BC40" s="145"/>
      <c r="BD40" s="145"/>
      <c r="BE40" s="360"/>
      <c r="BI40" s="25"/>
      <c r="BK40" s="88"/>
      <c r="BL40" s="78"/>
    </row>
    <row r="41" spans="1:64" ht="4.5" customHeight="1" x14ac:dyDescent="0.2">
      <c r="A41" s="74"/>
      <c r="B41" s="289"/>
      <c r="C41" s="290"/>
      <c r="D41" s="686"/>
      <c r="E41" s="40"/>
      <c r="F41" s="41"/>
      <c r="G41" s="41"/>
      <c r="H41" s="42"/>
      <c r="I41" s="41"/>
      <c r="J41" s="61"/>
      <c r="K41" s="43"/>
      <c r="L41" s="43"/>
      <c r="M41" s="44"/>
      <c r="N41" s="43"/>
      <c r="O41" s="18"/>
      <c r="P41" s="43"/>
      <c r="Q41" s="43"/>
      <c r="R41" s="44"/>
      <c r="S41" s="43"/>
      <c r="T41" s="74"/>
      <c r="U41" s="41"/>
      <c r="V41" s="41"/>
      <c r="W41" s="41"/>
      <c r="X41" s="41"/>
      <c r="Y41" s="77"/>
      <c r="Z41" s="507"/>
      <c r="AA41" s="507"/>
      <c r="AB41" s="507"/>
      <c r="AC41" s="517"/>
      <c r="AD41" s="41"/>
      <c r="AE41" s="41"/>
      <c r="AF41" s="6"/>
      <c r="AG41" s="41"/>
      <c r="AH41" s="41"/>
      <c r="AI41" s="41"/>
      <c r="AJ41" s="41"/>
      <c r="AK41" s="77"/>
      <c r="AL41" s="669"/>
      <c r="AM41" s="6"/>
      <c r="AN41" s="39"/>
      <c r="AO41" s="39"/>
      <c r="AP41" s="39"/>
      <c r="AQ41" s="39"/>
      <c r="AR41" s="39"/>
      <c r="AS41" s="41"/>
      <c r="AT41" s="43"/>
      <c r="AU41" s="41"/>
      <c r="AV41" s="41"/>
      <c r="AW41" s="41"/>
      <c r="AX41" s="41"/>
      <c r="AY41" s="41"/>
      <c r="AZ41" s="77"/>
      <c r="BA41" s="41"/>
      <c r="BB41" s="41"/>
      <c r="BC41" s="41"/>
      <c r="BD41" s="41"/>
      <c r="BE41" s="77"/>
      <c r="BF41" s="41"/>
      <c r="BG41" s="41"/>
      <c r="BH41" s="39"/>
      <c r="BI41" s="41"/>
      <c r="BJ41" s="41"/>
      <c r="BK41" s="39"/>
      <c r="BL41" s="80"/>
    </row>
    <row r="42" spans="1:64" ht="12.75" customHeight="1" x14ac:dyDescent="0.2">
      <c r="A42" s="67"/>
      <c r="B42" s="705" t="s">
        <v>98</v>
      </c>
      <c r="C42" s="706"/>
      <c r="D42" s="686"/>
      <c r="E42" s="4" t="s">
        <v>5</v>
      </c>
      <c r="F42" s="25">
        <f>F86-F85</f>
        <v>9</v>
      </c>
      <c r="G42" s="25">
        <f>G86-G85</f>
        <v>11.099999999999998</v>
      </c>
      <c r="H42" s="25">
        <f>H86-H85</f>
        <v>7.8000000000000007</v>
      </c>
      <c r="I42" s="25">
        <f>I86-I85</f>
        <v>10.100000000000001</v>
      </c>
      <c r="J42" s="20"/>
      <c r="K42" s="22">
        <f>K86-K85</f>
        <v>37</v>
      </c>
      <c r="L42" s="22">
        <f>L86-L85</f>
        <v>20</v>
      </c>
      <c r="M42" s="22">
        <f>M86-M85</f>
        <v>24</v>
      </c>
      <c r="N42" s="22">
        <f>N86-N85</f>
        <v>39</v>
      </c>
      <c r="O42" s="20"/>
      <c r="P42" s="22">
        <f>P86-P85</f>
        <v>26</v>
      </c>
      <c r="Q42" s="22">
        <f>Q86-Q85</f>
        <v>23</v>
      </c>
      <c r="R42" s="22">
        <f>R86-R85</f>
        <v>23</v>
      </c>
      <c r="S42" s="22">
        <f>S86-S85</f>
        <v>9</v>
      </c>
      <c r="T42" s="75"/>
      <c r="U42" s="25">
        <f>U86-U85</f>
        <v>9</v>
      </c>
      <c r="V42" s="25">
        <f>V86-V85</f>
        <v>15.000000000000002</v>
      </c>
      <c r="W42" s="25">
        <f>W86-W85</f>
        <v>27.599999999999998</v>
      </c>
      <c r="X42" s="25"/>
      <c r="Y42" s="135"/>
      <c r="Z42" s="38">
        <f>Z86-Z85</f>
        <v>21.7</v>
      </c>
      <c r="AA42" s="38">
        <f>AA86-AA85</f>
        <v>18.099999999999998</v>
      </c>
      <c r="AB42" s="38">
        <f>AB86-AB85</f>
        <v>7.1000000000000005</v>
      </c>
      <c r="AC42" s="510">
        <f>AC86-AC85</f>
        <v>0.51306413301662723</v>
      </c>
      <c r="AD42" s="25">
        <f>AE86-AE85</f>
        <v>4.0733333333333333</v>
      </c>
      <c r="AE42" s="22">
        <f>AD86-AD85</f>
        <v>99.4</v>
      </c>
      <c r="AF42" s="6"/>
      <c r="AG42" s="25">
        <f>AG86-AG85</f>
        <v>9.8000000000000007</v>
      </c>
      <c r="AH42" s="25">
        <f>AH86-AH85</f>
        <v>8.8000000000000007</v>
      </c>
      <c r="AI42" s="25">
        <f>AI86-AI85</f>
        <v>8.6000000000000014</v>
      </c>
      <c r="AJ42" s="25">
        <f>AJ86-AJ85</f>
        <v>7.4</v>
      </c>
      <c r="AK42" s="56"/>
      <c r="AL42" s="669"/>
      <c r="AM42" s="6"/>
      <c r="AN42" s="4" t="s">
        <v>80</v>
      </c>
      <c r="AO42" s="223"/>
      <c r="AP42" s="25">
        <f>AP86-AP85</f>
        <v>10.61</v>
      </c>
      <c r="AQ42" s="22">
        <f>AQ86-AQ85</f>
        <v>5</v>
      </c>
      <c r="AR42" s="70"/>
      <c r="AS42" s="25">
        <f t="shared" ref="AS42:AY42" si="11">AS86-AS85</f>
        <v>1.4893333333333345</v>
      </c>
      <c r="AT42" s="25">
        <f t="shared" si="11"/>
        <v>1.7852173913043501</v>
      </c>
      <c r="AU42" s="25">
        <f t="shared" si="11"/>
        <v>1.2158333333333324</v>
      </c>
      <c r="AV42" s="25">
        <f t="shared" si="11"/>
        <v>1.6461538461538465</v>
      </c>
      <c r="AW42" s="25">
        <f t="shared" si="11"/>
        <v>4.2000000000000028</v>
      </c>
      <c r="AX42" s="25">
        <f t="shared" si="11"/>
        <v>5.3333333333332575</v>
      </c>
      <c r="AY42" s="25">
        <f t="shared" si="11"/>
        <v>1.5335897435897419</v>
      </c>
      <c r="AZ42" s="56"/>
      <c r="BA42" s="25">
        <f>G42</f>
        <v>11.099999999999998</v>
      </c>
      <c r="BB42" s="25">
        <f>H42</f>
        <v>7.8000000000000007</v>
      </c>
      <c r="BC42" s="25">
        <f>I42</f>
        <v>10.100000000000001</v>
      </c>
      <c r="BD42" s="22"/>
      <c r="BE42" s="67"/>
      <c r="BF42" s="13">
        <f>AS42</f>
        <v>1.4893333333333345</v>
      </c>
      <c r="BG42" s="13">
        <f>AT42</f>
        <v>1.7852173913043501</v>
      </c>
      <c r="BH42" s="13">
        <f>BH86-BH85</f>
        <v>1.9802998520710027</v>
      </c>
      <c r="BI42" s="93">
        <f>BI86-BI85</f>
        <v>1.5818181818181816</v>
      </c>
      <c r="BJ42" s="93">
        <f>BJ86-BJ85</f>
        <v>0.46907141522207785</v>
      </c>
      <c r="BK42" s="88"/>
      <c r="BL42" s="78"/>
    </row>
    <row r="43" spans="1:64" ht="12.75" customHeight="1" x14ac:dyDescent="0.2">
      <c r="A43" s="67"/>
      <c r="B43" s="216">
        <f>COUNTIF(O4:O34,1)</f>
        <v>8</v>
      </c>
      <c r="C43" s="291">
        <f>COUNTIF(J4:J34,1)</f>
        <v>0</v>
      </c>
      <c r="D43" s="686"/>
      <c r="E43" s="12" t="s">
        <v>174</v>
      </c>
      <c r="F43" s="25">
        <f>IF(ISBLANK($G$6),"",STDEV(F4:F34))</f>
        <v>2.3858900361013893</v>
      </c>
      <c r="G43" s="25">
        <f>IF(ISBLANK($G$6),"",STDEV(G4:G34))</f>
        <v>2.825461003988111</v>
      </c>
      <c r="H43" s="25">
        <f>IF(ISBLANK($H$6),"",STDEV(H4:H34))</f>
        <v>1.9957425950625851</v>
      </c>
      <c r="I43" s="25">
        <f>IF(ISBLANK($G$6),"",STDEV(I4:I34))</f>
        <v>2.8821208665937617</v>
      </c>
      <c r="J43" s="56"/>
      <c r="K43" s="25">
        <f>IF(ISBLANK($G$6),"",STDEV(K4:K34))</f>
        <v>10.812987082909713</v>
      </c>
      <c r="L43" s="25">
        <f>IF(ISBLANK($G$6),"",STDEV(L4:L34))</f>
        <v>4.4573328450940286</v>
      </c>
      <c r="M43" s="25">
        <f>IF(ISBLANK($H$6),"",STDEV(M4:M34))</f>
        <v>6.0996513938451251</v>
      </c>
      <c r="N43" s="25">
        <f>IF(ISBLANK($G$6),"",STDEV(N4:N34))</f>
        <v>10.808468370021128</v>
      </c>
      <c r="O43" s="56"/>
      <c r="P43" s="25">
        <f>IF(ISBLANK($G$6),"",STDEV(P4:P34))</f>
        <v>7.0424819292730811</v>
      </c>
      <c r="Q43" s="25">
        <f>IF(ISBLANK($G$6),"",STDEV(Q4:Q34))</f>
        <v>6.4793216616712508</v>
      </c>
      <c r="R43" s="25">
        <f>IF(ISBLANK($G$6),"",STDEV(R4:R34))</f>
        <v>6.6320581573368953</v>
      </c>
      <c r="S43" s="25">
        <f>IF(ISBLANK($G$6),"",STDEV(S4:S34))</f>
        <v>2.68692021278732</v>
      </c>
      <c r="T43" s="75"/>
      <c r="U43" s="25">
        <f>IF(ISBLANK($G$6),"",STDEV(U4:U34))</f>
        <v>2.3019756632125774</v>
      </c>
      <c r="V43" s="25">
        <f>IF(ISBLANK($G$6),"",STDEV(V4:V34))</f>
        <v>4.2945421122656331</v>
      </c>
      <c r="W43" s="25">
        <f>IF(ISBLANK($G$6),"",STDEV(W4:W34))</f>
        <v>7.2813010394836963</v>
      </c>
      <c r="X43" s="25"/>
      <c r="Y43" s="135"/>
      <c r="Z43" s="38">
        <f>IF(ISBLANK($G$6),"",STDEV(Z4:Z34))</f>
        <v>4.0198201480897753</v>
      </c>
      <c r="AA43" s="38">
        <f>IF(AA86-AA85=0,"",STDEV(AA4:AA34))</f>
        <v>5.407823550704622</v>
      </c>
      <c r="AB43" s="38">
        <f>IF(AB86-AB85=0,"",STDEV(AB4:AB34))</f>
        <v>2.2616979855360393</v>
      </c>
      <c r="AC43" s="510">
        <f>IF(AC86-AC85=0,"",STDEV(AC4:AC34))</f>
        <v>0.12522634630003188</v>
      </c>
      <c r="AD43" s="25">
        <f>IF(AE86-AE85=0,"",STDEV(AD4:AD34))</f>
        <v>1.2419275000352941</v>
      </c>
      <c r="AE43" s="25">
        <f>IF(AD86-AD85=0,"",STDEV(AE4:AE34))</f>
        <v>33.151718335124478</v>
      </c>
      <c r="AF43" s="6"/>
      <c r="AG43" s="25">
        <f>IF(ISBLANK($AG$6),"",STDEV(AG4:AG34))</f>
        <v>2.5591395824180512</v>
      </c>
      <c r="AH43" s="25">
        <f>IF(ISBLANK($AH$6),"",STDEV(AH4:AH34))</f>
        <v>2.5126713357260555</v>
      </c>
      <c r="AI43" s="25">
        <f>IF(ISBLANK($AI$6),"",STDEV(AI4:AI34))</f>
        <v>2.3323930782062381</v>
      </c>
      <c r="AJ43" s="25">
        <f>IF(ISBLANK($AH$6),"",STDEV(AJ4:AJ34))</f>
        <v>1.6964330394894036</v>
      </c>
      <c r="AK43" s="56"/>
      <c r="AL43" s="669"/>
      <c r="AM43" s="6"/>
      <c r="AN43" s="22">
        <f>M53-AN91</f>
        <v>12</v>
      </c>
      <c r="AO43" s="224"/>
      <c r="AP43" s="25">
        <f>IF(ISBLANK($AP$6),"",STDEV(AP4:AP34))</f>
        <v>3.1915777995491066</v>
      </c>
      <c r="AQ43" s="25">
        <f>IF(ISBLANK($AQ$6),"",STDEV(AQ4:AQ34))</f>
        <v>1.2031376604050998</v>
      </c>
      <c r="AR43" s="56"/>
      <c r="AS43" s="25">
        <f>IF(ISBLANK($G$6),"",STDEV(AS4:AS34))</f>
        <v>0.66522401365431938</v>
      </c>
      <c r="AT43" s="25">
        <f>IF(ISBLANK($G$6),"",STDEV(AT4:AT34))</f>
        <v>0.84855789436395834</v>
      </c>
      <c r="AU43" s="25">
        <f>IF(ISBLANK($G$6),"",STDEV(AU4:AU34))</f>
        <v>0.54697459665732251</v>
      </c>
      <c r="AV43" s="25">
        <f>IF(ISBLANK($G$6),"",STDEV(AV4:AV34))</f>
        <v>0.97283010923489044</v>
      </c>
      <c r="AW43" s="25">
        <f>IF(ISBLANK($M$6),"",STDEV(AW4:AW34))</f>
        <v>1.5577609244615744</v>
      </c>
      <c r="AX43" s="25">
        <f>IF(ISBLANK($G$6),"",STDEV(AX4:AX34))</f>
        <v>1.531891746271393</v>
      </c>
      <c r="AY43" s="25">
        <f>IF(ISBLANK($G$6),"",STDEV(BA4:BA34))</f>
        <v>2.3774427762727486</v>
      </c>
      <c r="AZ43" s="56"/>
      <c r="BA43" s="25">
        <f>IF(ISBLANK($G$6),"",STDEV(BB4:BB34))</f>
        <v>3.3646168122397841</v>
      </c>
      <c r="BB43" s="25">
        <f>IF(ISBLANK($G$6),"",STDEV(BD4:BD34))</f>
        <v>3.2014557324111532</v>
      </c>
      <c r="BC43" s="25">
        <f>IF(ISBLANK($G$6),"",STDEV(BD4:BD34))</f>
        <v>3.2014557324111532</v>
      </c>
      <c r="BD43" s="25"/>
      <c r="BE43" s="56"/>
      <c r="BF43" s="25">
        <f>IF(ISBLANK($G$6),"",STDEV(BF4:BF34))</f>
        <v>0.7033723184316385</v>
      </c>
      <c r="BG43" s="25">
        <f>IF(ISBLANK($G$6),"",STDEV(BG4:BG34))</f>
        <v>0.66393451659106151</v>
      </c>
      <c r="BH43" s="25">
        <f>IF(ISBLANK($G$6),"",STDEV(BH4:BH34))</f>
        <v>0.88138975073978321</v>
      </c>
      <c r="BI43" s="93">
        <f>IF(ISBLANK($Z$6),"",STDEV(BI4:BI34))</f>
        <v>0.48005416585559041</v>
      </c>
      <c r="BJ43" s="93">
        <f>IF(ISBLANK($Z$6),"",STDEV(BJ4:BJ34))</f>
        <v>0.21439859224329394</v>
      </c>
      <c r="BK43" s="402"/>
      <c r="BL43" s="78"/>
    </row>
    <row r="44" spans="1:64" ht="4.5" customHeight="1" x14ac:dyDescent="0.2">
      <c r="A44" s="67"/>
      <c r="B44" s="63"/>
      <c r="C44" s="66"/>
      <c r="D44" s="63"/>
      <c r="E44" s="64"/>
      <c r="F44" s="66"/>
      <c r="G44" s="66"/>
      <c r="H44" s="66"/>
      <c r="I44" s="66"/>
      <c r="J44" s="62"/>
      <c r="K44" s="66"/>
      <c r="L44" s="66"/>
      <c r="M44" s="66"/>
      <c r="N44" s="65"/>
      <c r="O44" s="62"/>
      <c r="P44" s="66"/>
      <c r="Q44" s="66"/>
      <c r="R44" s="66"/>
      <c r="S44" s="66"/>
      <c r="T44" s="66"/>
      <c r="U44" s="66"/>
      <c r="V44" s="66"/>
      <c r="W44" s="66"/>
      <c r="X44" s="66"/>
      <c r="Y44" s="135"/>
      <c r="Z44" s="66"/>
      <c r="AA44" s="66"/>
      <c r="AB44" s="66"/>
      <c r="AC44" s="66"/>
      <c r="AD44" s="66"/>
      <c r="AE44" s="66"/>
      <c r="AF44" s="6"/>
      <c r="AG44" s="66"/>
      <c r="AH44" s="66"/>
      <c r="AI44" s="132"/>
      <c r="AJ44" s="132"/>
      <c r="AK44" s="6"/>
      <c r="AL44" s="132"/>
      <c r="AM44" s="6"/>
      <c r="AN44" s="66"/>
      <c r="AO44" s="402"/>
      <c r="AP44" s="63"/>
      <c r="AQ44" s="63"/>
      <c r="AR44" s="67"/>
      <c r="AS44" s="66"/>
      <c r="AT44" s="65"/>
      <c r="AU44" s="66"/>
      <c r="AV44" s="66"/>
      <c r="AW44" s="66"/>
      <c r="AX44" s="66"/>
      <c r="AY44" s="66"/>
      <c r="AZ44" s="56"/>
      <c r="BA44" s="66"/>
      <c r="BB44" s="66"/>
      <c r="BC44" s="66"/>
      <c r="BD44" s="66"/>
      <c r="BE44" s="56"/>
      <c r="BF44" s="66"/>
      <c r="BG44" s="66"/>
      <c r="BH44" s="63"/>
      <c r="BI44" s="63"/>
      <c r="BJ44" s="66"/>
      <c r="BK44" s="88"/>
      <c r="BL44" s="78"/>
    </row>
    <row r="45" spans="1:64" ht="5.25" customHeight="1" thickBot="1" x14ac:dyDescent="0.25">
      <c r="A45" s="67"/>
      <c r="B45" s="21"/>
      <c r="C45" s="25"/>
      <c r="D45" s="21"/>
      <c r="E45" s="4"/>
      <c r="F45" s="25"/>
      <c r="G45" s="25"/>
      <c r="H45" s="25"/>
      <c r="I45" s="25"/>
      <c r="J45" s="18"/>
      <c r="K45" s="25"/>
      <c r="L45" s="25"/>
      <c r="M45" s="25"/>
      <c r="N45" s="22"/>
      <c r="O45" s="18"/>
      <c r="P45" s="25"/>
      <c r="Q45" s="25"/>
      <c r="R45" s="25"/>
      <c r="S45" s="25"/>
      <c r="T45" s="56"/>
      <c r="U45" s="25"/>
      <c r="V45" s="25"/>
      <c r="W45" s="25"/>
      <c r="X45" s="25"/>
      <c r="Y45" s="135"/>
      <c r="AF45" s="56"/>
      <c r="AG45" s="25"/>
      <c r="AH45" s="25"/>
      <c r="AK45" s="6"/>
      <c r="AM45" s="6"/>
      <c r="AN45" s="25"/>
      <c r="AO45" s="402"/>
      <c r="AP45" s="21"/>
      <c r="AQ45" s="21"/>
      <c r="AR45" s="67"/>
      <c r="AS45" s="25"/>
      <c r="AT45" s="22"/>
      <c r="AU45" s="25"/>
      <c r="AV45" s="25"/>
      <c r="AW45" s="25"/>
      <c r="AX45" s="25"/>
      <c r="AY45" s="25"/>
      <c r="AZ45" s="56"/>
      <c r="BA45" s="25"/>
      <c r="BB45" s="25"/>
      <c r="BC45" s="25"/>
      <c r="BD45" s="25"/>
      <c r="BE45" s="56"/>
      <c r="BF45" s="25"/>
      <c r="BG45" s="25"/>
      <c r="BH45" s="21"/>
      <c r="BI45" s="21"/>
      <c r="BJ45" s="25"/>
      <c r="BK45" s="67"/>
      <c r="BL45" s="78"/>
    </row>
    <row r="46" spans="1:64" ht="15" customHeight="1" x14ac:dyDescent="0.2">
      <c r="A46" s="67"/>
      <c r="B46" s="702" t="s">
        <v>132</v>
      </c>
      <c r="C46" s="703"/>
      <c r="D46" s="703"/>
      <c r="E46" s="704"/>
      <c r="F46" s="349">
        <f>F40</f>
        <v>1.2833333333333314</v>
      </c>
      <c r="G46" s="350">
        <f>G40</f>
        <v>1.7433333333333323</v>
      </c>
      <c r="H46" s="382">
        <f>AY82</f>
        <v>1.5133333333333283</v>
      </c>
      <c r="I46" s="352">
        <f>I40</f>
        <v>0.46000000000000085</v>
      </c>
      <c r="J46" s="18"/>
      <c r="K46" s="353">
        <f>K38</f>
        <v>55.9</v>
      </c>
      <c r="L46" s="298">
        <f>L38</f>
        <v>90.833333333333329</v>
      </c>
      <c r="M46" s="354">
        <f>M38</f>
        <v>75.36666666666666</v>
      </c>
      <c r="N46" s="25">
        <f>N38</f>
        <v>34.93333333333333</v>
      </c>
      <c r="O46" s="18"/>
      <c r="P46" s="25"/>
      <c r="Q46" s="25"/>
      <c r="R46" s="381">
        <f>R40</f>
        <v>0.66666666666662877</v>
      </c>
      <c r="S46" s="162">
        <f>S38</f>
        <v>4.4333333333333336</v>
      </c>
      <c r="T46" s="56"/>
      <c r="U46" s="355">
        <f>U38</f>
        <v>5.1433333333333344</v>
      </c>
      <c r="W46" s="304" t="s">
        <v>113</v>
      </c>
      <c r="X46" s="22">
        <f>COUNTIF(X4:X34,"N")</f>
        <v>0</v>
      </c>
      <c r="Y46" s="135"/>
      <c r="Z46" s="681" t="s">
        <v>151</v>
      </c>
      <c r="AA46" s="668">
        <f>IF(AN48=0,"n/a",Z38/AN48)</f>
        <v>2.8066666666666658</v>
      </c>
      <c r="AB46" s="385" t="s">
        <v>189</v>
      </c>
      <c r="AC46" s="268" t="s">
        <v>282</v>
      </c>
      <c r="AF46" s="135"/>
      <c r="AG46" s="392">
        <f>AG38</f>
        <v>9.1333333333333329</v>
      </c>
      <c r="AH46" s="393">
        <f>AH38</f>
        <v>14.26</v>
      </c>
      <c r="AI46" s="348">
        <f>AI38</f>
        <v>11.583333333333334</v>
      </c>
      <c r="AJ46" s="49">
        <f>AJ38</f>
        <v>5.1266666666666669</v>
      </c>
      <c r="AK46" s="126"/>
      <c r="AL46" s="356"/>
      <c r="AM46" s="6"/>
      <c r="AO46" s="404"/>
      <c r="AP46" s="445">
        <f>AP38/AP39</f>
        <v>1.1616666666666664</v>
      </c>
      <c r="AQ46" s="446">
        <f>AQ38/AQ39</f>
        <v>0.65405405405405403</v>
      </c>
      <c r="AR46" s="6"/>
      <c r="AS46" s="696" t="s">
        <v>131</v>
      </c>
      <c r="AT46" s="650"/>
      <c r="AU46" s="650"/>
      <c r="AV46" s="650"/>
      <c r="AW46" s="650"/>
      <c r="AX46" s="650"/>
      <c r="AY46" s="25"/>
      <c r="AZ46" s="56"/>
      <c r="BC46" s="25"/>
      <c r="BD46" s="25"/>
      <c r="BE46" s="56"/>
      <c r="BF46" s="693" t="s">
        <v>232</v>
      </c>
      <c r="BG46" s="693"/>
      <c r="BH46" s="693"/>
      <c r="BI46" s="693"/>
      <c r="BJ46" s="693"/>
      <c r="BK46" s="67"/>
      <c r="BL46" s="78"/>
    </row>
    <row r="47" spans="1:64" ht="12.75" customHeight="1" x14ac:dyDescent="0.2">
      <c r="A47" s="67"/>
      <c r="B47" s="682" t="s">
        <v>17</v>
      </c>
      <c r="C47" s="683"/>
      <c r="D47" s="684"/>
      <c r="E47" s="581" t="s">
        <v>15</v>
      </c>
      <c r="F47" s="349">
        <f>F38</f>
        <v>12.383333333333331</v>
      </c>
      <c r="G47" s="350">
        <f>G38</f>
        <v>20.443333333333332</v>
      </c>
      <c r="H47" s="351">
        <f>H38</f>
        <v>16.233333333333334</v>
      </c>
      <c r="I47" s="352">
        <f>I38</f>
        <v>8.06</v>
      </c>
      <c r="J47" s="18"/>
      <c r="K47" s="21"/>
      <c r="L47" s="170"/>
      <c r="M47" s="52"/>
      <c r="N47" s="118"/>
      <c r="O47" s="18"/>
      <c r="P47" s="21"/>
      <c r="Q47" s="21"/>
      <c r="R47" s="381">
        <f>R38</f>
        <v>1013.9166666666666</v>
      </c>
      <c r="S47" s="21"/>
      <c r="T47" s="56"/>
      <c r="U47" s="7"/>
      <c r="W47" s="143" t="s">
        <v>105</v>
      </c>
      <c r="X47" s="22">
        <f>COUNTIF(X4:X34,"NE")</f>
        <v>0</v>
      </c>
      <c r="Y47" s="56"/>
      <c r="Z47" s="681"/>
      <c r="AA47" s="668"/>
      <c r="AB47" s="384">
        <f>IF(M53=0,"",AVERAGE(Z4:Z34))</f>
        <v>1.4033333333333329</v>
      </c>
      <c r="AC47" s="323" t="str">
        <f>IF(M54&gt;0,IF(Z38&gt;Z39,"",AC48/M54/AB48),"n/a")</f>
        <v>n/a</v>
      </c>
      <c r="AE47" s="548"/>
      <c r="AF47" s="56"/>
      <c r="AH47" s="124"/>
      <c r="AI47" s="124"/>
      <c r="AJ47" s="124"/>
      <c r="AK47" s="126"/>
      <c r="AL47" s="124"/>
      <c r="AM47" s="6"/>
      <c r="AN47" s="179" t="s">
        <v>67</v>
      </c>
      <c r="AO47" s="405"/>
      <c r="AP47" s="456">
        <f>IF(ISBLANK(AP4),"",AVERAGE(AP4:AP34))</f>
        <v>5.3436666666666657</v>
      </c>
      <c r="AQ47" s="443">
        <f>IF(ISBLANK(AQ4),"",AVERAGE(AQ4:AQ34))</f>
        <v>0.80666666666666664</v>
      </c>
      <c r="AR47" s="6"/>
      <c r="AS47" s="25"/>
      <c r="AT47" s="22"/>
      <c r="AU47" s="25"/>
      <c r="AV47" s="25"/>
      <c r="AW47" s="25"/>
      <c r="AX47" s="25"/>
      <c r="AY47" s="695" t="s">
        <v>35</v>
      </c>
      <c r="AZ47" s="695"/>
      <c r="BA47" s="695"/>
      <c r="BB47" s="695"/>
      <c r="BC47" s="695"/>
      <c r="BD47" s="695"/>
      <c r="BE47" s="67"/>
      <c r="BF47" s="694" t="s">
        <v>169</v>
      </c>
      <c r="BG47" s="694"/>
      <c r="BH47" s="694"/>
      <c r="BI47" s="694"/>
      <c r="BJ47" s="694"/>
      <c r="BK47" s="2"/>
      <c r="BL47" s="78"/>
    </row>
    <row r="48" spans="1:64" ht="12.75" customHeight="1" x14ac:dyDescent="0.2">
      <c r="A48" s="67"/>
      <c r="B48" s="707" t="s">
        <v>51</v>
      </c>
      <c r="C48" s="708"/>
      <c r="D48" s="709"/>
      <c r="E48" s="142">
        <f>IF(ISBLANK(H5),"",CORREL(H4:H34,R4:R34))</f>
        <v>0.12305456942458901</v>
      </c>
      <c r="F48" s="576">
        <f>IF(ISBLANK(H5),"",ABS(E48))</f>
        <v>0.12305456942458901</v>
      </c>
      <c r="J48" s="18"/>
      <c r="K48" s="636" t="s">
        <v>377</v>
      </c>
      <c r="L48" s="636"/>
      <c r="M48" s="636"/>
      <c r="N48" s="636"/>
      <c r="O48" s="17"/>
      <c r="R48" s="25"/>
      <c r="S48" s="25"/>
      <c r="T48" s="56"/>
      <c r="U48" s="266"/>
      <c r="W48" s="304" t="s">
        <v>106</v>
      </c>
      <c r="X48" s="22">
        <f>COUNTIF(X4:X34,"E")</f>
        <v>3</v>
      </c>
      <c r="Y48" s="6"/>
      <c r="AB48" s="438">
        <f>Z39/E34</f>
        <v>2.2000000000000002</v>
      </c>
      <c r="AC48" s="579">
        <f>ABS(Z39-Z38)</f>
        <v>23.900000000000013</v>
      </c>
      <c r="AD48" s="578" t="str">
        <f>IF(Z38&gt;Z39,"Excess","Deficit")</f>
        <v>Deficit</v>
      </c>
      <c r="AE48" s="547"/>
      <c r="AF48" s="6"/>
      <c r="AK48" s="6"/>
      <c r="AL48" s="124"/>
      <c r="AM48" s="6"/>
      <c r="AN48" s="5">
        <f>SUM(AJ91:AJ121)</f>
        <v>15</v>
      </c>
      <c r="AO48" s="406"/>
      <c r="AR48" s="6"/>
      <c r="AS48" s="641" t="s">
        <v>447</v>
      </c>
      <c r="AT48" s="642"/>
      <c r="AU48" s="643"/>
      <c r="AV48" s="139"/>
      <c r="AY48" s="4" t="s">
        <v>164</v>
      </c>
      <c r="AZ48" s="68"/>
      <c r="BA48" s="4" t="s">
        <v>199</v>
      </c>
      <c r="BB48" s="329" t="s">
        <v>166</v>
      </c>
      <c r="BC48" s="147" t="s">
        <v>326</v>
      </c>
      <c r="BD48" s="147" t="s">
        <v>10</v>
      </c>
      <c r="BE48" s="67"/>
      <c r="BF48" s="181" t="s">
        <v>21</v>
      </c>
      <c r="BG48" s="294" t="s">
        <v>22</v>
      </c>
      <c r="BH48" s="335" t="s">
        <v>171</v>
      </c>
      <c r="BI48" s="336" t="s">
        <v>170</v>
      </c>
      <c r="BJ48" s="97" t="s">
        <v>172</v>
      </c>
      <c r="BK48" s="16"/>
      <c r="BL48" s="78"/>
    </row>
    <row r="49" spans="1:64" ht="12.75" customHeight="1" x14ac:dyDescent="0.2">
      <c r="A49" s="67"/>
      <c r="B49" s="707" t="s">
        <v>50</v>
      </c>
      <c r="C49" s="708"/>
      <c r="D49" s="709"/>
      <c r="E49" s="89">
        <f>IF(ISBLANK(H5),"",CORREL(H4:H34,M4:M34))</f>
        <v>4.2300862231528701E-2</v>
      </c>
      <c r="F49" s="576">
        <f>IF(ISBLANK(H5),"",ABS(E49))</f>
        <v>4.2300862231528701E-2</v>
      </c>
      <c r="H49" s="4"/>
      <c r="I49" s="4"/>
      <c r="J49" s="18"/>
      <c r="K49" s="152">
        <f ca="1">IF(ISBLANK(F4),"",F38-AVERAGE(OFFSET(F91,0,0,M53)))</f>
        <v>1.2515102564102509</v>
      </c>
      <c r="L49" s="151">
        <f ca="1">IF(ISBLANK(G4),"",G38-AVERAGE(OFFSET(G91,0,0,M53)))</f>
        <v>1.7142583333333334</v>
      </c>
      <c r="M49" s="14">
        <f ca="1">IF(ISBLANK(G4),"",AVERAGE(K49:L49))</f>
        <v>1.4828842948717922</v>
      </c>
      <c r="N49" s="129">
        <f ca="1">IF(ISBLANK(H4),"",I38-AVERAGE(OFFSET(I91,0,0,M53)))</f>
        <v>0.4627480769230834</v>
      </c>
      <c r="O49" s="18"/>
      <c r="R49" s="21"/>
      <c r="S49" s="21"/>
      <c r="T49" s="56"/>
      <c r="U49" s="300"/>
      <c r="W49" s="304" t="s">
        <v>112</v>
      </c>
      <c r="X49" s="22">
        <f>COUNTIF(X4:X34,"SE")</f>
        <v>1</v>
      </c>
      <c r="Y49" s="67"/>
      <c r="Z49" s="648" t="s">
        <v>115</v>
      </c>
      <c r="AA49" s="648"/>
      <c r="AE49" s="547"/>
      <c r="AF49" s="67"/>
      <c r="AG49" s="710" t="s">
        <v>179</v>
      </c>
      <c r="AH49" s="710"/>
      <c r="AI49" s="710"/>
      <c r="AJ49" s="710"/>
      <c r="AK49" s="313"/>
      <c r="AL49" s="124"/>
      <c r="AM49" s="67"/>
      <c r="AO49" s="224"/>
      <c r="AP49" s="457" t="s">
        <v>215</v>
      </c>
      <c r="AR49" s="6"/>
      <c r="AS49" s="644" t="s">
        <v>17</v>
      </c>
      <c r="AT49" s="645"/>
      <c r="AU49" s="280" t="s">
        <v>15</v>
      </c>
      <c r="AX49" s="361">
        <v>1</v>
      </c>
      <c r="AY49" s="23">
        <f t="shared" ref="AY49:AY79" si="12">IF(ISBLANK(G4),"",AVERAGE(F4:G4))</f>
        <v>15.049999999999999</v>
      </c>
      <c r="AZ49" s="50"/>
      <c r="BA49" s="26">
        <f>BC4</f>
        <v>-1.5552884615384626</v>
      </c>
      <c r="BB49" s="25">
        <f t="shared" ref="BB49:BB79" si="13">IF(ISBLANK(H4),"",AY49-H4)</f>
        <v>-0.15000000000000036</v>
      </c>
      <c r="BC49" s="25">
        <f>IF(ISBLANK(G4),"",(AVERAGE($AY$49:AY49)))</f>
        <v>15.049999999999999</v>
      </c>
      <c r="BD49" s="13">
        <f>IF(ISBLANK(G4),"",AVERAGE(BF4:BG4))</f>
        <v>-1.5552884615384626</v>
      </c>
      <c r="BE49" s="67"/>
      <c r="BF49" s="556">
        <v>0.25486111111111109</v>
      </c>
      <c r="BG49" s="556">
        <v>0.60555555555555551</v>
      </c>
      <c r="BH49" s="556">
        <v>0.70277777777777783</v>
      </c>
      <c r="BI49" s="556">
        <v>0.31041666666666667</v>
      </c>
      <c r="BJ49" s="556">
        <v>0.79722222222222217</v>
      </c>
      <c r="BK49" s="20"/>
      <c r="BL49" s="78"/>
    </row>
    <row r="50" spans="1:64" ht="12.75" customHeight="1" x14ac:dyDescent="0.2">
      <c r="A50" s="67"/>
      <c r="B50" s="707" t="s">
        <v>56</v>
      </c>
      <c r="C50" s="708"/>
      <c r="D50" s="709"/>
      <c r="E50" s="89">
        <f>IF(ISBLANK(H5),"",CORREL(M4:M34,R4:R34))</f>
        <v>-0.10960575076047249</v>
      </c>
      <c r="F50" s="576">
        <f>IF(ISBLANK(H5),"",ABS(E50))</f>
        <v>0.10960575076047249</v>
      </c>
      <c r="G50" s="607" t="s">
        <v>427</v>
      </c>
      <c r="H50" s="820" t="s">
        <v>423</v>
      </c>
      <c r="I50" s="821"/>
      <c r="J50" s="18"/>
      <c r="K50" s="8"/>
      <c r="L50" s="118"/>
      <c r="M50" s="118"/>
      <c r="N50" s="118"/>
      <c r="O50" s="18"/>
      <c r="Q50" s="662" t="s">
        <v>132</v>
      </c>
      <c r="R50" s="662"/>
      <c r="T50" s="68"/>
      <c r="U50" s="300"/>
      <c r="W50" s="305" t="s">
        <v>111</v>
      </c>
      <c r="X50" s="22">
        <f>COUNTIF(X4:X34,"S")</f>
        <v>5</v>
      </c>
      <c r="Y50" s="84"/>
      <c r="Z50" s="661" t="s">
        <v>120</v>
      </c>
      <c r="AA50" s="660">
        <v>0</v>
      </c>
      <c r="AB50" s="322"/>
      <c r="AC50" s="646" t="s">
        <v>285</v>
      </c>
      <c r="AD50" s="647"/>
      <c r="AF50" s="67"/>
      <c r="AH50" s="713">
        <f>SUM(AW91:AW121)</f>
        <v>0</v>
      </c>
      <c r="AI50" s="713"/>
      <c r="AJ50" s="93">
        <f>IF(M53=0,"",AH50/M53)</f>
        <v>0</v>
      </c>
      <c r="AK50" s="68"/>
      <c r="AM50" s="67"/>
      <c r="AN50" s="180" t="s">
        <v>68</v>
      </c>
      <c r="AO50" s="87"/>
      <c r="AP50" s="397">
        <f>IF(M53=0,"",AP38/SUM(AT91:AT121))</f>
        <v>0.46882462288266524</v>
      </c>
      <c r="AR50" s="6"/>
      <c r="AS50" s="637" t="s">
        <v>44</v>
      </c>
      <c r="AT50" s="638"/>
      <c r="AU50" s="92">
        <f>IF(AP42=0,"",CORREL(G4:G34,AP4:AP34))</f>
        <v>0.50692851082525414</v>
      </c>
      <c r="AV50" s="577" t="str">
        <f>IF(AP4=AP5,"",IF(AP42=0,"",ABS(AU50)))</f>
        <v/>
      </c>
      <c r="AX50" s="361">
        <v>2</v>
      </c>
      <c r="AY50" s="23">
        <f t="shared" si="12"/>
        <v>19.45</v>
      </c>
      <c r="AZ50" s="50"/>
      <c r="BA50" s="26">
        <f t="shared" ref="BA50:BA79" si="14">BC5</f>
        <v>2.9329086538461544</v>
      </c>
      <c r="BB50" s="25">
        <f t="shared" si="13"/>
        <v>0.34999999999999787</v>
      </c>
      <c r="BC50" s="25">
        <f>IF(ISBLANK(G5),"",(AVERAGE($AY$49:AY50)))</f>
        <v>17.25</v>
      </c>
      <c r="BD50" s="13">
        <f t="shared" ref="BD50:BD79" si="15">IF(ISBLANK(G5),"",AVERAGE(BF5:BG5))</f>
        <v>0.68881009615384592</v>
      </c>
      <c r="BE50" s="67"/>
      <c r="BF50" s="556">
        <v>0.23333333333333331</v>
      </c>
      <c r="BG50" s="556">
        <v>0.69791666666666663</v>
      </c>
      <c r="BH50" s="556">
        <v>0.71875</v>
      </c>
      <c r="BI50" s="556">
        <v>0.2986111111111111</v>
      </c>
      <c r="BJ50" s="556">
        <v>0.81527777777777777</v>
      </c>
      <c r="BK50" s="55"/>
      <c r="BL50" s="78"/>
    </row>
    <row r="51" spans="1:64" ht="12.75" customHeight="1" x14ac:dyDescent="0.2">
      <c r="A51" s="67"/>
      <c r="B51" s="707" t="s">
        <v>11</v>
      </c>
      <c r="C51" s="708"/>
      <c r="D51" s="709"/>
      <c r="E51" s="89">
        <f>IF(ISBLANK(H5),"",CORREL(F4:F34,G4:G34))</f>
        <v>0.39822651705676371</v>
      </c>
      <c r="F51" s="576">
        <f>IF(ISBLANK(H5),"",ABS(E51))</f>
        <v>0.39822651705676371</v>
      </c>
      <c r="H51" s="821" t="s">
        <v>424</v>
      </c>
      <c r="I51" s="821"/>
      <c r="J51" s="18"/>
      <c r="K51" s="8"/>
      <c r="N51" s="118"/>
      <c r="O51" s="18"/>
      <c r="P51" s="22"/>
      <c r="Q51" s="649" t="s">
        <v>143</v>
      </c>
      <c r="R51" s="649"/>
      <c r="S51" s="21"/>
      <c r="T51" s="68"/>
      <c r="W51" s="304" t="s">
        <v>110</v>
      </c>
      <c r="X51" s="22">
        <f>COUNTIF(X4:X34,"SW")</f>
        <v>18</v>
      </c>
      <c r="Y51" s="67"/>
      <c r="Z51" s="661"/>
      <c r="AA51" s="660"/>
      <c r="AC51" s="714" t="s">
        <v>286</v>
      </c>
      <c r="AD51" s="717">
        <v>0</v>
      </c>
      <c r="AF51" s="67"/>
      <c r="AG51" s="650"/>
      <c r="AH51" s="650"/>
      <c r="AI51" s="650"/>
      <c r="AJ51" s="650"/>
      <c r="AK51" s="6"/>
      <c r="AM51" s="67"/>
      <c r="AN51" s="5">
        <f>M53-AN48</f>
        <v>15</v>
      </c>
      <c r="AO51" s="406"/>
      <c r="AR51" s="6"/>
      <c r="AS51" s="637" t="s">
        <v>39</v>
      </c>
      <c r="AT51" s="638"/>
      <c r="AU51" s="92">
        <f>IF(AP42=0,"",CORREL(AP4:AP34,I4:I34))</f>
        <v>0.78138716776888872</v>
      </c>
      <c r="AV51" s="577" t="str">
        <f>IF(AP4=AP5,"",IF(AP42=0,"",ABS(AU51)))</f>
        <v/>
      </c>
      <c r="AX51" s="361">
        <v>3</v>
      </c>
      <c r="AY51" s="23">
        <f t="shared" si="12"/>
        <v>19.200000000000003</v>
      </c>
      <c r="AZ51" s="50"/>
      <c r="BA51" s="26">
        <f t="shared" si="14"/>
        <v>2.7711057692307692</v>
      </c>
      <c r="BB51" s="25">
        <f t="shared" si="13"/>
        <v>0.40000000000000213</v>
      </c>
      <c r="BC51" s="25">
        <f>IF(ISBLANK(G6),"",(AVERAGE($AY$49:AY51)))</f>
        <v>17.900000000000002</v>
      </c>
      <c r="BD51" s="13">
        <f t="shared" si="15"/>
        <v>1.3829086538461546</v>
      </c>
      <c r="BE51" s="67"/>
      <c r="BF51" s="556">
        <v>0.21666666666666667</v>
      </c>
      <c r="BG51" s="556">
        <v>0.61805555555555558</v>
      </c>
      <c r="BH51" s="556">
        <v>0.62777777777777777</v>
      </c>
      <c r="BI51" s="556">
        <v>0.30416666666666664</v>
      </c>
      <c r="BJ51" s="556">
        <v>0.59027777777777779</v>
      </c>
      <c r="BK51" s="18"/>
      <c r="BL51" s="78"/>
    </row>
    <row r="52" spans="1:64" ht="12.75" customHeight="1" x14ac:dyDescent="0.2">
      <c r="A52" s="67"/>
      <c r="B52" s="707" t="s">
        <v>92</v>
      </c>
      <c r="C52" s="708"/>
      <c r="D52" s="709"/>
      <c r="E52" s="89">
        <f>IF(ISBLANK(H5),"",CORREL(K4:K34,L4:L34))</f>
        <v>0.20712371179725542</v>
      </c>
      <c r="F52" s="576">
        <f>IF(ISBLANK(H5),"",ABS(E52))</f>
        <v>0.20712371179725542</v>
      </c>
      <c r="H52" s="599"/>
      <c r="I52" s="599"/>
      <c r="J52" s="18"/>
      <c r="K52" s="8"/>
      <c r="L52" s="187" t="s">
        <v>346</v>
      </c>
      <c r="M52" s="118"/>
      <c r="N52" s="118"/>
      <c r="O52" s="18"/>
      <c r="P52" s="25"/>
      <c r="Q52" s="715">
        <f>IF(ISBLANK(H5),"",AVERAGE(F48:F66,F72:F80,AV50:AV60))</f>
        <v>0.41183445143732289</v>
      </c>
      <c r="R52" s="716"/>
      <c r="S52" s="25"/>
      <c r="T52" s="67"/>
      <c r="W52" s="304" t="s">
        <v>114</v>
      </c>
      <c r="X52" s="22">
        <f>COUNTIF(X4:X34,"W")</f>
        <v>3</v>
      </c>
      <c r="Y52" s="67"/>
      <c r="Z52" s="659" t="s">
        <v>116</v>
      </c>
      <c r="AA52" s="711">
        <f>(Z38+AA50)/Z39</f>
        <v>0.63787878787878771</v>
      </c>
      <c r="AC52" s="714"/>
      <c r="AD52" s="717"/>
      <c r="AF52" s="67"/>
      <c r="AG52" s="712" t="s">
        <v>180</v>
      </c>
      <c r="AH52" s="712"/>
      <c r="AI52" s="712"/>
      <c r="AJ52" s="712"/>
      <c r="AK52" s="314"/>
      <c r="AM52" s="67"/>
      <c r="AO52" s="407"/>
      <c r="AP52" s="639" t="s">
        <v>190</v>
      </c>
      <c r="AQ52" s="640"/>
      <c r="AR52" s="6"/>
      <c r="AS52" s="637" t="s">
        <v>40</v>
      </c>
      <c r="AT52" s="638"/>
      <c r="AU52" s="92">
        <f>IF(AP42=0,"",CORREL(AP4:AP34,K4:K34))</f>
        <v>-0.82694397488201021</v>
      </c>
      <c r="AV52" s="577" t="str">
        <f>IF(AP4=AP5,"",IF(AP42=0,"",ABS(AU52)))</f>
        <v/>
      </c>
      <c r="AX52" s="361">
        <v>4</v>
      </c>
      <c r="AY52" s="23">
        <f t="shared" si="12"/>
        <v>16.8</v>
      </c>
      <c r="AZ52" s="50"/>
      <c r="BA52" s="26">
        <f t="shared" si="14"/>
        <v>0.45930288461538371</v>
      </c>
      <c r="BB52" s="25">
        <f t="shared" si="13"/>
        <v>0.10000000000000142</v>
      </c>
      <c r="BC52" s="25">
        <f>IF(ISBLANK(G7),"",(AVERAGE($AY$49:AY52)))</f>
        <v>17.625</v>
      </c>
      <c r="BD52" s="13">
        <f t="shared" si="15"/>
        <v>1.1520072115384625</v>
      </c>
      <c r="BE52" s="6"/>
      <c r="BF52" s="556">
        <v>0.12152777777777778</v>
      </c>
      <c r="BG52" s="556">
        <v>0.44791666666666669</v>
      </c>
      <c r="BH52" s="556">
        <v>0.8305555555555556</v>
      </c>
      <c r="BI52" s="556" t="s">
        <v>665</v>
      </c>
      <c r="BJ52" s="556">
        <v>0.8041666666666667</v>
      </c>
      <c r="BK52" s="18"/>
      <c r="BL52" s="78"/>
    </row>
    <row r="53" spans="1:64" ht="12.75" customHeight="1" x14ac:dyDescent="0.2">
      <c r="A53" s="67"/>
      <c r="B53" s="707" t="s">
        <v>93</v>
      </c>
      <c r="C53" s="708"/>
      <c r="D53" s="709"/>
      <c r="E53" s="89">
        <f>IF(ISBLANK(H5),"",CORREL(P4:P34,Q4:Q34))</f>
        <v>0.92436648866222271</v>
      </c>
      <c r="F53" s="576">
        <f>IF(ISBLANK(H5),"",ABS(E53))</f>
        <v>0.92436648866222271</v>
      </c>
      <c r="H53" s="599"/>
      <c r="I53" s="599"/>
      <c r="J53" s="18"/>
      <c r="K53" s="8"/>
      <c r="L53" s="21" t="s">
        <v>88</v>
      </c>
      <c r="M53" s="21">
        <f>COUNT(H4:H34)</f>
        <v>30</v>
      </c>
      <c r="N53" s="118"/>
      <c r="O53" s="18"/>
      <c r="Q53" s="663" t="s">
        <v>34</v>
      </c>
      <c r="R53" s="663"/>
      <c r="S53" s="22"/>
      <c r="T53" s="67"/>
      <c r="U53" s="7"/>
      <c r="W53" s="304" t="s">
        <v>128</v>
      </c>
      <c r="X53" s="22">
        <f>COUNTIF(X4:X34,"NW")</f>
        <v>0</v>
      </c>
      <c r="Y53" s="136"/>
      <c r="Z53" s="659"/>
      <c r="AA53" s="711"/>
      <c r="AB53" s="323"/>
      <c r="AC53" s="542" t="s">
        <v>281</v>
      </c>
      <c r="AD53" s="549">
        <f>IF(Z38=0,"",AD51/Z38)</f>
        <v>0</v>
      </c>
      <c r="AF53" s="67"/>
      <c r="AH53" s="713">
        <f>SUM(AX91:AX121)</f>
        <v>10</v>
      </c>
      <c r="AI53" s="713"/>
      <c r="AJ53" s="93">
        <f>IF(M53=0,"",AH53/M53)</f>
        <v>0.33333333333333331</v>
      </c>
      <c r="AK53" s="68"/>
      <c r="AL53" s="4"/>
      <c r="AM53" s="67"/>
      <c r="AN53" s="179" t="s">
        <v>77</v>
      </c>
      <c r="AO53" s="88"/>
      <c r="AP53" s="718" t="str">
        <f>IF(M54=0,"",(AP39-AP38)/M54/(AP39/E34))</f>
        <v/>
      </c>
      <c r="AQ53" s="719"/>
      <c r="AR53" s="6"/>
      <c r="AS53" s="637" t="s">
        <v>38</v>
      </c>
      <c r="AT53" s="638"/>
      <c r="AU53" s="92">
        <f>IF(AQ38=0,"",CORREL(AP4:AP34,AQ4:AQ34))</f>
        <v>-0.65210563589896542</v>
      </c>
      <c r="AV53" s="577">
        <f>IF(AQ38=0,"",ABS(AU53))</f>
        <v>0.65210563589896542</v>
      </c>
      <c r="AX53" s="361">
        <v>5</v>
      </c>
      <c r="AY53" s="23">
        <f t="shared" si="12"/>
        <v>15.350000000000001</v>
      </c>
      <c r="AZ53" s="50"/>
      <c r="BA53" s="26">
        <f t="shared" si="14"/>
        <v>-0.90249999999999897</v>
      </c>
      <c r="BB53" s="25">
        <f t="shared" si="13"/>
        <v>5.0000000000000711E-2</v>
      </c>
      <c r="BC53" s="25">
        <f>IF(ISBLANK(G8),"",(AVERAGE($AY$49:AY53)))</f>
        <v>17.169999999999998</v>
      </c>
      <c r="BD53" s="13">
        <f t="shared" si="15"/>
        <v>0.74110576923077165</v>
      </c>
      <c r="BE53" s="6"/>
      <c r="BF53" s="556">
        <v>0.25763888888888892</v>
      </c>
      <c r="BG53" s="556">
        <v>0.66249999999999998</v>
      </c>
      <c r="BH53" s="556">
        <v>0.63124999999999998</v>
      </c>
      <c r="BI53" s="556">
        <v>1.3888888888888888E-2</v>
      </c>
      <c r="BJ53" s="556">
        <v>0.65486111111111112</v>
      </c>
      <c r="BK53" s="18"/>
      <c r="BL53" s="78"/>
    </row>
    <row r="54" spans="1:64" ht="12.75" customHeight="1" x14ac:dyDescent="0.2">
      <c r="A54" s="67"/>
      <c r="B54" s="707" t="s">
        <v>53</v>
      </c>
      <c r="C54" s="708"/>
      <c r="D54" s="709"/>
      <c r="E54" s="89">
        <f>IF(ISBLANK(H5),"",(CORREL(G4:G34,R4:R34)))</f>
        <v>0.35931383240989034</v>
      </c>
      <c r="F54" s="576">
        <f>IF(ISBLANK(H5),"",ABS(E54))</f>
        <v>0.35931383240989034</v>
      </c>
      <c r="H54" s="599"/>
      <c r="I54" s="599"/>
      <c r="J54" s="18"/>
      <c r="K54" s="8"/>
      <c r="L54" s="21" t="s">
        <v>89</v>
      </c>
      <c r="M54" s="21">
        <f>SUM(E34-M53)</f>
        <v>0</v>
      </c>
      <c r="N54" s="118"/>
      <c r="O54" s="18"/>
      <c r="Q54" s="5">
        <f>SUM(E69,E83,AU63)</f>
        <v>14</v>
      </c>
      <c r="R54" s="21" t="s">
        <v>193</v>
      </c>
      <c r="S54" s="608"/>
      <c r="T54" s="67"/>
      <c r="U54" s="7"/>
      <c r="W54" s="300"/>
      <c r="X54" s="25"/>
      <c r="Y54" s="136"/>
      <c r="Z54" s="659" t="s">
        <v>153</v>
      </c>
      <c r="AA54" s="659" t="str">
        <f>IF(M54&gt;0,(Z39-Z38)/M54,"n/a")</f>
        <v>n/a</v>
      </c>
      <c r="AB54" s="267"/>
      <c r="AC54" s="542" t="s">
        <v>283</v>
      </c>
      <c r="AD54" s="549">
        <f>IF(AT67=0,"",AV38/AT67)</f>
        <v>0</v>
      </c>
      <c r="AF54" s="67"/>
      <c r="AK54" s="6"/>
      <c r="AM54" s="67"/>
      <c r="AN54" s="138">
        <f>IF(M53=0,"",AN48/M53)</f>
        <v>0.5</v>
      </c>
      <c r="AO54" s="406"/>
      <c r="AP54" s="531">
        <f>AP39/E34</f>
        <v>4.5999999999999996</v>
      </c>
      <c r="AQ54" s="532" t="str">
        <f>IF(M54=0,"",(AP39-AP38)/M54)</f>
        <v/>
      </c>
      <c r="AR54" s="6"/>
      <c r="AS54" s="637" t="s">
        <v>49</v>
      </c>
      <c r="AT54" s="638"/>
      <c r="AU54" s="92">
        <f>IF(AQ38=0,"",CORREL(AQ4:AQ34,I4:I34))</f>
        <v>-0.63247776692309843</v>
      </c>
      <c r="AV54" s="577">
        <f>IF(AQ38=0,"",ABS(AU54))</f>
        <v>0.63247776692309843</v>
      </c>
      <c r="AX54" s="361">
        <v>6</v>
      </c>
      <c r="AY54" s="23">
        <f t="shared" si="12"/>
        <v>15.45</v>
      </c>
      <c r="AZ54" s="50"/>
      <c r="BA54" s="26">
        <f t="shared" si="14"/>
        <v>-0.66846153846153911</v>
      </c>
      <c r="BB54" s="25">
        <f t="shared" si="13"/>
        <v>-5.0000000000000711E-2</v>
      </c>
      <c r="BC54" s="25">
        <f>IF(ISBLANK(G9),"",(AVERAGE($AY$49:AY54)))</f>
        <v>16.883333333333333</v>
      </c>
      <c r="BD54" s="13">
        <f t="shared" si="15"/>
        <v>0.50617788461538638</v>
      </c>
      <c r="BE54" s="6"/>
      <c r="BF54" s="556">
        <v>0.38194444444444442</v>
      </c>
      <c r="BG54" s="556">
        <v>0.64097222222222217</v>
      </c>
      <c r="BH54" s="556" t="s">
        <v>667</v>
      </c>
      <c r="BI54" s="556" t="s">
        <v>668</v>
      </c>
      <c r="BJ54" s="556">
        <v>0.30972222222222223</v>
      </c>
      <c r="BK54" s="18"/>
      <c r="BL54" s="78"/>
    </row>
    <row r="55" spans="1:64" ht="12.75" customHeight="1" x14ac:dyDescent="0.2">
      <c r="A55" s="67"/>
      <c r="B55" s="707" t="s">
        <v>54</v>
      </c>
      <c r="C55" s="708"/>
      <c r="D55" s="709"/>
      <c r="E55" s="89">
        <f>IF(ISBLANK(H5),"",CORREL(F4:F34,R4:R34))</f>
        <v>-0.13073569506709018</v>
      </c>
      <c r="F55" s="576">
        <f>IF(ISBLANK(H5),"",ABS(E55))</f>
        <v>0.13073569506709018</v>
      </c>
      <c r="H55" s="599"/>
      <c r="I55" s="599"/>
      <c r="J55" s="20"/>
      <c r="K55" s="8"/>
      <c r="L55" s="118"/>
      <c r="M55" s="118"/>
      <c r="N55" s="187"/>
      <c r="O55" s="18"/>
      <c r="Q55" s="21"/>
      <c r="S55" s="21"/>
      <c r="T55" s="67"/>
      <c r="U55" s="7"/>
      <c r="W55" s="300" t="s">
        <v>129</v>
      </c>
      <c r="X55" s="22">
        <f>MAX(X46:X53)</f>
        <v>18</v>
      </c>
      <c r="Y55" s="136"/>
      <c r="Z55" s="659"/>
      <c r="AA55" s="659"/>
      <c r="AB55" s="267"/>
      <c r="AC55" s="543" t="s">
        <v>284</v>
      </c>
      <c r="AD55" s="546" t="s">
        <v>205</v>
      </c>
      <c r="AE55" s="267"/>
      <c r="AF55" s="67"/>
      <c r="AK55" s="6"/>
      <c r="AM55" s="67"/>
      <c r="AO55" s="408"/>
      <c r="AR55" s="6"/>
      <c r="AS55" s="637" t="s">
        <v>96</v>
      </c>
      <c r="AT55" s="638"/>
      <c r="AU55" s="92">
        <f>IF(AQ38=0,"",CORREL(M4:M34,AQ4:AQ34))</f>
        <v>0.50242089661398115</v>
      </c>
      <c r="AV55" s="577">
        <f>IF(AQ38=0,"",ABS(AU55))</f>
        <v>0.50242089661398115</v>
      </c>
      <c r="AX55" s="361">
        <v>7</v>
      </c>
      <c r="AY55" s="23">
        <f t="shared" si="12"/>
        <v>14.4</v>
      </c>
      <c r="AZ55" s="50"/>
      <c r="BA55" s="26">
        <f t="shared" si="14"/>
        <v>-1.584423076923076</v>
      </c>
      <c r="BB55" s="25">
        <f t="shared" si="13"/>
        <v>0.20000000000000107</v>
      </c>
      <c r="BC55" s="25">
        <f>IF(ISBLANK(G10),"",(AVERAGE($AY$49:AY55)))</f>
        <v>16.528571428571428</v>
      </c>
      <c r="BD55" s="13">
        <f t="shared" si="15"/>
        <v>0.20752060439560527</v>
      </c>
      <c r="BE55" s="6"/>
      <c r="BF55" s="556">
        <v>0.21875</v>
      </c>
      <c r="BG55" s="556">
        <v>0.64930555555555558</v>
      </c>
      <c r="BH55" s="556">
        <v>0.73263888888888884</v>
      </c>
      <c r="BI55" s="556" t="s">
        <v>233</v>
      </c>
      <c r="BJ55" s="556">
        <v>0.43194444444444446</v>
      </c>
      <c r="BK55" s="18"/>
      <c r="BL55" s="78"/>
    </row>
    <row r="56" spans="1:64" ht="12.75" customHeight="1" thickBot="1" x14ac:dyDescent="0.25">
      <c r="A56" s="67"/>
      <c r="B56" s="707" t="s">
        <v>55</v>
      </c>
      <c r="C56" s="708"/>
      <c r="D56" s="709"/>
      <c r="E56" s="89">
        <f>IF(ISBLANK(H5),"",CORREL(I4:I34,R4:R34))</f>
        <v>0.46047625180255297</v>
      </c>
      <c r="F56" s="576">
        <f>IF(ISBLANK(H5),"",ABS(E56))</f>
        <v>0.46047625180255297</v>
      </c>
      <c r="J56" s="20"/>
      <c r="O56" s="20"/>
      <c r="T56" s="67"/>
      <c r="U56" s="7"/>
      <c r="V56" s="7"/>
      <c r="W56" s="25"/>
      <c r="X56" s="25"/>
      <c r="Y56" s="136"/>
      <c r="AD56" s="267"/>
      <c r="AE56" s="267"/>
      <c r="AF56" s="166"/>
      <c r="AG56" s="710" t="s">
        <v>126</v>
      </c>
      <c r="AH56" s="710"/>
      <c r="AI56" s="710"/>
      <c r="AJ56" s="710"/>
      <c r="AK56" s="313"/>
      <c r="AL56" s="152"/>
      <c r="AM56" s="67"/>
      <c r="AN56" s="181" t="s">
        <v>109</v>
      </c>
      <c r="AO56" s="88"/>
      <c r="AR56" s="6"/>
      <c r="AS56" s="637" t="s">
        <v>37</v>
      </c>
      <c r="AT56" s="638"/>
      <c r="AU56" s="92">
        <f>IF(AQ38=0,"",CORREL(Z4:Z34,AQ4:AQ34))</f>
        <v>0.79404602900708898</v>
      </c>
      <c r="AV56" s="577">
        <f>IF(AQ38=0,"",ABS(AU56))</f>
        <v>0.79404602900708898</v>
      </c>
      <c r="AX56" s="361">
        <v>8</v>
      </c>
      <c r="AY56" s="23">
        <f t="shared" si="12"/>
        <v>16</v>
      </c>
      <c r="AZ56" s="50"/>
      <c r="BA56" s="26">
        <f t="shared" si="14"/>
        <v>0.14961538461538471</v>
      </c>
      <c r="BB56" s="25">
        <f t="shared" si="13"/>
        <v>0.19999999999999929</v>
      </c>
      <c r="BC56" s="25">
        <f>IF(ISBLANK(G11),"",(AVERAGE($AY$49:AY56)))</f>
        <v>16.462499999999999</v>
      </c>
      <c r="BD56" s="13">
        <f t="shared" si="15"/>
        <v>0.20028245192307903</v>
      </c>
      <c r="BE56" s="6"/>
      <c r="BF56" s="556">
        <v>7.9166666666666663E-2</v>
      </c>
      <c r="BG56" s="556">
        <v>0.75069444444444444</v>
      </c>
      <c r="BH56" s="556">
        <v>0.75486111111111109</v>
      </c>
      <c r="BI56" s="556" t="s">
        <v>233</v>
      </c>
      <c r="BJ56" s="556">
        <v>0.50138888888888888</v>
      </c>
      <c r="BK56" s="18"/>
      <c r="BL56" s="78"/>
    </row>
    <row r="57" spans="1:64" ht="12.75" customHeight="1" x14ac:dyDescent="0.2">
      <c r="A57" s="67"/>
      <c r="B57" s="707" t="s">
        <v>94</v>
      </c>
      <c r="C57" s="708"/>
      <c r="D57" s="709"/>
      <c r="E57" s="89">
        <f>IF(ISBLANK(H5),"",CORREL(N4:N34,R4:R34))</f>
        <v>0.39173441968411393</v>
      </c>
      <c r="F57" s="576">
        <f>IF(ISBLANK(H5),"",ABS(E57))</f>
        <v>0.39173441968411393</v>
      </c>
      <c r="H57" s="720" t="s">
        <v>135</v>
      </c>
      <c r="I57" s="721"/>
      <c r="J57" s="193"/>
      <c r="K57" s="721" t="s">
        <v>35</v>
      </c>
      <c r="L57" s="721"/>
      <c r="M57" s="721"/>
      <c r="N57" s="721"/>
      <c r="O57" s="194"/>
      <c r="P57" s="721" t="s">
        <v>136</v>
      </c>
      <c r="Q57" s="721"/>
      <c r="R57" s="721"/>
      <c r="S57" s="721"/>
      <c r="T57" s="195"/>
      <c r="U57" s="651" t="s">
        <v>159</v>
      </c>
      <c r="V57" s="653" t="s">
        <v>134</v>
      </c>
      <c r="W57" s="655" t="s">
        <v>160</v>
      </c>
      <c r="X57" s="657" t="s">
        <v>181</v>
      </c>
      <c r="Y57" s="196"/>
      <c r="Z57" s="724" t="s">
        <v>133</v>
      </c>
      <c r="AA57" s="724"/>
      <c r="AB57" s="725"/>
      <c r="AC57" s="726" t="s">
        <v>122</v>
      </c>
      <c r="AD57" s="727"/>
      <c r="AE57" s="728"/>
      <c r="AF57" s="166"/>
      <c r="AH57" s="713">
        <f t="array" ref="AH57">MAX(FREQUENCY(IF(AW91:AW121=1,ROW(91:121)),IF(AW91:AW121&lt;&gt;1,ROW(91:121))))</f>
        <v>0</v>
      </c>
      <c r="AI57" s="713"/>
      <c r="AJ57" s="4"/>
      <c r="AK57" s="68"/>
      <c r="AL57" s="4"/>
      <c r="AM57" s="67"/>
      <c r="AN57" s="138">
        <f>IF(AN48=0,"",AN38/AN48)</f>
        <v>0.46666666666666667</v>
      </c>
      <c r="AO57" s="223"/>
      <c r="AR57" s="6"/>
      <c r="AS57" s="637" t="s">
        <v>45</v>
      </c>
      <c r="AT57" s="638"/>
      <c r="AU57" s="92">
        <f>IF(AP42=0,"",CORREL(AP4:AP34,R4:R34))</f>
        <v>0.48239199545759853</v>
      </c>
      <c r="AV57" s="577" t="str">
        <f>IF(AP4=AP5,"",IF(AP42=0,"",ABS(AU57)))</f>
        <v/>
      </c>
      <c r="AX57" s="361">
        <v>9</v>
      </c>
      <c r="AY57" s="23">
        <f t="shared" si="12"/>
        <v>18.7</v>
      </c>
      <c r="AZ57" s="50"/>
      <c r="BA57" s="26">
        <f t="shared" si="14"/>
        <v>2.9836538461538469</v>
      </c>
      <c r="BB57" s="25">
        <f t="shared" si="13"/>
        <v>0.19999999999999929</v>
      </c>
      <c r="BC57" s="25">
        <f>IF(ISBLANK(G12),"",(AVERAGE($AY$49:AY57)))</f>
        <v>16.711111111111109</v>
      </c>
      <c r="BD57" s="13">
        <f t="shared" si="15"/>
        <v>0.50954594017094301</v>
      </c>
      <c r="BE57" s="6"/>
      <c r="BF57" s="556">
        <v>0.21111111111111111</v>
      </c>
      <c r="BG57" s="556">
        <v>0.64444444444444449</v>
      </c>
      <c r="BH57" s="556">
        <v>0.65208333333333335</v>
      </c>
      <c r="BI57" s="556">
        <v>0.34652777777777777</v>
      </c>
      <c r="BJ57" s="556">
        <v>0.55902777777777779</v>
      </c>
      <c r="BK57" s="18"/>
      <c r="BL57" s="78"/>
    </row>
    <row r="58" spans="1:64" ht="12.75" x14ac:dyDescent="0.2">
      <c r="A58" s="67"/>
      <c r="B58" s="707" t="s">
        <v>14</v>
      </c>
      <c r="C58" s="708"/>
      <c r="D58" s="709"/>
      <c r="E58" s="89">
        <f>IF(ISBLANK(H5),"",CORREL(I4:I34,N4:N34))</f>
        <v>0.72983032783553481</v>
      </c>
      <c r="F58" s="576">
        <f>IF(ISBLANK(H5),"",ABS(E58))</f>
        <v>0.72983032783553481</v>
      </c>
      <c r="H58" s="722"/>
      <c r="I58" s="723"/>
      <c r="J58" s="204"/>
      <c r="K58" s="205" t="s">
        <v>2</v>
      </c>
      <c r="L58" s="206" t="s">
        <v>3</v>
      </c>
      <c r="M58" s="207" t="s">
        <v>156</v>
      </c>
      <c r="N58" s="208" t="s">
        <v>5</v>
      </c>
      <c r="O58" s="204"/>
      <c r="P58" s="205" t="s">
        <v>2</v>
      </c>
      <c r="Q58" s="206" t="s">
        <v>3</v>
      </c>
      <c r="R58" s="207" t="s">
        <v>4</v>
      </c>
      <c r="S58" s="208" t="s">
        <v>5</v>
      </c>
      <c r="T58" s="209"/>
      <c r="U58" s="652"/>
      <c r="V58" s="654"/>
      <c r="W58" s="656"/>
      <c r="X58" s="658"/>
      <c r="Y58" s="210"/>
      <c r="Z58" s="211" t="s">
        <v>137</v>
      </c>
      <c r="AA58" s="211" t="s">
        <v>235</v>
      </c>
      <c r="AB58" s="495" t="s">
        <v>138</v>
      </c>
      <c r="AC58" s="533" t="s">
        <v>140</v>
      </c>
      <c r="AD58" s="534" t="s">
        <v>235</v>
      </c>
      <c r="AE58" s="535" t="s">
        <v>141</v>
      </c>
      <c r="AF58" s="166"/>
      <c r="AG58" s="650"/>
      <c r="AH58" s="650"/>
      <c r="AI58" s="650"/>
      <c r="AJ58" s="650"/>
      <c r="AK58" s="6"/>
      <c r="AM58" s="67"/>
      <c r="AO58" s="224"/>
      <c r="AR58" s="6"/>
      <c r="AS58" s="637" t="s">
        <v>46</v>
      </c>
      <c r="AT58" s="638"/>
      <c r="AU58" s="92">
        <f>IF(OR(H5&lt;-20,H5&gt;40),"",CORREL(U4:U34,R4:R34))</f>
        <v>-0.67362976075658354</v>
      </c>
      <c r="AV58" s="577">
        <f>IF(ISBLANK(U5),"",ABS(AU58))</f>
        <v>0.67362976075658354</v>
      </c>
      <c r="AX58" s="361">
        <v>10</v>
      </c>
      <c r="AY58" s="23">
        <f t="shared" si="12"/>
        <v>19.45</v>
      </c>
      <c r="AZ58" s="50"/>
      <c r="BA58" s="26">
        <f t="shared" si="14"/>
        <v>3.8676923076923089</v>
      </c>
      <c r="BB58" s="25">
        <f t="shared" si="13"/>
        <v>0.25</v>
      </c>
      <c r="BC58" s="25">
        <f>IF(ISBLANK(G13),"",(AVERAGE($AY$49:AY58)))</f>
        <v>16.984999999999996</v>
      </c>
      <c r="BD58" s="13">
        <f t="shared" si="15"/>
        <v>0.84536057692307853</v>
      </c>
      <c r="BE58" s="6"/>
      <c r="BF58" s="556">
        <v>7.2916666666666671E-2</v>
      </c>
      <c r="BG58" s="556">
        <v>0.57777777777777783</v>
      </c>
      <c r="BH58" s="556">
        <v>0.59722222222222221</v>
      </c>
      <c r="BI58" s="556">
        <v>0.28541666666666665</v>
      </c>
      <c r="BJ58" s="556">
        <v>0.57708333333333328</v>
      </c>
      <c r="BK58" s="18"/>
      <c r="BL58" s="78"/>
    </row>
    <row r="59" spans="1:64" ht="12.75" x14ac:dyDescent="0.2">
      <c r="A59" s="67"/>
      <c r="B59" s="707" t="s">
        <v>52</v>
      </c>
      <c r="C59" s="708"/>
      <c r="D59" s="709"/>
      <c r="E59" s="89">
        <f>IF(ISBLANK(H5),"",CORREL(L4:L34,R4:R34))</f>
        <v>0.31271479250905893</v>
      </c>
      <c r="F59" s="576">
        <f>IF(ISBLANK(H5),"",ABS(E59))</f>
        <v>0.31271479250905893</v>
      </c>
      <c r="H59" s="729" t="s">
        <v>19</v>
      </c>
      <c r="I59" s="830"/>
      <c r="J59" s="191"/>
      <c r="K59" s="100">
        <f>IF(ISBLANK(F4),"",AVERAGE(F4:F18))</f>
        <v>12.893333333333329</v>
      </c>
      <c r="L59" s="100">
        <f>IF(ISBLANK(G4),"",AVERAGE(G4:G18))</f>
        <v>20.253333333333334</v>
      </c>
      <c r="M59" s="100">
        <f>IF(ISBLANK(H4),"",AVERAGE(H4:H18))</f>
        <v>16.43333333333333</v>
      </c>
      <c r="N59" s="100">
        <f>IF(ISBLANK(G4),"",AVERAGE(I4:I18))</f>
        <v>7.3599999999999994</v>
      </c>
      <c r="O59" s="191"/>
      <c r="P59" s="100">
        <f>IF(ISBLANK(F4),"",K59-AVERAGE(F91:F105))</f>
        <v>1.2056410256410199</v>
      </c>
      <c r="Q59" s="100">
        <f>IF(ISBLANK(G4),"",L59-AVERAGE(G91:G105))</f>
        <v>0.30137820512821278</v>
      </c>
      <c r="R59" s="100">
        <f>IF(ISBLANK(H4),"",M59-AVERAGE(H91:H105))</f>
        <v>0.61350961538461313</v>
      </c>
      <c r="S59" s="100">
        <f>IF(ISBLANK(G4),"",N59-AVERAGE(I91:I105))</f>
        <v>-0.90426282051281603</v>
      </c>
      <c r="T59" s="166"/>
      <c r="U59" s="342">
        <f>IF(ISBLANK(M4),"",AVERAGE(M4:M18))</f>
        <v>74.533333333333331</v>
      </c>
      <c r="V59" s="342">
        <f>IF(ISBLANK(P4),"",AVERAGE(R4:R18))</f>
        <v>1010.2333333333333</v>
      </c>
      <c r="W59" s="345">
        <f>IF(ISBLANK(U4),"",AVERAGE(U4:U18))</f>
        <v>6.26</v>
      </c>
      <c r="X59" s="100">
        <f>IF(ISBLANK(AI4),"",AVERAGE(AI4:AI18))</f>
        <v>11.66</v>
      </c>
      <c r="Y59" s="192"/>
      <c r="Z59" s="38">
        <f>IF(ISBLANK(Z4),"",SUM(Z4:Z18))</f>
        <v>34.899999999999991</v>
      </c>
      <c r="AA59" s="492">
        <f>IF(ISBLANK(Z4),"",Z59/($Z$39/$E$34*15))</f>
        <v>1.0575757575757574</v>
      </c>
      <c r="AB59" s="496">
        <f>IF(Z38=0,"",Z59/$Z$38)</f>
        <v>0.82897862232779107</v>
      </c>
      <c r="AC59" s="499">
        <f>IF(ISBLANK(AP4),"",SUM(AP4:AP18))</f>
        <v>71.5</v>
      </c>
      <c r="AD59" s="492">
        <f>IF(ISBLANK(AP4),"",AC59/SUM(AS91:AS105))</f>
        <v>0.9954583994572771</v>
      </c>
      <c r="AE59" s="197">
        <f>IF(ISBLANK(AP4),"",AC59/$AP$38)</f>
        <v>0.44601085397043239</v>
      </c>
      <c r="AF59" s="166"/>
      <c r="AG59" s="712" t="s">
        <v>127</v>
      </c>
      <c r="AH59" s="712"/>
      <c r="AI59" s="712"/>
      <c r="AJ59" s="712"/>
      <c r="AK59" s="314"/>
      <c r="AL59" s="151"/>
      <c r="AM59" s="67"/>
      <c r="AN59" s="182" t="s">
        <v>66</v>
      </c>
      <c r="AO59" s="87"/>
      <c r="AP59" s="800" t="s">
        <v>97</v>
      </c>
      <c r="AQ59" s="800"/>
      <c r="AR59" s="6"/>
      <c r="AS59" s="637" t="s">
        <v>47</v>
      </c>
      <c r="AT59" s="638"/>
      <c r="AU59" s="92">
        <f>IF(AQ38=0,"",CORREL(AQ4:AQ34,R4:R34))</f>
        <v>-0.34176164493521366</v>
      </c>
      <c r="AV59" s="577">
        <f>IF(AQ38=0,"",ABS(AU59))</f>
        <v>0.34176164493521366</v>
      </c>
      <c r="AX59" s="361">
        <v>11</v>
      </c>
      <c r="AY59" s="23">
        <f t="shared" si="12"/>
        <v>17.649999999999999</v>
      </c>
      <c r="AZ59" s="50"/>
      <c r="BA59" s="26">
        <f t="shared" si="14"/>
        <v>2.201730769230771</v>
      </c>
      <c r="BB59" s="25">
        <f t="shared" si="13"/>
        <v>0.75</v>
      </c>
      <c r="BC59" s="25">
        <f>IF(ISBLANK(G14),"",(AVERAGE($AY$49:AY59)))</f>
        <v>17.045454545454543</v>
      </c>
      <c r="BD59" s="13">
        <f t="shared" si="15"/>
        <v>0.96866695804196024</v>
      </c>
      <c r="BE59" s="6"/>
      <c r="BF59" s="556">
        <v>0.31944444444444448</v>
      </c>
      <c r="BG59" s="556">
        <v>0.62013888888888891</v>
      </c>
      <c r="BH59" s="556">
        <v>0.68819444444444444</v>
      </c>
      <c r="BI59" s="556">
        <v>0.22708333333333333</v>
      </c>
      <c r="BJ59" s="556">
        <v>0.63749999999999996</v>
      </c>
      <c r="BK59" s="18"/>
      <c r="BL59" s="78"/>
    </row>
    <row r="60" spans="1:64" ht="12.75" customHeight="1" x14ac:dyDescent="0.2">
      <c r="A60" s="67"/>
      <c r="B60" s="707" t="s">
        <v>57</v>
      </c>
      <c r="C60" s="708"/>
      <c r="D60" s="709"/>
      <c r="E60" s="89">
        <f>IF(ISBLANK(H5),"",CORREL(G4:G34,N4:N34))</f>
        <v>0.50019481224064699</v>
      </c>
      <c r="F60" s="576">
        <f>IF(ISBLANK(H5),"",ABS(E60))</f>
        <v>0.50019481224064699</v>
      </c>
      <c r="H60" s="729" t="s">
        <v>182</v>
      </c>
      <c r="I60" s="830"/>
      <c r="J60" s="191"/>
      <c r="K60" s="100">
        <f>IF(ISBLANK(F19),"",AVERAGE(F19:F34))</f>
        <v>11.873333333333335</v>
      </c>
      <c r="L60" s="100">
        <f>IF(ISBLANK(G19),"",AVERAGE(G19:G34))</f>
        <v>20.633333333333333</v>
      </c>
      <c r="M60" s="100">
        <f>IF(ISBLANK(H19),"",AVERAGE(H19:H34))</f>
        <v>16.033333333333331</v>
      </c>
      <c r="N60" s="100">
        <f>IF(ISBLANK(G19),"",AVERAGE(I19:I34))</f>
        <v>8.759999999999998</v>
      </c>
      <c r="O60" s="191"/>
      <c r="P60" s="100">
        <f>IF(ISBLANK(F19),"",K60-AVERAGE(F106:F121))</f>
        <v>1.2973794871794873</v>
      </c>
      <c r="Q60" s="100">
        <f>IF(ISBLANK(G19),"",L60-AVERAGE(G106:G121))</f>
        <v>3.1271384615384648</v>
      </c>
      <c r="R60" s="100">
        <f>IF(ISBLANK(H19),"",M60-AVERAGE(H106:H121))</f>
        <v>1.9922589743589754</v>
      </c>
      <c r="S60" s="100">
        <f>IF(ISBLANK(G19),"",N60-AVERAGE(I106:I121))</f>
        <v>1.8297589743589784</v>
      </c>
      <c r="T60" s="166"/>
      <c r="U60" s="342">
        <f>IF(ISBLANK(M19),"",AVERAGE(M19:M34))</f>
        <v>76.2</v>
      </c>
      <c r="V60" s="342">
        <f>IF(ISBLANK(P19),"",AVERAGE(R19:R34))</f>
        <v>1017.6</v>
      </c>
      <c r="W60" s="345">
        <f>IF(ISBLANK(U19),"",AVERAGE(U19:U34))</f>
        <v>4.0266666666666664</v>
      </c>
      <c r="X60" s="100">
        <f>IF(ISBLANK(AI19),"",AVERAGE(AI19:AI34))</f>
        <v>11.506666666666666</v>
      </c>
      <c r="Y60" s="192"/>
      <c r="Z60" s="38">
        <f>IF(ISBLANK(Z19),"",SUM(Z19:Z34))</f>
        <v>7.2</v>
      </c>
      <c r="AA60" s="492">
        <f>IF(ISBLANK(Z19),"",(Z60/($Z$39/$E$34*15)))</f>
        <v>0.2181818181818182</v>
      </c>
      <c r="AB60" s="496">
        <f>IF(ISBLANK(Z19),"",Z60/$Z$38)</f>
        <v>0.1710213776722091</v>
      </c>
      <c r="AC60" s="118">
        <f>IF(ISBLANK(AP19),"",SUM(AP19:AP34))</f>
        <v>88.809999999999988</v>
      </c>
      <c r="AD60" s="492">
        <f>IF(ISBLANK(AP19),"",AC60/SUM(AS106:AS121))</f>
        <v>1.3420720582217116</v>
      </c>
      <c r="AE60" s="197">
        <f>IF(ISBLANK(AP19),"",AC60/$AP$38)</f>
        <v>0.55398914602956773</v>
      </c>
      <c r="AF60" s="166"/>
      <c r="AH60" s="713">
        <f t="array" ref="AH60">MAX(FREQUENCY(IF(AX91:AX121=1,ROW(91:121)),IF(AX91:AX121&lt;&gt;1,ROW(91:121))))</f>
        <v>6</v>
      </c>
      <c r="AI60" s="713"/>
      <c r="AJ60" s="4"/>
      <c r="AK60" s="68"/>
      <c r="AL60" s="4"/>
      <c r="AM60" s="67"/>
      <c r="AN60" s="53">
        <f t="array" ref="AN60">MAX(FREQUENCY(IF(AJ91:AJ121=1,ROW(53:83)),IF(AJ91:AJ121&lt;&gt;1,ROW(53:83))))</f>
        <v>10</v>
      </c>
      <c r="AO60" s="223"/>
      <c r="AP60" s="767" t="s">
        <v>268</v>
      </c>
      <c r="AQ60" s="767"/>
      <c r="AR60" s="6"/>
      <c r="AS60" s="801" t="s">
        <v>48</v>
      </c>
      <c r="AT60" s="802"/>
      <c r="AU60" s="96">
        <f>IF(U42=0,"",CORREL(U4:U34,S4:S34))</f>
        <v>0.44453358723037756</v>
      </c>
      <c r="AV60" s="577">
        <f>IF(U42=0,"",ABS(AU60))</f>
        <v>0.44453358723037756</v>
      </c>
      <c r="AX60" s="361">
        <v>12</v>
      </c>
      <c r="AY60" s="23">
        <f t="shared" si="12"/>
        <v>17.600000000000001</v>
      </c>
      <c r="AZ60" s="50"/>
      <c r="BA60" s="26">
        <f t="shared" si="14"/>
        <v>2.2857692307692341</v>
      </c>
      <c r="BB60" s="25">
        <f t="shared" si="13"/>
        <v>-0.29999999999999716</v>
      </c>
      <c r="BC60" s="25">
        <f>IF(ISBLANK(G15),"",(AVERAGE($AY$49:AY60)))</f>
        <v>17.091666666666665</v>
      </c>
      <c r="BD60" s="13">
        <f t="shared" si="15"/>
        <v>1.0784254807692326</v>
      </c>
      <c r="BE60" s="6"/>
      <c r="BF60" s="556" t="s">
        <v>355</v>
      </c>
      <c r="BG60" s="556">
        <v>0.61805555555555558</v>
      </c>
      <c r="BH60" s="556">
        <v>0.74861111111111101</v>
      </c>
      <c r="BI60" s="556">
        <v>0.35</v>
      </c>
      <c r="BJ60" s="556">
        <v>0.45624999999999999</v>
      </c>
      <c r="BK60" s="18"/>
      <c r="BL60" s="78"/>
    </row>
    <row r="61" spans="1:64" ht="12.75" x14ac:dyDescent="0.2">
      <c r="A61" s="67"/>
      <c r="B61" s="707" t="s">
        <v>58</v>
      </c>
      <c r="C61" s="708"/>
      <c r="D61" s="709"/>
      <c r="E61" s="89">
        <f>IF(ISBLANK(H5),"",CORREL(G4:G34,K4:K34))</f>
        <v>-0.32694185286333971</v>
      </c>
      <c r="F61" s="576">
        <f>IF(ISBLANK(H5),"",ABS(E61))</f>
        <v>0.32694185286333971</v>
      </c>
      <c r="H61" s="198"/>
      <c r="I61" s="434"/>
      <c r="J61" s="191"/>
      <c r="K61" s="50"/>
      <c r="L61" s="50"/>
      <c r="M61" s="50"/>
      <c r="N61" s="50"/>
      <c r="O61" s="191"/>
      <c r="P61" s="50"/>
      <c r="Q61" s="50"/>
      <c r="R61" s="50"/>
      <c r="S61" s="50"/>
      <c r="T61" s="166"/>
      <c r="U61" s="343"/>
      <c r="V61" s="343"/>
      <c r="W61" s="346"/>
      <c r="X61" s="50"/>
      <c r="Y61" s="192"/>
      <c r="Z61" s="110"/>
      <c r="AA61" s="493"/>
      <c r="AB61" s="497"/>
      <c r="AC61" s="69"/>
      <c r="AD61" s="493"/>
      <c r="AE61" s="199"/>
      <c r="AF61" s="166"/>
      <c r="AK61" s="6"/>
      <c r="AM61" s="136"/>
      <c r="AO61" s="225"/>
      <c r="AP61" s="767"/>
      <c r="AQ61" s="767"/>
      <c r="AR61" s="6"/>
      <c r="AX61" s="361">
        <v>13</v>
      </c>
      <c r="AY61" s="23">
        <f t="shared" si="12"/>
        <v>15.45</v>
      </c>
      <c r="AZ61" s="50"/>
      <c r="BA61" s="26">
        <f t="shared" si="14"/>
        <v>0.26980769230769575</v>
      </c>
      <c r="BB61" s="25">
        <f t="shared" si="13"/>
        <v>0.44999999999999929</v>
      </c>
      <c r="BC61" s="25">
        <f>IF(ISBLANK(G16),"",(AVERAGE($AY$49:AY61)))</f>
        <v>16.965384615384611</v>
      </c>
      <c r="BD61" s="13">
        <f t="shared" si="15"/>
        <v>1.0162241124260367</v>
      </c>
      <c r="BE61" s="6"/>
      <c r="BF61" s="556">
        <v>0.31597222222222221</v>
      </c>
      <c r="BG61" s="556">
        <v>0.53125</v>
      </c>
      <c r="BH61" s="556">
        <v>0.74375000000000002</v>
      </c>
      <c r="BI61" s="556">
        <v>0.3298611111111111</v>
      </c>
      <c r="BJ61" s="556">
        <v>0.72569444444444453</v>
      </c>
      <c r="BK61" s="18"/>
      <c r="BL61" s="78"/>
    </row>
    <row r="62" spans="1:64" ht="12.75" x14ac:dyDescent="0.2">
      <c r="A62" s="67"/>
      <c r="B62" s="707" t="s">
        <v>59</v>
      </c>
      <c r="C62" s="708"/>
      <c r="D62" s="709"/>
      <c r="E62" s="89">
        <f>IF(ISBLANK(H5),"",CORREL(I4:I34,K4:K34))</f>
        <v>-0.59198969276083635</v>
      </c>
      <c r="F62" s="576">
        <f>IF(ISBLANK(H5),"",ABS(E62))</f>
        <v>0.59198969276083635</v>
      </c>
      <c r="H62" s="729" t="s">
        <v>27</v>
      </c>
      <c r="I62" s="830"/>
      <c r="J62" s="191"/>
      <c r="K62" s="100">
        <f>IF(ISBLANK(F4),"",AVERAGE(F4:F13))</f>
        <v>13.389999999999997</v>
      </c>
      <c r="L62" s="100">
        <f>IF(ISBLANK(G4),"",AVERAGE(G4:G13))</f>
        <v>20.580000000000002</v>
      </c>
      <c r="M62" s="100">
        <f>IF(ISBLANK(H4),"",AVERAGE(H4:H13))</f>
        <v>16.829999999999998</v>
      </c>
      <c r="N62" s="100">
        <f>IF(ISBLANK(G4),"",AVERAGE(I4:I13))</f>
        <v>7.19</v>
      </c>
      <c r="O62" s="191"/>
      <c r="P62" s="100">
        <f>IF(ISBLANK(F4),"",K62-AVERAGE(F91:F100))</f>
        <v>1.5128846153846123</v>
      </c>
      <c r="Q62" s="100">
        <f>IF(ISBLANK(G4),"",L62-AVERAGE(G91:G100))</f>
        <v>0.17783653846154479</v>
      </c>
      <c r="R62" s="100">
        <f>IF(ISBLANK(H4),"",M62-AVERAGE(H91:H100))</f>
        <v>0.69036057692307651</v>
      </c>
      <c r="S62" s="100">
        <f>IF(ISBLANK(G4),"",N62-AVERAGE(I91:I100))</f>
        <v>-1.3350480769230737</v>
      </c>
      <c r="T62" s="166"/>
      <c r="U62" s="342">
        <f>IF(ISBLANK(M4),"",AVERAGE(M4:M13))</f>
        <v>77.400000000000006</v>
      </c>
      <c r="V62" s="342">
        <f>IF(ISBLANK(P4),"",AVERAGE(R4:R13))</f>
        <v>1009.3</v>
      </c>
      <c r="W62" s="345">
        <f>IF(ISBLANK(U4),"",AVERAGE(U4:U13))</f>
        <v>6.07</v>
      </c>
      <c r="X62" s="100">
        <f>IF(ISBLANK(AI4),"",AVERAGE(AI4:AI13))</f>
        <v>12.680000000000001</v>
      </c>
      <c r="Y62" s="192"/>
      <c r="Z62" s="38">
        <f>IF(ISBLANK(Z4),"",SUM(Z4:Z13))</f>
        <v>30.7</v>
      </c>
      <c r="AA62" s="492">
        <f>IF(ISBLANK(Z4),"",Z62/($Z$39/$E$34*10))</f>
        <v>1.3954545454545455</v>
      </c>
      <c r="AB62" s="496">
        <f>IF(Z38=0,"",Z62/$Z$38)</f>
        <v>0.72921615201900258</v>
      </c>
      <c r="AC62" s="118">
        <f>IF(ISBLANK(AP4),"",SUM(AP4:AP13))</f>
        <v>35.5</v>
      </c>
      <c r="AD62" s="492">
        <f>IF(ISBLANK(AP4),"",AC62/SUM(AS91:AS100))</f>
        <v>0.73182709620604514</v>
      </c>
      <c r="AE62" s="197">
        <f>IF(ISBLANK(AP4),"",AC62/$AP$38)</f>
        <v>0.22144594847483004</v>
      </c>
      <c r="AF62" s="222"/>
      <c r="AK62" s="6"/>
      <c r="AM62" s="136"/>
      <c r="AN62" s="180" t="s">
        <v>65</v>
      </c>
      <c r="AO62" s="226"/>
      <c r="AP62" s="767"/>
      <c r="AQ62" s="767"/>
      <c r="AR62" s="6"/>
      <c r="AS62" s="785" t="s">
        <v>4</v>
      </c>
      <c r="AT62" s="785"/>
      <c r="AU62" s="220">
        <f>IF(AQ38=0,"",AVERAGE(AV50:AV60))</f>
        <v>0.57728218876647275</v>
      </c>
      <c r="AV62" s="577">
        <f>AU62</f>
        <v>0.57728218876647275</v>
      </c>
      <c r="AX62" s="361">
        <v>14</v>
      </c>
      <c r="AY62" s="23">
        <f t="shared" si="12"/>
        <v>14.45</v>
      </c>
      <c r="AZ62" s="50"/>
      <c r="BA62" s="26">
        <f t="shared" si="14"/>
        <v>-0.59615384615384315</v>
      </c>
      <c r="BB62" s="25">
        <f t="shared" si="13"/>
        <v>0.25</v>
      </c>
      <c r="BC62" s="25">
        <f>IF(ISBLANK(G17),"",(AVERAGE($AY$49:AY62)))</f>
        <v>16.785714285714281</v>
      </c>
      <c r="BD62" s="13">
        <f t="shared" si="15"/>
        <v>0.90105425824175889</v>
      </c>
      <c r="BE62" s="6"/>
      <c r="BF62" s="556">
        <v>0.28125</v>
      </c>
      <c r="BG62" s="556">
        <v>0.6777777777777777</v>
      </c>
      <c r="BH62" s="556">
        <v>0.70694444444444438</v>
      </c>
      <c r="BI62" s="556">
        <v>0.31597222222222221</v>
      </c>
      <c r="BJ62" s="556">
        <v>0.56944444444444442</v>
      </c>
      <c r="BK62" s="55"/>
      <c r="BL62" s="78"/>
    </row>
    <row r="63" spans="1:64" ht="12.75" customHeight="1" x14ac:dyDescent="0.2">
      <c r="A63" s="67"/>
      <c r="B63" s="707" t="s">
        <v>72</v>
      </c>
      <c r="C63" s="708"/>
      <c r="D63" s="709"/>
      <c r="E63" s="89">
        <f>IF(ISBLANK(H5),"",CORREL(R4:R34,K4:K34))</f>
        <v>-0.26266332762904382</v>
      </c>
      <c r="F63" s="576">
        <f>IF(ISBLANK(H5),"",ABS(E63))</f>
        <v>0.26266332762904382</v>
      </c>
      <c r="H63" s="729" t="s">
        <v>28</v>
      </c>
      <c r="I63" s="830"/>
      <c r="J63" s="191"/>
      <c r="K63" s="100">
        <f>IF(ISBLANK(F14),"",AVERAGE(F14:F23))</f>
        <v>11.45</v>
      </c>
      <c r="L63" s="100">
        <f>IF(ISBLANK(G14),"",AVERAGE(G14:G23))</f>
        <v>19.16</v>
      </c>
      <c r="M63" s="100">
        <f>IF(ISBLANK(H14),"",AVERAGE(H14:H23))</f>
        <v>15.219999999999999</v>
      </c>
      <c r="N63" s="100">
        <f>IF(ISBLANK(G14),"",AVERAGE(I14:I23))</f>
        <v>7.7099999999999991</v>
      </c>
      <c r="O63" s="191"/>
      <c r="P63" s="100">
        <f>IF(ISBLANK(F14),"",K63-AVERAGE(F101:F110))</f>
        <v>0.32914615384615331</v>
      </c>
      <c r="Q63" s="100">
        <f>IF(ISBLANK(G14),"",L63-AVERAGE(G101:G110))</f>
        <v>0.56743846153846889</v>
      </c>
      <c r="R63" s="100">
        <f>IF(ISBLANK(H14),"",M63-AVERAGE(H101:H110))</f>
        <v>0.36329230769230847</v>
      </c>
      <c r="S63" s="100">
        <f>IF(ISBLANK(G14),"",N63-AVERAGE(I101:I110))</f>
        <v>0.23829230769231557</v>
      </c>
      <c r="T63" s="166"/>
      <c r="U63" s="342">
        <f>IF(ISBLANK(M14),"",AVERAGE(M14:M23))</f>
        <v>72.5</v>
      </c>
      <c r="V63" s="342">
        <f>IF(ISBLANK(P14),"",AVERAGE(R14:R23))</f>
        <v>1011.6</v>
      </c>
      <c r="W63" s="345">
        <f>IF(ISBLANK(U14),"",AVERAGE(U14:U23))</f>
        <v>6.03</v>
      </c>
      <c r="X63" s="100">
        <f>IF(ISBLANK(AI14),"",AVERAGE(AI14:AI23))</f>
        <v>10.040000000000001</v>
      </c>
      <c r="Y63" s="192"/>
      <c r="Z63" s="38">
        <f>IF(ISBLANK(Z14),"",SUM(Z14:Z23))</f>
        <v>7.2999999999999989</v>
      </c>
      <c r="AA63" s="492">
        <f>IF(ISBLANK(Z14),"",Z63/($Z$39/$E$34*10))</f>
        <v>0.33181818181818179</v>
      </c>
      <c r="AB63" s="496">
        <f>IF(ISBLANK(Z14),"",Z63/$Z$38)</f>
        <v>0.17339667458432306</v>
      </c>
      <c r="AC63" s="118">
        <f>IF(ISBLANK(AP14),"",SUM(AP14:AP23))</f>
        <v>56.5</v>
      </c>
      <c r="AD63" s="492">
        <f>IF(ISBLANK(AP14),"",AC63/SUM(AS101:AS110))</f>
        <v>1.2281111182078399</v>
      </c>
      <c r="AE63" s="197">
        <f>IF(ISBLANK(AP14),"",AC63/$AP$38)</f>
        <v>0.35244214334726476</v>
      </c>
      <c r="AF63" s="222"/>
      <c r="AK63" s="315"/>
      <c r="AL63" s="306"/>
      <c r="AM63" s="136"/>
      <c r="AN63" s="5">
        <f>MIN(AT79,AN92)</f>
        <v>4</v>
      </c>
      <c r="AO63" s="227"/>
      <c r="AP63" s="835" t="s">
        <v>271</v>
      </c>
      <c r="AQ63" s="835"/>
      <c r="AR63" s="6"/>
      <c r="AS63" s="785" t="s">
        <v>34</v>
      </c>
      <c r="AT63" s="785"/>
      <c r="AU63" s="9">
        <f>AN96+AN101</f>
        <v>8</v>
      </c>
      <c r="AV63" s="103" t="s">
        <v>69</v>
      </c>
      <c r="AX63" s="361">
        <v>15</v>
      </c>
      <c r="AY63" s="23">
        <f t="shared" si="12"/>
        <v>13.6</v>
      </c>
      <c r="AZ63" s="50"/>
      <c r="BA63" s="26">
        <f t="shared" si="14"/>
        <v>-1.3121153846153804</v>
      </c>
      <c r="BB63" s="25">
        <f t="shared" si="13"/>
        <v>-0.59999999999999964</v>
      </c>
      <c r="BC63" s="25">
        <f>IF(ISBLANK(G18),"",(AVERAGE($AY$49:AY63)))</f>
        <v>16.573333333333331</v>
      </c>
      <c r="BD63" s="13">
        <f t="shared" si="15"/>
        <v>0.75350961538461636</v>
      </c>
      <c r="BE63" s="6"/>
      <c r="BF63" s="556">
        <v>0.24930555555555556</v>
      </c>
      <c r="BG63" s="556">
        <v>0.67222222222222217</v>
      </c>
      <c r="BH63" s="556">
        <v>0.6791666666666667</v>
      </c>
      <c r="BI63" s="556">
        <v>0.3520833333333333</v>
      </c>
      <c r="BJ63" s="556">
        <v>0.70208333333333339</v>
      </c>
      <c r="BK63" s="18"/>
      <c r="BL63" s="78"/>
    </row>
    <row r="64" spans="1:64" ht="12.75" x14ac:dyDescent="0.2">
      <c r="A64" s="67"/>
      <c r="B64" s="707" t="s">
        <v>74</v>
      </c>
      <c r="C64" s="708"/>
      <c r="D64" s="709"/>
      <c r="E64" s="89">
        <f>IF(ISBLANK(H5),"",CORREL(K4:K34,N4:N34))</f>
        <v>-0.91500177645416847</v>
      </c>
      <c r="F64" s="576">
        <f>IF(ISBLANK(H5),"",ABS(E64))</f>
        <v>0.91500177645416847</v>
      </c>
      <c r="H64" s="729" t="s">
        <v>161</v>
      </c>
      <c r="I64" s="830"/>
      <c r="J64" s="191"/>
      <c r="K64" s="100">
        <f>IF(ISBLANK(F24),"",AVERAGE(F24:F34))</f>
        <v>12.309999999999999</v>
      </c>
      <c r="L64" s="100">
        <f>IF(ISBLANK(G24),"",AVERAGE(G24:G34))</f>
        <v>21.590000000000003</v>
      </c>
      <c r="M64" s="100">
        <f>IF(ISBLANK(H24),"",AVERAGE(H24:H34))</f>
        <v>16.649999999999999</v>
      </c>
      <c r="N64" s="100">
        <f>IF(ISBLANK(G24),"",AVERAGE(I24:I34))</f>
        <v>9.2800000000000011</v>
      </c>
      <c r="O64" s="191"/>
      <c r="P64" s="100">
        <f>IF(ISBLANK(F24),"",K64-AVERAGE(F111:F121))</f>
        <v>1.9124999999999979</v>
      </c>
      <c r="Q64" s="100">
        <f>IF(ISBLANK(G24),"",L64-AVERAGE(G111:G121))</f>
        <v>4.397500000000008</v>
      </c>
      <c r="R64" s="100">
        <f>IF(ISBLANK(H24),"",M64-AVERAGE(H111:H121))</f>
        <v>2.8550000000000022</v>
      </c>
      <c r="S64" s="100">
        <f>IF(ISBLANK(G24),"",N64-AVERAGE(I111:I121))</f>
        <v>2.4850000000000083</v>
      </c>
      <c r="T64" s="166"/>
      <c r="U64" s="342">
        <f>IF(ISBLANK(M24),"",AVERAGE(M24:M34))</f>
        <v>76.2</v>
      </c>
      <c r="V64" s="342">
        <f>IF(ISBLANK(P24),"",AVERAGE(R24:R34))</f>
        <v>1020.85</v>
      </c>
      <c r="W64" s="345">
        <f>IF(ISBLANK(U24),"",AVERAGE(U24:U34))</f>
        <v>3.3300000000000005</v>
      </c>
      <c r="X64" s="100">
        <f>IF(ISBLANK(AI24),"",AVERAGE(AI24:AI34))</f>
        <v>12.030000000000001</v>
      </c>
      <c r="Y64" s="192"/>
      <c r="Z64" s="38">
        <f>IF(ISBLANK(Z24),"",SUM(Z24:Z34))</f>
        <v>4.0999999999999996</v>
      </c>
      <c r="AA64" s="492">
        <f>IF(ISBLANK(Z24),"",Z64/($Z$39/$E$34*10))</f>
        <v>0.18636363636363634</v>
      </c>
      <c r="AB64" s="496">
        <f>IF(ISBLANK(Z24),"",Z64/$Z$38)</f>
        <v>9.7387173396674603E-2</v>
      </c>
      <c r="AC64" s="118">
        <f>IF(ISBLANK(AP24),"",SUM(AP24:AP34))</f>
        <v>68.31</v>
      </c>
      <c r="AD64" s="492">
        <f>IF(ISBLANK(AP24),"",AC64/SUM(AS111:AS121))</f>
        <v>1.5708624881317976</v>
      </c>
      <c r="AE64" s="197">
        <f>IF(ISBLANK(AP24),"",AC64/$AP$38)</f>
        <v>0.4261119081779054</v>
      </c>
      <c r="AF64" s="50"/>
      <c r="AG64" s="739" t="s">
        <v>177</v>
      </c>
      <c r="AH64" s="739"/>
      <c r="AI64" s="739"/>
      <c r="AJ64" s="739"/>
      <c r="AK64" s="68"/>
      <c r="AL64" s="4"/>
      <c r="AM64" s="136"/>
      <c r="AN64" s="105"/>
      <c r="AO64" s="228"/>
      <c r="AP64" s="835"/>
      <c r="AQ64" s="835"/>
      <c r="AR64" s="6"/>
      <c r="AX64" s="361">
        <v>16</v>
      </c>
      <c r="AY64" s="23">
        <f t="shared" si="12"/>
        <v>17.149999999999999</v>
      </c>
      <c r="AZ64" s="50"/>
      <c r="BA64" s="26">
        <f t="shared" si="14"/>
        <v>2.3719230769230819</v>
      </c>
      <c r="BB64" s="25">
        <f t="shared" si="13"/>
        <v>0.34999999999999787</v>
      </c>
      <c r="BC64" s="25">
        <f>IF(ISBLANK(G19),"",(AVERAGE($AY$49:AY64)))</f>
        <v>16.609374999999996</v>
      </c>
      <c r="BD64" s="13">
        <f t="shared" si="15"/>
        <v>0.85466045673077051</v>
      </c>
      <c r="BE64" s="6"/>
      <c r="BF64" s="556">
        <v>0.16527777777777777</v>
      </c>
      <c r="BG64" s="556">
        <v>0.64236111111111105</v>
      </c>
      <c r="BH64" s="556">
        <v>0.62222222222222223</v>
      </c>
      <c r="BI64" s="556">
        <v>0.26319444444444445</v>
      </c>
      <c r="BJ64" s="556">
        <v>0.91388888888888886</v>
      </c>
      <c r="BK64" s="18"/>
      <c r="BL64" s="78"/>
    </row>
    <row r="65" spans="1:64" ht="12.75" customHeight="1" thickBot="1" x14ac:dyDescent="0.25">
      <c r="A65" s="67"/>
      <c r="B65" s="707" t="s">
        <v>73</v>
      </c>
      <c r="C65" s="708"/>
      <c r="D65" s="709"/>
      <c r="E65" s="89">
        <f>IF(ISBLANK(H5),"",CORREL(F4:F34,I4:I34))</f>
        <v>-0.43742667284230313</v>
      </c>
      <c r="F65" s="576">
        <f>IF(ISBLANK(H5),"",ABS(E65))</f>
        <v>0.43742667284230313</v>
      </c>
      <c r="G65" s="21"/>
      <c r="H65" s="198"/>
      <c r="I65" s="434"/>
      <c r="J65" s="191"/>
      <c r="K65" s="50"/>
      <c r="L65" s="50"/>
      <c r="M65" s="50"/>
      <c r="N65" s="50"/>
      <c r="O65" s="191"/>
      <c r="P65" s="50"/>
      <c r="Q65" s="50"/>
      <c r="R65" s="50"/>
      <c r="S65" s="50"/>
      <c r="T65" s="166"/>
      <c r="U65" s="343"/>
      <c r="V65" s="343"/>
      <c r="W65" s="346"/>
      <c r="X65" s="50"/>
      <c r="Y65" s="192"/>
      <c r="Z65" s="110"/>
      <c r="AA65" s="493"/>
      <c r="AB65" s="497"/>
      <c r="AC65" s="69"/>
      <c r="AD65" s="493"/>
      <c r="AE65" s="199"/>
      <c r="AF65" s="50"/>
      <c r="AH65" s="713">
        <f>SUM(BH91:BH121)</f>
        <v>12</v>
      </c>
      <c r="AI65" s="713"/>
      <c r="AJ65" s="93">
        <f>IF(M53=0,"",AH65/M53)</f>
        <v>0.4</v>
      </c>
      <c r="AK65" s="6"/>
      <c r="AM65" s="136"/>
      <c r="AO65" s="229"/>
      <c r="AP65" s="835"/>
      <c r="AQ65" s="835"/>
      <c r="AR65" s="6"/>
      <c r="AV65" s="332"/>
      <c r="AW65" s="332"/>
      <c r="AX65" s="361">
        <v>17</v>
      </c>
      <c r="AY65" s="23">
        <f t="shared" si="12"/>
        <v>14.25</v>
      </c>
      <c r="AZ65" s="50"/>
      <c r="BA65" s="26">
        <f t="shared" si="14"/>
        <v>-0.39403846153845734</v>
      </c>
      <c r="BB65" s="25">
        <f t="shared" si="13"/>
        <v>-0.34999999999999964</v>
      </c>
      <c r="BC65" s="25">
        <f>IF(ISBLANK(G20),"",(AVERAGE($AY$49:AY65)))</f>
        <v>16.470588235294116</v>
      </c>
      <c r="BD65" s="13">
        <f t="shared" si="15"/>
        <v>0.78120757918552286</v>
      </c>
      <c r="BE65" s="6"/>
      <c r="BF65" s="556">
        <v>0.25347222222222221</v>
      </c>
      <c r="BG65" s="556">
        <v>0.53194444444444444</v>
      </c>
      <c r="BH65" s="556">
        <v>0.57708333333333328</v>
      </c>
      <c r="BI65" s="556" t="s">
        <v>233</v>
      </c>
      <c r="BJ65" s="556">
        <v>0.55347222222222225</v>
      </c>
      <c r="BK65" s="18"/>
      <c r="BL65" s="78"/>
    </row>
    <row r="66" spans="1:64" ht="12.75" customHeight="1" thickTop="1" x14ac:dyDescent="0.2">
      <c r="A66" s="67"/>
      <c r="B66" s="707" t="s">
        <v>82</v>
      </c>
      <c r="C66" s="708"/>
      <c r="D66" s="709"/>
      <c r="E66" s="89">
        <f>IF(ISBLANK(H5),"",CORREL(G4:G34,I4:I34))</f>
        <v>0.65067927808572024</v>
      </c>
      <c r="F66" s="576">
        <f>IF(ISBLANK(H5),"",ABS(E66))</f>
        <v>0.65067927808572024</v>
      </c>
      <c r="H66" s="729" t="s">
        <v>29</v>
      </c>
      <c r="I66" s="830"/>
      <c r="J66" s="191"/>
      <c r="K66" s="100">
        <f>IF(ISBLANK(F4),"",AVERAGE(F4:F8))</f>
        <v>12.919999999999998</v>
      </c>
      <c r="L66" s="100">
        <f>IF(ISBLANK(G4),"",AVERAGE(G4:G8))</f>
        <v>21.420000000000005</v>
      </c>
      <c r="M66" s="100">
        <f>IF(ISBLANK(H4),"",AVERAGE(H4:H8))</f>
        <v>17.02</v>
      </c>
      <c r="N66" s="100">
        <f>IF(ISBLANK(G4),"",AVERAGE(I4:I8))</f>
        <v>8.5</v>
      </c>
      <c r="O66" s="191"/>
      <c r="P66" s="100">
        <f>IF(ISBLANK(F4),"",K66-AVERAGE(F91:F95))</f>
        <v>0.85346153846153605</v>
      </c>
      <c r="Q66" s="100">
        <f>IF(ISBLANK(G4),"",L66-AVERAGE(G91:G95))</f>
        <v>0.62875000000000725</v>
      </c>
      <c r="R66" s="100">
        <f>IF(ISBLANK(H4),"",M66-AVERAGE(H91:H95))</f>
        <v>0.59110576923076863</v>
      </c>
      <c r="S66" s="100">
        <f>IF(ISBLANK(G4),"",N66-AVERAGE(I91:I95))</f>
        <v>-0.22471153846153769</v>
      </c>
      <c r="T66" s="166"/>
      <c r="U66" s="342">
        <f>IF(ISBLANK(M4),"",AVERAGE(M4:M8))</f>
        <v>73.2</v>
      </c>
      <c r="V66" s="342">
        <f>IF(ISBLANK(P4),"",AVERAGE(R4:R8))</f>
        <v>1010.2</v>
      </c>
      <c r="W66" s="345">
        <f>IF(ISBLANK(U4),"",AVERAGE(U4:U8))</f>
        <v>5.32</v>
      </c>
      <c r="X66" s="100">
        <f>IF(ISBLANK(AI4),"",AVERAGE(AI4:AI8))</f>
        <v>12</v>
      </c>
      <c r="Y66" s="192"/>
      <c r="Z66" s="100">
        <f>IF(ISBLANK(Z4),"",SUM(Z4:Z8))</f>
        <v>4.0999999999999996</v>
      </c>
      <c r="AA66" s="492">
        <f>IF(ISBLANK(Z4),"",Z66/($Z$39/$E$34*5))</f>
        <v>0.37272727272727268</v>
      </c>
      <c r="AB66" s="496">
        <f>IF(Z38=0,"",Z66/$Z$38)</f>
        <v>9.7387173396674603E-2</v>
      </c>
      <c r="AC66" s="165">
        <f>IF(ISBLANK(AP4),"",SUM(AP4:AP8))</f>
        <v>29.5</v>
      </c>
      <c r="AD66" s="492">
        <f>IF(ISBLANK(AP4),"",AC66/SUM(AS91:AS95))</f>
        <v>1.200898511428123</v>
      </c>
      <c r="AE66" s="197">
        <f>IF(ISBLANK(AP4),"",AC66/$AP$38)</f>
        <v>0.18401846422556301</v>
      </c>
      <c r="AF66" s="50"/>
      <c r="AG66" s="650"/>
      <c r="AH66" s="650"/>
      <c r="AI66" s="650"/>
      <c r="AJ66" s="650"/>
      <c r="AK66" s="316"/>
      <c r="AM66" s="136"/>
      <c r="AN66" s="190" t="s">
        <v>254</v>
      </c>
      <c r="AO66" s="229"/>
      <c r="AP66" s="835"/>
      <c r="AQ66" s="835"/>
      <c r="AR66" s="6"/>
      <c r="AT66" s="186" t="s">
        <v>86</v>
      </c>
      <c r="AU66" s="186"/>
      <c r="AV66" s="571"/>
      <c r="AW66" s="571"/>
      <c r="AX66" s="361">
        <v>18</v>
      </c>
      <c r="AY66" s="23">
        <f t="shared" si="12"/>
        <v>12.15</v>
      </c>
      <c r="AZ66" s="50"/>
      <c r="BA66" s="26">
        <f t="shared" si="14"/>
        <v>-2.3599999999999994</v>
      </c>
      <c r="BB66" s="25">
        <f t="shared" si="13"/>
        <v>0.34999999999999964</v>
      </c>
      <c r="BC66" s="25">
        <f>IF(ISBLANK(G21),"",(AVERAGE($AY$49:AY66)))</f>
        <v>16.230555555555551</v>
      </c>
      <c r="BD66" s="13">
        <f t="shared" si="15"/>
        <v>0.60669604700854762</v>
      </c>
      <c r="BE66" s="6"/>
      <c r="BF66" s="556">
        <v>0.28819444444444448</v>
      </c>
      <c r="BG66" s="556">
        <v>0.61111111111111105</v>
      </c>
      <c r="BH66" s="556">
        <v>0.61736111111111114</v>
      </c>
      <c r="BI66" s="556">
        <v>0.34097222222222223</v>
      </c>
      <c r="BJ66" s="556">
        <v>7.7083333333333337E-2</v>
      </c>
      <c r="BK66" s="18"/>
      <c r="BL66" s="78"/>
    </row>
    <row r="67" spans="1:64" ht="12.75" x14ac:dyDescent="0.2">
      <c r="A67" s="67"/>
      <c r="B67" s="740"/>
      <c r="C67" s="741"/>
      <c r="D67" s="741"/>
      <c r="E67" s="157"/>
      <c r="F67" s="576"/>
      <c r="H67" s="729" t="s">
        <v>36</v>
      </c>
      <c r="I67" s="830"/>
      <c r="J67" s="191"/>
      <c r="K67" s="100">
        <f>IF(ISBLANK(F9),"",AVERAGE(F9:F13))</f>
        <v>13.86</v>
      </c>
      <c r="L67" s="100">
        <f>IF(ISBLANK(G9),"",AVERAGE(G9:G13))</f>
        <v>19.740000000000002</v>
      </c>
      <c r="M67" s="100">
        <f>IF(ISBLANK(H9),"",AVERAGE(H9:H13))</f>
        <v>16.64</v>
      </c>
      <c r="N67" s="100">
        <f>IF(ISBLANK(G9),"",AVERAGE(I9:I13))</f>
        <v>5.8800000000000008</v>
      </c>
      <c r="O67" s="191"/>
      <c r="P67" s="100">
        <f>IF(ISBLANK(F9),"",K67-AVERAGE(F96:F100))</f>
        <v>2.1723076923076921</v>
      </c>
      <c r="Q67" s="100">
        <f>IF(ISBLANK(G9),"",L67-AVERAGE(G96:G100))</f>
        <v>-0.27307692307691767</v>
      </c>
      <c r="R67" s="100">
        <f>IF(ISBLANK(H9),"",M67-AVERAGE(H96:H100))</f>
        <v>0.78961538461538794</v>
      </c>
      <c r="S67" s="100">
        <f>IF(ISBLANK(G9),"",N67-AVERAGE(I96:I100))</f>
        <v>-2.4453846153846097</v>
      </c>
      <c r="T67" s="166"/>
      <c r="U67" s="342">
        <f>IF(ISBLANK(M9),"",AVERAGE(M9:M13))</f>
        <v>81.599999999999994</v>
      </c>
      <c r="V67" s="342">
        <f>IF(ISBLANK(P9),"",AVERAGE(R9:R13))</f>
        <v>1008.4</v>
      </c>
      <c r="W67" s="345">
        <f>IF(ISBLANK(U9),"",AVERAGE(U9:U13))</f>
        <v>6.8199999999999985</v>
      </c>
      <c r="X67" s="100">
        <f>IF(ISBLANK(AI9),"",AVERAGE(AI9:AI13))</f>
        <v>13.36</v>
      </c>
      <c r="Y67" s="192"/>
      <c r="Z67" s="100">
        <f>IF(ISBLANK(Z9),"",SUM(Z9:Z13))</f>
        <v>26.6</v>
      </c>
      <c r="AA67" s="492">
        <f>IF(ISBLANK(Z9),"",Z67/($Z$39/$E$34*5))</f>
        <v>2.4181818181818184</v>
      </c>
      <c r="AB67" s="496">
        <f>IF(ISBLANK(Z9),"",Z67/$Z$38)</f>
        <v>0.63182897862232801</v>
      </c>
      <c r="AC67" s="165">
        <f>IF(ISBLANK(AP9),"",SUM(AP9:AP13))</f>
        <v>6</v>
      </c>
      <c r="AD67" s="492">
        <f>IF(ISBLANK(AP9),"",AC67/SUM(AS96:AS100))</f>
        <v>0.25058693958159706</v>
      </c>
      <c r="AE67" s="197">
        <f>IF(ISBLANK(AP9),"",AC67/$AP$38)</f>
        <v>3.7427484249267048E-2</v>
      </c>
      <c r="AF67" s="50"/>
      <c r="AG67" s="780" t="s">
        <v>178</v>
      </c>
      <c r="AH67" s="780"/>
      <c r="AI67" s="780"/>
      <c r="AJ67" s="780"/>
      <c r="AK67" s="84"/>
      <c r="AM67" s="71"/>
      <c r="AN67" s="5">
        <f t="array" ref="AN67">SUM(IF(AP4:AP34&gt;0.25*AT91:AT121,1,0))</f>
        <v>22</v>
      </c>
      <c r="AO67" s="229"/>
      <c r="AP67" s="835"/>
      <c r="AQ67" s="835"/>
      <c r="AR67" s="6"/>
      <c r="AT67" s="187">
        <f>M53-AT70</f>
        <v>14</v>
      </c>
      <c r="AU67" s="187"/>
      <c r="AV67" s="571"/>
      <c r="AW67" s="571"/>
      <c r="AX67" s="361">
        <v>19</v>
      </c>
      <c r="AY67" s="23">
        <f t="shared" si="12"/>
        <v>14.05</v>
      </c>
      <c r="AZ67" s="50"/>
      <c r="BA67" s="26">
        <f t="shared" si="14"/>
        <v>-0.36466666666666647</v>
      </c>
      <c r="BB67" s="25">
        <f t="shared" si="13"/>
        <v>-0.14999999999999858</v>
      </c>
      <c r="BC67" s="25">
        <f>IF(ISBLANK(G22),"",(AVERAGE($AY$49:AY67)))</f>
        <v>16.115789473684206</v>
      </c>
      <c r="BD67" s="13">
        <f t="shared" si="15"/>
        <v>0.55557169365722281</v>
      </c>
      <c r="BE67" s="6"/>
      <c r="BF67" s="556">
        <v>0.29652777777777778</v>
      </c>
      <c r="BG67" s="556">
        <v>0.62222222222222223</v>
      </c>
      <c r="BH67" s="556">
        <v>0.625</v>
      </c>
      <c r="BI67" s="556">
        <v>0.3444444444444445</v>
      </c>
      <c r="BJ67" s="556">
        <v>0.62777777777777777</v>
      </c>
      <c r="BK67" s="18"/>
      <c r="BL67" s="78"/>
    </row>
    <row r="68" spans="1:64" ht="12.75" customHeight="1" x14ac:dyDescent="0.2">
      <c r="A68" s="67"/>
      <c r="B68" s="731" t="s">
        <v>4</v>
      </c>
      <c r="C68" s="732"/>
      <c r="D68" s="732"/>
      <c r="E68" s="582">
        <f>IF(ISBLANK(H5),"",AVERAGE(F48:F66))</f>
        <v>0.41444108590090167</v>
      </c>
      <c r="F68" s="576">
        <f>IF(ISBLANK(H5),"",ABS(E68))</f>
        <v>0.41444108590090167</v>
      </c>
      <c r="H68" s="729" t="s">
        <v>30</v>
      </c>
      <c r="I68" s="830"/>
      <c r="J68" s="191"/>
      <c r="K68" s="100">
        <f>IF(ISBLANK(F14),"",AVERAGE(F14:F18))</f>
        <v>11.9</v>
      </c>
      <c r="L68" s="100">
        <f>IF(ISBLANK(G14),"",AVERAGE(G14:G18))</f>
        <v>19.600000000000001</v>
      </c>
      <c r="M68" s="100">
        <f>IF(ISBLANK(H14),"",AVERAGE(H14:H18))</f>
        <v>15.64</v>
      </c>
      <c r="N68" s="100">
        <f>IF(ISBLANK(G14),"",AVERAGE(I14:I18))</f>
        <v>7.7</v>
      </c>
      <c r="O68" s="191"/>
      <c r="P68" s="100">
        <f>IF(ISBLANK(F14),"",K68-AVERAGE(F101:F105))</f>
        <v>0.59115384615384414</v>
      </c>
      <c r="Q68" s="100">
        <f>IF(ISBLANK(G14),"",L68-AVERAGE(G101:G105))</f>
        <v>0.54846153846154877</v>
      </c>
      <c r="R68" s="100">
        <f>IF(ISBLANK(H14),"",M68-AVERAGE(H101:H105))</f>
        <v>0.45980769230769702</v>
      </c>
      <c r="S68" s="100">
        <f>IF(ISBLANK(G14),"",N68-AVERAGE(I101:I105))</f>
        <v>-4.2692307692296261E-2</v>
      </c>
      <c r="T68" s="166"/>
      <c r="U68" s="342">
        <f>IF(ISBLANK(M14),"",AVERAGE(M14:M18))</f>
        <v>68.8</v>
      </c>
      <c r="V68" s="342">
        <f>IF(ISBLANK(P14),"",AVERAGE(R14:R18))</f>
        <v>1012.1</v>
      </c>
      <c r="W68" s="345">
        <f>IF(ISBLANK(U14),"",AVERAGE(U14:U18))</f>
        <v>6.6400000000000006</v>
      </c>
      <c r="X68" s="100">
        <f>IF(ISBLANK(AI14),"",AVERAGE(AI14:AI18))</f>
        <v>9.6199999999999992</v>
      </c>
      <c r="Y68" s="192"/>
      <c r="Z68" s="100">
        <f>IF(ISBLANK(Z14),"",SUM(Z14:Z18))</f>
        <v>4.2</v>
      </c>
      <c r="AA68" s="492">
        <f>IF(ISBLANK(Z14),"",Z68/($Z$39/$E$34*5))</f>
        <v>0.38181818181818183</v>
      </c>
      <c r="AB68" s="496">
        <f>IF(ISBLANK(Z14),"",Z68/$Z$38)</f>
        <v>9.9762470308788639E-2</v>
      </c>
      <c r="AC68" s="165">
        <f>IF(ISBLANK(AP14),"",SUM(AP14:AP18))</f>
        <v>36</v>
      </c>
      <c r="AD68" s="492">
        <f>IF(ISBLANK(AP14),"",AC68/SUM(AS101:AS105))</f>
        <v>1.5439061129578013</v>
      </c>
      <c r="AE68" s="197">
        <f>IF(ISBLANK(AP14),"",AC68/$AP$38)</f>
        <v>0.22456490549560232</v>
      </c>
      <c r="AF68" s="50"/>
      <c r="AH68" s="781">
        <f>SUM(AY91:AY121)</f>
        <v>13</v>
      </c>
      <c r="AI68" s="781"/>
      <c r="AJ68" s="93">
        <f>IF(M53=0,"",AH68/M53)</f>
        <v>0.43333333333333335</v>
      </c>
      <c r="AK68" s="6"/>
      <c r="AM68" s="136"/>
      <c r="AO68" s="228"/>
      <c r="AP68" s="835"/>
      <c r="AQ68" s="835"/>
      <c r="AR68" s="6"/>
      <c r="AT68" s="4"/>
      <c r="AU68" s="4"/>
      <c r="AV68" s="571"/>
      <c r="AW68" s="571"/>
      <c r="AX68" s="361">
        <v>20</v>
      </c>
      <c r="AY68" s="23">
        <f t="shared" si="12"/>
        <v>16.700000000000003</v>
      </c>
      <c r="AZ68" s="50"/>
      <c r="BA68" s="26">
        <f t="shared" si="14"/>
        <v>2.3806666666666683</v>
      </c>
      <c r="BB68" s="25">
        <f t="shared" si="13"/>
        <v>0.10000000000000142</v>
      </c>
      <c r="BC68" s="25">
        <f>IF(ISBLANK(G23),"",(AVERAGE($AY$49:AY68)))</f>
        <v>16.144999999999996</v>
      </c>
      <c r="BD68" s="13">
        <f t="shared" si="15"/>
        <v>0.64682644230769526</v>
      </c>
      <c r="BE68" s="6"/>
      <c r="BF68" s="556">
        <v>0.21875</v>
      </c>
      <c r="BG68" s="556">
        <v>0.52430555555555558</v>
      </c>
      <c r="BH68" s="556">
        <v>0.53194444444444444</v>
      </c>
      <c r="BI68" s="556" t="s">
        <v>233</v>
      </c>
      <c r="BJ68" s="556">
        <v>0.44236111111111115</v>
      </c>
      <c r="BK68" s="54"/>
      <c r="BL68" s="78"/>
    </row>
    <row r="69" spans="1:64" ht="12.75" customHeight="1" x14ac:dyDescent="0.2">
      <c r="A69" s="67"/>
      <c r="B69" s="731" t="s">
        <v>34</v>
      </c>
      <c r="C69" s="732"/>
      <c r="D69" s="732"/>
      <c r="E69" s="583">
        <f>AN100+AN97</f>
        <v>6</v>
      </c>
      <c r="F69" s="85" t="s">
        <v>90</v>
      </c>
      <c r="H69" s="729" t="s">
        <v>31</v>
      </c>
      <c r="I69" s="830"/>
      <c r="J69" s="191"/>
      <c r="K69" s="100">
        <f>IF(ISBLANK(F19),"",AVERAGE(F19:F23))</f>
        <v>11</v>
      </c>
      <c r="L69" s="100">
        <f>IF(ISBLANK(G19),"",AVERAGE(G19:G23))</f>
        <v>18.72</v>
      </c>
      <c r="M69" s="100">
        <f>IF(ISBLANK(H19),"",AVERAGE(H19:H23))</f>
        <v>14.8</v>
      </c>
      <c r="N69" s="100">
        <f>IF(ISBLANK(G19),"",AVERAGE(I19:I23))</f>
        <v>7.7200000000000006</v>
      </c>
      <c r="O69" s="191"/>
      <c r="P69" s="100">
        <f>IF(ISBLANK(F19),"",K69-AVERAGE(F106:F110))</f>
        <v>6.7138461538458927E-2</v>
      </c>
      <c r="Q69" s="100">
        <f>IF(ISBLANK(G19),"",L69-AVERAGE(G106:G110))</f>
        <v>0.586415384615389</v>
      </c>
      <c r="R69" s="100">
        <f>IF(ISBLANK(H19),"",M69-AVERAGE(H106:H110))</f>
        <v>0.26677692307692702</v>
      </c>
      <c r="S69" s="100">
        <f>IF(ISBLANK(G19),"",N69-AVERAGE(I106:I110))</f>
        <v>0.51927692307693007</v>
      </c>
      <c r="T69" s="166"/>
      <c r="U69" s="342">
        <f>IF(ISBLANK(M19),"",AVERAGE(M19:M23))</f>
        <v>76.2</v>
      </c>
      <c r="V69" s="342">
        <f>IF(ISBLANK(P19),"",AVERAGE(R19:R23))</f>
        <v>1011.1</v>
      </c>
      <c r="W69" s="345">
        <f>IF(ISBLANK(U19),"",AVERAGE(U19:U23))</f>
        <v>5.42</v>
      </c>
      <c r="X69" s="100">
        <f>IF(ISBLANK(AI19),"",AVERAGE(AI19:AI23))</f>
        <v>10.459999999999999</v>
      </c>
      <c r="Y69" s="192"/>
      <c r="Z69" s="100">
        <f>IF(ISBLANK(Z19),"",SUM(Z19:Z23))</f>
        <v>3.1</v>
      </c>
      <c r="AA69" s="492">
        <f>IF(ISBLANK(Z19),"",Z69/($Z$39/$E$34*5))</f>
        <v>0.2818181818181818</v>
      </c>
      <c r="AB69" s="496">
        <f>IF(ISBLANK(Z19),"",Z69/$Z$38)</f>
        <v>7.3634204275534465E-2</v>
      </c>
      <c r="AC69" s="165">
        <f>IF(ISBLANK(AP19),"",SUM(AP19:AP23))</f>
        <v>20.5</v>
      </c>
      <c r="AD69" s="492">
        <f>IF(ISBLANK(AP19),"",AC69/SUM(AS106:AS110))</f>
        <v>0.90355621603180292</v>
      </c>
      <c r="AE69" s="197">
        <f>IF(ISBLANK(AP19),"",AC69/$AP$38)</f>
        <v>0.12787723785166241</v>
      </c>
      <c r="AF69" s="50"/>
      <c r="AK69" s="6"/>
      <c r="AM69" s="136"/>
      <c r="AN69" s="183" t="s">
        <v>255</v>
      </c>
      <c r="AO69" s="228"/>
      <c r="AP69" s="767" t="s">
        <v>195</v>
      </c>
      <c r="AQ69" s="767"/>
      <c r="AR69" s="6"/>
      <c r="AT69" s="189" t="s">
        <v>85</v>
      </c>
      <c r="AU69" s="189"/>
      <c r="AV69" s="603"/>
      <c r="AW69" s="571"/>
      <c r="AX69" s="361">
        <v>21</v>
      </c>
      <c r="AY69" s="23">
        <f t="shared" si="12"/>
        <v>15.350000000000001</v>
      </c>
      <c r="AZ69" s="50"/>
      <c r="BA69" s="26">
        <f t="shared" si="14"/>
        <v>1.1260000000000012</v>
      </c>
      <c r="BB69" s="25">
        <f t="shared" si="13"/>
        <v>0.45000000000000107</v>
      </c>
      <c r="BC69" s="25">
        <f>IF(ISBLANK(G24),"",(AVERAGE($AY$49:AY69)))</f>
        <v>16.107142857142854</v>
      </c>
      <c r="BD69" s="13">
        <f t="shared" si="15"/>
        <v>0.66964423076923474</v>
      </c>
      <c r="BE69" s="6"/>
      <c r="BF69" s="556">
        <v>0.28749999999999998</v>
      </c>
      <c r="BG69" s="556">
        <v>0.64583333333333337</v>
      </c>
      <c r="BH69" s="556">
        <v>0.74444444444444446</v>
      </c>
      <c r="BI69" s="556">
        <v>0.35347222222222219</v>
      </c>
      <c r="BJ69" s="556">
        <v>0.68333333333333324</v>
      </c>
      <c r="BK69" s="54"/>
      <c r="BL69" s="78"/>
    </row>
    <row r="70" spans="1:64" ht="12.75" x14ac:dyDescent="0.2">
      <c r="A70" s="67"/>
      <c r="B70" s="160"/>
      <c r="C70" s="161"/>
      <c r="D70" s="161"/>
      <c r="E70" s="158"/>
      <c r="F70" s="120"/>
      <c r="H70" s="729" t="s">
        <v>32</v>
      </c>
      <c r="I70" s="830"/>
      <c r="J70" s="191"/>
      <c r="K70" s="100">
        <f>IF(ISBLANK(F24),"",AVERAGE(F24:F28))</f>
        <v>11.04</v>
      </c>
      <c r="L70" s="100">
        <f>IF(ISBLANK(G24),"",AVERAGE(G24:G28))</f>
        <v>19.040000000000003</v>
      </c>
      <c r="M70" s="100">
        <f>IF(ISBLANK(H24),"",AVERAGE(H24:H28))</f>
        <v>15.1</v>
      </c>
      <c r="N70" s="100">
        <f>IF(ISBLANK(G24),"",AVERAGE(I24:I28))</f>
        <v>8</v>
      </c>
      <c r="O70" s="191"/>
      <c r="P70" s="100">
        <f>IF(ISBLANK(F24),"",K70-AVERAGE(F111:F115))</f>
        <v>0.46499999999999986</v>
      </c>
      <c r="Q70" s="100">
        <f>IF(ISBLANK(G24),"",L70-AVERAGE(G111:G115))</f>
        <v>1.5483333333333391</v>
      </c>
      <c r="R70" s="100">
        <f>IF(ISBLANK(H24),"",M70-AVERAGE(H111:H115))</f>
        <v>1.0666666666666682</v>
      </c>
      <c r="S70" s="100">
        <f>IF(ISBLANK(G24),"",N70-AVERAGE(I111:I115))</f>
        <v>1.0833333333333375</v>
      </c>
      <c r="T70" s="166"/>
      <c r="U70" s="342">
        <f>IF(ISBLANK(M24),"",AVERAGE(M24:M28))</f>
        <v>74.8</v>
      </c>
      <c r="V70" s="342">
        <f>IF(ISBLANK(P24),"",AVERAGE(R24:R28))</f>
        <v>1017.2</v>
      </c>
      <c r="W70" s="345">
        <f>IF(ISBLANK(U24),"",AVERAGE(U24:U28))</f>
        <v>4.24</v>
      </c>
      <c r="X70" s="100">
        <f>IF(ISBLANK(AI24),"",AVERAGE(AI24:AI28))</f>
        <v>10.379999999999999</v>
      </c>
      <c r="Y70" s="192"/>
      <c r="Z70" s="100">
        <f>IF(ISBLANK(Z24),"",SUM(Z24:Z28))</f>
        <v>0.8</v>
      </c>
      <c r="AA70" s="492">
        <f>IF(ISBLANK(Z24),"",Z70/($Z$39/$E$34*5))</f>
        <v>7.2727272727272738E-2</v>
      </c>
      <c r="AB70" s="496">
        <f>IF(ISBLANK(Z24),"",Z70/$Z$38)</f>
        <v>1.9002375296912122E-2</v>
      </c>
      <c r="AC70" s="165">
        <f>IF(ISBLANK(AP24),"",SUM(AP24:AP28))</f>
        <v>30.5</v>
      </c>
      <c r="AD70" s="492">
        <f>IF(ISBLANK(AP24),"",AC70/SUM(AS111:AS115))</f>
        <v>1.3827387731762633</v>
      </c>
      <c r="AE70" s="197">
        <f>IF(ISBLANK(AP24),"",AC70/$AP$38)</f>
        <v>0.19025637826710751</v>
      </c>
      <c r="AF70" s="50"/>
      <c r="AK70" s="6"/>
      <c r="AM70" s="149"/>
      <c r="AN70" s="5">
        <f>M53-AN67</f>
        <v>8</v>
      </c>
      <c r="AO70" s="88"/>
      <c r="AP70" s="767"/>
      <c r="AQ70" s="767"/>
      <c r="AR70" s="6"/>
      <c r="AT70" s="5">
        <f>M53-SUM(BI91:BI121)</f>
        <v>16</v>
      </c>
      <c r="AU70" s="5"/>
      <c r="AV70" s="571"/>
      <c r="AW70" s="571"/>
      <c r="AX70" s="361">
        <v>22</v>
      </c>
      <c r="AY70" s="23">
        <f t="shared" si="12"/>
        <v>15.55</v>
      </c>
      <c r="AZ70" s="50"/>
      <c r="BA70" s="26">
        <f t="shared" si="14"/>
        <v>1.4213333333333349</v>
      </c>
      <c r="BB70" s="25">
        <f t="shared" si="13"/>
        <v>0.25</v>
      </c>
      <c r="BC70" s="25">
        <f>IF(ISBLANK(G25),"",(AVERAGE($AY$49:AY70)))</f>
        <v>16.081818181818178</v>
      </c>
      <c r="BD70" s="13">
        <f t="shared" si="15"/>
        <v>0.70381191724942038</v>
      </c>
      <c r="BE70" s="6"/>
      <c r="BF70" s="556">
        <v>0.31805555555555554</v>
      </c>
      <c r="BG70" s="556">
        <v>0.62847222222222221</v>
      </c>
      <c r="BH70" s="556">
        <v>0.62569444444444444</v>
      </c>
      <c r="BI70" s="556">
        <v>0.34930555555555554</v>
      </c>
      <c r="BJ70" s="556">
        <v>0.5444444444444444</v>
      </c>
      <c r="BK70" s="54"/>
      <c r="BL70" s="78"/>
    </row>
    <row r="71" spans="1:64" ht="13.5" customHeight="1" thickBot="1" x14ac:dyDescent="0.25">
      <c r="A71" s="67"/>
      <c r="B71" s="748" t="s">
        <v>7</v>
      </c>
      <c r="C71" s="749"/>
      <c r="D71" s="749"/>
      <c r="E71" s="221" t="s">
        <v>15</v>
      </c>
      <c r="F71" s="120"/>
      <c r="G71" s="575" t="s">
        <v>340</v>
      </c>
      <c r="H71" s="750" t="s">
        <v>162</v>
      </c>
      <c r="I71" s="831"/>
      <c r="J71" s="200"/>
      <c r="K71" s="201">
        <f>IF(ISBLANK(F29),"",AVERAGE(F29:F34))</f>
        <v>13.580000000000002</v>
      </c>
      <c r="L71" s="201">
        <f>IF(ISBLANK(G29),"",AVERAGE(G29:G34))</f>
        <v>24.140000000000004</v>
      </c>
      <c r="M71" s="201">
        <f>IF(ISBLANK(H29),"",AVERAGE(H29:H34))</f>
        <v>18.2</v>
      </c>
      <c r="N71" s="201">
        <f>IF(ISBLANK(G29),"",AVERAGE(I29:I34))</f>
        <v>10.559999999999999</v>
      </c>
      <c r="O71" s="200"/>
      <c r="P71" s="201">
        <f>IF(ISBLANK(F29),"",K71-AVERAGE(F116:F121))</f>
        <v>3.3599999999999994</v>
      </c>
      <c r="Q71" s="201">
        <f>IF(ISBLANK(G29),"",L71-AVERAGE(G116:G121))</f>
        <v>7.2466666666666768</v>
      </c>
      <c r="R71" s="201">
        <f>IF(ISBLANK(H29),"",M71-AVERAGE(H116:H121))</f>
        <v>4.6433333333333326</v>
      </c>
      <c r="S71" s="201">
        <f>IF(ISBLANK(G29),"",N71-AVERAGE(I116:I121))</f>
        <v>3.886666666666672</v>
      </c>
      <c r="T71" s="202"/>
      <c r="U71" s="344">
        <f>IF(ISBLANK(M29),"",AVERAGE(M29:M34))</f>
        <v>77.599999999999994</v>
      </c>
      <c r="V71" s="344">
        <f>IF(ISBLANK(P29),"",AVERAGE(R29:R34))</f>
        <v>1024.5</v>
      </c>
      <c r="W71" s="347">
        <f>IF(ISBLANK(U29),"",AVERAGE(U29:U34))</f>
        <v>2.4200000000000004</v>
      </c>
      <c r="X71" s="201">
        <f>IF(ISBLANK(AI29),"",AVERAGE(AI29:AI34))</f>
        <v>13.680000000000001</v>
      </c>
      <c r="Y71" s="203"/>
      <c r="Z71" s="201">
        <f>IF(ISBLANK(Z29),"",SUM(Z29:Z34))</f>
        <v>3.3</v>
      </c>
      <c r="AA71" s="494">
        <f>IF(ISBLANK(Z29),"",Z71/($Z$39/$E$34*5))</f>
        <v>0.3</v>
      </c>
      <c r="AB71" s="498">
        <f>IF(ISBLANK(Z29),"",Z71/$Z$38)</f>
        <v>7.8384798099762495E-2</v>
      </c>
      <c r="AC71" s="255">
        <f>IF(ISBLANK(AP29),"",SUM(AP29:AP34))</f>
        <v>37.81</v>
      </c>
      <c r="AD71" s="494">
        <f>IF(ISBLANK(AP29),"",AC71/SUM(AS116:AS121))</f>
        <v>1.7645143926187168</v>
      </c>
      <c r="AE71" s="256">
        <f>IF(ISBLANK(AP29),"",AC71/$AP$38)</f>
        <v>0.23585552991079789</v>
      </c>
      <c r="AF71" s="50"/>
      <c r="AG71" s="739" t="s">
        <v>125</v>
      </c>
      <c r="AH71" s="739"/>
      <c r="AI71" s="739"/>
      <c r="AJ71" s="739"/>
      <c r="AK71" s="315"/>
      <c r="AL71" s="306"/>
      <c r="AM71" s="136"/>
      <c r="AO71" s="88"/>
      <c r="AP71" s="767"/>
      <c r="AQ71" s="767"/>
      <c r="AR71" s="6"/>
      <c r="AT71" s="52"/>
      <c r="AU71" s="52"/>
      <c r="AV71" s="571"/>
      <c r="AW71" s="571"/>
      <c r="AX71" s="361">
        <v>23</v>
      </c>
      <c r="AY71" s="23">
        <f t="shared" si="12"/>
        <v>14.100000000000001</v>
      </c>
      <c r="AZ71" s="50"/>
      <c r="BA71" s="26">
        <f t="shared" si="14"/>
        <v>6.6666666666669094E-2</v>
      </c>
      <c r="BB71" s="25">
        <f t="shared" si="13"/>
        <v>1.7763568394002505E-15</v>
      </c>
      <c r="BC71" s="25">
        <f>IF(ISBLANK(G26),"",(AVERAGE($AY$49:AY71)))</f>
        <v>15.995652173913042</v>
      </c>
      <c r="BD71" s="13">
        <f t="shared" si="15"/>
        <v>0.67610994983277983</v>
      </c>
      <c r="BE71" s="6"/>
      <c r="BF71" s="556">
        <v>0.25555555555555559</v>
      </c>
      <c r="BG71" s="556">
        <v>0.63749999999999996</v>
      </c>
      <c r="BH71" s="556">
        <v>0.6645833333333333</v>
      </c>
      <c r="BI71" s="556">
        <v>0.33263888888888887</v>
      </c>
      <c r="BJ71" s="556">
        <v>0.4861111111111111</v>
      </c>
      <c r="BK71" s="54"/>
      <c r="BL71" s="78"/>
    </row>
    <row r="72" spans="1:64" ht="12.75" customHeight="1" x14ac:dyDescent="0.2">
      <c r="A72" s="67"/>
      <c r="B72" s="742" t="s">
        <v>33</v>
      </c>
      <c r="C72" s="743"/>
      <c r="D72" s="744"/>
      <c r="E72" s="89">
        <f>IF(Z38=0,"",CORREL(Z4:Z34,R4:R34))</f>
        <v>-0.25525005555797498</v>
      </c>
      <c r="F72" s="576">
        <f>IF(Z38=0,"",ABS(E72))</f>
        <v>0.25525005555797498</v>
      </c>
      <c r="G72" s="574">
        <f>IF(Z38=0,"",IF(AQ86&lt;0.5,"n/a",CORREL(Y4:Y34,R4:R34)))</f>
        <v>-0.37752953958757124</v>
      </c>
      <c r="H72" s="102"/>
      <c r="I72" s="21"/>
      <c r="J72" s="20"/>
      <c r="K72" s="21"/>
      <c r="O72" s="20"/>
      <c r="Q72" s="122"/>
      <c r="S72" s="100"/>
      <c r="T72" s="166"/>
      <c r="W72" s="24"/>
      <c r="X72" s="24"/>
      <c r="Y72" s="192"/>
      <c r="Z72" s="24"/>
      <c r="AA72" s="24"/>
      <c r="AB72" s="24"/>
      <c r="AC72" s="24"/>
      <c r="AF72" s="6"/>
      <c r="AH72" s="713">
        <f t="array" ref="AH72">MAX(FREQUENCY(IF(BH91:BH121=1,ROW(91:121)),IF(BH91:BH121&lt;&gt;1,ROW(91:121))))</f>
        <v>7</v>
      </c>
      <c r="AI72" s="713"/>
      <c r="AJ72" s="4"/>
      <c r="AK72" s="68"/>
      <c r="AL72" s="474"/>
      <c r="AM72" s="136"/>
      <c r="AN72" s="185" t="s">
        <v>123</v>
      </c>
      <c r="AO72" s="409"/>
      <c r="AP72" s="767"/>
      <c r="AQ72" s="767"/>
      <c r="AR72" s="6"/>
      <c r="AT72" s="307" t="s">
        <v>87</v>
      </c>
      <c r="AU72" s="307"/>
      <c r="AV72" s="571"/>
      <c r="AW72" s="571"/>
      <c r="AX72" s="361">
        <v>24</v>
      </c>
      <c r="AY72" s="23">
        <f t="shared" si="12"/>
        <v>14.05</v>
      </c>
      <c r="AZ72" s="50"/>
      <c r="BA72" s="26">
        <f t="shared" si="14"/>
        <v>0.11200000000000188</v>
      </c>
      <c r="BB72" s="25">
        <f t="shared" si="13"/>
        <v>-0.44999999999999929</v>
      </c>
      <c r="BC72" s="25">
        <f>IF(ISBLANK(G27),"",(AVERAGE($AY$49:AY72)))</f>
        <v>15.914583333333333</v>
      </c>
      <c r="BD72" s="13">
        <f t="shared" si="15"/>
        <v>0.6526053685897466</v>
      </c>
      <c r="BE72" s="6"/>
      <c r="BF72" s="556">
        <v>0.29166666666666669</v>
      </c>
      <c r="BG72" s="556">
        <v>0.5854166666666667</v>
      </c>
      <c r="BH72" s="556">
        <v>0.61597222222222225</v>
      </c>
      <c r="BI72" s="556">
        <v>0.38124999999999998</v>
      </c>
      <c r="BJ72" s="556">
        <v>0.61458333333333337</v>
      </c>
      <c r="BK72" s="54"/>
      <c r="BL72" s="78"/>
    </row>
    <row r="73" spans="1:64" ht="12.75" customHeight="1" x14ac:dyDescent="0.2">
      <c r="A73" s="67"/>
      <c r="B73" s="742" t="s">
        <v>61</v>
      </c>
      <c r="C73" s="743"/>
      <c r="D73" s="744"/>
      <c r="E73" s="89">
        <f>IF(Z38=0,"",CORREL(Z4:Z34,H4:H34))</f>
        <v>-1.0759932210463266E-2</v>
      </c>
      <c r="F73" s="576">
        <f>IF(Z38=0,"",ABS(E73))</f>
        <v>1.0759932210463266E-2</v>
      </c>
      <c r="H73" s="102"/>
      <c r="J73" s="20"/>
      <c r="K73" s="231"/>
      <c r="L73" s="4" t="s">
        <v>352</v>
      </c>
      <c r="M73" s="4" t="s">
        <v>10</v>
      </c>
      <c r="N73" s="122"/>
      <c r="O73" s="20"/>
      <c r="Q73" s="753" t="s">
        <v>103</v>
      </c>
      <c r="R73" s="754"/>
      <c r="S73" s="754"/>
      <c r="T73" s="754"/>
      <c r="U73" s="754"/>
      <c r="V73" s="754"/>
      <c r="W73" s="754"/>
      <c r="X73" s="754"/>
      <c r="Y73" s="754"/>
      <c r="Z73" s="754"/>
      <c r="AA73" s="754"/>
      <c r="AB73" s="627" t="s">
        <v>700</v>
      </c>
      <c r="AC73" s="303" t="s">
        <v>701</v>
      </c>
      <c r="AD73" s="800" t="s">
        <v>270</v>
      </c>
      <c r="AE73" s="800"/>
      <c r="AF73" s="6"/>
      <c r="AG73" s="650"/>
      <c r="AH73" s="650"/>
      <c r="AI73" s="650"/>
      <c r="AJ73" s="650"/>
      <c r="AK73" s="6"/>
      <c r="AL73" s="477"/>
      <c r="AM73" s="136"/>
      <c r="AN73" s="138">
        <f>IF(M53=0,"",AN67/M53)</f>
        <v>0.73333333333333328</v>
      </c>
      <c r="AO73" s="409"/>
      <c r="AP73" s="783" t="s">
        <v>269</v>
      </c>
      <c r="AQ73" s="661"/>
      <c r="AR73" s="6"/>
      <c r="AT73" s="587">
        <f>IF(AT67=0,"",AT67/M53)</f>
        <v>0.46666666666666667</v>
      </c>
      <c r="AU73" s="587"/>
      <c r="AV73" s="571"/>
      <c r="AW73" s="571"/>
      <c r="AX73" s="361">
        <v>25</v>
      </c>
      <c r="AY73" s="23">
        <f t="shared" si="12"/>
        <v>16.149999999999999</v>
      </c>
      <c r="AZ73" s="50"/>
      <c r="BA73" s="26">
        <f t="shared" si="14"/>
        <v>2.3073333333333341</v>
      </c>
      <c r="BB73" s="25">
        <f t="shared" si="13"/>
        <v>-0.55000000000000071</v>
      </c>
      <c r="BC73" s="25">
        <f>IF(ISBLANK(G28),"",(AVERAGE($AY$49:AY73)))</f>
        <v>15.923999999999999</v>
      </c>
      <c r="BD73" s="13">
        <f t="shared" si="15"/>
        <v>0.71879448717948957</v>
      </c>
      <c r="BE73" s="6"/>
      <c r="BF73" s="556">
        <v>0.12152777777777778</v>
      </c>
      <c r="BG73" s="556">
        <v>0.6118055555555556</v>
      </c>
      <c r="BH73" s="556">
        <v>0.5854166666666667</v>
      </c>
      <c r="BI73" s="556">
        <v>0.29166666666666669</v>
      </c>
      <c r="BJ73" s="556">
        <v>0.54097222222222219</v>
      </c>
      <c r="BK73" s="54"/>
      <c r="BL73" s="78"/>
    </row>
    <row r="74" spans="1:64" ht="12.75" customHeight="1" x14ac:dyDescent="0.2">
      <c r="A74" s="67"/>
      <c r="B74" s="742" t="s">
        <v>60</v>
      </c>
      <c r="C74" s="743"/>
      <c r="D74" s="744"/>
      <c r="E74" s="89">
        <f>IF(Z38=0,"",CORREL(Z4:Z34,G4:G34))</f>
        <v>-0.19762835025331713</v>
      </c>
      <c r="F74" s="576">
        <f>IF(Z38=0,"",ABS(E74))</f>
        <v>0.19762835025331713</v>
      </c>
      <c r="G74" s="236"/>
      <c r="H74" s="747" t="s">
        <v>2</v>
      </c>
      <c r="I74" s="237" t="s">
        <v>203</v>
      </c>
      <c r="J74" s="245"/>
      <c r="K74" s="106">
        <f>F39</f>
        <v>11.1</v>
      </c>
      <c r="L74" s="108" t="str">
        <f>IF(ISBLANK(F4),"",(IF(M54=0,"n/a",(E34*K74-M53*F38)/M54)))</f>
        <v>n/a</v>
      </c>
      <c r="M74" s="106" t="str">
        <f>IF(ISBLANK(F4),"",IF(M54&gt;0,L74-F39,"n/a"))</f>
        <v>n/a</v>
      </c>
      <c r="N74" s="246" t="s">
        <v>142</v>
      </c>
      <c r="O74" s="67"/>
      <c r="Q74" s="733" t="s">
        <v>702</v>
      </c>
      <c r="R74" s="734"/>
      <c r="S74" s="734"/>
      <c r="T74" s="734"/>
      <c r="U74" s="734"/>
      <c r="V74" s="734"/>
      <c r="W74" s="734"/>
      <c r="X74" s="734"/>
      <c r="Y74" s="734"/>
      <c r="Z74" s="734"/>
      <c r="AA74" s="734"/>
      <c r="AB74" s="617">
        <v>28.3</v>
      </c>
      <c r="AC74" s="618">
        <v>26.7</v>
      </c>
      <c r="AD74" s="1" t="s">
        <v>238</v>
      </c>
      <c r="AE74" s="1" t="s">
        <v>244</v>
      </c>
      <c r="AF74" s="6"/>
      <c r="AG74" s="780" t="s">
        <v>130</v>
      </c>
      <c r="AH74" s="780"/>
      <c r="AI74" s="780"/>
      <c r="AJ74" s="780"/>
      <c r="AK74" s="316"/>
      <c r="AL74" s="477"/>
      <c r="AM74" s="136"/>
      <c r="AO74" s="88"/>
      <c r="AP74" s="661"/>
      <c r="AQ74" s="661"/>
      <c r="AR74" s="6"/>
      <c r="AV74" s="571"/>
      <c r="AW74" s="571"/>
      <c r="AX74" s="361">
        <v>26</v>
      </c>
      <c r="AY74" s="23">
        <f t="shared" si="12"/>
        <v>18.05</v>
      </c>
      <c r="AZ74" s="50"/>
      <c r="BA74" s="26">
        <f t="shared" si="14"/>
        <v>4.3026666666666689</v>
      </c>
      <c r="BB74" s="25">
        <f t="shared" si="13"/>
        <v>0.35000000000000142</v>
      </c>
      <c r="BC74" s="25">
        <f>IF(ISBLANK(G29),"",(AVERAGE($AY$49:AY74)))</f>
        <v>16.005769230769229</v>
      </c>
      <c r="BD74" s="13">
        <f t="shared" si="15"/>
        <v>0.8566357248520724</v>
      </c>
      <c r="BE74" s="6"/>
      <c r="BF74" s="556">
        <v>0.19791666666666666</v>
      </c>
      <c r="BG74" s="556">
        <v>0.65138888888888891</v>
      </c>
      <c r="BH74" s="556">
        <v>0.65694444444444444</v>
      </c>
      <c r="BI74" s="556" t="s">
        <v>233</v>
      </c>
      <c r="BJ74" s="556">
        <v>0.17777777777777778</v>
      </c>
      <c r="BK74" s="54"/>
      <c r="BL74" s="78"/>
    </row>
    <row r="75" spans="1:64" ht="12.75" customHeight="1" x14ac:dyDescent="0.2">
      <c r="A75" s="67"/>
      <c r="B75" s="742" t="s">
        <v>64</v>
      </c>
      <c r="C75" s="743"/>
      <c r="D75" s="744"/>
      <c r="E75" s="89">
        <f>IF(Z38=0,"",CORREL(Z4:Z34,I4:I34))</f>
        <v>-0.35387544924051639</v>
      </c>
      <c r="F75" s="576">
        <f>IF(Z38=0,"",ABS(E75))</f>
        <v>0.35387544924051639</v>
      </c>
      <c r="G75" s="236"/>
      <c r="H75" s="746"/>
      <c r="I75" s="238" t="s">
        <v>149</v>
      </c>
      <c r="J75" s="191"/>
      <c r="K75" s="249">
        <f>F39</f>
        <v>11.1</v>
      </c>
      <c r="L75" s="91">
        <f>IF(ISBLANK(F4),"",(M54*K75+M53*F38)/E34)</f>
        <v>12.383333333333331</v>
      </c>
      <c r="M75" s="232">
        <f>IF(ISBLANK(F4),"",L75-F39)</f>
        <v>1.2833333333333314</v>
      </c>
      <c r="N75" s="248" t="s">
        <v>148</v>
      </c>
      <c r="O75" s="67"/>
      <c r="Q75" s="793" t="s">
        <v>674</v>
      </c>
      <c r="R75" s="794"/>
      <c r="S75" s="794"/>
      <c r="T75" s="794"/>
      <c r="U75" s="794"/>
      <c r="V75" s="794"/>
      <c r="W75" s="794"/>
      <c r="X75" s="794"/>
      <c r="Y75" s="794"/>
      <c r="Z75" s="794"/>
      <c r="AA75" s="794"/>
      <c r="AB75" s="617">
        <v>2.7</v>
      </c>
      <c r="AC75" s="618">
        <v>2.5</v>
      </c>
      <c r="AD75" s="1" t="s">
        <v>240</v>
      </c>
      <c r="AE75" s="1" t="s">
        <v>245</v>
      </c>
      <c r="AF75" s="6"/>
      <c r="AH75" s="781">
        <f t="array" ref="AH75">MAX(FREQUENCY(IF(AY91:AY121=1,ROW(91:121)),IF(AY91:AY121&lt;&gt;1,ROW(91:121))))</f>
        <v>11</v>
      </c>
      <c r="AI75" s="781"/>
      <c r="AJ75" s="5"/>
      <c r="AK75" s="84"/>
      <c r="AL75" s="5"/>
      <c r="AM75" s="136"/>
      <c r="AN75" s="184" t="s">
        <v>293</v>
      </c>
      <c r="AO75" s="88"/>
      <c r="AP75" s="661"/>
      <c r="AQ75" s="661"/>
      <c r="AR75" s="6"/>
      <c r="AT75" s="589" t="s">
        <v>84</v>
      </c>
      <c r="AU75" s="589"/>
      <c r="AV75" s="571"/>
      <c r="AW75" s="571"/>
      <c r="AX75" s="361">
        <v>27</v>
      </c>
      <c r="AY75" s="23">
        <f t="shared" si="12"/>
        <v>16.600000000000001</v>
      </c>
      <c r="AZ75" s="50"/>
      <c r="BA75" s="26">
        <f t="shared" si="14"/>
        <v>2.9480000000000013</v>
      </c>
      <c r="BB75" s="25">
        <f t="shared" si="13"/>
        <v>0.90000000000000213</v>
      </c>
      <c r="BC75" s="25">
        <f>IF(ISBLANK(G30),"",(AVERAGE($AY$49:AY75)))</f>
        <v>16.027777777777779</v>
      </c>
      <c r="BD75" s="13">
        <f t="shared" si="15"/>
        <v>0.93409366096866187</v>
      </c>
      <c r="BE75" s="6"/>
      <c r="BF75" s="556">
        <v>0.3263888888888889</v>
      </c>
      <c r="BG75" s="556">
        <v>0.72499999999999998</v>
      </c>
      <c r="BH75" s="556">
        <v>0.71458333333333324</v>
      </c>
      <c r="BI75" s="556">
        <v>0.39513888888888887</v>
      </c>
      <c r="BJ75" s="556">
        <v>0.49583333333333335</v>
      </c>
      <c r="BK75" s="54"/>
      <c r="BL75" s="78"/>
    </row>
    <row r="76" spans="1:64" ht="12.75" customHeight="1" x14ac:dyDescent="0.2">
      <c r="A76" s="67"/>
      <c r="B76" s="742" t="s">
        <v>62</v>
      </c>
      <c r="C76" s="743"/>
      <c r="D76" s="744"/>
      <c r="E76" s="89">
        <f>IF(Z38=0,"",CORREL(Z4:Z34,M4:M34))</f>
        <v>0.41960032407340531</v>
      </c>
      <c r="F76" s="576">
        <f>IF(Z38=0,"",ABS(E76))</f>
        <v>0.41960032407340531</v>
      </c>
      <c r="G76" s="236"/>
      <c r="H76" s="745" t="s">
        <v>3</v>
      </c>
      <c r="I76" s="237" t="s">
        <v>203</v>
      </c>
      <c r="J76" s="191"/>
      <c r="K76" s="90">
        <f>G39</f>
        <v>18.7</v>
      </c>
      <c r="L76" s="38" t="str">
        <f>IF(ISBLANK(G4),"",IF(M54&gt;0,(E34*K76-G38*M53)/M54,"n/a"))</f>
        <v>n/a</v>
      </c>
      <c r="M76" s="90" t="str">
        <f>IF(ISBLANK(G4),"",IF(M54&gt;0,L76-G39,"n/a"))</f>
        <v>n/a</v>
      </c>
      <c r="N76" s="247" t="s">
        <v>142</v>
      </c>
      <c r="O76" s="67"/>
      <c r="Q76" s="761" t="s">
        <v>703</v>
      </c>
      <c r="R76" s="762"/>
      <c r="S76" s="762"/>
      <c r="T76" s="762"/>
      <c r="U76" s="762"/>
      <c r="V76" s="762"/>
      <c r="W76" s="762"/>
      <c r="X76" s="762"/>
      <c r="Y76" s="762"/>
      <c r="Z76" s="762"/>
      <c r="AA76" s="762"/>
      <c r="AB76" s="617">
        <v>2.9</v>
      </c>
      <c r="AC76" s="618">
        <v>3</v>
      </c>
      <c r="AD76" s="1" t="s">
        <v>241</v>
      </c>
      <c r="AE76" s="1" t="s">
        <v>246</v>
      </c>
      <c r="AF76" s="6"/>
      <c r="AK76" s="6"/>
      <c r="AM76" s="136"/>
      <c r="AN76" s="5">
        <f>COUNTIF(AP4:AP34, "0")</f>
        <v>1</v>
      </c>
      <c r="AO76" s="88"/>
      <c r="AP76" s="782" t="s">
        <v>272</v>
      </c>
      <c r="AQ76" s="782"/>
      <c r="AR76" s="6"/>
      <c r="AT76" s="188">
        <f>AN94</f>
        <v>9</v>
      </c>
      <c r="AU76" s="188"/>
      <c r="AV76" s="571"/>
      <c r="AW76" s="571"/>
      <c r="AX76" s="361">
        <v>28</v>
      </c>
      <c r="AY76" s="23">
        <f t="shared" si="12"/>
        <v>18.75</v>
      </c>
      <c r="AZ76" s="50"/>
      <c r="BA76" s="26">
        <f t="shared" si="14"/>
        <v>5.1933333333333351</v>
      </c>
      <c r="BB76" s="25">
        <f t="shared" si="13"/>
        <v>0.14999999999999858</v>
      </c>
      <c r="BC76" s="25">
        <f>IF(ISBLANK(G31),"",(AVERAGE($AY$49:AY76)))</f>
        <v>16.125</v>
      </c>
      <c r="BD76" s="13">
        <f t="shared" si="15"/>
        <v>1.086209363553114</v>
      </c>
      <c r="BE76" s="6"/>
      <c r="BF76" s="556">
        <v>0.29722222222222222</v>
      </c>
      <c r="BG76" s="556">
        <v>0.64236111111111105</v>
      </c>
      <c r="BH76" s="556">
        <v>0.75624999999999998</v>
      </c>
      <c r="BI76" s="556">
        <v>0.34861111111111115</v>
      </c>
      <c r="BJ76" s="556">
        <v>0.4909722222222222</v>
      </c>
      <c r="BK76" s="54"/>
      <c r="BL76" s="78"/>
    </row>
    <row r="77" spans="1:64" ht="12.75" customHeight="1" x14ac:dyDescent="0.2">
      <c r="A77" s="67"/>
      <c r="B77" s="742" t="s">
        <v>95</v>
      </c>
      <c r="C77" s="743"/>
      <c r="D77" s="744"/>
      <c r="E77" s="89">
        <f>IF(Z38=0,"",CORREL(Z4:Z34,L4:L34))</f>
        <v>0.144370372290615</v>
      </c>
      <c r="F77" s="576">
        <f>IF(Z38=0,"",ABS(E77))</f>
        <v>0.144370372290615</v>
      </c>
      <c r="G77" s="236"/>
      <c r="H77" s="746"/>
      <c r="I77" s="238" t="s">
        <v>149</v>
      </c>
      <c r="J77" s="191"/>
      <c r="K77" s="249">
        <f>G39</f>
        <v>18.7</v>
      </c>
      <c r="L77" s="91">
        <f>IF(ISBLANK(G4),"",(M54*K77+M53*G38)/E34)</f>
        <v>20.443333333333332</v>
      </c>
      <c r="M77" s="233">
        <f>IF(ISBLANK(G4),"",L77-G39)</f>
        <v>1.7433333333333323</v>
      </c>
      <c r="N77" s="248" t="s">
        <v>148</v>
      </c>
      <c r="O77" s="67"/>
      <c r="Q77" s="857" t="s">
        <v>704</v>
      </c>
      <c r="R77" s="858"/>
      <c r="S77" s="858"/>
      <c r="T77" s="858"/>
      <c r="U77" s="858"/>
      <c r="V77" s="858"/>
      <c r="W77" s="858"/>
      <c r="X77" s="858"/>
      <c r="Y77" s="858"/>
      <c r="Z77" s="858"/>
      <c r="AA77" s="858"/>
      <c r="AB77" s="617"/>
      <c r="AC77" s="618"/>
      <c r="AD77" s="1" t="s">
        <v>242</v>
      </c>
      <c r="AE77" s="1" t="s">
        <v>247</v>
      </c>
      <c r="AF77" s="6"/>
      <c r="AK77" s="6"/>
      <c r="AM77" s="136"/>
      <c r="AN77" s="105"/>
      <c r="AO77" s="410"/>
      <c r="AP77" s="782"/>
      <c r="AQ77" s="782"/>
      <c r="AR77" s="6"/>
      <c r="AT77" s="21"/>
      <c r="AU77" s="21"/>
      <c r="AV77" s="571"/>
      <c r="AW77" s="571"/>
      <c r="AX77" s="361">
        <v>29</v>
      </c>
      <c r="AY77" s="23">
        <f t="shared" si="12"/>
        <v>20.45</v>
      </c>
      <c r="AZ77" s="50"/>
      <c r="BA77" s="26">
        <f t="shared" si="14"/>
        <v>6.9886666666666679</v>
      </c>
      <c r="BB77" s="25">
        <f t="shared" si="13"/>
        <v>0.84999999999999787</v>
      </c>
      <c r="BC77" s="25">
        <f>IF(ISBLANK(G32),"",(AVERAGE($AY$49:AY77)))</f>
        <v>16.274137931034481</v>
      </c>
      <c r="BD77" s="13">
        <f t="shared" si="15"/>
        <v>1.2897423740053044</v>
      </c>
      <c r="BE77" s="6"/>
      <c r="BF77" s="556">
        <v>0.30694444444444441</v>
      </c>
      <c r="BG77" s="556">
        <v>0.64027777777777783</v>
      </c>
      <c r="BH77" s="556">
        <v>0.62430555555555556</v>
      </c>
      <c r="BI77" s="556">
        <v>0.28611111111111115</v>
      </c>
      <c r="BJ77" s="556">
        <v>0.64722222222222225</v>
      </c>
      <c r="BK77" s="54"/>
      <c r="BL77" s="78"/>
    </row>
    <row r="78" spans="1:64" ht="12.75" customHeight="1" x14ac:dyDescent="0.2">
      <c r="A78" s="67"/>
      <c r="B78" s="742" t="s">
        <v>63</v>
      </c>
      <c r="C78" s="743"/>
      <c r="D78" s="744"/>
      <c r="E78" s="89">
        <f>IF(Z38=0,"",CORREL(Z4:Z34,N4:N34))</f>
        <v>-0.43229805678201094</v>
      </c>
      <c r="F78" s="576">
        <f>IF(Z38=0,"",ABS(E78))</f>
        <v>0.43229805678201094</v>
      </c>
      <c r="G78" s="236"/>
      <c r="H78" s="745" t="s">
        <v>4</v>
      </c>
      <c r="I78" s="237" t="s">
        <v>203</v>
      </c>
      <c r="J78" s="191"/>
      <c r="K78" s="90">
        <f>AY81</f>
        <v>14.899999999999999</v>
      </c>
      <c r="L78" s="38" t="str">
        <f>IF(ISBLANK(F4),"",IF(M54&gt;0,(E34*K78-AY80*M53)/M54,"n/a"))</f>
        <v>n/a</v>
      </c>
      <c r="M78" s="90" t="str">
        <f>IF(ISBLANK(F4),"",IF(M54&gt;0,L78-AY81,"n/a"))</f>
        <v>n/a</v>
      </c>
      <c r="N78" s="247" t="s">
        <v>142</v>
      </c>
      <c r="O78" s="67"/>
      <c r="Q78" s="736"/>
      <c r="R78" s="737"/>
      <c r="S78" s="737"/>
      <c r="T78" s="737"/>
      <c r="U78" s="737"/>
      <c r="V78" s="737"/>
      <c r="W78" s="737"/>
      <c r="X78" s="737"/>
      <c r="Y78" s="737"/>
      <c r="Z78" s="737"/>
      <c r="AA78" s="737"/>
      <c r="AB78" s="617"/>
      <c r="AC78" s="618"/>
      <c r="AD78" s="1" t="s">
        <v>243</v>
      </c>
      <c r="AE78" s="1" t="s">
        <v>248</v>
      </c>
      <c r="AF78" s="6"/>
      <c r="AG78" s="804" t="s">
        <v>273</v>
      </c>
      <c r="AH78" s="804"/>
      <c r="AI78" s="804"/>
      <c r="AJ78" s="804"/>
      <c r="AK78" s="317"/>
      <c r="AL78" s="308"/>
      <c r="AM78" s="136"/>
      <c r="AN78" s="230" t="s">
        <v>175</v>
      </c>
      <c r="AO78" s="88"/>
      <c r="AP78" s="782"/>
      <c r="AQ78" s="782"/>
      <c r="AR78" s="6"/>
      <c r="AT78" s="189" t="s">
        <v>83</v>
      </c>
      <c r="AU78" s="189"/>
      <c r="AV78" s="603"/>
      <c r="AW78" s="571"/>
      <c r="AX78" s="361">
        <v>30</v>
      </c>
      <c r="AY78" s="23">
        <f t="shared" si="12"/>
        <v>20.45</v>
      </c>
      <c r="AZ78" s="50"/>
      <c r="BA78" s="26">
        <f t="shared" si="14"/>
        <v>7.0840000000000014</v>
      </c>
      <c r="BB78" s="38">
        <f t="shared" si="13"/>
        <v>1.0500000000000007</v>
      </c>
      <c r="BC78" s="38">
        <f>IF(ISBLANK(G33),"",(AVERAGE($AY$49:AY78)))</f>
        <v>16.413333333333334</v>
      </c>
      <c r="BD78" s="13">
        <f t="shared" si="15"/>
        <v>1.4828842948717922</v>
      </c>
      <c r="BE78" s="6"/>
      <c r="BF78" s="556">
        <v>8.7499999999999994E-2</v>
      </c>
      <c r="BG78" s="556">
        <v>0.6381944444444444</v>
      </c>
      <c r="BH78" s="556">
        <v>0.66527777777777775</v>
      </c>
      <c r="BI78" s="556">
        <v>0.34583333333333338</v>
      </c>
      <c r="BJ78" s="556">
        <v>0.59930555555555554</v>
      </c>
      <c r="BK78" s="54"/>
      <c r="BL78" s="78"/>
    </row>
    <row r="79" spans="1:64" ht="12.75" customHeight="1" x14ac:dyDescent="0.2">
      <c r="A79" s="67"/>
      <c r="B79" s="742" t="s">
        <v>76</v>
      </c>
      <c r="C79" s="743"/>
      <c r="D79" s="744"/>
      <c r="E79" s="89">
        <f>IF(Z38=0,"",CORREL(Z4:Z34,F4:F34))</f>
        <v>0.19343750655928152</v>
      </c>
      <c r="F79" s="576">
        <f>IF(Z38=0,"",ABS(E79))</f>
        <v>0.19343750655928152</v>
      </c>
      <c r="G79" s="236"/>
      <c r="H79" s="746"/>
      <c r="I79" s="238" t="s">
        <v>149</v>
      </c>
      <c r="J79" s="191"/>
      <c r="K79" s="250">
        <f>AVERAGE(K75,K77)</f>
        <v>14.899999999999999</v>
      </c>
      <c r="L79" s="38">
        <f>IF(ISBLANK(F4),"",(M54*K79+M53*AY80)/E34)</f>
        <v>16.413333333333327</v>
      </c>
      <c r="M79" s="234">
        <f>IF(ISBLANK(F4),"",L79-AY81)</f>
        <v>1.5133333333333283</v>
      </c>
      <c r="N79" s="248" t="s">
        <v>148</v>
      </c>
      <c r="O79" s="67"/>
      <c r="Q79" s="736"/>
      <c r="R79" s="737"/>
      <c r="S79" s="737"/>
      <c r="T79" s="737"/>
      <c r="U79" s="737"/>
      <c r="V79" s="737"/>
      <c r="W79" s="737"/>
      <c r="X79" s="737"/>
      <c r="Y79" s="737"/>
      <c r="Z79" s="737"/>
      <c r="AA79" s="737"/>
      <c r="AB79" s="617"/>
      <c r="AC79" s="618"/>
      <c r="AD79" s="1" t="s">
        <v>239</v>
      </c>
      <c r="AE79" s="1" t="s">
        <v>249</v>
      </c>
      <c r="AF79" s="6"/>
      <c r="AH79" s="778"/>
      <c r="AI79" s="778"/>
      <c r="AJ79" s="52"/>
      <c r="AK79" s="318"/>
      <c r="AL79" s="309"/>
      <c r="AM79" s="136"/>
      <c r="AN79" s="4">
        <f t="array" ref="AN79">MAX(FREQUENCY(IF(AV91:AV121=1,ROW(91:121)),IF(AV91:AV121&lt;&gt;1,ROW(91:121))))</f>
        <v>9</v>
      </c>
      <c r="AO79" s="88"/>
      <c r="AP79" s="803" t="s">
        <v>278</v>
      </c>
      <c r="AQ79" s="661"/>
      <c r="AR79" s="6"/>
      <c r="AT79" s="5">
        <f>AN95</f>
        <v>4</v>
      </c>
      <c r="AU79" s="5"/>
      <c r="AV79" s="5"/>
      <c r="AX79" s="386"/>
      <c r="AY79" s="387" t="str">
        <f t="shared" si="12"/>
        <v/>
      </c>
      <c r="AZ79" s="388"/>
      <c r="BA79" s="101" t="str">
        <f t="shared" si="14"/>
        <v/>
      </c>
      <c r="BB79" s="91" t="str">
        <f t="shared" si="13"/>
        <v/>
      </c>
      <c r="BC79" s="91" t="str">
        <f>IF(ISBLANK(G34),"",(AVERAGE($AY$49:AY79)))</f>
        <v/>
      </c>
      <c r="BD79" s="241" t="str">
        <f t="shared" si="15"/>
        <v/>
      </c>
      <c r="BE79" s="243"/>
      <c r="BF79" s="560"/>
      <c r="BG79" s="560"/>
      <c r="BH79" s="560"/>
      <c r="BI79" s="560"/>
      <c r="BJ79" s="560"/>
      <c r="BK79" s="58"/>
      <c r="BL79" s="78"/>
    </row>
    <row r="80" spans="1:64" ht="12.75" customHeight="1" x14ac:dyDescent="0.2">
      <c r="A80" s="67"/>
      <c r="B80" s="742" t="s">
        <v>75</v>
      </c>
      <c r="C80" s="743"/>
      <c r="D80" s="744"/>
      <c r="E80" s="89">
        <f>IF(Z38=0,"",CORREL(Z4:Z34,K4:K34))</f>
        <v>0.49162979985627353</v>
      </c>
      <c r="F80" s="576">
        <f>IF(Z38=0,"",ABS(E80))</f>
        <v>0.49162979985627353</v>
      </c>
      <c r="G80" s="236"/>
      <c r="H80" s="745" t="s">
        <v>5</v>
      </c>
      <c r="I80" s="237" t="s">
        <v>203</v>
      </c>
      <c r="J80" s="191"/>
      <c r="K80" s="106">
        <f>K76-K74</f>
        <v>7.6</v>
      </c>
      <c r="L80" s="108" t="str">
        <f>IF(ISBLANK(F4),"",IF(M54&gt;0,(E34*K80-I38*M53)/M54,"n/a"))</f>
        <v>n/a</v>
      </c>
      <c r="M80" s="90" t="str">
        <f>IF(ISBLANK(F4),"",IF(M54&gt;0,L80-I39,"n/a"))</f>
        <v>n/a</v>
      </c>
      <c r="N80" s="247" t="s">
        <v>142</v>
      </c>
      <c r="O80" s="67"/>
      <c r="Q80" s="736"/>
      <c r="R80" s="737"/>
      <c r="S80" s="737"/>
      <c r="T80" s="737"/>
      <c r="U80" s="737"/>
      <c r="V80" s="737"/>
      <c r="W80" s="737"/>
      <c r="X80" s="737"/>
      <c r="Y80" s="737"/>
      <c r="Z80" s="737"/>
      <c r="AA80" s="737"/>
      <c r="AB80" s="617"/>
      <c r="AC80" s="618"/>
      <c r="AD80" s="1" t="s">
        <v>251</v>
      </c>
      <c r="AE80" s="1" t="s">
        <v>250</v>
      </c>
      <c r="AF80" s="6"/>
      <c r="AK80" s="319"/>
      <c r="AL80" s="99"/>
      <c r="AM80" s="136"/>
      <c r="AO80" s="88"/>
      <c r="AP80" s="661"/>
      <c r="AQ80" s="661"/>
      <c r="AR80" s="6"/>
      <c r="AS80" s="4"/>
      <c r="AT80" s="4"/>
      <c r="AU80" s="4"/>
      <c r="AV80" s="4"/>
      <c r="AX80" s="11" t="s">
        <v>4</v>
      </c>
      <c r="AY80" s="57">
        <f>IF(ISBLANK(G4),"",AVERAGE(F4:G34))</f>
        <v>16.413333333333327</v>
      </c>
      <c r="AZ80" s="362"/>
      <c r="BB80" s="7">
        <f>IF(ISBLANK(H4),"",AVERAGE(BB49:BB79))</f>
        <v>0.18000000000000024</v>
      </c>
      <c r="BC80" s="114">
        <f>IF(ISBLANK(G4),"",(AVERAGE($AY$49:AY79)))</f>
        <v>16.413333333333334</v>
      </c>
      <c r="BD80" s="585">
        <f>IF(ISBLANK(H4),"",BC80-D120)</f>
        <v>1.5133333333333354</v>
      </c>
      <c r="BE80" s="6"/>
      <c r="BF80" s="341">
        <f>IF(ISBLANK(BF50),"",AVERAGE(BF49:BF79))</f>
        <v>0.23884099616858243</v>
      </c>
      <c r="BG80" s="340">
        <f>IF(ISBLANK(BG49),"",AVERAGE(BG49:BG79))</f>
        <v>0.62509259259259253</v>
      </c>
      <c r="BH80" s="339">
        <f>IF(ISBLANK(BH50),"",AVERAGE(BH49:BH79))</f>
        <v>0.67040229885057467</v>
      </c>
      <c r="BI80" s="338">
        <f>IF(ISBLANK(L4),"",AVERAGE(BI49:BI79))</f>
        <v>0.31159420289855072</v>
      </c>
      <c r="BJ80" s="337">
        <f>IF(ISBLANK(BJ49),"",AVERAGE(BJ49:BJ79))</f>
        <v>0.56756944444444446</v>
      </c>
      <c r="BK80" s="19"/>
      <c r="BL80" s="78"/>
    </row>
    <row r="81" spans="1:64" ht="12.75" customHeight="1" thickBot="1" x14ac:dyDescent="0.25">
      <c r="A81" s="67"/>
      <c r="B81" s="740"/>
      <c r="C81" s="741"/>
      <c r="D81" s="741"/>
      <c r="E81" s="159"/>
      <c r="F81" s="25"/>
      <c r="G81" s="236"/>
      <c r="H81" s="752"/>
      <c r="I81" s="281" t="s">
        <v>149</v>
      </c>
      <c r="J81" s="191"/>
      <c r="K81" s="252">
        <f>K77-K75</f>
        <v>7.6</v>
      </c>
      <c r="L81" s="167">
        <f>IF(ISBLANK(F4),"",(M54*K81+M53*I38)/E34)</f>
        <v>8.06</v>
      </c>
      <c r="M81" s="235">
        <f>IF(ISBLANK(F4),"",L81-I39)</f>
        <v>0.46000000000000085</v>
      </c>
      <c r="N81" s="279" t="s">
        <v>148</v>
      </c>
      <c r="O81" s="67"/>
      <c r="Q81" s="736"/>
      <c r="R81" s="737"/>
      <c r="S81" s="737"/>
      <c r="T81" s="737"/>
      <c r="U81" s="737"/>
      <c r="V81" s="737"/>
      <c r="W81" s="737"/>
      <c r="X81" s="737"/>
      <c r="Y81" s="737"/>
      <c r="Z81" s="737"/>
      <c r="AA81" s="737"/>
      <c r="AB81" s="617"/>
      <c r="AC81" s="618"/>
      <c r="AD81" s="1" t="s">
        <v>258</v>
      </c>
      <c r="AE81" s="1" t="s">
        <v>265</v>
      </c>
      <c r="AF81" s="6"/>
      <c r="AG81" s="779" t="s">
        <v>275</v>
      </c>
      <c r="AH81" s="779"/>
      <c r="AI81" s="779"/>
      <c r="AJ81" s="779"/>
      <c r="AK81" s="222"/>
      <c r="AM81" s="136"/>
      <c r="AN81" s="183" t="s">
        <v>176</v>
      </c>
      <c r="AO81" s="411"/>
      <c r="AP81" s="661"/>
      <c r="AQ81" s="661"/>
      <c r="AR81" s="6"/>
      <c r="AT81" s="588" t="s">
        <v>194</v>
      </c>
      <c r="AU81" s="588"/>
      <c r="AX81" s="4" t="s">
        <v>9</v>
      </c>
      <c r="AY81" s="379">
        <f>AVERAGE(F39:G39)</f>
        <v>14.899999999999999</v>
      </c>
      <c r="AZ81" s="363"/>
      <c r="BB81" s="713" t="s">
        <v>173</v>
      </c>
      <c r="BC81" s="713"/>
      <c r="BE81" s="6"/>
      <c r="BK81" s="67"/>
      <c r="BL81" s="78"/>
    </row>
    <row r="82" spans="1:64" ht="12.75" customHeight="1" x14ac:dyDescent="0.2">
      <c r="A82" s="67"/>
      <c r="B82" s="764" t="s">
        <v>4</v>
      </c>
      <c r="C82" s="765"/>
      <c r="D82" s="765"/>
      <c r="E82" s="218">
        <f>IF(Z38=0,"",AVERAGE(F72:F80))</f>
        <v>0.27764998298042864</v>
      </c>
      <c r="F82" s="25"/>
      <c r="G82" s="236"/>
      <c r="H82" s="766" t="s">
        <v>13</v>
      </c>
      <c r="I82" s="237" t="s">
        <v>203</v>
      </c>
      <c r="J82" s="191"/>
      <c r="K82" s="164">
        <f>R39</f>
        <v>1013.25</v>
      </c>
      <c r="L82" s="168" t="str">
        <f>IF(ISBLANK(P4),"",IF(M54&gt;0,(E34*K82-R38*M53)/M54,"n/a"))</f>
        <v>n/a</v>
      </c>
      <c r="M82" s="164" t="str">
        <f>IF(ISBLANK(P4),"",IF(M54&gt;0,L82-R39,"n/a"))</f>
        <v>n/a</v>
      </c>
      <c r="N82" s="247" t="s">
        <v>142</v>
      </c>
      <c r="O82" s="67"/>
      <c r="Q82" s="736"/>
      <c r="R82" s="737"/>
      <c r="S82" s="737"/>
      <c r="T82" s="737"/>
      <c r="U82" s="737"/>
      <c r="V82" s="737"/>
      <c r="W82" s="737"/>
      <c r="X82" s="737"/>
      <c r="Y82" s="737"/>
      <c r="Z82" s="737"/>
      <c r="AA82" s="737"/>
      <c r="AB82" s="617"/>
      <c r="AC82" s="618"/>
      <c r="AD82" s="1" t="s">
        <v>8</v>
      </c>
      <c r="AE82" s="1" t="s">
        <v>260</v>
      </c>
      <c r="AF82" s="6"/>
      <c r="AH82" s="636"/>
      <c r="AI82" s="636"/>
      <c r="AJ82" s="52"/>
      <c r="AK82" s="320"/>
      <c r="AL82" s="307"/>
      <c r="AM82" s="136"/>
      <c r="AN82" s="332">
        <f t="array" ref="AN82">MAX(FREQUENCY(IF(AV91:AV121=0,ROW(91:121)),IF(AV91:AV121&lt;&gt;0,ROW(91:121))))</f>
        <v>5</v>
      </c>
      <c r="AO82" s="412"/>
      <c r="AP82" s="822" t="s">
        <v>526</v>
      </c>
      <c r="AQ82" s="823"/>
      <c r="AR82" s="6"/>
      <c r="AT82" s="138">
        <f>IF(AN48=0,"n/a",AN48/AT67)</f>
        <v>1.0714285714285714</v>
      </c>
      <c r="AU82" s="138"/>
      <c r="AX82" s="4" t="s">
        <v>10</v>
      </c>
      <c r="AY82" s="57">
        <f>IF(ISBLANK(F4),"",AY80-AY81)</f>
        <v>1.5133333333333283</v>
      </c>
      <c r="AZ82" s="311"/>
      <c r="BA82" s="148" t="s">
        <v>158</v>
      </c>
      <c r="BB82" s="275" t="s">
        <v>145</v>
      </c>
      <c r="BC82" s="276" t="s">
        <v>146</v>
      </c>
      <c r="BE82" s="6"/>
      <c r="BF82" s="431">
        <f>MAX(BF49:BF79)-MIN(BF49:BF79)</f>
        <v>0.30902777777777773</v>
      </c>
      <c r="BG82" s="431">
        <f>MAX(BG49:BG79)-MIN(BG49:BG79)</f>
        <v>0.30277777777777776</v>
      </c>
      <c r="BH82" s="431">
        <f>MAX(BH49:BH79)-MIN(BH49:BH79)</f>
        <v>0.29861111111111116</v>
      </c>
      <c r="BI82" s="431">
        <f>MAX(BI49:BI79)-MIN(BI49:BI79)</f>
        <v>0.38124999999999998</v>
      </c>
      <c r="BJ82" s="431">
        <f>MAX(BJ49:BJ79)-MIN(BJ49:BJ79)</f>
        <v>0.83680555555555558</v>
      </c>
      <c r="BK82" s="67"/>
      <c r="BL82" s="78"/>
    </row>
    <row r="83" spans="1:64" ht="12.75" customHeight="1" thickBot="1" x14ac:dyDescent="0.25">
      <c r="A83" s="67"/>
      <c r="B83" s="756" t="s">
        <v>34</v>
      </c>
      <c r="C83" s="757"/>
      <c r="D83" s="757"/>
      <c r="E83" s="219">
        <f>AN93+AN98</f>
        <v>0</v>
      </c>
      <c r="F83" s="85" t="s">
        <v>91</v>
      </c>
      <c r="G83" s="236"/>
      <c r="H83" s="746"/>
      <c r="I83" s="238" t="s">
        <v>149</v>
      </c>
      <c r="J83" s="242"/>
      <c r="K83" s="251">
        <f>K82</f>
        <v>1013.25</v>
      </c>
      <c r="L83" s="119">
        <f>IF(ISBLANK(P4),"",SUM(M54*K83+M53*R38)/E34)</f>
        <v>1013.9166666666666</v>
      </c>
      <c r="M83" s="169">
        <f>IF(ISBLANK(P4),"",L83-R39)</f>
        <v>0.66666666666662877</v>
      </c>
      <c r="N83" s="248" t="s">
        <v>148</v>
      </c>
      <c r="O83" s="67"/>
      <c r="Q83" s="836"/>
      <c r="R83" s="837"/>
      <c r="S83" s="837"/>
      <c r="T83" s="837"/>
      <c r="U83" s="837"/>
      <c r="V83" s="837"/>
      <c r="W83" s="837"/>
      <c r="X83" s="837"/>
      <c r="Y83" s="837"/>
      <c r="Z83" s="837"/>
      <c r="AA83" s="837"/>
      <c r="AB83" s="617"/>
      <c r="AC83" s="618"/>
      <c r="AD83" s="1" t="s">
        <v>264</v>
      </c>
      <c r="AE83" s="1" t="s">
        <v>259</v>
      </c>
      <c r="AF83" s="6"/>
      <c r="AK83" s="312"/>
      <c r="AM83" s="136"/>
      <c r="AO83" s="88"/>
      <c r="AP83" s="823"/>
      <c r="AQ83" s="823"/>
      <c r="AR83" s="67"/>
      <c r="AZ83" s="6"/>
      <c r="BA83" s="25">
        <f>E91/3</f>
        <v>2.5333333333333332</v>
      </c>
      <c r="BB83" s="274">
        <f>AY81-BA83</f>
        <v>12.366666666666665</v>
      </c>
      <c r="BC83" s="273">
        <f>AY81+BA83</f>
        <v>17.43333333333333</v>
      </c>
      <c r="BE83" s="6"/>
      <c r="BF83" s="334">
        <f>IF(ISBLANK(BF50),"",STDEV(BF49:BF79))</f>
        <v>8.0508275635474691E-2</v>
      </c>
      <c r="BG83" s="334">
        <f>IF(ISBLANK(BG50),"",STDEV(BG49:BG79))</f>
        <v>6.0082207559706238E-2</v>
      </c>
      <c r="BH83" s="334">
        <f>IF(ISBLANK(BH50),"",STDEV(BH49:BH79))</f>
        <v>6.7277811619623054E-2</v>
      </c>
      <c r="BI83" s="334">
        <f>IF(ISBLANK(BI51),"",STDEV(BI49:BI79))</f>
        <v>7.5285137335989669E-2</v>
      </c>
      <c r="BJ83" s="334">
        <f>IF(ISBLANK(BJ50),"",STDEV(BJ49:BJ79))</f>
        <v>0.1763446815737536</v>
      </c>
      <c r="BK83" s="67"/>
      <c r="BL83" s="78"/>
    </row>
    <row r="84" spans="1:64" s="107" customFormat="1" ht="12.75" x14ac:dyDescent="0.2">
      <c r="A84" s="240"/>
      <c r="C84" s="239"/>
      <c r="F84" s="117"/>
      <c r="H84" s="241"/>
      <c r="J84" s="242"/>
      <c r="O84" s="242"/>
      <c r="T84" s="243"/>
      <c r="Y84" s="243"/>
      <c r="AF84" s="243"/>
      <c r="AI84" s="117"/>
      <c r="AJ84" s="117"/>
      <c r="AK84" s="240"/>
      <c r="AL84" s="117"/>
      <c r="AM84" s="240"/>
      <c r="AO84" s="413"/>
      <c r="AP84" s="799"/>
      <c r="AQ84" s="799"/>
      <c r="AR84" s="240"/>
      <c r="AV84" s="117"/>
      <c r="AY84" s="117"/>
      <c r="AZ84" s="240"/>
      <c r="BA84" s="330">
        <f>MIN(AY49:AY79)</f>
        <v>12.15</v>
      </c>
      <c r="BB84" s="330">
        <f>MAX(AY49:AY79)</f>
        <v>20.45</v>
      </c>
      <c r="BE84" s="243"/>
      <c r="BF84" s="771" t="s">
        <v>191</v>
      </c>
      <c r="BG84" s="771"/>
      <c r="BH84" s="771"/>
      <c r="BI84" s="771"/>
      <c r="BJ84" s="771"/>
      <c r="BK84" s="240"/>
      <c r="BL84" s="244"/>
    </row>
    <row r="85" spans="1:64" s="172" customFormat="1" ht="12" x14ac:dyDescent="0.2">
      <c r="A85" s="171"/>
      <c r="C85" s="173">
        <f>MIN(C4:C34)</f>
        <v>16.3</v>
      </c>
      <c r="E85" s="174" t="s">
        <v>70</v>
      </c>
      <c r="F85" s="173">
        <f>MIN(F4:F34)</f>
        <v>7.2</v>
      </c>
      <c r="G85" s="173">
        <f>MIN(G4:G34)</f>
        <v>16.3</v>
      </c>
      <c r="H85" s="173">
        <f>MIN(H4:H34)</f>
        <v>11.8</v>
      </c>
      <c r="I85" s="173">
        <f>MIN(I4:I34)</f>
        <v>3.8</v>
      </c>
      <c r="J85" s="175"/>
      <c r="K85" s="176">
        <f>MIN(K4:K34)</f>
        <v>40</v>
      </c>
      <c r="L85" s="176">
        <f>MIN(L4:L34)</f>
        <v>78</v>
      </c>
      <c r="M85" s="176">
        <f>MIN(M4:M34)</f>
        <v>64</v>
      </c>
      <c r="N85" s="176">
        <f>MIN(N4:N34)</f>
        <v>16</v>
      </c>
      <c r="O85" s="177"/>
      <c r="P85" s="176">
        <f>MIN(P4:P34)</f>
        <v>1000</v>
      </c>
      <c r="Q85" s="176">
        <f>MIN(Q4:Q34)</f>
        <v>1007</v>
      </c>
      <c r="R85" s="173">
        <f>MIN(R4:R34)</f>
        <v>1005</v>
      </c>
      <c r="S85" s="176">
        <f>MIN(S4:S34)</f>
        <v>1</v>
      </c>
      <c r="T85" s="171"/>
      <c r="U85" s="173">
        <f t="shared" ref="U85:AC85" si="16">MIN(U4:U34)</f>
        <v>1.8</v>
      </c>
      <c r="V85" s="173">
        <f t="shared" si="16"/>
        <v>7.1</v>
      </c>
      <c r="W85" s="173">
        <f t="shared" si="16"/>
        <v>9.8000000000000007</v>
      </c>
      <c r="X85" s="173">
        <f t="shared" si="16"/>
        <v>0</v>
      </c>
      <c r="Y85" s="175">
        <f t="shared" si="16"/>
        <v>0</v>
      </c>
      <c r="Z85" s="173">
        <f t="shared" si="16"/>
        <v>0</v>
      </c>
      <c r="AA85" s="173">
        <f t="shared" si="16"/>
        <v>0.3</v>
      </c>
      <c r="AB85" s="173">
        <f t="shared" si="16"/>
        <v>0.3</v>
      </c>
      <c r="AC85" s="422">
        <f t="shared" si="16"/>
        <v>2.3752969121140152E-3</v>
      </c>
      <c r="AD85" s="173">
        <f>MIN(AE4:AE34)</f>
        <v>0.6</v>
      </c>
      <c r="AE85" s="173">
        <f>MIN(AD4:AD34)</f>
        <v>0.26666666666666666</v>
      </c>
      <c r="AF85" s="175">
        <f>MIN(AF4:AF4)</f>
        <v>0</v>
      </c>
      <c r="AG85" s="173">
        <f>MIN(AG4:AG34)</f>
        <v>4.8</v>
      </c>
      <c r="AH85" s="173">
        <f>MIN(AH4:AH34)</f>
        <v>9.8000000000000007</v>
      </c>
      <c r="AI85" s="173">
        <f>MIN(AI4:AI34)</f>
        <v>7.3</v>
      </c>
      <c r="AJ85" s="173">
        <f>MIN(AJ4:AJ34)</f>
        <v>2.1</v>
      </c>
      <c r="AK85" s="175"/>
      <c r="AL85" s="173"/>
      <c r="AM85" s="175"/>
      <c r="AO85" s="414"/>
      <c r="AP85" s="173">
        <f>MIN(AP4:AP34)</f>
        <v>0</v>
      </c>
      <c r="AQ85" s="173">
        <f>MIN(AQ4:AQ34)</f>
        <v>0</v>
      </c>
      <c r="AR85" s="175"/>
      <c r="AS85" s="173">
        <f t="shared" ref="AS85:AZ85" si="17">MIN(AS8:AS34)</f>
        <v>12.143999999999997</v>
      </c>
      <c r="AT85" s="173">
        <f t="shared" si="17"/>
        <v>19.634782608695655</v>
      </c>
      <c r="AU85" s="173">
        <f t="shared" si="17"/>
        <v>15.804166666666667</v>
      </c>
      <c r="AV85" s="173">
        <f t="shared" si="17"/>
        <v>6.8538461538461535</v>
      </c>
      <c r="AW85" s="173">
        <f t="shared" si="17"/>
        <v>73.2</v>
      </c>
      <c r="AX85" s="176">
        <f t="shared" si="17"/>
        <v>1008.5833333333334</v>
      </c>
      <c r="AY85" s="173">
        <f t="shared" si="17"/>
        <v>5.1433333333333344</v>
      </c>
      <c r="AZ85" s="175">
        <f t="shared" si="17"/>
        <v>0</v>
      </c>
      <c r="BA85" s="173">
        <f>MIN(BA4:BA34)</f>
        <v>-3.9573076923076949</v>
      </c>
      <c r="BB85" s="173">
        <f>MIN(BB4:BB34)</f>
        <v>-3.2053846153846131</v>
      </c>
      <c r="BC85" s="173">
        <f>MIN(BC4:BC34)</f>
        <v>-2.3599999999999994</v>
      </c>
      <c r="BD85" s="173">
        <f>MIN(BD4:BD34)</f>
        <v>-3.8998557692307703</v>
      </c>
      <c r="BE85" s="175">
        <f t="shared" ref="BE85:BJ85" si="18">MIN(BE8:BE34)</f>
        <v>0</v>
      </c>
      <c r="BF85" s="173">
        <f t="shared" si="18"/>
        <v>0.75833198380566458</v>
      </c>
      <c r="BG85" s="173">
        <f t="shared" si="18"/>
        <v>-0.39655048076922483</v>
      </c>
      <c r="BH85" s="173">
        <f t="shared" si="18"/>
        <v>-1.5175517751479202</v>
      </c>
      <c r="BI85" s="422">
        <f t="shared" si="18"/>
        <v>0.37272727272727268</v>
      </c>
      <c r="BJ85" s="422">
        <f t="shared" si="18"/>
        <v>0.73182709620604514</v>
      </c>
      <c r="BK85" s="177"/>
      <c r="BL85" s="178"/>
    </row>
    <row r="86" spans="1:64" s="172" customFormat="1" ht="12" x14ac:dyDescent="0.2">
      <c r="A86" s="171"/>
      <c r="B86" s="173">
        <f>MAX(B4:B34)</f>
        <v>17.8</v>
      </c>
      <c r="E86" s="174" t="s">
        <v>71</v>
      </c>
      <c r="F86" s="173">
        <f>MAX(F4:F34)</f>
        <v>16.2</v>
      </c>
      <c r="G86" s="173">
        <f>MAX(G4:G34)</f>
        <v>27.4</v>
      </c>
      <c r="H86" s="173">
        <f>MAX(H4:H34)</f>
        <v>19.600000000000001</v>
      </c>
      <c r="I86" s="173">
        <f>MAX(I4:I34)</f>
        <v>13.9</v>
      </c>
      <c r="J86" s="175"/>
      <c r="K86" s="176">
        <f>MAX(K4:K34)</f>
        <v>77</v>
      </c>
      <c r="L86" s="176">
        <f>MAX(L4:L34)</f>
        <v>98</v>
      </c>
      <c r="M86" s="176">
        <f>MAX(M4:M34)</f>
        <v>88</v>
      </c>
      <c r="N86" s="176">
        <f>MAX(N4:N34)</f>
        <v>55</v>
      </c>
      <c r="O86" s="177"/>
      <c r="P86" s="176">
        <f t="shared" ref="P86:AC86" si="19">MAX(P4:P34)</f>
        <v>1026</v>
      </c>
      <c r="Q86" s="176">
        <f t="shared" si="19"/>
        <v>1030</v>
      </c>
      <c r="R86" s="173">
        <f t="shared" si="19"/>
        <v>1028</v>
      </c>
      <c r="S86" s="176">
        <f t="shared" si="19"/>
        <v>10</v>
      </c>
      <c r="T86" s="177">
        <f t="shared" si="19"/>
        <v>0</v>
      </c>
      <c r="U86" s="173">
        <f t="shared" si="19"/>
        <v>10.8</v>
      </c>
      <c r="V86" s="173">
        <f t="shared" si="19"/>
        <v>22.1</v>
      </c>
      <c r="W86" s="173">
        <f t="shared" si="19"/>
        <v>37.4</v>
      </c>
      <c r="X86" s="173">
        <f t="shared" si="19"/>
        <v>0</v>
      </c>
      <c r="Y86" s="175">
        <f t="shared" si="19"/>
        <v>2</v>
      </c>
      <c r="Z86" s="173">
        <f t="shared" si="19"/>
        <v>21.7</v>
      </c>
      <c r="AA86" s="173">
        <f t="shared" si="19"/>
        <v>18.399999999999999</v>
      </c>
      <c r="AB86" s="173">
        <f t="shared" si="19"/>
        <v>7.4</v>
      </c>
      <c r="AC86" s="422">
        <f t="shared" si="19"/>
        <v>0.51543942992874126</v>
      </c>
      <c r="AD86" s="173">
        <f>MAX(AE4:AE34)</f>
        <v>100</v>
      </c>
      <c r="AE86" s="173">
        <f>MAX(AD4:AD34)</f>
        <v>4.34</v>
      </c>
      <c r="AF86" s="175">
        <f>MAX(AF4:AF4)</f>
        <v>0</v>
      </c>
      <c r="AG86" s="173">
        <f>MAX(AG4:AG34)</f>
        <v>14.6</v>
      </c>
      <c r="AH86" s="173">
        <f>MAX(AH4:AH34)</f>
        <v>18.600000000000001</v>
      </c>
      <c r="AI86" s="173">
        <f>MAX(AI4:AI34)</f>
        <v>15.9</v>
      </c>
      <c r="AJ86" s="173">
        <f>MAX(AJ4:AJ34)</f>
        <v>9.5</v>
      </c>
      <c r="AK86" s="175"/>
      <c r="AL86" s="173"/>
      <c r="AM86" s="175"/>
      <c r="AO86" s="415"/>
      <c r="AP86" s="176">
        <f>MAX(AP4:AP34)</f>
        <v>10.61</v>
      </c>
      <c r="AQ86" s="173">
        <f>MAX(AQ4:AQ34)</f>
        <v>5</v>
      </c>
      <c r="AR86" s="177"/>
      <c r="AS86" s="173">
        <f t="shared" ref="AS86:AZ86" si="20">MAX(AS8:AS34)</f>
        <v>13.633333333333331</v>
      </c>
      <c r="AT86" s="173">
        <f t="shared" si="20"/>
        <v>21.420000000000005</v>
      </c>
      <c r="AU86" s="173">
        <f t="shared" si="20"/>
        <v>17.02</v>
      </c>
      <c r="AV86" s="173">
        <f t="shared" si="20"/>
        <v>8.5</v>
      </c>
      <c r="AW86" s="173">
        <f t="shared" si="20"/>
        <v>77.400000000000006</v>
      </c>
      <c r="AX86" s="176">
        <f t="shared" si="20"/>
        <v>1013.9166666666666</v>
      </c>
      <c r="AY86" s="173">
        <f t="shared" si="20"/>
        <v>6.6769230769230763</v>
      </c>
      <c r="AZ86" s="175">
        <f t="shared" si="20"/>
        <v>0</v>
      </c>
      <c r="BA86" s="173">
        <f>MAX(BA4:BA34)</f>
        <v>4.6638461538461513</v>
      </c>
      <c r="BB86" s="173">
        <f>MAX(BB4:BB34)</f>
        <v>10.746000000000006</v>
      </c>
      <c r="BC86" s="173">
        <f>MAX(BC4:BC34)</f>
        <v>7.0840000000000014</v>
      </c>
      <c r="BD86" s="173">
        <f>MAX(BD4:BD34)</f>
        <v>7.3240000000000087</v>
      </c>
      <c r="BE86" s="175">
        <f t="shared" ref="BE86:BJ86" si="21">MAX(BE8:BE34)</f>
        <v>0</v>
      </c>
      <c r="BF86" s="173">
        <f t="shared" si="21"/>
        <v>1.8319871794871769</v>
      </c>
      <c r="BG86" s="173">
        <f t="shared" si="21"/>
        <v>1.7142583333333334</v>
      </c>
      <c r="BH86" s="173">
        <f t="shared" si="21"/>
        <v>0.46274807692308251</v>
      </c>
      <c r="BI86" s="422">
        <f t="shared" si="21"/>
        <v>1.9545454545454541</v>
      </c>
      <c r="BJ86" s="422">
        <f t="shared" si="21"/>
        <v>1.200898511428123</v>
      </c>
      <c r="BK86" s="177"/>
      <c r="BL86" s="178"/>
    </row>
    <row r="87" spans="1:64" ht="10.5" customHeight="1" x14ac:dyDescent="0.2">
      <c r="A87" s="67"/>
      <c r="B87" s="21"/>
      <c r="C87" s="140"/>
      <c r="D87" s="146"/>
      <c r="E87" s="4"/>
      <c r="F87" s="21"/>
      <c r="H87" s="13"/>
      <c r="J87" s="20"/>
      <c r="K87" s="21"/>
      <c r="L87" s="21"/>
      <c r="M87" s="21"/>
      <c r="N87" s="22"/>
      <c r="O87" s="20"/>
      <c r="P87" s="21"/>
      <c r="Q87" s="21"/>
      <c r="R87" s="21"/>
      <c r="S87" s="21"/>
      <c r="T87" s="67"/>
      <c r="U87" s="21"/>
      <c r="V87" s="21"/>
      <c r="W87" s="21"/>
      <c r="X87" s="21"/>
      <c r="Y87" s="67"/>
      <c r="Z87" s="21"/>
      <c r="AA87" s="21"/>
      <c r="AB87" s="21"/>
      <c r="AC87" s="21"/>
      <c r="AD87" s="21"/>
      <c r="AE87" s="21"/>
      <c r="AF87" s="67"/>
      <c r="AG87" s="21"/>
      <c r="AH87" s="21"/>
      <c r="AI87" s="21"/>
      <c r="AJ87" s="21"/>
      <c r="AK87" s="67"/>
      <c r="AL87" s="21"/>
      <c r="AM87" s="67"/>
      <c r="AO87" s="88"/>
      <c r="AR87" s="6"/>
      <c r="AS87" s="21"/>
      <c r="AT87" s="22"/>
      <c r="AU87" s="21"/>
      <c r="AV87" s="21"/>
      <c r="AW87" s="21"/>
      <c r="AX87" s="21"/>
      <c r="AZ87" s="6"/>
      <c r="BA87" s="25"/>
      <c r="BB87" s="21"/>
      <c r="BC87" s="21"/>
      <c r="BD87" s="21"/>
      <c r="BE87" s="67"/>
      <c r="BF87" s="21"/>
      <c r="BG87" s="21"/>
      <c r="BH87" s="21"/>
      <c r="BI87" s="21"/>
      <c r="BJ87" s="21"/>
      <c r="BK87" s="67"/>
      <c r="BL87" s="95"/>
    </row>
    <row r="88" spans="1:64" s="327" customFormat="1" ht="10.5" customHeight="1" x14ac:dyDescent="0.2">
      <c r="C88" s="328"/>
    </row>
    <row r="89" spans="1:64" s="327" customFormat="1" ht="1.5" customHeight="1" x14ac:dyDescent="0.2">
      <c r="C89" s="328"/>
    </row>
    <row r="90" spans="1:64" s="331" customFormat="1" ht="11.25" x14ac:dyDescent="0.2">
      <c r="A90" s="331" t="s">
        <v>167</v>
      </c>
      <c r="B90" s="148" t="s">
        <v>2</v>
      </c>
      <c r="C90" s="148" t="s">
        <v>3</v>
      </c>
      <c r="D90" s="148" t="s">
        <v>4</v>
      </c>
      <c r="E90" s="147" t="s">
        <v>5</v>
      </c>
      <c r="F90" s="331" t="s">
        <v>332</v>
      </c>
      <c r="G90" s="331" t="s">
        <v>333</v>
      </c>
      <c r="H90" s="331" t="s">
        <v>348</v>
      </c>
      <c r="I90" s="331" t="s">
        <v>347</v>
      </c>
      <c r="K90" s="331" t="s">
        <v>167</v>
      </c>
      <c r="L90" s="331" t="s">
        <v>167</v>
      </c>
      <c r="M90" s="147" t="s">
        <v>184</v>
      </c>
      <c r="N90" s="331" t="s">
        <v>167</v>
      </c>
      <c r="O90" s="331" t="s">
        <v>167</v>
      </c>
      <c r="P90" s="331" t="s">
        <v>167</v>
      </c>
      <c r="Q90" s="331" t="s">
        <v>167</v>
      </c>
      <c r="S90" s="331" t="s">
        <v>167</v>
      </c>
      <c r="U90" s="331" t="s">
        <v>204</v>
      </c>
      <c r="V90" s="331" t="s">
        <v>346</v>
      </c>
      <c r="W90" s="786" t="s">
        <v>229</v>
      </c>
      <c r="X90" s="786"/>
      <c r="Y90" s="331" t="s">
        <v>167</v>
      </c>
      <c r="Z90" s="147" t="s">
        <v>144</v>
      </c>
      <c r="AA90" s="147" t="s">
        <v>185</v>
      </c>
      <c r="AB90" s="147" t="s">
        <v>236</v>
      </c>
      <c r="AC90" s="147" t="s">
        <v>237</v>
      </c>
      <c r="AD90" s="331" t="s">
        <v>167</v>
      </c>
      <c r="AE90" s="278" t="s">
        <v>345</v>
      </c>
      <c r="AF90" s="331" t="s">
        <v>344</v>
      </c>
      <c r="AG90" s="147" t="s">
        <v>155</v>
      </c>
      <c r="AH90" s="147" t="s">
        <v>183</v>
      </c>
      <c r="AI90" s="331" t="s">
        <v>328</v>
      </c>
      <c r="AJ90" s="147" t="s">
        <v>117</v>
      </c>
      <c r="AK90" s="331" t="s">
        <v>167</v>
      </c>
      <c r="AL90" s="147" t="s">
        <v>118</v>
      </c>
      <c r="AM90" s="331" t="s">
        <v>329</v>
      </c>
      <c r="AN90" s="331" t="s">
        <v>168</v>
      </c>
      <c r="AO90" s="331" t="s">
        <v>329</v>
      </c>
      <c r="AQ90" s="147"/>
      <c r="AR90" s="331" t="s">
        <v>329</v>
      </c>
      <c r="AS90" s="331" t="s">
        <v>267</v>
      </c>
      <c r="AT90" s="331" t="s">
        <v>253</v>
      </c>
      <c r="AU90" s="331" t="s">
        <v>346</v>
      </c>
      <c r="AV90" s="147" t="s">
        <v>196</v>
      </c>
      <c r="AW90" s="147" t="s">
        <v>145</v>
      </c>
      <c r="AX90" s="147" t="s">
        <v>146</v>
      </c>
      <c r="AY90" s="147" t="s">
        <v>400</v>
      </c>
      <c r="AZ90" s="147" t="s">
        <v>124</v>
      </c>
      <c r="BA90" s="147" t="s">
        <v>145</v>
      </c>
      <c r="BB90" s="147" t="s">
        <v>146</v>
      </c>
      <c r="BC90" s="331" t="s">
        <v>330</v>
      </c>
      <c r="BD90" s="331" t="s">
        <v>331</v>
      </c>
      <c r="BE90" s="147" t="s">
        <v>327</v>
      </c>
      <c r="BF90" s="331" t="s">
        <v>167</v>
      </c>
      <c r="BG90" s="147" t="s">
        <v>163</v>
      </c>
      <c r="BH90" s="147" t="s">
        <v>399</v>
      </c>
      <c r="BI90" s="147" t="s">
        <v>401</v>
      </c>
      <c r="BJ90" s="147" t="s">
        <v>119</v>
      </c>
      <c r="BK90" s="331" t="s">
        <v>327</v>
      </c>
    </row>
    <row r="91" spans="1:64" ht="12.75" x14ac:dyDescent="0.2">
      <c r="A91" s="8">
        <f t="shared" ref="A91:A121" si="22">IF(ISBLANK(K4),NA(),N4)</f>
        <v>44</v>
      </c>
      <c r="B91" s="125">
        <f t="shared" ref="B91:B121" si="23">$F$39</f>
        <v>11.1</v>
      </c>
      <c r="C91" s="125">
        <f t="shared" ref="C91:C121" si="24">$G$39</f>
        <v>18.7</v>
      </c>
      <c r="D91" s="125">
        <f>AVERAGE(B91:C91)</f>
        <v>14.899999999999999</v>
      </c>
      <c r="E91" s="125">
        <f t="shared" ref="E91:E121" si="25">C91-B91</f>
        <v>7.6</v>
      </c>
      <c r="F91" s="7">
        <v>12.218076923076923</v>
      </c>
      <c r="G91" s="7">
        <v>20.9925</v>
      </c>
      <c r="H91" s="7">
        <f>AVERAGE(F91:G91)</f>
        <v>16.605288461538461</v>
      </c>
      <c r="I91" s="7">
        <f>G91-F91</f>
        <v>8.7744230769230764</v>
      </c>
      <c r="K91" s="7">
        <f t="shared" ref="K91:K121" si="26">IF(ISBLANK(G4),NA(),I4)</f>
        <v>9.6999999999999993</v>
      </c>
      <c r="L91" s="7">
        <f t="shared" ref="L91:L121" si="27">IF(ISBLANK(G4),NA(),AY49)</f>
        <v>15.049999999999999</v>
      </c>
      <c r="M91" s="370">
        <f t="shared" ref="M91:M121" si="28">IF(ISBLANK(U4),NA(),AY4)</f>
        <v>4.3</v>
      </c>
      <c r="N91" s="1">
        <f t="shared" ref="N91:N121" si="29">IF(ISBLANK(F4),NA(),BJ91)</f>
        <v>0</v>
      </c>
      <c r="O91" s="7">
        <f t="shared" ref="O91:O121" si="30">IF(ISBLANK(M4),NA(),AW4)</f>
        <v>71</v>
      </c>
      <c r="P91" s="7">
        <f t="shared" ref="P91:P121" si="31">IF(ISBLANK(F4),NA(),AS4)</f>
        <v>10.199999999999999</v>
      </c>
      <c r="Q91" s="7">
        <f t="shared" ref="Q91:Q121" si="32">IF(ISBLANK(G4),NA(),AT4)</f>
        <v>19.899999999999999</v>
      </c>
      <c r="R91" s="7">
        <f t="shared" ref="R91:R121" si="33">IF(ISBLANK(H4),NA(),AU4)</f>
        <v>15.2</v>
      </c>
      <c r="S91" s="7">
        <f t="shared" ref="S91:S121" si="34">IF(ISBLANK(G4),NA(),AV4)</f>
        <v>9.6999999999999993</v>
      </c>
      <c r="T91" s="1">
        <v>32</v>
      </c>
      <c r="U91" s="333">
        <f t="shared" ref="U91:U121" si="35">$Z$39/$E$34</f>
        <v>2.2000000000000002</v>
      </c>
      <c r="V91" s="4">
        <v>1</v>
      </c>
      <c r="W91" s="7">
        <f t="shared" ref="W91:W121" si="36">0.273*V91</f>
        <v>0.27300000000000002</v>
      </c>
      <c r="X91" s="7">
        <f t="shared" ref="X91:X121" si="37">0.273*T91</f>
        <v>8.7360000000000007</v>
      </c>
      <c r="Y91" s="8">
        <f t="shared" ref="Y91:Y121" si="38">IF(ISBLANK(Q4),NA(),S4)</f>
        <v>4</v>
      </c>
      <c r="Z91" s="7">
        <f>IF(ISBLANK(Z4),NA(),SUM($Z$4:Z4))</f>
        <v>0</v>
      </c>
      <c r="AA91" s="7">
        <f>$AB$48*E4</f>
        <v>2.2000000000000002</v>
      </c>
      <c r="AB91" s="26">
        <f>IF(ISBLANK(Z4),"",SUM($Z$4:Z4))</f>
        <v>0</v>
      </c>
      <c r="AC91" s="115">
        <f>IF(ISBLANK(Z4),NA(),AB91/AA91)</f>
        <v>0</v>
      </c>
      <c r="AD91" s="8">
        <f t="shared" ref="AD91:AD121" si="39">IF(ISBLANK(P4),NA(),AX4)</f>
        <v>1014</v>
      </c>
      <c r="AE91" s="610">
        <f t="shared" ref="AE91:AE120" si="40">IF(ISNA(AG91),"",AG91/AH91)</f>
        <v>1.6121374599927578</v>
      </c>
      <c r="AF91" s="524">
        <f t="shared" ref="AF91:AF121" si="41">IF(ISTEXT(BI49),NA(),IF(ISBLANK(BI49),NA(),BI49))</f>
        <v>0.31041666666666667</v>
      </c>
      <c r="AG91" s="22">
        <f>IF(ISBLANK(AP4),NA(),SUM($AP$4:AP4))</f>
        <v>8</v>
      </c>
      <c r="AH91" s="7">
        <f>AS91</f>
        <v>4.9623560016004706</v>
      </c>
      <c r="AI91" s="115">
        <f t="shared" ref="AI91:AI120" si="42">IF(ISBLANK(AP4),NA(),AG91/AH91)</f>
        <v>1.6121374599927578</v>
      </c>
      <c r="AJ91" s="124">
        <f t="shared" ref="AJ91:AJ121" si="43">IF(ISBLANK(F4),"",IF(Z4&gt;0.1,1,0))</f>
        <v>0</v>
      </c>
      <c r="AK91" s="8">
        <f t="shared" ref="AK91:AK121" si="44">IF(ISBLANK(P4),NA(),R4)</f>
        <v>1014</v>
      </c>
      <c r="AL91" s="124">
        <f t="shared" ref="AL91:AL121" si="45">IF(ISBLANK(Z4),"",IF(Z4&gt;0.9,1,0))</f>
        <v>0</v>
      </c>
      <c r="AM91" s="524">
        <f t="shared" ref="AM91:AM121" si="46">IF(ISTEXT(BH49),NA(),IF(ISBLANK(BH49),NA(),BH49))</f>
        <v>0.70277777777777783</v>
      </c>
      <c r="AN91" s="109">
        <f xml:space="preserve"> SUM(COUNTIF(AN4:AN34,"-"),COUNTIF(AN4:AN34,"*yy*"))</f>
        <v>18</v>
      </c>
      <c r="AO91" s="524">
        <f t="shared" ref="AO91:AO121" si="47">IF(ISTEXT(BG49),NA(),IF(ISBLANK(BG49),NA(),BG49))</f>
        <v>0.60555555555555551</v>
      </c>
      <c r="AR91" s="524">
        <f t="shared" ref="AR91:AR121" si="48">IF(ISTEXT(BF49),NA(),IF(ISBLANK(BF49),NA(),BF49))</f>
        <v>0.25486111111111109</v>
      </c>
      <c r="AS91" s="7">
        <f t="shared" ref="AS91:AS120" si="49">AT91/($AT$123/$AP$39)</f>
        <v>4.9623560016004706</v>
      </c>
      <c r="AT91" s="7">
        <v>12.295863471819564</v>
      </c>
      <c r="AU91" s="4">
        <v>1</v>
      </c>
      <c r="AV91" s="127">
        <f t="shared" ref="AV91:AV121" si="50">IF(ISBLANK(AP4),"",IF(AP4&gt;0.25*AT91,1,0))</f>
        <v>1</v>
      </c>
      <c r="AW91" s="124">
        <f>IF(ISBLANK(F4),"",IF(AY49&lt;BC91,1,0))</f>
        <v>0</v>
      </c>
      <c r="AX91" s="124">
        <f>IF(ISBLANK(G4),"",IF(AY49&gt;BD91,1,0))</f>
        <v>0</v>
      </c>
      <c r="AY91" s="124">
        <f t="shared" ref="AY91:AY121" si="51">IF(ISBLANK(F4),"",IF(P4&gt;1013,1,0))</f>
        <v>0</v>
      </c>
      <c r="AZ91" s="125">
        <f t="shared" ref="AZ91:AZ121" si="52">$U$39</f>
        <v>3.9</v>
      </c>
      <c r="BA91" s="125">
        <f t="shared" ref="BA91:BA121" si="53">$BB$83</f>
        <v>12.366666666666665</v>
      </c>
      <c r="BB91" s="125">
        <f t="shared" ref="BB91:BB121" si="54">$BC$83</f>
        <v>17.43333333333333</v>
      </c>
      <c r="BC91" s="7">
        <v>13.680480769230769</v>
      </c>
      <c r="BD91" s="7">
        <v>19.530096153846145</v>
      </c>
      <c r="BE91" s="124"/>
      <c r="BF91" s="8">
        <f t="shared" ref="BF91:BF121" si="55">IF(ISBLANK(M4),NA(),M4)</f>
        <v>71</v>
      </c>
      <c r="BG91" s="21">
        <f t="shared" ref="BG91:BG121" si="56">IF(ISBLANK(H4),NA(),H4)</f>
        <v>15.2</v>
      </c>
      <c r="BH91" s="124">
        <f t="shared" ref="BH91:BH121" si="57">IF(ISBLANK(F4),"",IF(Q4&lt;1013,1,0))</f>
        <v>0</v>
      </c>
      <c r="BI91" s="124">
        <f>IF(ISBLANK(L4),"",IF(AQ4&gt;0.4,1,0))</f>
        <v>0</v>
      </c>
      <c r="BJ91" s="144">
        <f t="shared" ref="BJ91:BJ121" si="58">IF(ISBLANK(Z4),"",Z4/3)</f>
        <v>0</v>
      </c>
      <c r="BL91" s="99">
        <v>1</v>
      </c>
    </row>
    <row r="92" spans="1:64" ht="12.75" x14ac:dyDescent="0.2">
      <c r="A92" s="8">
        <f t="shared" si="22"/>
        <v>45</v>
      </c>
      <c r="B92" s="125">
        <f t="shared" si="23"/>
        <v>11.1</v>
      </c>
      <c r="C92" s="125">
        <f t="shared" si="24"/>
        <v>18.7</v>
      </c>
      <c r="D92" s="125">
        <f t="shared" ref="D92:D121" si="59">AVERAGE(B92:C92)</f>
        <v>14.899999999999999</v>
      </c>
      <c r="E92" s="125">
        <f t="shared" si="25"/>
        <v>7.6</v>
      </c>
      <c r="F92" s="7">
        <v>12.142307692307693</v>
      </c>
      <c r="G92" s="7">
        <v>20.891874999999999</v>
      </c>
      <c r="H92" s="7">
        <f t="shared" ref="H92:H120" si="60">AVERAGE(F92:G92)</f>
        <v>16.517091346153848</v>
      </c>
      <c r="I92" s="7">
        <f t="shared" ref="I92:I120" si="61">G92-F92</f>
        <v>8.7495673076923062</v>
      </c>
      <c r="K92" s="7">
        <f t="shared" si="26"/>
        <v>12.7</v>
      </c>
      <c r="L92" s="7">
        <f t="shared" si="27"/>
        <v>19.45</v>
      </c>
      <c r="M92" s="370">
        <f t="shared" si="28"/>
        <v>3.8499999999999996</v>
      </c>
      <c r="N92" s="1">
        <f t="shared" si="29"/>
        <v>0</v>
      </c>
      <c r="O92" s="7">
        <f t="shared" si="30"/>
        <v>71</v>
      </c>
      <c r="P92" s="7">
        <f t="shared" si="31"/>
        <v>11.649999999999999</v>
      </c>
      <c r="Q92" s="7">
        <f t="shared" si="32"/>
        <v>22.85</v>
      </c>
      <c r="R92" s="7">
        <f t="shared" si="33"/>
        <v>17.149999999999999</v>
      </c>
      <c r="S92" s="7">
        <f t="shared" si="34"/>
        <v>11.2</v>
      </c>
      <c r="T92" s="1">
        <v>33</v>
      </c>
      <c r="U92" s="333">
        <f t="shared" si="35"/>
        <v>2.2000000000000002</v>
      </c>
      <c r="V92" s="4">
        <v>2</v>
      </c>
      <c r="W92" s="7">
        <f t="shared" si="36"/>
        <v>0.54600000000000004</v>
      </c>
      <c r="X92" s="7">
        <f t="shared" si="37"/>
        <v>9.0090000000000003</v>
      </c>
      <c r="Y92" s="8">
        <f t="shared" si="38"/>
        <v>2</v>
      </c>
      <c r="Z92" s="7">
        <f>IF(ISBLANK(Z5),NA(),SUM($Z$4:Z5))</f>
        <v>0</v>
      </c>
      <c r="AA92" s="7">
        <f t="shared" ref="AA92:AA121" si="62">$AB$48*E5</f>
        <v>4.4000000000000004</v>
      </c>
      <c r="AB92" s="26">
        <f>IF(ISBLANK(Z5),"",SUM($Z$4:Z5))</f>
        <v>0</v>
      </c>
      <c r="AC92" s="115">
        <f t="shared" ref="AC92:AC121" si="63">IF(ISBLANK(Z5),NA(),AB92/AA92)</f>
        <v>0</v>
      </c>
      <c r="AD92" s="8">
        <f t="shared" si="39"/>
        <v>1012.5</v>
      </c>
      <c r="AE92" s="610">
        <f t="shared" si="40"/>
        <v>1.6161469353337201</v>
      </c>
      <c r="AF92" s="524">
        <f t="shared" si="41"/>
        <v>0.2986111111111111</v>
      </c>
      <c r="AG92" s="22">
        <f>IF(ISBLANK(AP5),NA(),SUM($AP$4:AP5))</f>
        <v>16</v>
      </c>
      <c r="AH92" s="8">
        <f>SUM($AS$91:AS92)</f>
        <v>9.9000899300632845</v>
      </c>
      <c r="AI92" s="115">
        <f t="shared" si="42"/>
        <v>1.6161469353337201</v>
      </c>
      <c r="AJ92" s="124">
        <f t="shared" si="43"/>
        <v>0</v>
      </c>
      <c r="AK92" s="8">
        <f t="shared" si="44"/>
        <v>1011</v>
      </c>
      <c r="AL92" s="124">
        <f t="shared" si="45"/>
        <v>0</v>
      </c>
      <c r="AM92" s="524">
        <f t="shared" si="46"/>
        <v>0.71875</v>
      </c>
      <c r="AN92" s="45">
        <f t="array" ref="AN92">MAX(FREQUENCY(IF(AJ91:AJ121=0,ROW(91:121)),IF(AJ91:AJ121&lt;&gt;0,ROW(91:121))))</f>
        <v>4</v>
      </c>
      <c r="AO92" s="524">
        <f t="shared" si="47"/>
        <v>0.69791666666666663</v>
      </c>
      <c r="AP92" s="59" t="s">
        <v>113</v>
      </c>
      <c r="AQ92" s="447">
        <v>2.8000000000000001E-2</v>
      </c>
      <c r="AR92" s="524">
        <f t="shared" si="48"/>
        <v>0.23333333333333331</v>
      </c>
      <c r="AS92" s="7">
        <f t="shared" si="49"/>
        <v>4.937733928462813</v>
      </c>
      <c r="AT92" s="7">
        <v>12.234854215410683</v>
      </c>
      <c r="AU92" s="4">
        <v>2</v>
      </c>
      <c r="AV92" s="127">
        <f t="shared" si="50"/>
        <v>1</v>
      </c>
      <c r="AW92" s="124">
        <f t="shared" ref="AW92:AW121" si="64">IF(ISBLANK(F5),"",IF(AY50&lt;BC92,1,0))</f>
        <v>0</v>
      </c>
      <c r="AX92" s="124">
        <f t="shared" ref="AX92:AX121" si="65">IF(ISBLANK(G5),"",IF(AY50&gt;BD92,1,0))</f>
        <v>1</v>
      </c>
      <c r="AY92" s="124">
        <f t="shared" si="51"/>
        <v>0</v>
      </c>
      <c r="AZ92" s="125">
        <f t="shared" si="52"/>
        <v>3.9</v>
      </c>
      <c r="BA92" s="125">
        <f t="shared" si="53"/>
        <v>12.366666666666665</v>
      </c>
      <c r="BB92" s="125">
        <f t="shared" si="54"/>
        <v>17.43333333333333</v>
      </c>
      <c r="BC92" s="7">
        <v>13.600568910256408</v>
      </c>
      <c r="BD92" s="7">
        <v>19.433613782051271</v>
      </c>
      <c r="BE92" s="124"/>
      <c r="BF92" s="8">
        <f t="shared" si="55"/>
        <v>71</v>
      </c>
      <c r="BG92" s="21">
        <f t="shared" si="56"/>
        <v>19.100000000000001</v>
      </c>
      <c r="BH92" s="124">
        <f t="shared" si="57"/>
        <v>1</v>
      </c>
      <c r="BI92" s="124">
        <f t="shared" ref="BI92:BI121" si="66">IF(ISBLANK(L5),"",IF(AQ5&gt;0.4,1,0))</f>
        <v>0</v>
      </c>
      <c r="BJ92" s="144">
        <f t="shared" si="58"/>
        <v>0</v>
      </c>
      <c r="BL92" s="99">
        <v>2</v>
      </c>
    </row>
    <row r="93" spans="1:64" ht="12.75" x14ac:dyDescent="0.2">
      <c r="A93" s="8">
        <f t="shared" si="22"/>
        <v>31</v>
      </c>
      <c r="B93" s="125">
        <f t="shared" si="23"/>
        <v>11.1</v>
      </c>
      <c r="C93" s="125">
        <f t="shared" si="24"/>
        <v>18.7</v>
      </c>
      <c r="D93" s="125">
        <f t="shared" si="59"/>
        <v>14.899999999999999</v>
      </c>
      <c r="E93" s="125">
        <f t="shared" si="25"/>
        <v>7.6</v>
      </c>
      <c r="F93" s="7">
        <v>12.066538461538462</v>
      </c>
      <c r="G93" s="7">
        <v>20.791250000000002</v>
      </c>
      <c r="H93" s="7">
        <f t="shared" si="60"/>
        <v>16.428894230769231</v>
      </c>
      <c r="I93" s="7">
        <f t="shared" si="61"/>
        <v>8.7247115384615395</v>
      </c>
      <c r="K93" s="7">
        <f t="shared" si="26"/>
        <v>7.8</v>
      </c>
      <c r="L93" s="7">
        <f t="shared" si="27"/>
        <v>19.200000000000003</v>
      </c>
      <c r="M93" s="370">
        <f t="shared" si="28"/>
        <v>4.3999999999999995</v>
      </c>
      <c r="N93" s="1">
        <f t="shared" si="29"/>
        <v>0</v>
      </c>
      <c r="O93" s="7">
        <f t="shared" si="30"/>
        <v>71.333333333333329</v>
      </c>
      <c r="P93" s="7">
        <f t="shared" si="31"/>
        <v>12.866666666666665</v>
      </c>
      <c r="Q93" s="7">
        <f t="shared" si="32"/>
        <v>22.933333333333337</v>
      </c>
      <c r="R93" s="7">
        <f t="shared" si="33"/>
        <v>17.7</v>
      </c>
      <c r="S93" s="7">
        <f t="shared" si="34"/>
        <v>10.066666666666666</v>
      </c>
      <c r="T93" s="1">
        <v>34</v>
      </c>
      <c r="U93" s="333">
        <f t="shared" si="35"/>
        <v>2.2000000000000002</v>
      </c>
      <c r="V93" s="4">
        <v>3</v>
      </c>
      <c r="W93" s="7">
        <f t="shared" si="36"/>
        <v>0.81900000000000006</v>
      </c>
      <c r="X93" s="7">
        <f t="shared" si="37"/>
        <v>9.282</v>
      </c>
      <c r="Y93" s="8">
        <f t="shared" si="38"/>
        <v>3</v>
      </c>
      <c r="Z93" s="7">
        <f>IF(ISBLANK(Z6),NA(),SUM($Z$4:Z6))</f>
        <v>0</v>
      </c>
      <c r="AA93" s="7">
        <f t="shared" si="62"/>
        <v>6.6000000000000005</v>
      </c>
      <c r="AB93" s="26">
        <f>IF(ISBLANK(Z6),"",SUM($Z$4:Z6))</f>
        <v>0</v>
      </c>
      <c r="AC93" s="115">
        <f t="shared" si="63"/>
        <v>0</v>
      </c>
      <c r="AD93" s="8">
        <f t="shared" si="39"/>
        <v>1011.1666666666666</v>
      </c>
      <c r="AE93" s="610">
        <f t="shared" si="40"/>
        <v>1.4851681162628343</v>
      </c>
      <c r="AF93" s="524">
        <f t="shared" si="41"/>
        <v>0.30416666666666664</v>
      </c>
      <c r="AG93" s="22">
        <f>IF(ISBLANK(AP6),NA(),SUM($AP$4:AP6))</f>
        <v>22</v>
      </c>
      <c r="AH93" s="8">
        <f>SUM($AS$91:AS93)</f>
        <v>14.813137825338689</v>
      </c>
      <c r="AI93" s="115">
        <f t="shared" si="42"/>
        <v>1.4851681162628343</v>
      </c>
      <c r="AJ93" s="124">
        <f t="shared" si="43"/>
        <v>0</v>
      </c>
      <c r="AK93" s="8">
        <f t="shared" si="44"/>
        <v>1008.5</v>
      </c>
      <c r="AL93" s="124">
        <f t="shared" si="45"/>
        <v>0</v>
      </c>
      <c r="AM93" s="524">
        <f t="shared" si="46"/>
        <v>0.62777777777777777</v>
      </c>
      <c r="AN93" s="150">
        <f>COUNTIF(E72:E80, "&lt;-0.5")</f>
        <v>0</v>
      </c>
      <c r="AO93" s="524">
        <f t="shared" si="47"/>
        <v>0.61805555555555558</v>
      </c>
      <c r="AP93" s="59" t="s">
        <v>206</v>
      </c>
      <c r="AQ93" s="447">
        <v>2.4E-2</v>
      </c>
      <c r="AR93" s="524">
        <f t="shared" si="48"/>
        <v>0.21666666666666667</v>
      </c>
      <c r="AS93" s="7">
        <f t="shared" si="49"/>
        <v>4.9130478952754055</v>
      </c>
      <c r="AT93" s="7">
        <v>12.173686477014794</v>
      </c>
      <c r="AU93" s="4">
        <v>3</v>
      </c>
      <c r="AV93" s="127">
        <f t="shared" si="50"/>
        <v>1</v>
      </c>
      <c r="AW93" s="124">
        <f t="shared" si="64"/>
        <v>0</v>
      </c>
      <c r="AX93" s="124">
        <f t="shared" si="65"/>
        <v>0</v>
      </c>
      <c r="AY93" s="124">
        <f t="shared" si="51"/>
        <v>0</v>
      </c>
      <c r="AZ93" s="125">
        <f t="shared" si="52"/>
        <v>3.9</v>
      </c>
      <c r="BA93" s="125">
        <f t="shared" si="53"/>
        <v>12.366666666666665</v>
      </c>
      <c r="BB93" s="125">
        <f t="shared" si="54"/>
        <v>17.43333333333333</v>
      </c>
      <c r="BC93" s="7">
        <v>13.520657051282049</v>
      </c>
      <c r="BD93" s="7">
        <v>19.337131410256397</v>
      </c>
      <c r="BE93" s="124"/>
      <c r="BF93" s="8">
        <f t="shared" si="55"/>
        <v>72</v>
      </c>
      <c r="BG93" s="21">
        <f t="shared" si="56"/>
        <v>18.8</v>
      </c>
      <c r="BH93" s="124">
        <f t="shared" si="57"/>
        <v>1</v>
      </c>
      <c r="BI93" s="124">
        <f t="shared" si="66"/>
        <v>0</v>
      </c>
      <c r="BJ93" s="144">
        <f t="shared" si="58"/>
        <v>0</v>
      </c>
      <c r="BL93" s="99">
        <v>3</v>
      </c>
    </row>
    <row r="94" spans="1:64" ht="12.75" x14ac:dyDescent="0.2">
      <c r="A94" s="8">
        <f t="shared" si="22"/>
        <v>18</v>
      </c>
      <c r="B94" s="125">
        <f t="shared" si="23"/>
        <v>11.1</v>
      </c>
      <c r="C94" s="125">
        <f t="shared" si="24"/>
        <v>18.7</v>
      </c>
      <c r="D94" s="125">
        <f t="shared" si="59"/>
        <v>14.899999999999999</v>
      </c>
      <c r="E94" s="125">
        <f t="shared" si="25"/>
        <v>7.6</v>
      </c>
      <c r="F94" s="7">
        <v>11.990769230769232</v>
      </c>
      <c r="G94" s="7">
        <v>20.690625000000001</v>
      </c>
      <c r="H94" s="7">
        <f t="shared" si="60"/>
        <v>16.340697115384614</v>
      </c>
      <c r="I94" s="7">
        <f t="shared" si="61"/>
        <v>8.6998557692307692</v>
      </c>
      <c r="K94" s="7">
        <f t="shared" si="26"/>
        <v>4.8</v>
      </c>
      <c r="L94" s="7">
        <f t="shared" si="27"/>
        <v>16.8</v>
      </c>
      <c r="M94" s="370">
        <f t="shared" si="28"/>
        <v>4.6500000000000004</v>
      </c>
      <c r="N94" s="1">
        <f t="shared" si="29"/>
        <v>1.2666666666666666</v>
      </c>
      <c r="O94" s="7">
        <f t="shared" si="30"/>
        <v>74</v>
      </c>
      <c r="P94" s="7">
        <f t="shared" si="31"/>
        <v>13.249999999999998</v>
      </c>
      <c r="Q94" s="7">
        <f t="shared" si="32"/>
        <v>22.000000000000004</v>
      </c>
      <c r="R94" s="7">
        <f t="shared" si="33"/>
        <v>17.45</v>
      </c>
      <c r="S94" s="7">
        <f t="shared" si="34"/>
        <v>8.75</v>
      </c>
      <c r="T94" s="1">
        <v>35</v>
      </c>
      <c r="U94" s="333">
        <f t="shared" si="35"/>
        <v>2.2000000000000002</v>
      </c>
      <c r="V94" s="4">
        <v>4</v>
      </c>
      <c r="W94" s="7">
        <f t="shared" si="36"/>
        <v>1.0920000000000001</v>
      </c>
      <c r="X94" s="7">
        <f t="shared" si="37"/>
        <v>9.5550000000000015</v>
      </c>
      <c r="Y94" s="8">
        <f t="shared" si="38"/>
        <v>2</v>
      </c>
      <c r="Z94" s="7">
        <f>IF(ISBLANK(Z7),NA(),SUM($Z$4:Z7))</f>
        <v>3.8</v>
      </c>
      <c r="AA94" s="7">
        <f t="shared" si="62"/>
        <v>8.8000000000000007</v>
      </c>
      <c r="AB94" s="26">
        <f>IF(ISBLANK(Z7),"",SUM($Z$4:Z7))</f>
        <v>3.8</v>
      </c>
      <c r="AC94" s="115">
        <f t="shared" si="63"/>
        <v>0.43181818181818177</v>
      </c>
      <c r="AD94" s="8">
        <f t="shared" si="39"/>
        <v>1009.875</v>
      </c>
      <c r="AE94" s="610">
        <f t="shared" si="40"/>
        <v>1.1928062210571511</v>
      </c>
      <c r="AF94" s="524" t="e">
        <f t="shared" si="41"/>
        <v>#N/A</v>
      </c>
      <c r="AG94" s="22">
        <f>IF(ISBLANK(AP7),NA(),SUM($AP$4:AP7))</f>
        <v>23.5</v>
      </c>
      <c r="AH94" s="8">
        <f>SUM($AS$91:AS94)</f>
        <v>19.701439835862526</v>
      </c>
      <c r="AI94" s="115">
        <f t="shared" si="42"/>
        <v>1.1928062210571511</v>
      </c>
      <c r="AJ94" s="124">
        <f t="shared" si="43"/>
        <v>1</v>
      </c>
      <c r="AK94" s="8">
        <f t="shared" si="44"/>
        <v>1006</v>
      </c>
      <c r="AL94" s="124">
        <f t="shared" si="45"/>
        <v>1</v>
      </c>
      <c r="AM94" s="524">
        <f t="shared" si="46"/>
        <v>0.8305555555555556</v>
      </c>
      <c r="AN94" s="141">
        <f t="array" ref="AN94">MAX(FREQUENCY(IF(BI91:BI121=1,ROW(91:121)),IF(BI91:BI121&lt;&gt;1,ROW(91:121))))</f>
        <v>9</v>
      </c>
      <c r="AO94" s="524">
        <f t="shared" si="47"/>
        <v>0.44791666666666669</v>
      </c>
      <c r="AP94" s="449" t="s">
        <v>105</v>
      </c>
      <c r="AQ94" s="448">
        <v>2.5999999999999999E-2</v>
      </c>
      <c r="AR94" s="524">
        <f t="shared" si="48"/>
        <v>0.12152777777777778</v>
      </c>
      <c r="AS94" s="7">
        <f t="shared" si="49"/>
        <v>4.8883020105238373</v>
      </c>
      <c r="AT94" s="7">
        <v>12.112370436751554</v>
      </c>
      <c r="AU94" s="4">
        <v>4</v>
      </c>
      <c r="AV94" s="127">
        <f t="shared" si="50"/>
        <v>0</v>
      </c>
      <c r="AW94" s="124">
        <f t="shared" si="64"/>
        <v>0</v>
      </c>
      <c r="AX94" s="124">
        <f t="shared" si="65"/>
        <v>0</v>
      </c>
      <c r="AY94" s="124">
        <f t="shared" si="51"/>
        <v>0</v>
      </c>
      <c r="AZ94" s="125">
        <f t="shared" si="52"/>
        <v>3.9</v>
      </c>
      <c r="BA94" s="125">
        <f t="shared" si="53"/>
        <v>12.366666666666665</v>
      </c>
      <c r="BB94" s="125">
        <f t="shared" si="54"/>
        <v>17.43333333333333</v>
      </c>
      <c r="BC94" s="7">
        <v>13.440745192307689</v>
      </c>
      <c r="BD94" s="7">
        <v>19.240649038461527</v>
      </c>
      <c r="BE94" s="124"/>
      <c r="BF94" s="8">
        <f t="shared" si="55"/>
        <v>82</v>
      </c>
      <c r="BG94" s="21">
        <f t="shared" si="56"/>
        <v>16.7</v>
      </c>
      <c r="BH94" s="124">
        <f t="shared" si="57"/>
        <v>1</v>
      </c>
      <c r="BI94" s="124">
        <f t="shared" si="66"/>
        <v>1</v>
      </c>
      <c r="BJ94" s="144">
        <f t="shared" si="58"/>
        <v>1.2666666666666666</v>
      </c>
      <c r="BL94" s="99">
        <v>4</v>
      </c>
    </row>
    <row r="95" spans="1:64" ht="12.75" x14ac:dyDescent="0.2">
      <c r="A95" s="8">
        <f t="shared" si="22"/>
        <v>36</v>
      </c>
      <c r="B95" s="125">
        <f t="shared" si="23"/>
        <v>11.1</v>
      </c>
      <c r="C95" s="125">
        <f t="shared" si="24"/>
        <v>18.7</v>
      </c>
      <c r="D95" s="125">
        <f t="shared" si="59"/>
        <v>14.899999999999999</v>
      </c>
      <c r="E95" s="125">
        <f t="shared" si="25"/>
        <v>7.6</v>
      </c>
      <c r="F95" s="7">
        <v>11.914999999999999</v>
      </c>
      <c r="G95" s="7">
        <v>20.59</v>
      </c>
      <c r="H95" s="7">
        <f t="shared" si="60"/>
        <v>16.252499999999998</v>
      </c>
      <c r="I95" s="7">
        <f t="shared" si="61"/>
        <v>8.6750000000000007</v>
      </c>
      <c r="K95" s="7">
        <f t="shared" si="26"/>
        <v>7.5</v>
      </c>
      <c r="L95" s="7">
        <f t="shared" si="27"/>
        <v>15.350000000000001</v>
      </c>
      <c r="M95" s="370">
        <f t="shared" si="28"/>
        <v>5.32</v>
      </c>
      <c r="N95" s="1">
        <f t="shared" si="29"/>
        <v>9.9999999999999992E-2</v>
      </c>
      <c r="O95" s="7">
        <f t="shared" si="30"/>
        <v>73.2</v>
      </c>
      <c r="P95" s="7">
        <f t="shared" si="31"/>
        <v>12.919999999999998</v>
      </c>
      <c r="Q95" s="7">
        <f t="shared" si="32"/>
        <v>21.420000000000005</v>
      </c>
      <c r="R95" s="7">
        <f t="shared" si="33"/>
        <v>17.02</v>
      </c>
      <c r="S95" s="7">
        <f t="shared" si="34"/>
        <v>8.5</v>
      </c>
      <c r="T95" s="1">
        <v>36</v>
      </c>
      <c r="U95" s="333">
        <f t="shared" si="35"/>
        <v>2.2000000000000002</v>
      </c>
      <c r="V95" s="4">
        <v>5</v>
      </c>
      <c r="W95" s="7">
        <f t="shared" si="36"/>
        <v>1.3650000000000002</v>
      </c>
      <c r="X95" s="7">
        <f t="shared" si="37"/>
        <v>9.8280000000000012</v>
      </c>
      <c r="Y95" s="8">
        <f t="shared" si="38"/>
        <v>7</v>
      </c>
      <c r="Z95" s="7">
        <f>IF(ISBLANK(Z8),NA(),SUM($Z$4:Z8))</f>
        <v>4.0999999999999996</v>
      </c>
      <c r="AA95" s="7">
        <f t="shared" si="62"/>
        <v>11</v>
      </c>
      <c r="AB95" s="26">
        <f>IF(ISBLANK(Z8),"",SUM($Z$4:Z8))</f>
        <v>4.0999999999999996</v>
      </c>
      <c r="AC95" s="115">
        <f t="shared" si="63"/>
        <v>0.37272727272727268</v>
      </c>
      <c r="AD95" s="8">
        <f t="shared" si="39"/>
        <v>1010.2</v>
      </c>
      <c r="AE95" s="610">
        <f t="shared" si="40"/>
        <v>1.200898511428123</v>
      </c>
      <c r="AF95" s="524">
        <f t="shared" si="41"/>
        <v>1.3888888888888888E-2</v>
      </c>
      <c r="AG95" s="22">
        <f>IF(ISBLANK(AP8),NA(),SUM($AP$4:AP8))</f>
        <v>29.5</v>
      </c>
      <c r="AH95" s="8">
        <f>SUM($AS$91:AS95)</f>
        <v>24.56494010049046</v>
      </c>
      <c r="AI95" s="115">
        <f t="shared" si="42"/>
        <v>1.200898511428123</v>
      </c>
      <c r="AJ95" s="124">
        <f t="shared" si="43"/>
        <v>1</v>
      </c>
      <c r="AK95" s="8">
        <f t="shared" si="44"/>
        <v>1011.5</v>
      </c>
      <c r="AL95" s="124">
        <f t="shared" si="45"/>
        <v>0</v>
      </c>
      <c r="AM95" s="524">
        <f t="shared" si="46"/>
        <v>0.63124999999999998</v>
      </c>
      <c r="AN95" s="141">
        <f t="array" ref="AN95">MAX(FREQUENCY(IF(BI91:BI121=0,ROW(91:121)),IF(BI91:BI121&lt;&gt;0,ROW(91:121))))</f>
        <v>4</v>
      </c>
      <c r="AO95" s="524">
        <f t="shared" si="47"/>
        <v>0.66249999999999998</v>
      </c>
      <c r="AP95" s="449" t="s">
        <v>207</v>
      </c>
      <c r="AQ95" s="448">
        <v>3.5999999999999997E-2</v>
      </c>
      <c r="AR95" s="524">
        <f t="shared" si="48"/>
        <v>0.25763888888888892</v>
      </c>
      <c r="AS95" s="7">
        <f t="shared" si="49"/>
        <v>4.8635002646279322</v>
      </c>
      <c r="AT95" s="7">
        <v>12.05091598219399</v>
      </c>
      <c r="AU95" s="4">
        <v>5</v>
      </c>
      <c r="AV95" s="127">
        <f t="shared" si="50"/>
        <v>1</v>
      </c>
      <c r="AW95" s="124">
        <f t="shared" si="64"/>
        <v>0</v>
      </c>
      <c r="AX95" s="124">
        <f t="shared" si="65"/>
        <v>0</v>
      </c>
      <c r="AY95" s="124">
        <f t="shared" si="51"/>
        <v>0</v>
      </c>
      <c r="AZ95" s="125">
        <f t="shared" si="52"/>
        <v>3.9</v>
      </c>
      <c r="BA95" s="125">
        <f t="shared" si="53"/>
        <v>12.366666666666665</v>
      </c>
      <c r="BB95" s="125">
        <f t="shared" si="54"/>
        <v>17.43333333333333</v>
      </c>
      <c r="BC95" s="7">
        <v>13.360833333333336</v>
      </c>
      <c r="BD95" s="7">
        <v>19.144166666666667</v>
      </c>
      <c r="BE95" s="124"/>
      <c r="BF95" s="8">
        <f t="shared" si="55"/>
        <v>70</v>
      </c>
      <c r="BG95" s="21">
        <f t="shared" si="56"/>
        <v>15.3</v>
      </c>
      <c r="BH95" s="124">
        <f t="shared" si="57"/>
        <v>0</v>
      </c>
      <c r="BI95" s="124">
        <f t="shared" si="66"/>
        <v>1</v>
      </c>
      <c r="BJ95" s="144">
        <f t="shared" si="58"/>
        <v>9.9999999999999992E-2</v>
      </c>
      <c r="BL95" s="99">
        <v>5</v>
      </c>
    </row>
    <row r="96" spans="1:64" ht="12.75" x14ac:dyDescent="0.2">
      <c r="A96" s="8">
        <f t="shared" si="22"/>
        <v>17</v>
      </c>
      <c r="B96" s="125">
        <f t="shared" si="23"/>
        <v>11.1</v>
      </c>
      <c r="C96" s="125">
        <f t="shared" si="24"/>
        <v>18.7</v>
      </c>
      <c r="D96" s="125">
        <f t="shared" si="59"/>
        <v>14.899999999999999</v>
      </c>
      <c r="E96" s="125">
        <f t="shared" si="25"/>
        <v>7.6</v>
      </c>
      <c r="F96" s="7">
        <v>11.83923076923077</v>
      </c>
      <c r="G96" s="7">
        <v>20.397692307692306</v>
      </c>
      <c r="H96" s="7">
        <f t="shared" si="60"/>
        <v>16.118461538461538</v>
      </c>
      <c r="I96" s="7">
        <f t="shared" si="61"/>
        <v>8.5584615384615361</v>
      </c>
      <c r="K96" s="7">
        <f t="shared" si="26"/>
        <v>4.9000000000000004</v>
      </c>
      <c r="L96" s="7">
        <f t="shared" si="27"/>
        <v>15.45</v>
      </c>
      <c r="M96" s="370">
        <f t="shared" si="28"/>
        <v>6.0666666666666673</v>
      </c>
      <c r="N96" s="1">
        <f t="shared" si="29"/>
        <v>7.2333333333333334</v>
      </c>
      <c r="O96" s="7">
        <f t="shared" si="30"/>
        <v>75.166666666666671</v>
      </c>
      <c r="P96" s="7">
        <f t="shared" si="31"/>
        <v>12.933333333333332</v>
      </c>
      <c r="Q96" s="7">
        <f t="shared" si="32"/>
        <v>20.833333333333339</v>
      </c>
      <c r="R96" s="7">
        <f t="shared" si="33"/>
        <v>16.766666666666666</v>
      </c>
      <c r="S96" s="7">
        <f t="shared" si="34"/>
        <v>7.8999999999999995</v>
      </c>
      <c r="T96" s="1">
        <v>37</v>
      </c>
      <c r="U96" s="333">
        <f t="shared" si="35"/>
        <v>2.2000000000000002</v>
      </c>
      <c r="V96" s="4">
        <v>6</v>
      </c>
      <c r="W96" s="7">
        <f t="shared" si="36"/>
        <v>1.6380000000000001</v>
      </c>
      <c r="X96" s="7">
        <f t="shared" si="37"/>
        <v>10.101000000000001</v>
      </c>
      <c r="Y96" s="8">
        <f t="shared" si="38"/>
        <v>8</v>
      </c>
      <c r="Z96" s="7">
        <f>IF(ISBLANK(Z9),NA(),SUM($Z$4:Z9))</f>
        <v>25.799999999999997</v>
      </c>
      <c r="AA96" s="7">
        <f t="shared" si="62"/>
        <v>13.200000000000001</v>
      </c>
      <c r="AB96" s="26">
        <f>IF(ISBLANK(Z9),"",SUM($Z$4:Z9))</f>
        <v>25.799999999999997</v>
      </c>
      <c r="AC96" s="115">
        <f t="shared" si="63"/>
        <v>1.9545454545454541</v>
      </c>
      <c r="AD96" s="8">
        <f t="shared" si="39"/>
        <v>1009.8333333333334</v>
      </c>
      <c r="AE96" s="610">
        <f t="shared" si="40"/>
        <v>1.0032789660819728</v>
      </c>
      <c r="AF96" s="524" t="e">
        <f t="shared" si="41"/>
        <v>#N/A</v>
      </c>
      <c r="AG96" s="22">
        <f>IF(ISBLANK(AP9),NA(),SUM($AP$4:AP9))</f>
        <v>29.5</v>
      </c>
      <c r="AH96" s="8">
        <f>SUM($AS$91:AS96)</f>
        <v>29.403586636729816</v>
      </c>
      <c r="AI96" s="115">
        <f t="shared" si="42"/>
        <v>1.0032789660819728</v>
      </c>
      <c r="AJ96" s="124">
        <f t="shared" si="43"/>
        <v>1</v>
      </c>
      <c r="AK96" s="8">
        <f t="shared" si="44"/>
        <v>1008</v>
      </c>
      <c r="AL96" s="124">
        <f t="shared" si="45"/>
        <v>1</v>
      </c>
      <c r="AM96" s="524" t="e">
        <f t="shared" si="46"/>
        <v>#N/A</v>
      </c>
      <c r="AN96" s="124">
        <f>COUNTIF(AU50:AU60, "&lt;-0.5")</f>
        <v>4</v>
      </c>
      <c r="AO96" s="524">
        <f t="shared" si="47"/>
        <v>0.64097222222222217</v>
      </c>
      <c r="AP96" s="449" t="s">
        <v>106</v>
      </c>
      <c r="AQ96" s="448">
        <v>2.1000000000000001E-2</v>
      </c>
      <c r="AR96" s="524">
        <f t="shared" si="48"/>
        <v>0.38194444444444442</v>
      </c>
      <c r="AS96" s="7">
        <f t="shared" si="49"/>
        <v>4.8386465362393549</v>
      </c>
      <c r="AT96" s="7">
        <v>11.989332723972881</v>
      </c>
      <c r="AU96" s="4">
        <v>6</v>
      </c>
      <c r="AV96" s="127">
        <f t="shared" si="50"/>
        <v>0</v>
      </c>
      <c r="AW96" s="124">
        <f t="shared" si="64"/>
        <v>0</v>
      </c>
      <c r="AX96" s="124">
        <f t="shared" si="65"/>
        <v>0</v>
      </c>
      <c r="AY96" s="124">
        <f t="shared" si="51"/>
        <v>0</v>
      </c>
      <c r="AZ96" s="125">
        <f t="shared" si="52"/>
        <v>3.9</v>
      </c>
      <c r="BA96" s="125">
        <f t="shared" si="53"/>
        <v>12.366666666666665</v>
      </c>
      <c r="BB96" s="125">
        <f t="shared" si="54"/>
        <v>17.43333333333333</v>
      </c>
      <c r="BC96" s="7">
        <v>13.265641025641026</v>
      </c>
      <c r="BD96" s="7">
        <v>18.971282051282049</v>
      </c>
      <c r="BE96" s="124"/>
      <c r="BF96" s="8">
        <f t="shared" si="55"/>
        <v>85</v>
      </c>
      <c r="BG96" s="21">
        <f t="shared" si="56"/>
        <v>15.5</v>
      </c>
      <c r="BH96" s="124">
        <f t="shared" si="57"/>
        <v>1</v>
      </c>
      <c r="BI96" s="124">
        <f t="shared" si="66"/>
        <v>1</v>
      </c>
      <c r="BJ96" s="144">
        <f t="shared" si="58"/>
        <v>7.2333333333333334</v>
      </c>
      <c r="BL96" s="99">
        <v>6</v>
      </c>
    </row>
    <row r="97" spans="1:64" ht="12.75" x14ac:dyDescent="0.2">
      <c r="A97" s="8">
        <f t="shared" si="22"/>
        <v>22</v>
      </c>
      <c r="B97" s="125">
        <f t="shared" si="23"/>
        <v>11.1</v>
      </c>
      <c r="C97" s="125">
        <f t="shared" si="24"/>
        <v>18.7</v>
      </c>
      <c r="D97" s="125">
        <f t="shared" si="59"/>
        <v>14.899999999999999</v>
      </c>
      <c r="E97" s="125">
        <f t="shared" si="25"/>
        <v>7.6</v>
      </c>
      <c r="F97" s="7">
        <v>11.76346153846154</v>
      </c>
      <c r="G97" s="7">
        <v>20.205384615384613</v>
      </c>
      <c r="H97" s="7">
        <f t="shared" si="60"/>
        <v>15.984423076923076</v>
      </c>
      <c r="I97" s="7">
        <f t="shared" si="61"/>
        <v>8.4419230769230733</v>
      </c>
      <c r="K97" s="7">
        <f t="shared" si="26"/>
        <v>5.2</v>
      </c>
      <c r="L97" s="7">
        <f t="shared" si="27"/>
        <v>14.4</v>
      </c>
      <c r="M97" s="370">
        <f t="shared" si="28"/>
        <v>6.2857142857142865</v>
      </c>
      <c r="N97" s="1">
        <f t="shared" si="29"/>
        <v>0.16666666666666666</v>
      </c>
      <c r="O97" s="7">
        <f t="shared" si="30"/>
        <v>75.285714285714292</v>
      </c>
      <c r="P97" s="7">
        <f t="shared" si="31"/>
        <v>12.77142857142857</v>
      </c>
      <c r="Q97" s="7">
        <f t="shared" si="32"/>
        <v>20.285714285714288</v>
      </c>
      <c r="R97" s="7">
        <f t="shared" si="33"/>
        <v>16.399999999999999</v>
      </c>
      <c r="S97" s="7">
        <f t="shared" si="34"/>
        <v>7.5142857142857142</v>
      </c>
      <c r="T97" s="1">
        <v>38</v>
      </c>
      <c r="U97" s="333">
        <f t="shared" si="35"/>
        <v>2.2000000000000002</v>
      </c>
      <c r="V97" s="4">
        <v>7</v>
      </c>
      <c r="W97" s="7">
        <f t="shared" si="36"/>
        <v>1.911</v>
      </c>
      <c r="X97" s="7">
        <f t="shared" si="37"/>
        <v>10.374000000000001</v>
      </c>
      <c r="Y97" s="8">
        <f t="shared" si="38"/>
        <v>5</v>
      </c>
      <c r="Z97" s="7">
        <f>IF(ISBLANK(Z10),NA(),SUM($Z$4:Z10))</f>
        <v>26.299999999999997</v>
      </c>
      <c r="AA97" s="7">
        <f t="shared" si="62"/>
        <v>15.400000000000002</v>
      </c>
      <c r="AB97" s="26">
        <f>IF(ISBLANK(Z10),"",SUM($Z$4:Z10))</f>
        <v>26.299999999999997</v>
      </c>
      <c r="AC97" s="115">
        <f t="shared" si="63"/>
        <v>1.7077922077922074</v>
      </c>
      <c r="AD97" s="8">
        <f t="shared" si="39"/>
        <v>1009.7857142857143</v>
      </c>
      <c r="AE97" s="610">
        <f t="shared" si="40"/>
        <v>0.90597363619022098</v>
      </c>
      <c r="AF97" s="524" t="e">
        <f t="shared" si="41"/>
        <v>#N/A</v>
      </c>
      <c r="AG97" s="22">
        <f>IF(ISBLANK(AP10),NA(),SUM($AP$4:AP10))</f>
        <v>31</v>
      </c>
      <c r="AH97" s="8">
        <f>SUM($AS$91:AS97)</f>
        <v>34.217331235333148</v>
      </c>
      <c r="AI97" s="115">
        <f t="shared" si="42"/>
        <v>0.90597363619022098</v>
      </c>
      <c r="AJ97" s="124">
        <f t="shared" si="43"/>
        <v>1</v>
      </c>
      <c r="AK97" s="8">
        <f t="shared" si="44"/>
        <v>1009.5</v>
      </c>
      <c r="AL97" s="124">
        <f t="shared" si="45"/>
        <v>0</v>
      </c>
      <c r="AM97" s="524">
        <f t="shared" si="46"/>
        <v>0.73263888888888884</v>
      </c>
      <c r="AN97" s="150">
        <f>COUNTIF(E48:E66,"&gt;0.5")</f>
        <v>4</v>
      </c>
      <c r="AO97" s="524">
        <f t="shared" si="47"/>
        <v>0.64930555555555558</v>
      </c>
      <c r="AP97" s="449" t="s">
        <v>208</v>
      </c>
      <c r="AQ97" s="448">
        <v>2.4E-2</v>
      </c>
      <c r="AR97" s="524">
        <f t="shared" si="48"/>
        <v>0.21875</v>
      </c>
      <c r="AS97" s="7">
        <f t="shared" si="49"/>
        <v>4.8137445986033356</v>
      </c>
      <c r="AT97" s="7">
        <v>11.927630011540016</v>
      </c>
      <c r="AU97" s="4">
        <v>7</v>
      </c>
      <c r="AV97" s="127">
        <f t="shared" si="50"/>
        <v>0</v>
      </c>
      <c r="AW97" s="124">
        <f t="shared" si="64"/>
        <v>0</v>
      </c>
      <c r="AX97" s="124">
        <f t="shared" si="65"/>
        <v>0</v>
      </c>
      <c r="AY97" s="124">
        <f t="shared" si="51"/>
        <v>0</v>
      </c>
      <c r="AZ97" s="125">
        <f t="shared" si="52"/>
        <v>3.9</v>
      </c>
      <c r="BA97" s="125">
        <f t="shared" si="53"/>
        <v>12.366666666666665</v>
      </c>
      <c r="BB97" s="125">
        <f t="shared" si="54"/>
        <v>17.43333333333333</v>
      </c>
      <c r="BC97" s="7">
        <v>13.170448717948718</v>
      </c>
      <c r="BD97" s="7">
        <v>18.798397435897435</v>
      </c>
      <c r="BE97" s="124"/>
      <c r="BF97" s="8">
        <f t="shared" si="55"/>
        <v>76</v>
      </c>
      <c r="BG97" s="21">
        <f t="shared" si="56"/>
        <v>14.2</v>
      </c>
      <c r="BH97" s="124">
        <f t="shared" si="57"/>
        <v>1</v>
      </c>
      <c r="BI97" s="124">
        <f t="shared" si="66"/>
        <v>1</v>
      </c>
      <c r="BJ97" s="144">
        <f t="shared" si="58"/>
        <v>0.16666666666666666</v>
      </c>
      <c r="BL97" s="99">
        <v>7</v>
      </c>
    </row>
    <row r="98" spans="1:64" ht="12.75" x14ac:dyDescent="0.2">
      <c r="A98" s="8">
        <f t="shared" si="22"/>
        <v>19</v>
      </c>
      <c r="B98" s="125">
        <f t="shared" si="23"/>
        <v>11.1</v>
      </c>
      <c r="C98" s="125">
        <f t="shared" si="24"/>
        <v>18.7</v>
      </c>
      <c r="D98" s="125">
        <f t="shared" si="59"/>
        <v>14.899999999999999</v>
      </c>
      <c r="E98" s="125">
        <f t="shared" si="25"/>
        <v>7.6</v>
      </c>
      <c r="F98" s="7">
        <v>11.687692307692309</v>
      </c>
      <c r="G98" s="7">
        <v>20.01307692307692</v>
      </c>
      <c r="H98" s="7">
        <f t="shared" si="60"/>
        <v>15.850384615384614</v>
      </c>
      <c r="I98" s="7">
        <f t="shared" si="61"/>
        <v>8.3253846153846105</v>
      </c>
      <c r="K98" s="7">
        <f t="shared" si="26"/>
        <v>6.8</v>
      </c>
      <c r="L98" s="7">
        <f t="shared" si="27"/>
        <v>16</v>
      </c>
      <c r="M98" s="370">
        <f t="shared" si="28"/>
        <v>6.2375000000000007</v>
      </c>
      <c r="N98" s="1">
        <f t="shared" si="29"/>
        <v>9.9999999999999992E-2</v>
      </c>
      <c r="O98" s="7">
        <f t="shared" si="30"/>
        <v>75.875</v>
      </c>
      <c r="P98" s="7">
        <f t="shared" si="31"/>
        <v>12.749999999999998</v>
      </c>
      <c r="Q98" s="7">
        <f t="shared" si="32"/>
        <v>20.175000000000004</v>
      </c>
      <c r="R98" s="7">
        <f t="shared" si="33"/>
        <v>16.324999999999999</v>
      </c>
      <c r="S98" s="7">
        <f t="shared" si="34"/>
        <v>7.4249999999999998</v>
      </c>
      <c r="T98" s="1">
        <v>39</v>
      </c>
      <c r="U98" s="333">
        <f t="shared" si="35"/>
        <v>2.2000000000000002</v>
      </c>
      <c r="V98" s="4">
        <v>8</v>
      </c>
      <c r="W98" s="7">
        <f t="shared" si="36"/>
        <v>2.1840000000000002</v>
      </c>
      <c r="X98" s="7">
        <f t="shared" si="37"/>
        <v>10.647</v>
      </c>
      <c r="Y98" s="8">
        <f t="shared" si="38"/>
        <v>3</v>
      </c>
      <c r="Z98" s="7">
        <f>IF(ISBLANK(Z11),NA(),SUM($Z$4:Z11))</f>
        <v>26.599999999999998</v>
      </c>
      <c r="AA98" s="7">
        <f t="shared" si="62"/>
        <v>17.600000000000001</v>
      </c>
      <c r="AB98" s="26">
        <f>IF(ISBLANK(Z11),"",SUM($Z$4:Z11))</f>
        <v>26.599999999999998</v>
      </c>
      <c r="AC98" s="115">
        <f t="shared" si="63"/>
        <v>1.511363636363636</v>
      </c>
      <c r="AD98" s="8">
        <f t="shared" si="39"/>
        <v>1009.75</v>
      </c>
      <c r="AE98" s="610">
        <f t="shared" si="40"/>
        <v>0.8460208828803486</v>
      </c>
      <c r="AF98" s="524" t="e">
        <f t="shared" si="41"/>
        <v>#N/A</v>
      </c>
      <c r="AG98" s="22">
        <f>IF(ISBLANK(AP11),NA(),SUM($AP$4:AP11))</f>
        <v>33</v>
      </c>
      <c r="AH98" s="8">
        <f>SUM($AS$91:AS98)</f>
        <v>39.00612936130932</v>
      </c>
      <c r="AI98" s="115">
        <f t="shared" si="42"/>
        <v>0.8460208828803486</v>
      </c>
      <c r="AJ98" s="124">
        <f t="shared" si="43"/>
        <v>1</v>
      </c>
      <c r="AK98" s="8">
        <f t="shared" si="44"/>
        <v>1009.5</v>
      </c>
      <c r="AL98" s="124">
        <f t="shared" si="45"/>
        <v>0</v>
      </c>
      <c r="AM98" s="524">
        <f t="shared" si="46"/>
        <v>0.75486111111111109</v>
      </c>
      <c r="AN98" s="150">
        <f>COUNTIF(E72:E80, "&gt;0.5")</f>
        <v>0</v>
      </c>
      <c r="AO98" s="524">
        <f t="shared" si="47"/>
        <v>0.75069444444444444</v>
      </c>
      <c r="AP98" s="449" t="s">
        <v>112</v>
      </c>
      <c r="AQ98" s="448">
        <v>1.7999999999999999E-2</v>
      </c>
      <c r="AR98" s="524">
        <f t="shared" si="48"/>
        <v>7.9166666666666663E-2</v>
      </c>
      <c r="AS98" s="7">
        <f t="shared" si="49"/>
        <v>4.7887981259761752</v>
      </c>
      <c r="AT98" s="7">
        <v>11.865816949069664</v>
      </c>
      <c r="AU98" s="4">
        <v>8</v>
      </c>
      <c r="AV98" s="127">
        <f t="shared" si="50"/>
        <v>0</v>
      </c>
      <c r="AW98" s="124">
        <f t="shared" si="64"/>
        <v>0</v>
      </c>
      <c r="AX98" s="124">
        <f t="shared" si="65"/>
        <v>0</v>
      </c>
      <c r="AY98" s="124">
        <f t="shared" si="51"/>
        <v>0</v>
      </c>
      <c r="AZ98" s="125">
        <f t="shared" si="52"/>
        <v>3.9</v>
      </c>
      <c r="BA98" s="125">
        <f t="shared" si="53"/>
        <v>12.366666666666665</v>
      </c>
      <c r="BB98" s="125">
        <f t="shared" si="54"/>
        <v>17.43333333333333</v>
      </c>
      <c r="BC98" s="7">
        <v>13.075256410256411</v>
      </c>
      <c r="BD98" s="7">
        <v>18.625512820512817</v>
      </c>
      <c r="BE98" s="124"/>
      <c r="BF98" s="8">
        <f t="shared" si="55"/>
        <v>80</v>
      </c>
      <c r="BG98" s="21">
        <f t="shared" si="56"/>
        <v>15.8</v>
      </c>
      <c r="BH98" s="124">
        <f t="shared" si="57"/>
        <v>1</v>
      </c>
      <c r="BI98" s="124">
        <f t="shared" si="66"/>
        <v>1</v>
      </c>
      <c r="BJ98" s="144">
        <f t="shared" si="58"/>
        <v>9.9999999999999992E-2</v>
      </c>
      <c r="BL98" s="99">
        <v>8</v>
      </c>
    </row>
    <row r="99" spans="1:64" ht="12.75" x14ac:dyDescent="0.2">
      <c r="A99" s="8">
        <f t="shared" si="22"/>
        <v>23</v>
      </c>
      <c r="B99" s="125">
        <f t="shared" si="23"/>
        <v>11.1</v>
      </c>
      <c r="C99" s="125">
        <f t="shared" si="24"/>
        <v>18.7</v>
      </c>
      <c r="D99" s="125">
        <f t="shared" si="59"/>
        <v>14.899999999999999</v>
      </c>
      <c r="E99" s="125">
        <f t="shared" si="25"/>
        <v>7.6</v>
      </c>
      <c r="F99" s="7">
        <v>11.611923076923079</v>
      </c>
      <c r="G99" s="7">
        <v>19.820769230769226</v>
      </c>
      <c r="H99" s="7">
        <f t="shared" si="60"/>
        <v>15.716346153846153</v>
      </c>
      <c r="I99" s="7">
        <f t="shared" si="61"/>
        <v>8.2088461538461477</v>
      </c>
      <c r="K99" s="7">
        <f t="shared" si="26"/>
        <v>6</v>
      </c>
      <c r="L99" s="7">
        <f t="shared" si="27"/>
        <v>18.7</v>
      </c>
      <c r="M99" s="370">
        <f t="shared" si="28"/>
        <v>6.0333333333333341</v>
      </c>
      <c r="N99" s="1">
        <f t="shared" si="29"/>
        <v>1.2666666666666666</v>
      </c>
      <c r="O99" s="7">
        <f t="shared" si="30"/>
        <v>76.888888888888886</v>
      </c>
      <c r="P99" s="7">
        <f t="shared" si="31"/>
        <v>13.077777777777776</v>
      </c>
      <c r="Q99" s="7">
        <f t="shared" si="32"/>
        <v>20.344444444444449</v>
      </c>
      <c r="R99" s="7">
        <f t="shared" si="33"/>
        <v>16.566666666666666</v>
      </c>
      <c r="S99" s="7">
        <f t="shared" si="34"/>
        <v>7.2666666666666675</v>
      </c>
      <c r="T99" s="1">
        <v>40</v>
      </c>
      <c r="U99" s="333">
        <f t="shared" si="35"/>
        <v>2.2000000000000002</v>
      </c>
      <c r="V99" s="4">
        <v>9</v>
      </c>
      <c r="W99" s="7">
        <f t="shared" si="36"/>
        <v>2.4570000000000003</v>
      </c>
      <c r="X99" s="7">
        <f t="shared" si="37"/>
        <v>10.920000000000002</v>
      </c>
      <c r="Y99" s="8">
        <f t="shared" si="38"/>
        <v>2</v>
      </c>
      <c r="Z99" s="7">
        <f>IF(ISBLANK(Z12),NA(),SUM($Z$4:Z12))</f>
        <v>30.4</v>
      </c>
      <c r="AA99" s="7">
        <f t="shared" si="62"/>
        <v>19.8</v>
      </c>
      <c r="AB99" s="26">
        <f>IF(ISBLANK(Z12),"",SUM($Z$4:Z12))</f>
        <v>30.4</v>
      </c>
      <c r="AC99" s="115">
        <f t="shared" si="63"/>
        <v>1.5353535353535352</v>
      </c>
      <c r="AD99" s="8">
        <f t="shared" si="39"/>
        <v>1009.6666666666666</v>
      </c>
      <c r="AE99" s="610">
        <f t="shared" si="40"/>
        <v>0.76536545293428027</v>
      </c>
      <c r="AF99" s="524">
        <f t="shared" si="41"/>
        <v>0.34652777777777777</v>
      </c>
      <c r="AG99" s="22">
        <f>IF(ISBLANK(AP12),NA(),SUM($AP$4:AP12))</f>
        <v>33.5</v>
      </c>
      <c r="AH99" s="8">
        <f>SUM($AS$91:AS99)</f>
        <v>43.769940061400376</v>
      </c>
      <c r="AI99" s="115">
        <f t="shared" si="42"/>
        <v>0.76536545293428027</v>
      </c>
      <c r="AJ99" s="124">
        <f t="shared" si="43"/>
        <v>1</v>
      </c>
      <c r="AK99" s="8">
        <f t="shared" si="44"/>
        <v>1009</v>
      </c>
      <c r="AL99" s="124">
        <f t="shared" si="45"/>
        <v>1</v>
      </c>
      <c r="AM99" s="524">
        <f t="shared" si="46"/>
        <v>0.65208333333333335</v>
      </c>
      <c r="AN99" s="7">
        <f>I39/3</f>
        <v>2.5333333333333332</v>
      </c>
      <c r="AO99" s="524">
        <f t="shared" si="47"/>
        <v>0.64444444444444449</v>
      </c>
      <c r="AP99" s="449" t="s">
        <v>209</v>
      </c>
      <c r="AQ99" s="448">
        <v>2.3E-2</v>
      </c>
      <c r="AR99" s="524">
        <f t="shared" si="48"/>
        <v>0.21111111111111111</v>
      </c>
      <c r="AS99" s="7">
        <f t="shared" si="49"/>
        <v>4.7638107000910548</v>
      </c>
      <c r="AT99" s="7">
        <v>11.803902411479747</v>
      </c>
      <c r="AU99" s="4">
        <v>9</v>
      </c>
      <c r="AV99" s="127">
        <f t="shared" si="50"/>
        <v>0</v>
      </c>
      <c r="AW99" s="124">
        <f t="shared" si="64"/>
        <v>0</v>
      </c>
      <c r="AX99" s="124">
        <f t="shared" si="65"/>
        <v>1</v>
      </c>
      <c r="AY99" s="124">
        <f t="shared" si="51"/>
        <v>0</v>
      </c>
      <c r="AZ99" s="125">
        <f t="shared" si="52"/>
        <v>3.9</v>
      </c>
      <c r="BA99" s="125">
        <f t="shared" si="53"/>
        <v>12.366666666666665</v>
      </c>
      <c r="BB99" s="125">
        <f t="shared" si="54"/>
        <v>17.43333333333333</v>
      </c>
      <c r="BC99" s="7">
        <v>12.980064102564103</v>
      </c>
      <c r="BD99" s="7">
        <v>18.452628205128203</v>
      </c>
      <c r="BE99" s="124"/>
      <c r="BF99" s="8">
        <f t="shared" si="55"/>
        <v>85</v>
      </c>
      <c r="BG99" s="21">
        <f t="shared" si="56"/>
        <v>18.5</v>
      </c>
      <c r="BH99" s="124">
        <f t="shared" si="57"/>
        <v>1</v>
      </c>
      <c r="BI99" s="124">
        <f t="shared" si="66"/>
        <v>1</v>
      </c>
      <c r="BJ99" s="144">
        <f t="shared" si="58"/>
        <v>1.2666666666666666</v>
      </c>
      <c r="BL99" s="99">
        <v>9</v>
      </c>
    </row>
    <row r="100" spans="1:64" ht="12.75" x14ac:dyDescent="0.2">
      <c r="A100" s="8">
        <f t="shared" si="22"/>
        <v>25</v>
      </c>
      <c r="B100" s="125">
        <f t="shared" si="23"/>
        <v>11.1</v>
      </c>
      <c r="C100" s="125">
        <f t="shared" si="24"/>
        <v>18.7</v>
      </c>
      <c r="D100" s="125">
        <f t="shared" si="59"/>
        <v>14.899999999999999</v>
      </c>
      <c r="E100" s="125">
        <f t="shared" si="25"/>
        <v>7.6</v>
      </c>
      <c r="F100" s="7">
        <v>11.536153846153848</v>
      </c>
      <c r="G100" s="7">
        <v>19.628461538461533</v>
      </c>
      <c r="H100" s="7">
        <f t="shared" si="60"/>
        <v>15.58230769230769</v>
      </c>
      <c r="I100" s="7">
        <f t="shared" si="61"/>
        <v>8.0923076923076849</v>
      </c>
      <c r="K100" s="7">
        <f t="shared" si="26"/>
        <v>6.5</v>
      </c>
      <c r="L100" s="7">
        <f t="shared" si="27"/>
        <v>19.45</v>
      </c>
      <c r="M100" s="370">
        <f t="shared" si="28"/>
        <v>6.07</v>
      </c>
      <c r="N100" s="1">
        <f t="shared" si="29"/>
        <v>9.9999999999999992E-2</v>
      </c>
      <c r="O100" s="7">
        <f t="shared" si="30"/>
        <v>77.400000000000006</v>
      </c>
      <c r="P100" s="7">
        <f t="shared" si="31"/>
        <v>13.389999999999997</v>
      </c>
      <c r="Q100" s="7">
        <f t="shared" si="32"/>
        <v>20.580000000000002</v>
      </c>
      <c r="R100" s="7">
        <f t="shared" si="33"/>
        <v>16.829999999999998</v>
      </c>
      <c r="S100" s="7">
        <f t="shared" si="34"/>
        <v>7.19</v>
      </c>
      <c r="T100" s="1">
        <v>41</v>
      </c>
      <c r="U100" s="333">
        <f t="shared" si="35"/>
        <v>2.2000000000000002</v>
      </c>
      <c r="V100" s="4">
        <v>10</v>
      </c>
      <c r="W100" s="7">
        <f t="shared" si="36"/>
        <v>2.7300000000000004</v>
      </c>
      <c r="X100" s="7">
        <f t="shared" si="37"/>
        <v>11.193000000000001</v>
      </c>
      <c r="Y100" s="8">
        <f t="shared" si="38"/>
        <v>6</v>
      </c>
      <c r="Z100" s="7">
        <f>IF(ISBLANK(Z13),NA(),SUM($Z$4:Z13))</f>
        <v>30.7</v>
      </c>
      <c r="AA100" s="7">
        <f t="shared" si="62"/>
        <v>22</v>
      </c>
      <c r="AB100" s="26">
        <f>IF(ISBLANK(Z13),"",SUM($Z$4:Z13))</f>
        <v>30.7</v>
      </c>
      <c r="AC100" s="115">
        <f t="shared" si="63"/>
        <v>1.3954545454545455</v>
      </c>
      <c r="AD100" s="8">
        <f t="shared" si="39"/>
        <v>1009.3</v>
      </c>
      <c r="AE100" s="610">
        <f t="shared" si="40"/>
        <v>0.73182709620604514</v>
      </c>
      <c r="AF100" s="524">
        <f t="shared" si="41"/>
        <v>0.28541666666666665</v>
      </c>
      <c r="AG100" s="22">
        <f>IF(ISBLANK(AP13),NA(),SUM($AP$4:AP13))</f>
        <v>35.5</v>
      </c>
      <c r="AH100" s="8">
        <f>SUM($AS$91:AS100)</f>
        <v>48.508725878065896</v>
      </c>
      <c r="AI100" s="115">
        <f t="shared" si="42"/>
        <v>0.73182709620604514</v>
      </c>
      <c r="AJ100" s="124">
        <f t="shared" si="43"/>
        <v>1</v>
      </c>
      <c r="AK100" s="8">
        <f t="shared" si="44"/>
        <v>1006</v>
      </c>
      <c r="AL100" s="124">
        <f t="shared" si="45"/>
        <v>0</v>
      </c>
      <c r="AM100" s="524">
        <f t="shared" si="46"/>
        <v>0.59722222222222221</v>
      </c>
      <c r="AN100" s="150">
        <f>COUNTIF(E48:E66,"&lt;-0.5")</f>
        <v>2</v>
      </c>
      <c r="AO100" s="524">
        <f t="shared" si="47"/>
        <v>0.57777777777777783</v>
      </c>
      <c r="AP100" s="449" t="s">
        <v>111</v>
      </c>
      <c r="AQ100" s="448">
        <v>8.3000000000000004E-2</v>
      </c>
      <c r="AR100" s="524">
        <f t="shared" si="48"/>
        <v>7.2916666666666671E-2</v>
      </c>
      <c r="AS100" s="7">
        <f t="shared" si="49"/>
        <v>4.7387858166655183</v>
      </c>
      <c r="AT100" s="7">
        <v>11.741895060556242</v>
      </c>
      <c r="AU100" s="4">
        <v>10</v>
      </c>
      <c r="AV100" s="127">
        <f t="shared" si="50"/>
        <v>0</v>
      </c>
      <c r="AW100" s="124">
        <f t="shared" si="64"/>
        <v>0</v>
      </c>
      <c r="AX100" s="124">
        <f t="shared" si="65"/>
        <v>1</v>
      </c>
      <c r="AY100" s="124">
        <f t="shared" si="51"/>
        <v>0</v>
      </c>
      <c r="AZ100" s="125">
        <f t="shared" si="52"/>
        <v>3.9</v>
      </c>
      <c r="BA100" s="125">
        <f t="shared" si="53"/>
        <v>12.366666666666665</v>
      </c>
      <c r="BB100" s="125">
        <f t="shared" si="54"/>
        <v>17.43333333333333</v>
      </c>
      <c r="BC100" s="7">
        <v>12.884871794871795</v>
      </c>
      <c r="BD100" s="7">
        <v>18.279743589743585</v>
      </c>
      <c r="BE100" s="124"/>
      <c r="BF100" s="8">
        <f t="shared" si="55"/>
        <v>82</v>
      </c>
      <c r="BG100" s="21">
        <f t="shared" si="56"/>
        <v>19.2</v>
      </c>
      <c r="BH100" s="124">
        <f t="shared" si="57"/>
        <v>1</v>
      </c>
      <c r="BI100" s="124">
        <f t="shared" si="66"/>
        <v>1</v>
      </c>
      <c r="BJ100" s="144">
        <f t="shared" si="58"/>
        <v>9.9999999999999992E-2</v>
      </c>
      <c r="BL100" s="99">
        <v>10</v>
      </c>
    </row>
    <row r="101" spans="1:64" ht="12.75" x14ac:dyDescent="0.2">
      <c r="A101" s="8">
        <f t="shared" si="22"/>
        <v>40</v>
      </c>
      <c r="B101" s="125">
        <f t="shared" si="23"/>
        <v>11.1</v>
      </c>
      <c r="C101" s="125">
        <f t="shared" si="24"/>
        <v>18.7</v>
      </c>
      <c r="D101" s="125">
        <f t="shared" si="59"/>
        <v>14.899999999999999</v>
      </c>
      <c r="E101" s="125">
        <f t="shared" si="25"/>
        <v>7.6</v>
      </c>
      <c r="F101" s="7">
        <v>11.460384615384617</v>
      </c>
      <c r="G101" s="7">
        <v>19.436153846153839</v>
      </c>
      <c r="H101" s="7">
        <f t="shared" si="60"/>
        <v>15.448269230769228</v>
      </c>
      <c r="I101" s="7">
        <f t="shared" si="61"/>
        <v>7.9757692307692221</v>
      </c>
      <c r="K101" s="7">
        <f t="shared" si="26"/>
        <v>5.0999999999999996</v>
      </c>
      <c r="L101" s="7">
        <f t="shared" si="27"/>
        <v>17.649999999999999</v>
      </c>
      <c r="M101" s="370">
        <f t="shared" si="28"/>
        <v>6.2272727272727275</v>
      </c>
      <c r="N101" s="1">
        <f t="shared" si="29"/>
        <v>1.2</v>
      </c>
      <c r="O101" s="7">
        <f t="shared" si="30"/>
        <v>77.181818181818187</v>
      </c>
      <c r="P101" s="7">
        <f t="shared" si="31"/>
        <v>13.545454545454543</v>
      </c>
      <c r="Q101" s="7">
        <f t="shared" si="32"/>
        <v>20.545454545454547</v>
      </c>
      <c r="R101" s="7">
        <f t="shared" si="33"/>
        <v>16.836363636363636</v>
      </c>
      <c r="S101" s="7">
        <f t="shared" si="34"/>
        <v>7</v>
      </c>
      <c r="T101" s="1">
        <v>42</v>
      </c>
      <c r="U101" s="333">
        <f t="shared" si="35"/>
        <v>2.2000000000000002</v>
      </c>
      <c r="V101" s="4">
        <v>11</v>
      </c>
      <c r="W101" s="7">
        <f t="shared" si="36"/>
        <v>3.0030000000000001</v>
      </c>
      <c r="X101" s="7">
        <f t="shared" si="37"/>
        <v>11.466000000000001</v>
      </c>
      <c r="Y101" s="8">
        <f t="shared" si="38"/>
        <v>4</v>
      </c>
      <c r="Z101" s="7">
        <f>IF(ISBLANK(Z14),NA(),SUM($Z$4:Z14))</f>
        <v>34.299999999999997</v>
      </c>
      <c r="AA101" s="7">
        <f t="shared" si="62"/>
        <v>24.200000000000003</v>
      </c>
      <c r="AB101" s="26">
        <f>IF(ISBLANK(Z14),"",SUM($Z$4:Z14))</f>
        <v>34.299999999999997</v>
      </c>
      <c r="AC101" s="115">
        <f t="shared" si="63"/>
        <v>1.4173553719008261</v>
      </c>
      <c r="AD101" s="8">
        <f t="shared" si="39"/>
        <v>1008.9090909090909</v>
      </c>
      <c r="AE101" s="610">
        <f t="shared" si="40"/>
        <v>0.77974610037860181</v>
      </c>
      <c r="AF101" s="524">
        <f t="shared" si="41"/>
        <v>0.22708333333333333</v>
      </c>
      <c r="AG101" s="22">
        <f>IF(ISBLANK(AP14),NA(),SUM($AP$4:AP14))</f>
        <v>41.5</v>
      </c>
      <c r="AH101" s="8">
        <f>SUM($AS$91:AS101)</f>
        <v>53.222452770010499</v>
      </c>
      <c r="AI101" s="115">
        <f t="shared" si="42"/>
        <v>0.77974610037860181</v>
      </c>
      <c r="AJ101" s="124">
        <f t="shared" si="43"/>
        <v>1</v>
      </c>
      <c r="AK101" s="8">
        <f t="shared" si="44"/>
        <v>1005</v>
      </c>
      <c r="AL101" s="124">
        <f t="shared" si="45"/>
        <v>1</v>
      </c>
      <c r="AM101" s="524">
        <f t="shared" si="46"/>
        <v>0.68819444444444444</v>
      </c>
      <c r="AN101" s="124">
        <f>COUNTIF(AU50:AU60, "&gt;0.5")</f>
        <v>4</v>
      </c>
      <c r="AO101" s="524">
        <f t="shared" si="47"/>
        <v>0.62013888888888891</v>
      </c>
      <c r="AP101" s="449" t="s">
        <v>210</v>
      </c>
      <c r="AQ101" s="450">
        <v>0.20100000000000001</v>
      </c>
      <c r="AR101" s="524">
        <f t="shared" si="48"/>
        <v>0.31944444444444448</v>
      </c>
      <c r="AS101" s="7">
        <f t="shared" si="49"/>
        <v>4.7137268919446038</v>
      </c>
      <c r="AT101" s="7">
        <v>11.679803361165954</v>
      </c>
      <c r="AU101" s="4">
        <v>11</v>
      </c>
      <c r="AV101" s="127">
        <f t="shared" si="50"/>
        <v>1</v>
      </c>
      <c r="AW101" s="124">
        <f t="shared" si="64"/>
        <v>0</v>
      </c>
      <c r="AX101" s="124">
        <f t="shared" si="65"/>
        <v>0</v>
      </c>
      <c r="AY101" s="124">
        <f t="shared" si="51"/>
        <v>0</v>
      </c>
      <c r="AZ101" s="125">
        <f t="shared" si="52"/>
        <v>3.9</v>
      </c>
      <c r="BA101" s="125">
        <f t="shared" si="53"/>
        <v>12.366666666666665</v>
      </c>
      <c r="BB101" s="125">
        <f t="shared" si="54"/>
        <v>17.43333333333333</v>
      </c>
      <c r="BC101" s="7">
        <v>12.789679487179487</v>
      </c>
      <c r="BD101" s="7">
        <v>18.106858974358968</v>
      </c>
      <c r="BE101" s="124"/>
      <c r="BF101" s="8">
        <f t="shared" si="55"/>
        <v>75</v>
      </c>
      <c r="BG101" s="21">
        <f t="shared" si="56"/>
        <v>16.899999999999999</v>
      </c>
      <c r="BH101" s="124">
        <f t="shared" si="57"/>
        <v>1</v>
      </c>
      <c r="BI101" s="124">
        <f t="shared" si="66"/>
        <v>1</v>
      </c>
      <c r="BJ101" s="144">
        <f t="shared" si="58"/>
        <v>1.2</v>
      </c>
      <c r="BL101" s="99">
        <v>11</v>
      </c>
    </row>
    <row r="102" spans="1:64" ht="12.75" x14ac:dyDescent="0.2">
      <c r="A102" s="8">
        <f t="shared" si="22"/>
        <v>44</v>
      </c>
      <c r="B102" s="125">
        <f t="shared" si="23"/>
        <v>11.1</v>
      </c>
      <c r="C102" s="125">
        <f t="shared" si="24"/>
        <v>18.7</v>
      </c>
      <c r="D102" s="125">
        <f t="shared" si="59"/>
        <v>14.899999999999999</v>
      </c>
      <c r="E102" s="125">
        <f t="shared" si="25"/>
        <v>7.6</v>
      </c>
      <c r="F102" s="7">
        <v>11.384615384615387</v>
      </c>
      <c r="G102" s="7">
        <v>19.243846153846146</v>
      </c>
      <c r="H102" s="7">
        <f t="shared" si="60"/>
        <v>15.314230769230766</v>
      </c>
      <c r="I102" s="7">
        <f t="shared" si="61"/>
        <v>7.8592307692307593</v>
      </c>
      <c r="K102" s="7">
        <f t="shared" si="26"/>
        <v>6</v>
      </c>
      <c r="L102" s="7">
        <f t="shared" si="27"/>
        <v>17.600000000000001</v>
      </c>
      <c r="M102" s="370">
        <f t="shared" si="28"/>
        <v>6.6083333333333334</v>
      </c>
      <c r="N102" s="1">
        <f t="shared" si="29"/>
        <v>9.9999999999999992E-2</v>
      </c>
      <c r="O102" s="7">
        <f t="shared" si="30"/>
        <v>76.666666666666671</v>
      </c>
      <c r="P102" s="7">
        <f t="shared" si="31"/>
        <v>13.633333333333331</v>
      </c>
      <c r="Q102" s="7">
        <f t="shared" si="32"/>
        <v>20.55</v>
      </c>
      <c r="R102" s="7">
        <f t="shared" si="33"/>
        <v>16.925000000000001</v>
      </c>
      <c r="S102" s="7">
        <f t="shared" si="34"/>
        <v>6.916666666666667</v>
      </c>
      <c r="T102" s="1">
        <v>43</v>
      </c>
      <c r="U102" s="333">
        <f t="shared" si="35"/>
        <v>2.2000000000000002</v>
      </c>
      <c r="V102" s="4">
        <v>12</v>
      </c>
      <c r="W102" s="7">
        <f t="shared" si="36"/>
        <v>3.2760000000000002</v>
      </c>
      <c r="X102" s="7">
        <f t="shared" si="37"/>
        <v>11.739000000000001</v>
      </c>
      <c r="Y102" s="8">
        <f t="shared" si="38"/>
        <v>10</v>
      </c>
      <c r="Z102" s="7">
        <f>IF(ISBLANK(Z15),NA(),SUM($Z$4:Z15))</f>
        <v>34.599999999999994</v>
      </c>
      <c r="AA102" s="7">
        <f t="shared" si="62"/>
        <v>26.400000000000002</v>
      </c>
      <c r="AB102" s="26">
        <f>IF(ISBLANK(Z15),"",SUM($Z$4:Z15))</f>
        <v>34.599999999999994</v>
      </c>
      <c r="AC102" s="115">
        <f t="shared" si="63"/>
        <v>1.3106060606060603</v>
      </c>
      <c r="AD102" s="8">
        <f t="shared" si="39"/>
        <v>1008.5833333333334</v>
      </c>
      <c r="AE102" s="610">
        <f t="shared" si="40"/>
        <v>0.82022286176581383</v>
      </c>
      <c r="AF102" s="524">
        <f t="shared" si="41"/>
        <v>0.35</v>
      </c>
      <c r="AG102" s="22">
        <f>IF(ISBLANK(AP15),NA(),SUM($AP$4:AP15))</f>
        <v>47.5</v>
      </c>
      <c r="AH102" s="8">
        <f>SUM($AS$91:AS102)</f>
        <v>57.911090039284929</v>
      </c>
      <c r="AI102" s="115">
        <f t="shared" si="42"/>
        <v>0.82022286176581383</v>
      </c>
      <c r="AJ102" s="124">
        <f t="shared" si="43"/>
        <v>1</v>
      </c>
      <c r="AK102" s="8">
        <f t="shared" si="44"/>
        <v>1005</v>
      </c>
      <c r="AL102" s="124">
        <f t="shared" si="45"/>
        <v>0</v>
      </c>
      <c r="AM102" s="524">
        <f t="shared" si="46"/>
        <v>0.74861111111111101</v>
      </c>
      <c r="AN102" s="141">
        <f t="array" ref="AN102">MAX(FREQUENCY(IF(AJ91:AJ121=1,ROW(91:121)),IF(AJ91:AJ121&lt;&gt;1,ROW(91:121))))</f>
        <v>10</v>
      </c>
      <c r="AO102" s="524">
        <f t="shared" si="47"/>
        <v>0.61805555555555558</v>
      </c>
      <c r="AP102" s="451" t="s">
        <v>110</v>
      </c>
      <c r="AQ102" s="450">
        <v>0.216</v>
      </c>
      <c r="AR102" s="524" t="e">
        <f t="shared" si="48"/>
        <v>#N/A</v>
      </c>
      <c r="AS102" s="7">
        <f t="shared" si="49"/>
        <v>4.6886372692744267</v>
      </c>
      <c r="AT102" s="7">
        <v>11.617635597544709</v>
      </c>
      <c r="AU102" s="4">
        <v>12</v>
      </c>
      <c r="AV102" s="127">
        <f t="shared" si="50"/>
        <v>1</v>
      </c>
      <c r="AW102" s="124">
        <f t="shared" si="64"/>
        <v>0</v>
      </c>
      <c r="AX102" s="124">
        <f t="shared" si="65"/>
        <v>0</v>
      </c>
      <c r="AY102" s="124">
        <f t="shared" si="51"/>
        <v>0</v>
      </c>
      <c r="AZ102" s="125">
        <f t="shared" si="52"/>
        <v>3.9</v>
      </c>
      <c r="BA102" s="125">
        <f t="shared" si="53"/>
        <v>12.366666666666665</v>
      </c>
      <c r="BB102" s="125">
        <f t="shared" si="54"/>
        <v>17.43333333333333</v>
      </c>
      <c r="BC102" s="7">
        <v>12.694487179487179</v>
      </c>
      <c r="BD102" s="7">
        <v>17.933974358974353</v>
      </c>
      <c r="BE102" s="124"/>
      <c r="BF102" s="8">
        <f t="shared" si="55"/>
        <v>71</v>
      </c>
      <c r="BG102" s="21">
        <f t="shared" si="56"/>
        <v>17.899999999999999</v>
      </c>
      <c r="BH102" s="124">
        <f t="shared" si="57"/>
        <v>1</v>
      </c>
      <c r="BI102" s="124">
        <f t="shared" si="66"/>
        <v>1</v>
      </c>
      <c r="BJ102" s="144">
        <f t="shared" si="58"/>
        <v>9.9999999999999992E-2</v>
      </c>
      <c r="BL102" s="99">
        <v>12</v>
      </c>
    </row>
    <row r="103" spans="1:64" ht="12.75" x14ac:dyDescent="0.2">
      <c r="A103" s="8">
        <f t="shared" si="22"/>
        <v>32</v>
      </c>
      <c r="B103" s="125">
        <f t="shared" si="23"/>
        <v>11.1</v>
      </c>
      <c r="C103" s="125">
        <f t="shared" si="24"/>
        <v>18.7</v>
      </c>
      <c r="D103" s="125">
        <f t="shared" si="59"/>
        <v>14.899999999999999</v>
      </c>
      <c r="E103" s="125">
        <f t="shared" si="25"/>
        <v>7.6</v>
      </c>
      <c r="F103" s="7">
        <v>11.308846153846156</v>
      </c>
      <c r="G103" s="7">
        <v>19.051538461538453</v>
      </c>
      <c r="H103" s="7">
        <f t="shared" si="60"/>
        <v>15.180192307692305</v>
      </c>
      <c r="I103" s="7">
        <f t="shared" si="61"/>
        <v>7.7426923076922964</v>
      </c>
      <c r="K103" s="7">
        <f t="shared" si="26"/>
        <v>6.1</v>
      </c>
      <c r="L103" s="7">
        <f t="shared" si="27"/>
        <v>15.45</v>
      </c>
      <c r="M103" s="370">
        <f t="shared" si="28"/>
        <v>6.6769230769230763</v>
      </c>
      <c r="N103" s="1">
        <f t="shared" si="29"/>
        <v>9.9999999999999992E-2</v>
      </c>
      <c r="O103" s="7">
        <f t="shared" si="30"/>
        <v>75.769230769230774</v>
      </c>
      <c r="P103" s="7">
        <f t="shared" si="31"/>
        <v>13.538461538461537</v>
      </c>
      <c r="Q103" s="7">
        <f t="shared" si="32"/>
        <v>20.392307692307693</v>
      </c>
      <c r="R103" s="7">
        <f t="shared" si="33"/>
        <v>16.776923076923076</v>
      </c>
      <c r="S103" s="7">
        <f t="shared" si="34"/>
        <v>6.8538461538461535</v>
      </c>
      <c r="T103" s="1">
        <v>44</v>
      </c>
      <c r="U103" s="333">
        <f t="shared" si="35"/>
        <v>2.2000000000000002</v>
      </c>
      <c r="V103" s="4">
        <v>13</v>
      </c>
      <c r="W103" s="7">
        <f t="shared" si="36"/>
        <v>3.5490000000000004</v>
      </c>
      <c r="X103" s="7">
        <f t="shared" si="37"/>
        <v>12.012</v>
      </c>
      <c r="Y103" s="8">
        <f t="shared" si="38"/>
        <v>5</v>
      </c>
      <c r="Z103" s="7">
        <f>IF(ISBLANK(Z16),NA(),SUM($Z$4:Z16))</f>
        <v>34.899999999999991</v>
      </c>
      <c r="AA103" s="7">
        <f t="shared" si="62"/>
        <v>28.6</v>
      </c>
      <c r="AB103" s="26">
        <f>IF(ISBLANK(Z16),"",SUM($Z$4:Z16))</f>
        <v>34.899999999999991</v>
      </c>
      <c r="AC103" s="115">
        <f t="shared" si="63"/>
        <v>1.22027972027972</v>
      </c>
      <c r="AD103" s="8">
        <f t="shared" si="39"/>
        <v>1008.8846153846154</v>
      </c>
      <c r="AE103" s="610">
        <f t="shared" si="40"/>
        <v>0.87096027876493898</v>
      </c>
      <c r="AF103" s="524">
        <f t="shared" si="41"/>
        <v>0.3298611111111111</v>
      </c>
      <c r="AG103" s="22">
        <f>IF(ISBLANK(AP16),NA(),SUM($AP$4:AP16))</f>
        <v>54.5</v>
      </c>
      <c r="AH103" s="8">
        <f>SUM($AS$91:AS103)</f>
        <v>62.57461026498644</v>
      </c>
      <c r="AI103" s="115">
        <f t="shared" si="42"/>
        <v>0.87096027876493898</v>
      </c>
      <c r="AJ103" s="124">
        <f t="shared" si="43"/>
        <v>1</v>
      </c>
      <c r="AK103" s="8">
        <f t="shared" si="44"/>
        <v>1012.5</v>
      </c>
      <c r="AL103" s="124">
        <f t="shared" si="45"/>
        <v>0</v>
      </c>
      <c r="AM103" s="524">
        <f t="shared" si="46"/>
        <v>0.74375000000000002</v>
      </c>
      <c r="AN103" s="7">
        <f>I39/-3</f>
        <v>-2.5333333333333332</v>
      </c>
      <c r="AO103" s="524">
        <f t="shared" si="47"/>
        <v>0.53125</v>
      </c>
      <c r="AP103" s="451" t="s">
        <v>211</v>
      </c>
      <c r="AQ103" s="450">
        <v>0.161</v>
      </c>
      <c r="AR103" s="524">
        <f t="shared" si="48"/>
        <v>0.31597222222222221</v>
      </c>
      <c r="AS103" s="7">
        <f t="shared" si="49"/>
        <v>4.6635202257015136</v>
      </c>
      <c r="AT103" s="7">
        <v>11.555399889649371</v>
      </c>
      <c r="AU103" s="4">
        <v>13</v>
      </c>
      <c r="AV103" s="127">
        <f t="shared" si="50"/>
        <v>1</v>
      </c>
      <c r="AW103" s="124">
        <f t="shared" si="64"/>
        <v>0</v>
      </c>
      <c r="AX103" s="124">
        <f t="shared" si="65"/>
        <v>0</v>
      </c>
      <c r="AY103" s="124">
        <f t="shared" si="51"/>
        <v>0</v>
      </c>
      <c r="AZ103" s="125">
        <f t="shared" si="52"/>
        <v>3.9</v>
      </c>
      <c r="BA103" s="125">
        <f t="shared" si="53"/>
        <v>12.366666666666665</v>
      </c>
      <c r="BB103" s="125">
        <f t="shared" si="54"/>
        <v>17.43333333333333</v>
      </c>
      <c r="BC103" s="7">
        <v>12.599294871794873</v>
      </c>
      <c r="BD103" s="7">
        <v>17.761089743589736</v>
      </c>
      <c r="BE103" s="124"/>
      <c r="BF103" s="8">
        <f t="shared" si="55"/>
        <v>65</v>
      </c>
      <c r="BG103" s="21">
        <f t="shared" si="56"/>
        <v>15</v>
      </c>
      <c r="BH103" s="124">
        <f t="shared" si="57"/>
        <v>0</v>
      </c>
      <c r="BI103" s="124">
        <f t="shared" si="66"/>
        <v>0</v>
      </c>
      <c r="BJ103" s="144">
        <f t="shared" si="58"/>
        <v>9.9999999999999992E-2</v>
      </c>
      <c r="BL103" s="99">
        <v>13</v>
      </c>
    </row>
    <row r="104" spans="1:64" ht="12.75" x14ac:dyDescent="0.2">
      <c r="A104" s="8">
        <f t="shared" si="22"/>
        <v>41</v>
      </c>
      <c r="B104" s="125">
        <f t="shared" si="23"/>
        <v>11.1</v>
      </c>
      <c r="C104" s="125">
        <f t="shared" si="24"/>
        <v>18.7</v>
      </c>
      <c r="D104" s="125">
        <f t="shared" si="59"/>
        <v>14.899999999999999</v>
      </c>
      <c r="E104" s="125">
        <f t="shared" si="25"/>
        <v>7.6</v>
      </c>
      <c r="F104" s="7">
        <v>11.233076923076926</v>
      </c>
      <c r="G104" s="7">
        <v>18.859230769230759</v>
      </c>
      <c r="H104" s="7">
        <f t="shared" si="60"/>
        <v>15.046153846153842</v>
      </c>
      <c r="I104" s="7">
        <f t="shared" si="61"/>
        <v>7.6261538461538336</v>
      </c>
      <c r="K104" s="7">
        <f t="shared" si="26"/>
        <v>8.5</v>
      </c>
      <c r="L104" s="7">
        <f t="shared" si="27"/>
        <v>14.45</v>
      </c>
      <c r="M104" s="370">
        <f t="shared" si="28"/>
        <v>6.5571428571428569</v>
      </c>
      <c r="N104" s="1">
        <f t="shared" si="29"/>
        <v>0</v>
      </c>
      <c r="O104" s="7">
        <f t="shared" si="30"/>
        <v>74.928571428571431</v>
      </c>
      <c r="P104" s="7">
        <f t="shared" si="31"/>
        <v>13.299999999999997</v>
      </c>
      <c r="Q104" s="7">
        <f t="shared" si="32"/>
        <v>20.271428571428572</v>
      </c>
      <c r="R104" s="7">
        <f t="shared" si="33"/>
        <v>16.592857142857142</v>
      </c>
      <c r="S104" s="7">
        <f t="shared" si="34"/>
        <v>6.9714285714285706</v>
      </c>
      <c r="T104" s="1">
        <v>45</v>
      </c>
      <c r="U104" s="333">
        <f t="shared" si="35"/>
        <v>2.2000000000000002</v>
      </c>
      <c r="V104" s="4">
        <v>14</v>
      </c>
      <c r="W104" s="7">
        <f t="shared" si="36"/>
        <v>3.8220000000000001</v>
      </c>
      <c r="X104" s="7">
        <f t="shared" si="37"/>
        <v>12.285</v>
      </c>
      <c r="Y104" s="8">
        <f t="shared" si="38"/>
        <v>4</v>
      </c>
      <c r="Z104" s="7">
        <f>IF(ISBLANK(Z17),NA(),SUM($Z$4:Z17))</f>
        <v>34.899999999999991</v>
      </c>
      <c r="AA104" s="7">
        <f t="shared" si="62"/>
        <v>30.800000000000004</v>
      </c>
      <c r="AB104" s="26">
        <f>IF(ISBLANK(Z17),"",SUM($Z$4:Z17))</f>
        <v>34.899999999999991</v>
      </c>
      <c r="AC104" s="115">
        <f t="shared" si="63"/>
        <v>1.1331168831168827</v>
      </c>
      <c r="AD104" s="8">
        <f t="shared" si="39"/>
        <v>1009.5357142857143</v>
      </c>
      <c r="AE104" s="610">
        <f t="shared" si="40"/>
        <v>0.94475786175609067</v>
      </c>
      <c r="AF104" s="524">
        <f t="shared" si="41"/>
        <v>0.31597222222222221</v>
      </c>
      <c r="AG104" s="22">
        <f>IF(ISBLANK(AP17),NA(),SUM($AP$4:AP17))</f>
        <v>63.5</v>
      </c>
      <c r="AH104" s="8">
        <f>SUM($AS$91:AS104)</f>
        <v>67.212989243580253</v>
      </c>
      <c r="AI104" s="115">
        <f t="shared" si="42"/>
        <v>0.94475786175609067</v>
      </c>
      <c r="AJ104" s="124">
        <f t="shared" si="43"/>
        <v>0</v>
      </c>
      <c r="AK104" s="8">
        <f t="shared" si="44"/>
        <v>1018</v>
      </c>
      <c r="AL104" s="124">
        <f t="shared" si="45"/>
        <v>0</v>
      </c>
      <c r="AM104" s="524">
        <f t="shared" si="46"/>
        <v>0.70694444444444438</v>
      </c>
      <c r="AN104" s="25">
        <f>AP39/E34</f>
        <v>4.5999999999999996</v>
      </c>
      <c r="AO104" s="524">
        <f t="shared" si="47"/>
        <v>0.6777777777777777</v>
      </c>
      <c r="AP104" s="451" t="s">
        <v>114</v>
      </c>
      <c r="AQ104" s="452">
        <v>7.8E-2</v>
      </c>
      <c r="AR104" s="524">
        <f t="shared" si="48"/>
        <v>0.28125</v>
      </c>
      <c r="AS104" s="7">
        <f t="shared" si="49"/>
        <v>4.6383789785938117</v>
      </c>
      <c r="AT104" s="7">
        <v>11.493104209563565</v>
      </c>
      <c r="AU104" s="4">
        <v>14</v>
      </c>
      <c r="AV104" s="127">
        <f t="shared" si="50"/>
        <v>1</v>
      </c>
      <c r="AW104" s="124">
        <f t="shared" si="64"/>
        <v>0</v>
      </c>
      <c r="AX104" s="124">
        <f t="shared" si="65"/>
        <v>0</v>
      </c>
      <c r="AY104" s="124">
        <f t="shared" si="51"/>
        <v>1</v>
      </c>
      <c r="AZ104" s="125">
        <f t="shared" si="52"/>
        <v>3.9</v>
      </c>
      <c r="BA104" s="125">
        <f t="shared" si="53"/>
        <v>12.366666666666665</v>
      </c>
      <c r="BB104" s="125">
        <f t="shared" si="54"/>
        <v>17.43333333333333</v>
      </c>
      <c r="BC104" s="7">
        <v>12.504102564102565</v>
      </c>
      <c r="BD104" s="7">
        <v>17.588205128205121</v>
      </c>
      <c r="BE104" s="124"/>
      <c r="BF104" s="8">
        <f t="shared" si="55"/>
        <v>64</v>
      </c>
      <c r="BG104" s="21">
        <f t="shared" si="56"/>
        <v>14.2</v>
      </c>
      <c r="BH104" s="124">
        <f t="shared" si="57"/>
        <v>0</v>
      </c>
      <c r="BI104" s="124">
        <f t="shared" si="66"/>
        <v>0</v>
      </c>
      <c r="BJ104" s="144">
        <f t="shared" si="58"/>
        <v>0</v>
      </c>
      <c r="BL104" s="99">
        <v>14</v>
      </c>
    </row>
    <row r="105" spans="1:64" ht="12.75" x14ac:dyDescent="0.2">
      <c r="A105" s="8">
        <f t="shared" si="22"/>
        <v>47</v>
      </c>
      <c r="B105" s="125">
        <f t="shared" si="23"/>
        <v>11.1</v>
      </c>
      <c r="C105" s="125">
        <f t="shared" si="24"/>
        <v>18.7</v>
      </c>
      <c r="D105" s="125">
        <f t="shared" si="59"/>
        <v>14.899999999999999</v>
      </c>
      <c r="E105" s="125">
        <f t="shared" si="25"/>
        <v>7.6</v>
      </c>
      <c r="F105" s="7">
        <v>11.157307692307695</v>
      </c>
      <c r="G105" s="7">
        <v>18.666923076923066</v>
      </c>
      <c r="H105" s="7">
        <f t="shared" si="60"/>
        <v>14.91211538461538</v>
      </c>
      <c r="I105" s="7">
        <f t="shared" si="61"/>
        <v>7.5096153846153708</v>
      </c>
      <c r="K105" s="7">
        <f t="shared" si="26"/>
        <v>12.8</v>
      </c>
      <c r="L105" s="7">
        <f t="shared" si="27"/>
        <v>13.6</v>
      </c>
      <c r="M105" s="370">
        <f t="shared" si="28"/>
        <v>6.26</v>
      </c>
      <c r="N105" s="1">
        <f t="shared" si="29"/>
        <v>0</v>
      </c>
      <c r="O105" s="7">
        <f t="shared" si="30"/>
        <v>74.533333333333331</v>
      </c>
      <c r="P105" s="7">
        <f t="shared" si="31"/>
        <v>12.893333333333329</v>
      </c>
      <c r="Q105" s="7">
        <f t="shared" si="32"/>
        <v>20.253333333333334</v>
      </c>
      <c r="R105" s="7">
        <f t="shared" si="33"/>
        <v>16.43333333333333</v>
      </c>
      <c r="S105" s="7">
        <f t="shared" si="34"/>
        <v>7.3599999999999994</v>
      </c>
      <c r="T105" s="1">
        <v>46</v>
      </c>
      <c r="U105" s="333">
        <f t="shared" si="35"/>
        <v>2.2000000000000002</v>
      </c>
      <c r="V105" s="4">
        <v>15</v>
      </c>
      <c r="W105" s="7">
        <f t="shared" si="36"/>
        <v>4.0950000000000006</v>
      </c>
      <c r="X105" s="7">
        <f t="shared" si="37"/>
        <v>12.558000000000002</v>
      </c>
      <c r="Y105" s="8">
        <f t="shared" si="38"/>
        <v>2</v>
      </c>
      <c r="Z105" s="7">
        <f>IF(ISBLANK(Z18),NA(),SUM($Z$4:Z18))</f>
        <v>34.899999999999991</v>
      </c>
      <c r="AA105" s="7">
        <f t="shared" si="62"/>
        <v>33</v>
      </c>
      <c r="AB105" s="26">
        <f>IF(ISBLANK(Z18),"",SUM($Z$4:Z18))</f>
        <v>34.899999999999991</v>
      </c>
      <c r="AC105" s="115">
        <f t="shared" si="63"/>
        <v>1.0575757575757574</v>
      </c>
      <c r="AD105" s="8">
        <f t="shared" si="39"/>
        <v>1010.2333333333333</v>
      </c>
      <c r="AE105" s="610">
        <f t="shared" si="40"/>
        <v>0.9954583994572771</v>
      </c>
      <c r="AF105" s="524">
        <f t="shared" si="41"/>
        <v>0.3520833333333333</v>
      </c>
      <c r="AG105" s="22">
        <f>IF(ISBLANK(AP18),NA(),SUM($AP$4:AP18))</f>
        <v>71.5</v>
      </c>
      <c r="AH105" s="8">
        <f>SUM($AS$91:AS105)</f>
        <v>71.826205935860031</v>
      </c>
      <c r="AI105" s="115">
        <f t="shared" si="42"/>
        <v>0.9954583994572771</v>
      </c>
      <c r="AJ105" s="124">
        <f t="shared" si="43"/>
        <v>0</v>
      </c>
      <c r="AK105" s="8">
        <f t="shared" si="44"/>
        <v>1020</v>
      </c>
      <c r="AL105" s="124">
        <f t="shared" si="45"/>
        <v>0</v>
      </c>
      <c r="AM105" s="524">
        <f t="shared" si="46"/>
        <v>0.6791666666666667</v>
      </c>
      <c r="AN105" s="1">
        <f t="array" ref="AN105">MAX(IF(F4:F34=$F$85,E4:E34,0))</f>
        <v>15</v>
      </c>
      <c r="AO105" s="524">
        <f t="shared" si="47"/>
        <v>0.67222222222222217</v>
      </c>
      <c r="AP105" s="451" t="s">
        <v>212</v>
      </c>
      <c r="AQ105" s="450">
        <v>3.9E-2</v>
      </c>
      <c r="AR105" s="524">
        <f t="shared" si="48"/>
        <v>0.24930555555555556</v>
      </c>
      <c r="AS105" s="7">
        <f t="shared" si="49"/>
        <v>4.6132166922797806</v>
      </c>
      <c r="AT105" s="7">
        <v>11.430756397948199</v>
      </c>
      <c r="AU105" s="4">
        <v>15</v>
      </c>
      <c r="AV105" s="127">
        <f t="shared" si="50"/>
        <v>1</v>
      </c>
      <c r="AW105" s="124">
        <f t="shared" si="64"/>
        <v>0</v>
      </c>
      <c r="AX105" s="124">
        <f t="shared" si="65"/>
        <v>0</v>
      </c>
      <c r="AY105" s="124">
        <f t="shared" si="51"/>
        <v>1</v>
      </c>
      <c r="AZ105" s="125">
        <f t="shared" si="52"/>
        <v>3.9</v>
      </c>
      <c r="BA105" s="125">
        <f t="shared" si="53"/>
        <v>12.366666666666665</v>
      </c>
      <c r="BB105" s="125">
        <f t="shared" si="54"/>
        <v>17.43333333333333</v>
      </c>
      <c r="BC105" s="7">
        <v>12.408910256410255</v>
      </c>
      <c r="BD105" s="7">
        <v>17.415320512820504</v>
      </c>
      <c r="BE105" s="124"/>
      <c r="BF105" s="8">
        <f t="shared" si="55"/>
        <v>69</v>
      </c>
      <c r="BG105" s="21">
        <f t="shared" si="56"/>
        <v>14.2</v>
      </c>
      <c r="BH105" s="124">
        <f t="shared" si="57"/>
        <v>0</v>
      </c>
      <c r="BI105" s="124">
        <f t="shared" si="66"/>
        <v>0</v>
      </c>
      <c r="BJ105" s="144">
        <f t="shared" si="58"/>
        <v>0</v>
      </c>
      <c r="BL105" s="99">
        <v>15</v>
      </c>
    </row>
    <row r="106" spans="1:64" ht="12.75" x14ac:dyDescent="0.2">
      <c r="A106" s="8">
        <f t="shared" si="22"/>
        <v>42</v>
      </c>
      <c r="B106" s="125">
        <f t="shared" si="23"/>
        <v>11.1</v>
      </c>
      <c r="C106" s="125">
        <f t="shared" si="24"/>
        <v>18.7</v>
      </c>
      <c r="D106" s="125">
        <f t="shared" si="59"/>
        <v>14.899999999999999</v>
      </c>
      <c r="E106" s="125">
        <f t="shared" si="25"/>
        <v>7.6</v>
      </c>
      <c r="F106" s="7">
        <v>11.081538461538464</v>
      </c>
      <c r="G106" s="7">
        <v>18.474615384615372</v>
      </c>
      <c r="H106" s="7">
        <f t="shared" si="60"/>
        <v>14.778076923076918</v>
      </c>
      <c r="I106" s="7">
        <f t="shared" si="61"/>
        <v>7.393076923076908</v>
      </c>
      <c r="K106" s="7">
        <f t="shared" si="26"/>
        <v>9.3000000000000007</v>
      </c>
      <c r="L106" s="7">
        <f t="shared" si="27"/>
        <v>17.149999999999999</v>
      </c>
      <c r="M106" s="370">
        <f t="shared" si="28"/>
        <v>6.1624999999999996</v>
      </c>
      <c r="N106" s="1">
        <f t="shared" si="29"/>
        <v>0</v>
      </c>
      <c r="O106" s="7">
        <f t="shared" si="30"/>
        <v>74.25</v>
      </c>
      <c r="P106" s="7">
        <f t="shared" si="31"/>
        <v>12.868749999999997</v>
      </c>
      <c r="Q106" s="7">
        <f t="shared" si="32"/>
        <v>20.350000000000001</v>
      </c>
      <c r="R106" s="7">
        <f t="shared" si="33"/>
        <v>16.456249999999997</v>
      </c>
      <c r="S106" s="7">
        <f t="shared" si="34"/>
        <v>7.4812499999999993</v>
      </c>
      <c r="T106" s="1">
        <v>47</v>
      </c>
      <c r="U106" s="333">
        <f t="shared" si="35"/>
        <v>2.2000000000000002</v>
      </c>
      <c r="V106" s="4">
        <v>16</v>
      </c>
      <c r="W106" s="7">
        <f t="shared" si="36"/>
        <v>4.3680000000000003</v>
      </c>
      <c r="X106" s="7">
        <f t="shared" si="37"/>
        <v>12.831000000000001</v>
      </c>
      <c r="Y106" s="8">
        <f t="shared" si="38"/>
        <v>10</v>
      </c>
      <c r="Z106" s="7">
        <f>IF(ISBLANK(Z19),NA(),SUM($Z$4:Z19))</f>
        <v>34.899999999999991</v>
      </c>
      <c r="AA106" s="7">
        <f t="shared" si="62"/>
        <v>35.200000000000003</v>
      </c>
      <c r="AB106" s="26">
        <f>IF(ISBLANK(Z19),"",SUM($Z$4:Z19))</f>
        <v>34.899999999999991</v>
      </c>
      <c r="AC106" s="115">
        <f t="shared" si="63"/>
        <v>0.99147727272727237</v>
      </c>
      <c r="AD106" s="8">
        <f t="shared" si="39"/>
        <v>1010.46875</v>
      </c>
      <c r="AE106" s="610">
        <f t="shared" si="40"/>
        <v>1.0142088378428442</v>
      </c>
      <c r="AF106" s="524">
        <f t="shared" si="41"/>
        <v>0.26319444444444445</v>
      </c>
      <c r="AG106" s="22">
        <f>IF(ISBLANK(AP19),NA(),SUM($AP$4:AP19))</f>
        <v>77.5</v>
      </c>
      <c r="AH106" s="8">
        <f>SUM($AS$91:AS106)</f>
        <v>76.414242420562445</v>
      </c>
      <c r="AI106" s="115">
        <f t="shared" si="42"/>
        <v>1.0142088378428442</v>
      </c>
      <c r="AJ106" s="124">
        <f t="shared" si="43"/>
        <v>0</v>
      </c>
      <c r="AK106" s="8">
        <f t="shared" si="44"/>
        <v>1014</v>
      </c>
      <c r="AL106" s="124">
        <f t="shared" si="45"/>
        <v>0</v>
      </c>
      <c r="AM106" s="524">
        <f t="shared" si="46"/>
        <v>0.62222222222222223</v>
      </c>
      <c r="AN106" s="1">
        <f t="array" ref="AN106">MAX(IF(G4:G34=$G$86,E4:E34,0))</f>
        <v>30</v>
      </c>
      <c r="AO106" s="524">
        <f t="shared" si="47"/>
        <v>0.64236111111111105</v>
      </c>
      <c r="AP106" s="451" t="s">
        <v>128</v>
      </c>
      <c r="AQ106" s="450">
        <v>1.2E-2</v>
      </c>
      <c r="AR106" s="524">
        <f t="shared" si="48"/>
        <v>0.16527777777777777</v>
      </c>
      <c r="AS106" s="7">
        <f t="shared" si="49"/>
        <v>4.5880364847024113</v>
      </c>
      <c r="AT106" s="7">
        <v>11.368364180528983</v>
      </c>
      <c r="AU106" s="4">
        <v>16</v>
      </c>
      <c r="AV106" s="127">
        <f t="shared" si="50"/>
        <v>1</v>
      </c>
      <c r="AW106" s="124">
        <f t="shared" si="64"/>
        <v>0</v>
      </c>
      <c r="AX106" s="124">
        <f t="shared" si="65"/>
        <v>0</v>
      </c>
      <c r="AY106" s="124">
        <f t="shared" si="51"/>
        <v>0</v>
      </c>
      <c r="AZ106" s="125">
        <f t="shared" si="52"/>
        <v>3.9</v>
      </c>
      <c r="BA106" s="125">
        <f t="shared" si="53"/>
        <v>12.366666666666665</v>
      </c>
      <c r="BB106" s="125">
        <f t="shared" si="54"/>
        <v>17.43333333333333</v>
      </c>
      <c r="BC106" s="7">
        <v>12.313717948717949</v>
      </c>
      <c r="BD106" s="7">
        <v>17.24243589743589</v>
      </c>
      <c r="BE106" s="124"/>
      <c r="BF106" s="8">
        <f t="shared" si="55"/>
        <v>70</v>
      </c>
      <c r="BG106" s="21">
        <f t="shared" si="56"/>
        <v>16.8</v>
      </c>
      <c r="BH106" s="124">
        <f t="shared" si="57"/>
        <v>0</v>
      </c>
      <c r="BI106" s="124">
        <f t="shared" si="66"/>
        <v>0</v>
      </c>
      <c r="BJ106" s="144">
        <f t="shared" si="58"/>
        <v>0</v>
      </c>
      <c r="BL106" s="99">
        <v>16</v>
      </c>
    </row>
    <row r="107" spans="1:64" ht="12.75" x14ac:dyDescent="0.2">
      <c r="A107" s="8">
        <f t="shared" si="22"/>
        <v>38</v>
      </c>
      <c r="B107" s="125">
        <f t="shared" si="23"/>
        <v>11.1</v>
      </c>
      <c r="C107" s="125">
        <f t="shared" si="24"/>
        <v>18.7</v>
      </c>
      <c r="D107" s="125">
        <f t="shared" si="59"/>
        <v>14.899999999999999</v>
      </c>
      <c r="E107" s="125">
        <f t="shared" si="25"/>
        <v>7.6</v>
      </c>
      <c r="F107" s="7">
        <v>11.005769230769234</v>
      </c>
      <c r="G107" s="7">
        <v>18.282307692307679</v>
      </c>
      <c r="H107" s="7">
        <f t="shared" si="60"/>
        <v>14.644038461538457</v>
      </c>
      <c r="I107" s="7">
        <f t="shared" si="61"/>
        <v>7.2765384615384452</v>
      </c>
      <c r="K107" s="7">
        <f t="shared" si="26"/>
        <v>8.3000000000000007</v>
      </c>
      <c r="L107" s="7">
        <f t="shared" si="27"/>
        <v>14.25</v>
      </c>
      <c r="M107" s="370">
        <f t="shared" si="28"/>
        <v>6.1647058823529406</v>
      </c>
      <c r="N107" s="1">
        <f t="shared" si="29"/>
        <v>0.46666666666666662</v>
      </c>
      <c r="O107" s="7">
        <f t="shared" si="30"/>
        <v>74.235294117647058</v>
      </c>
      <c r="P107" s="7">
        <f t="shared" si="31"/>
        <v>12.705882352941174</v>
      </c>
      <c r="Q107" s="7">
        <f t="shared" si="32"/>
        <v>20.235294117647058</v>
      </c>
      <c r="R107" s="7">
        <f t="shared" si="33"/>
        <v>16.347058823529409</v>
      </c>
      <c r="S107" s="7">
        <f t="shared" si="34"/>
        <v>7.5294117647058814</v>
      </c>
      <c r="T107" s="1">
        <v>48</v>
      </c>
      <c r="U107" s="333">
        <f t="shared" si="35"/>
        <v>2.2000000000000002</v>
      </c>
      <c r="V107" s="4">
        <v>17</v>
      </c>
      <c r="W107" s="7">
        <f t="shared" si="36"/>
        <v>4.641</v>
      </c>
      <c r="X107" s="7">
        <f t="shared" si="37"/>
        <v>13.104000000000001</v>
      </c>
      <c r="Y107" s="8">
        <f t="shared" si="38"/>
        <v>5</v>
      </c>
      <c r="Z107" s="7">
        <f>IF(ISBLANK(Z20),NA(),SUM($Z$4:Z20))</f>
        <v>36.29999999999999</v>
      </c>
      <c r="AA107" s="7">
        <f t="shared" si="62"/>
        <v>37.400000000000006</v>
      </c>
      <c r="AB107" s="26">
        <f>IF(ISBLANK(Z20),"",SUM($Z$4:Z20))</f>
        <v>36.29999999999999</v>
      </c>
      <c r="AC107" s="115">
        <f t="shared" si="63"/>
        <v>0.9705882352941172</v>
      </c>
      <c r="AD107" s="8">
        <f t="shared" si="39"/>
        <v>1010.2352941176471</v>
      </c>
      <c r="AE107" s="610">
        <f t="shared" si="40"/>
        <v>1.0064575818300727</v>
      </c>
      <c r="AF107" s="524" t="e">
        <f t="shared" si="41"/>
        <v>#N/A</v>
      </c>
      <c r="AG107" s="22">
        <f>IF(ISBLANK(AP20),NA(),SUM($AP$4:AP20))</f>
        <v>81.5</v>
      </c>
      <c r="AH107" s="8">
        <f>SUM($AS$91:AS107)</f>
        <v>80.977083854647944</v>
      </c>
      <c r="AI107" s="115">
        <f t="shared" si="42"/>
        <v>1.0064575818300727</v>
      </c>
      <c r="AJ107" s="124">
        <f t="shared" si="43"/>
        <v>1</v>
      </c>
      <c r="AK107" s="8">
        <f t="shared" si="44"/>
        <v>1006.5</v>
      </c>
      <c r="AL107" s="124">
        <f t="shared" si="45"/>
        <v>1</v>
      </c>
      <c r="AM107" s="524">
        <f t="shared" si="46"/>
        <v>0.57708333333333328</v>
      </c>
      <c r="AN107" s="7">
        <f>C85-G39</f>
        <v>-2.3999999999999986</v>
      </c>
      <c r="AO107" s="524">
        <f t="shared" si="47"/>
        <v>0.53194444444444444</v>
      </c>
      <c r="AP107" s="449" t="s">
        <v>213</v>
      </c>
      <c r="AQ107" s="448">
        <v>1.0999999999999999E-2</v>
      </c>
      <c r="AR107" s="524">
        <f t="shared" si="48"/>
        <v>0.25347222222222221</v>
      </c>
      <c r="AS107" s="7">
        <f t="shared" si="49"/>
        <v>4.5628414340855024</v>
      </c>
      <c r="AT107" s="7">
        <v>11.305935184614306</v>
      </c>
      <c r="AU107" s="4">
        <v>17</v>
      </c>
      <c r="AV107" s="127">
        <f t="shared" si="50"/>
        <v>1</v>
      </c>
      <c r="AW107" s="124">
        <f t="shared" si="64"/>
        <v>0</v>
      </c>
      <c r="AX107" s="124">
        <f t="shared" si="65"/>
        <v>0</v>
      </c>
      <c r="AY107" s="124">
        <f t="shared" si="51"/>
        <v>0</v>
      </c>
      <c r="AZ107" s="125">
        <f t="shared" si="52"/>
        <v>3.9</v>
      </c>
      <c r="BA107" s="125">
        <f t="shared" si="53"/>
        <v>12.366666666666665</v>
      </c>
      <c r="BB107" s="125">
        <f t="shared" si="54"/>
        <v>17.43333333333333</v>
      </c>
      <c r="BC107" s="7">
        <v>12.218525641025643</v>
      </c>
      <c r="BD107" s="7">
        <v>17.069551282051272</v>
      </c>
      <c r="BE107" s="124"/>
      <c r="BF107" s="8">
        <f t="shared" si="55"/>
        <v>74</v>
      </c>
      <c r="BG107" s="21">
        <f t="shared" si="56"/>
        <v>14.6</v>
      </c>
      <c r="BH107" s="124">
        <f t="shared" si="57"/>
        <v>1</v>
      </c>
      <c r="BI107" s="124">
        <f t="shared" si="66"/>
        <v>1</v>
      </c>
      <c r="BJ107" s="144">
        <f t="shared" si="58"/>
        <v>0.46666666666666662</v>
      </c>
      <c r="BL107" s="99">
        <v>17</v>
      </c>
    </row>
    <row r="108" spans="1:64" ht="12.75" x14ac:dyDescent="0.2">
      <c r="A108" s="8">
        <f t="shared" si="22"/>
        <v>32</v>
      </c>
      <c r="B108" s="125">
        <f t="shared" si="23"/>
        <v>11.1</v>
      </c>
      <c r="C108" s="125">
        <f t="shared" si="24"/>
        <v>18.7</v>
      </c>
      <c r="D108" s="125">
        <f t="shared" si="59"/>
        <v>14.899999999999999</v>
      </c>
      <c r="E108" s="125">
        <f t="shared" si="25"/>
        <v>7.6</v>
      </c>
      <c r="F108" s="7">
        <v>10.93</v>
      </c>
      <c r="G108" s="7">
        <v>18.09</v>
      </c>
      <c r="H108" s="7">
        <f t="shared" si="60"/>
        <v>14.51</v>
      </c>
      <c r="I108" s="7">
        <f t="shared" si="61"/>
        <v>7.16</v>
      </c>
      <c r="K108" s="7">
        <f t="shared" si="26"/>
        <v>8.3000000000000007</v>
      </c>
      <c r="L108" s="7">
        <f t="shared" si="27"/>
        <v>12.15</v>
      </c>
      <c r="M108" s="370">
        <f t="shared" si="28"/>
        <v>6.0166666666666666</v>
      </c>
      <c r="N108" s="1">
        <f t="shared" si="29"/>
        <v>3.3333333333333333E-2</v>
      </c>
      <c r="O108" s="7">
        <f t="shared" si="30"/>
        <v>74.666666666666671</v>
      </c>
      <c r="P108" s="7">
        <f t="shared" si="31"/>
        <v>12.444444444444441</v>
      </c>
      <c r="Q108" s="7">
        <f t="shared" si="32"/>
        <v>20.016666666666666</v>
      </c>
      <c r="R108" s="7">
        <f t="shared" si="33"/>
        <v>16.094444444444445</v>
      </c>
      <c r="S108" s="7">
        <f t="shared" si="34"/>
        <v>7.5722222222222211</v>
      </c>
      <c r="T108" s="1">
        <v>49</v>
      </c>
      <c r="U108" s="333">
        <f t="shared" si="35"/>
        <v>2.2000000000000002</v>
      </c>
      <c r="V108" s="4">
        <v>18</v>
      </c>
      <c r="W108" s="7">
        <f t="shared" si="36"/>
        <v>4.9140000000000006</v>
      </c>
      <c r="X108" s="7">
        <f t="shared" si="37"/>
        <v>13.377000000000001</v>
      </c>
      <c r="Y108" s="8">
        <f t="shared" si="38"/>
        <v>5</v>
      </c>
      <c r="Z108" s="7">
        <f>IF(ISBLANK(Z21),NA(),SUM($Z$4:Z21))</f>
        <v>36.399999999999991</v>
      </c>
      <c r="AA108" s="7">
        <f t="shared" si="62"/>
        <v>39.6</v>
      </c>
      <c r="AB108" s="26">
        <f>IF(ISBLANK(Z21),"",SUM($Z$4:Z21))</f>
        <v>36.399999999999991</v>
      </c>
      <c r="AC108" s="115">
        <f t="shared" si="63"/>
        <v>0.91919191919191889</v>
      </c>
      <c r="AD108" s="8">
        <f t="shared" si="39"/>
        <v>1009.9722222222222</v>
      </c>
      <c r="AE108" s="610">
        <f t="shared" si="40"/>
        <v>0.99982788412888335</v>
      </c>
      <c r="AF108" s="524">
        <f t="shared" si="41"/>
        <v>0.34097222222222223</v>
      </c>
      <c r="AG108" s="22">
        <f>IF(ISBLANK(AP21),NA(),SUM($AP$4:AP21))</f>
        <v>85.5</v>
      </c>
      <c r="AH108" s="8">
        <f>SUM($AS$91:AS108)</f>
        <v>85.514718440257639</v>
      </c>
      <c r="AI108" s="115">
        <f t="shared" si="42"/>
        <v>0.99982788412888335</v>
      </c>
      <c r="AJ108" s="124">
        <f t="shared" si="43"/>
        <v>0</v>
      </c>
      <c r="AK108" s="8">
        <f t="shared" si="44"/>
        <v>1005.5</v>
      </c>
      <c r="AL108" s="124">
        <f t="shared" si="45"/>
        <v>0</v>
      </c>
      <c r="AM108" s="524">
        <f t="shared" si="46"/>
        <v>0.61736111111111114</v>
      </c>
      <c r="AN108" s="124">
        <f t="array" ref="AN108">SUM(IF(Z4:Z34&gt;10,1,0))</f>
        <v>1</v>
      </c>
      <c r="AO108" s="524">
        <f t="shared" si="47"/>
        <v>0.61111111111111105</v>
      </c>
      <c r="AP108" s="303"/>
      <c r="AQ108" s="303"/>
      <c r="AR108" s="524">
        <f t="shared" si="48"/>
        <v>0.28819444444444448</v>
      </c>
      <c r="AS108" s="7">
        <f t="shared" si="49"/>
        <v>4.5376345856096982</v>
      </c>
      <c r="AT108" s="7">
        <v>11.243476955637309</v>
      </c>
      <c r="AU108" s="4">
        <v>18</v>
      </c>
      <c r="AV108" s="127">
        <f t="shared" si="50"/>
        <v>1</v>
      </c>
      <c r="AW108" s="124">
        <f t="shared" si="64"/>
        <v>0</v>
      </c>
      <c r="AX108" s="124">
        <f t="shared" si="65"/>
        <v>0</v>
      </c>
      <c r="AY108" s="124">
        <f t="shared" si="51"/>
        <v>0</v>
      </c>
      <c r="AZ108" s="125">
        <f t="shared" si="52"/>
        <v>3.9</v>
      </c>
      <c r="BA108" s="125">
        <f t="shared" si="53"/>
        <v>12.366666666666665</v>
      </c>
      <c r="BB108" s="125">
        <f t="shared" si="54"/>
        <v>17.43333333333333</v>
      </c>
      <c r="BC108" s="7">
        <v>12.123333333333333</v>
      </c>
      <c r="BD108" s="7">
        <v>16.896666666666668</v>
      </c>
      <c r="BE108" s="124"/>
      <c r="BF108" s="8">
        <f t="shared" si="55"/>
        <v>82</v>
      </c>
      <c r="BG108" s="21">
        <f t="shared" si="56"/>
        <v>11.8</v>
      </c>
      <c r="BH108" s="124">
        <f t="shared" si="57"/>
        <v>1</v>
      </c>
      <c r="BI108" s="124">
        <f t="shared" si="66"/>
        <v>0</v>
      </c>
      <c r="BJ108" s="144">
        <f t="shared" si="58"/>
        <v>3.3333333333333333E-2</v>
      </c>
      <c r="BL108" s="99">
        <v>18</v>
      </c>
    </row>
    <row r="109" spans="1:64" ht="12.75" x14ac:dyDescent="0.2">
      <c r="A109" s="8">
        <f t="shared" si="22"/>
        <v>35</v>
      </c>
      <c r="B109" s="125">
        <f t="shared" si="23"/>
        <v>11.1</v>
      </c>
      <c r="C109" s="125">
        <f t="shared" si="24"/>
        <v>18.7</v>
      </c>
      <c r="D109" s="125">
        <f t="shared" si="59"/>
        <v>14.899999999999999</v>
      </c>
      <c r="E109" s="125">
        <f t="shared" si="25"/>
        <v>7.6</v>
      </c>
      <c r="F109" s="7">
        <v>10.859</v>
      </c>
      <c r="G109" s="7">
        <v>17.970333333333333</v>
      </c>
      <c r="H109" s="7">
        <f t="shared" si="60"/>
        <v>14.414666666666665</v>
      </c>
      <c r="I109" s="7">
        <f t="shared" si="61"/>
        <v>7.1113333333333326</v>
      </c>
      <c r="K109" s="7">
        <f t="shared" si="26"/>
        <v>8.9</v>
      </c>
      <c r="L109" s="7">
        <f t="shared" si="27"/>
        <v>14.05</v>
      </c>
      <c r="M109" s="370">
        <f t="shared" si="28"/>
        <v>5.9789473684210526</v>
      </c>
      <c r="N109" s="1">
        <f t="shared" si="29"/>
        <v>0</v>
      </c>
      <c r="O109" s="7">
        <f t="shared" si="30"/>
        <v>74.736842105263165</v>
      </c>
      <c r="P109" s="7">
        <f t="shared" si="31"/>
        <v>12.294736842105261</v>
      </c>
      <c r="Q109" s="7">
        <f t="shared" si="32"/>
        <v>19.936842105263157</v>
      </c>
      <c r="R109" s="7">
        <f t="shared" si="33"/>
        <v>15.994736842105262</v>
      </c>
      <c r="S109" s="7">
        <f t="shared" si="34"/>
        <v>7.6421052631578945</v>
      </c>
      <c r="T109" s="1">
        <v>50</v>
      </c>
      <c r="U109" s="333">
        <f t="shared" si="35"/>
        <v>2.2000000000000002</v>
      </c>
      <c r="V109" s="4">
        <v>19</v>
      </c>
      <c r="W109" s="7">
        <f t="shared" si="36"/>
        <v>5.1870000000000003</v>
      </c>
      <c r="X109" s="7">
        <f t="shared" si="37"/>
        <v>13.65</v>
      </c>
      <c r="Y109" s="8">
        <f t="shared" si="38"/>
        <v>9</v>
      </c>
      <c r="Z109" s="7">
        <f>IF(ISBLANK(Z22),NA(),SUM($Z$4:Z22))</f>
        <v>36.399999999999991</v>
      </c>
      <c r="AA109" s="7">
        <f t="shared" si="62"/>
        <v>41.800000000000004</v>
      </c>
      <c r="AB109" s="26">
        <f>IF(ISBLANK(Z22),"",SUM($Z$4:Z22))</f>
        <v>36.399999999999991</v>
      </c>
      <c r="AC109" s="115">
        <f t="shared" si="63"/>
        <v>0.87081339712918626</v>
      </c>
      <c r="AD109" s="8">
        <f t="shared" si="39"/>
        <v>1010.1052631578947</v>
      </c>
      <c r="AE109" s="610">
        <f t="shared" si="40"/>
        <v>1.0163602069799123</v>
      </c>
      <c r="AF109" s="524">
        <f t="shared" si="41"/>
        <v>0.3444444444444445</v>
      </c>
      <c r="AG109" s="22">
        <f>IF(ISBLANK(AP22),NA(),SUM($AP$4:AP22))</f>
        <v>91.5</v>
      </c>
      <c r="AH109" s="8">
        <f>SUM($AS$91:AS109)</f>
        <v>90.027137398353929</v>
      </c>
      <c r="AI109" s="115">
        <f t="shared" si="42"/>
        <v>1.0163602069799123</v>
      </c>
      <c r="AJ109" s="124">
        <f t="shared" si="43"/>
        <v>0</v>
      </c>
      <c r="AK109" s="8">
        <f t="shared" si="44"/>
        <v>1012.5</v>
      </c>
      <c r="AL109" s="124">
        <f t="shared" si="45"/>
        <v>0</v>
      </c>
      <c r="AM109" s="524">
        <f t="shared" si="46"/>
        <v>0.625</v>
      </c>
      <c r="AO109" s="524">
        <f t="shared" si="47"/>
        <v>0.62222222222222223</v>
      </c>
      <c r="AP109" s="423" t="s">
        <v>129</v>
      </c>
      <c r="AQ109" s="453">
        <f>MAX(AQ92:AQ107)</f>
        <v>0.216</v>
      </c>
      <c r="AR109" s="524">
        <f t="shared" si="48"/>
        <v>0.29652777777777778</v>
      </c>
      <c r="AS109" s="7">
        <f t="shared" si="49"/>
        <v>4.5124189580962843</v>
      </c>
      <c r="AT109" s="7">
        <v>11.180996973717191</v>
      </c>
      <c r="AU109" s="4">
        <v>19</v>
      </c>
      <c r="AV109" s="127">
        <f t="shared" si="50"/>
        <v>1</v>
      </c>
      <c r="AW109" s="124">
        <f t="shared" si="64"/>
        <v>0</v>
      </c>
      <c r="AX109" s="124">
        <f t="shared" si="65"/>
        <v>0</v>
      </c>
      <c r="AY109" s="124">
        <f t="shared" si="51"/>
        <v>0</v>
      </c>
      <c r="AZ109" s="125">
        <f t="shared" si="52"/>
        <v>3.9</v>
      </c>
      <c r="BA109" s="125">
        <f t="shared" si="53"/>
        <v>12.366666666666665</v>
      </c>
      <c r="BB109" s="125">
        <f t="shared" si="54"/>
        <v>17.43333333333333</v>
      </c>
      <c r="BC109" s="7">
        <v>12.044222222222221</v>
      </c>
      <c r="BD109" s="7">
        <v>16.78511111111111</v>
      </c>
      <c r="BE109" s="124"/>
      <c r="BF109" s="8">
        <f t="shared" si="55"/>
        <v>76</v>
      </c>
      <c r="BG109" s="21">
        <f t="shared" si="56"/>
        <v>14.2</v>
      </c>
      <c r="BH109" s="124">
        <f t="shared" si="57"/>
        <v>0</v>
      </c>
      <c r="BI109" s="124">
        <f t="shared" si="66"/>
        <v>0</v>
      </c>
      <c r="BJ109" s="144">
        <f t="shared" si="58"/>
        <v>0</v>
      </c>
      <c r="BL109" s="99">
        <v>19</v>
      </c>
    </row>
    <row r="110" spans="1:64" ht="12.75" x14ac:dyDescent="0.2">
      <c r="A110" s="8">
        <f t="shared" si="22"/>
        <v>16</v>
      </c>
      <c r="B110" s="125">
        <f t="shared" si="23"/>
        <v>11.1</v>
      </c>
      <c r="C110" s="125">
        <f t="shared" si="24"/>
        <v>18.7</v>
      </c>
      <c r="D110" s="125">
        <f t="shared" si="59"/>
        <v>14.899999999999999</v>
      </c>
      <c r="E110" s="125">
        <f t="shared" si="25"/>
        <v>7.6</v>
      </c>
      <c r="F110" s="7">
        <v>10.788</v>
      </c>
      <c r="G110" s="7">
        <v>17.850666666666665</v>
      </c>
      <c r="H110" s="7">
        <f t="shared" si="60"/>
        <v>14.319333333333333</v>
      </c>
      <c r="I110" s="7">
        <f t="shared" si="61"/>
        <v>7.0626666666666651</v>
      </c>
      <c r="K110" s="7">
        <f t="shared" si="26"/>
        <v>3.8</v>
      </c>
      <c r="L110" s="7">
        <f t="shared" si="27"/>
        <v>16.700000000000003</v>
      </c>
      <c r="M110" s="370">
        <f t="shared" si="28"/>
        <v>6.05</v>
      </c>
      <c r="N110" s="1">
        <f t="shared" si="29"/>
        <v>0.53333333333333333</v>
      </c>
      <c r="O110" s="7">
        <f t="shared" si="30"/>
        <v>74.95</v>
      </c>
      <c r="P110" s="7">
        <f t="shared" si="31"/>
        <v>12.419999999999998</v>
      </c>
      <c r="Q110" s="7">
        <f t="shared" si="32"/>
        <v>19.87</v>
      </c>
      <c r="R110" s="7">
        <f t="shared" si="33"/>
        <v>16.024999999999999</v>
      </c>
      <c r="S110" s="7">
        <f t="shared" si="34"/>
        <v>7.45</v>
      </c>
      <c r="T110" s="1">
        <v>51</v>
      </c>
      <c r="U110" s="333">
        <f t="shared" si="35"/>
        <v>2.2000000000000002</v>
      </c>
      <c r="V110" s="4">
        <v>20</v>
      </c>
      <c r="W110" s="7">
        <f t="shared" si="36"/>
        <v>5.4600000000000009</v>
      </c>
      <c r="X110" s="7">
        <f t="shared" si="37"/>
        <v>13.923000000000002</v>
      </c>
      <c r="Y110" s="8">
        <f t="shared" si="38"/>
        <v>2</v>
      </c>
      <c r="Z110" s="7">
        <f>IF(ISBLANK(Z23),NA(),SUM($Z$4:Z23))</f>
        <v>37.999999999999993</v>
      </c>
      <c r="AA110" s="7">
        <f t="shared" si="62"/>
        <v>44</v>
      </c>
      <c r="AB110" s="26">
        <f>IF(ISBLANK(Z23),"",SUM($Z$4:Z23))</f>
        <v>37.999999999999993</v>
      </c>
      <c r="AC110" s="115">
        <f t="shared" si="63"/>
        <v>0.86363636363636342</v>
      </c>
      <c r="AD110" s="8">
        <f t="shared" si="39"/>
        <v>1010.45</v>
      </c>
      <c r="AE110" s="610">
        <f t="shared" si="40"/>
        <v>0.97339731639220461</v>
      </c>
      <c r="AF110" s="524" t="e">
        <f t="shared" si="41"/>
        <v>#N/A</v>
      </c>
      <c r="AG110" s="22">
        <f>IF(ISBLANK(AP23),NA(),SUM($AP$4:AP23))</f>
        <v>92</v>
      </c>
      <c r="AH110" s="8">
        <f>SUM($AS$91:AS110)</f>
        <v>94.514334949050792</v>
      </c>
      <c r="AI110" s="115">
        <f t="shared" si="42"/>
        <v>0.97339731639220461</v>
      </c>
      <c r="AJ110" s="124">
        <f t="shared" si="43"/>
        <v>1</v>
      </c>
      <c r="AK110" s="8">
        <f t="shared" si="44"/>
        <v>1017</v>
      </c>
      <c r="AL110" s="124">
        <f t="shared" si="45"/>
        <v>1</v>
      </c>
      <c r="AM110" s="524">
        <f t="shared" si="46"/>
        <v>0.53194444444444444</v>
      </c>
      <c r="AO110" s="524">
        <f t="shared" si="47"/>
        <v>0.52430555555555558</v>
      </c>
      <c r="AR110" s="524">
        <f t="shared" si="48"/>
        <v>0.21875</v>
      </c>
      <c r="AS110" s="7">
        <f t="shared" si="49"/>
        <v>4.4871975506968589</v>
      </c>
      <c r="AT110" s="7">
        <v>11.118502670235042</v>
      </c>
      <c r="AU110" s="4">
        <v>20</v>
      </c>
      <c r="AV110" s="127">
        <f t="shared" si="50"/>
        <v>0</v>
      </c>
      <c r="AW110" s="124">
        <f t="shared" si="64"/>
        <v>0</v>
      </c>
      <c r="AX110" s="124">
        <f t="shared" si="65"/>
        <v>1</v>
      </c>
      <c r="AY110" s="124">
        <f t="shared" si="51"/>
        <v>1</v>
      </c>
      <c r="AZ110" s="125">
        <f t="shared" si="52"/>
        <v>3.9</v>
      </c>
      <c r="BA110" s="125">
        <f t="shared" si="53"/>
        <v>12.366666666666665</v>
      </c>
      <c r="BB110" s="125">
        <f t="shared" si="54"/>
        <v>17.43333333333333</v>
      </c>
      <c r="BC110" s="7">
        <v>11.965111111111112</v>
      </c>
      <c r="BD110" s="7">
        <v>16.673555555555556</v>
      </c>
      <c r="BE110" s="124"/>
      <c r="BF110" s="8">
        <f t="shared" si="55"/>
        <v>79</v>
      </c>
      <c r="BG110" s="21">
        <f t="shared" si="56"/>
        <v>16.600000000000001</v>
      </c>
      <c r="BH110" s="124">
        <f t="shared" si="57"/>
        <v>0</v>
      </c>
      <c r="BI110" s="124">
        <f t="shared" si="66"/>
        <v>1</v>
      </c>
      <c r="BJ110" s="144">
        <f t="shared" si="58"/>
        <v>0.53333333333333333</v>
      </c>
      <c r="BL110" s="99">
        <v>20</v>
      </c>
    </row>
    <row r="111" spans="1:64" ht="12.75" x14ac:dyDescent="0.2">
      <c r="A111" s="8">
        <f t="shared" si="22"/>
        <v>43</v>
      </c>
      <c r="B111" s="125">
        <f t="shared" si="23"/>
        <v>11.1</v>
      </c>
      <c r="C111" s="125">
        <f t="shared" si="24"/>
        <v>18.7</v>
      </c>
      <c r="D111" s="125">
        <f t="shared" si="59"/>
        <v>14.899999999999999</v>
      </c>
      <c r="E111" s="125">
        <f t="shared" si="25"/>
        <v>7.6</v>
      </c>
      <c r="F111" s="7">
        <v>10.717000000000001</v>
      </c>
      <c r="G111" s="7">
        <v>17.730999999999998</v>
      </c>
      <c r="H111" s="7">
        <f t="shared" si="60"/>
        <v>14.224</v>
      </c>
      <c r="I111" s="7">
        <f t="shared" si="61"/>
        <v>7.0139999999999976</v>
      </c>
      <c r="K111" s="7">
        <f t="shared" si="26"/>
        <v>3.9</v>
      </c>
      <c r="L111" s="7">
        <f t="shared" si="27"/>
        <v>15.350000000000001</v>
      </c>
      <c r="M111" s="370">
        <f t="shared" si="28"/>
        <v>5.961904761904762</v>
      </c>
      <c r="N111" s="1">
        <f t="shared" si="29"/>
        <v>0.26666666666666666</v>
      </c>
      <c r="O111" s="7">
        <f t="shared" si="30"/>
        <v>75.142857142857139</v>
      </c>
      <c r="P111" s="7">
        <f t="shared" si="31"/>
        <v>12.466666666666665</v>
      </c>
      <c r="Q111" s="7">
        <f t="shared" si="32"/>
        <v>19.74761904761905</v>
      </c>
      <c r="R111" s="7">
        <f t="shared" si="33"/>
        <v>15.97142857142857</v>
      </c>
      <c r="S111" s="7">
        <f t="shared" si="34"/>
        <v>7.2809523809523808</v>
      </c>
      <c r="T111" s="1">
        <v>52</v>
      </c>
      <c r="U111" s="333">
        <f t="shared" si="35"/>
        <v>2.2000000000000002</v>
      </c>
      <c r="V111" s="4">
        <v>21</v>
      </c>
      <c r="W111" s="7">
        <f t="shared" si="36"/>
        <v>5.7330000000000005</v>
      </c>
      <c r="X111" s="7">
        <f t="shared" si="37"/>
        <v>14.196000000000002</v>
      </c>
      <c r="Y111" s="8">
        <f t="shared" si="38"/>
        <v>2</v>
      </c>
      <c r="Z111" s="7">
        <f>IF(ISBLANK(Z24),NA(),SUM($Z$4:Z24))</f>
        <v>38.79999999999999</v>
      </c>
      <c r="AA111" s="7">
        <f t="shared" si="62"/>
        <v>46.2</v>
      </c>
      <c r="AB111" s="26">
        <f>IF(ISBLANK(Z24),"",SUM($Z$4:Z24))</f>
        <v>38.79999999999999</v>
      </c>
      <c r="AC111" s="115">
        <f t="shared" si="63"/>
        <v>0.83982683982683959</v>
      </c>
      <c r="AD111" s="8">
        <f t="shared" si="39"/>
        <v>1010.7619047619048</v>
      </c>
      <c r="AE111" s="610">
        <f t="shared" si="40"/>
        <v>0.96487736956051107</v>
      </c>
      <c r="AF111" s="524">
        <f t="shared" si="41"/>
        <v>0.35347222222222219</v>
      </c>
      <c r="AG111" s="22">
        <f>IF(ISBLANK(AP24),NA(),SUM($AP$4:AP24))</f>
        <v>95.5</v>
      </c>
      <c r="AH111" s="8">
        <f>SUM($AS$91:AS111)</f>
        <v>98.976308298637989</v>
      </c>
      <c r="AI111" s="115">
        <f t="shared" si="42"/>
        <v>0.96487736956051107</v>
      </c>
      <c r="AJ111" s="124">
        <f t="shared" si="43"/>
        <v>1</v>
      </c>
      <c r="AK111" s="8">
        <f t="shared" si="44"/>
        <v>1017</v>
      </c>
      <c r="AL111" s="124">
        <f t="shared" si="45"/>
        <v>0</v>
      </c>
      <c r="AM111" s="524">
        <f t="shared" si="46"/>
        <v>0.74444444444444446</v>
      </c>
      <c r="AO111" s="524">
        <f t="shared" si="47"/>
        <v>0.64583333333333337</v>
      </c>
      <c r="AQ111" s="377">
        <f>SUM(AQ92:AQ107)</f>
        <v>1.0009999999999999</v>
      </c>
      <c r="AR111" s="524">
        <f t="shared" si="48"/>
        <v>0.28749999999999998</v>
      </c>
      <c r="AS111" s="7">
        <f t="shared" si="49"/>
        <v>4.4619733495871952</v>
      </c>
      <c r="AT111" s="7">
        <v>11.056001444420104</v>
      </c>
      <c r="AU111" s="4">
        <v>21</v>
      </c>
      <c r="AV111" s="127">
        <f t="shared" si="50"/>
        <v>1</v>
      </c>
      <c r="AW111" s="124">
        <f t="shared" si="64"/>
        <v>0</v>
      </c>
      <c r="AX111" s="124">
        <f t="shared" si="65"/>
        <v>0</v>
      </c>
      <c r="AY111" s="124">
        <f t="shared" si="51"/>
        <v>1</v>
      </c>
      <c r="AZ111" s="125">
        <f t="shared" si="52"/>
        <v>3.9</v>
      </c>
      <c r="BA111" s="125">
        <f t="shared" si="53"/>
        <v>12.366666666666665</v>
      </c>
      <c r="BB111" s="125">
        <f t="shared" si="54"/>
        <v>17.43333333333333</v>
      </c>
      <c r="BC111" s="7">
        <v>11.886000000000001</v>
      </c>
      <c r="BD111" s="7">
        <v>16.561999999999998</v>
      </c>
      <c r="BE111" s="124"/>
      <c r="BF111" s="8">
        <f t="shared" si="55"/>
        <v>79</v>
      </c>
      <c r="BG111" s="21">
        <f t="shared" si="56"/>
        <v>14.9</v>
      </c>
      <c r="BH111" s="124">
        <f t="shared" si="57"/>
        <v>0</v>
      </c>
      <c r="BI111" s="124">
        <f t="shared" si="66"/>
        <v>1</v>
      </c>
      <c r="BJ111" s="144">
        <f t="shared" si="58"/>
        <v>0.26666666666666666</v>
      </c>
      <c r="BL111" s="99">
        <v>21</v>
      </c>
    </row>
    <row r="112" spans="1:64" ht="12.75" x14ac:dyDescent="0.2">
      <c r="A112" s="8">
        <f t="shared" si="22"/>
        <v>39</v>
      </c>
      <c r="B112" s="125">
        <f t="shared" si="23"/>
        <v>11.1</v>
      </c>
      <c r="C112" s="125">
        <f t="shared" si="24"/>
        <v>18.7</v>
      </c>
      <c r="D112" s="125">
        <f t="shared" si="59"/>
        <v>14.899999999999999</v>
      </c>
      <c r="E112" s="125">
        <f t="shared" si="25"/>
        <v>7.6</v>
      </c>
      <c r="F112" s="7">
        <v>10.646000000000001</v>
      </c>
      <c r="G112" s="7">
        <v>17.611333333333331</v>
      </c>
      <c r="H112" s="7">
        <f t="shared" si="60"/>
        <v>14.128666666666666</v>
      </c>
      <c r="I112" s="7">
        <f t="shared" si="61"/>
        <v>6.96533333333333</v>
      </c>
      <c r="K112" s="7">
        <f t="shared" si="26"/>
        <v>6.1</v>
      </c>
      <c r="L112" s="7">
        <f t="shared" si="27"/>
        <v>15.55</v>
      </c>
      <c r="M112" s="370">
        <f t="shared" si="28"/>
        <v>5.9045454545454552</v>
      </c>
      <c r="N112" s="1">
        <f t="shared" si="29"/>
        <v>0</v>
      </c>
      <c r="O112" s="7">
        <f t="shared" si="30"/>
        <v>74.86363636363636</v>
      </c>
      <c r="P112" s="7">
        <f t="shared" si="31"/>
        <v>12.468181818181817</v>
      </c>
      <c r="Q112" s="7">
        <f t="shared" si="32"/>
        <v>19.695454545454549</v>
      </c>
      <c r="R112" s="7">
        <f t="shared" si="33"/>
        <v>15.94090909090909</v>
      </c>
      <c r="S112" s="7">
        <f t="shared" si="34"/>
        <v>7.2272727272727275</v>
      </c>
      <c r="T112" s="1">
        <v>53</v>
      </c>
      <c r="U112" s="333">
        <f t="shared" si="35"/>
        <v>2.2000000000000002</v>
      </c>
      <c r="V112" s="4">
        <v>22</v>
      </c>
      <c r="W112" s="7">
        <f t="shared" si="36"/>
        <v>6.0060000000000002</v>
      </c>
      <c r="X112" s="7">
        <f t="shared" si="37"/>
        <v>14.469000000000001</v>
      </c>
      <c r="Y112" s="8">
        <f t="shared" si="38"/>
        <v>3</v>
      </c>
      <c r="Z112" s="7">
        <f>IF(ISBLANK(Z25),NA(),SUM($Z$4:Z25))</f>
        <v>38.79999999999999</v>
      </c>
      <c r="AA112" s="7">
        <f t="shared" si="62"/>
        <v>48.400000000000006</v>
      </c>
      <c r="AB112" s="26">
        <f>IF(ISBLANK(Z25),"",SUM($Z$4:Z25))</f>
        <v>38.79999999999999</v>
      </c>
      <c r="AC112" s="115">
        <f t="shared" si="63"/>
        <v>0.80165289256198313</v>
      </c>
      <c r="AD112" s="8">
        <f t="shared" si="39"/>
        <v>1011.1590909090909</v>
      </c>
      <c r="AE112" s="610">
        <f t="shared" si="40"/>
        <v>0.96699587352494332</v>
      </c>
      <c r="AF112" s="524">
        <f t="shared" si="41"/>
        <v>0.34930555555555554</v>
      </c>
      <c r="AG112" s="22">
        <f>IF(ISBLANK(AP25),NA(),SUM($AP$4:AP25))</f>
        <v>100</v>
      </c>
      <c r="AH112" s="8">
        <f>SUM($AS$91:AS112)</f>
        <v>103.41305763330182</v>
      </c>
      <c r="AI112" s="115">
        <f t="shared" si="42"/>
        <v>0.96699587352494332</v>
      </c>
      <c r="AJ112" s="124">
        <f t="shared" si="43"/>
        <v>0</v>
      </c>
      <c r="AK112" s="8">
        <f t="shared" si="44"/>
        <v>1019.5</v>
      </c>
      <c r="AL112" s="124">
        <f t="shared" si="45"/>
        <v>0</v>
      </c>
      <c r="AM112" s="524">
        <f t="shared" si="46"/>
        <v>0.62569444444444444</v>
      </c>
      <c r="AO112" s="524">
        <f t="shared" si="47"/>
        <v>0.62847222222222221</v>
      </c>
      <c r="AR112" s="524">
        <f t="shared" si="48"/>
        <v>0.31805555555555554</v>
      </c>
      <c r="AS112" s="7">
        <f t="shared" si="49"/>
        <v>4.4367493346638289</v>
      </c>
      <c r="AT112" s="7">
        <v>10.993500679942745</v>
      </c>
      <c r="AU112" s="4">
        <v>22</v>
      </c>
      <c r="AV112" s="127">
        <f t="shared" si="50"/>
        <v>1</v>
      </c>
      <c r="AW112" s="124">
        <f t="shared" si="64"/>
        <v>0</v>
      </c>
      <c r="AX112" s="124">
        <f t="shared" si="65"/>
        <v>0</v>
      </c>
      <c r="AY112" s="124">
        <f t="shared" si="51"/>
        <v>1</v>
      </c>
      <c r="AZ112" s="125">
        <f t="shared" si="52"/>
        <v>3.9</v>
      </c>
      <c r="BA112" s="125">
        <f t="shared" si="53"/>
        <v>12.366666666666665</v>
      </c>
      <c r="BB112" s="125">
        <f t="shared" si="54"/>
        <v>17.43333333333333</v>
      </c>
      <c r="BC112" s="7">
        <v>11.806888888888889</v>
      </c>
      <c r="BD112" s="7">
        <v>16.450444444444443</v>
      </c>
      <c r="BE112" s="124"/>
      <c r="BF112" s="8">
        <f t="shared" si="55"/>
        <v>69</v>
      </c>
      <c r="BG112" s="21">
        <f t="shared" si="56"/>
        <v>15.3</v>
      </c>
      <c r="BH112" s="124">
        <f t="shared" si="57"/>
        <v>0</v>
      </c>
      <c r="BI112" s="124">
        <f t="shared" si="66"/>
        <v>0</v>
      </c>
      <c r="BJ112" s="144">
        <f t="shared" si="58"/>
        <v>0</v>
      </c>
      <c r="BL112" s="99">
        <v>22</v>
      </c>
    </row>
    <row r="113" spans="1:64" ht="12.75" x14ac:dyDescent="0.2">
      <c r="A113" s="8">
        <f t="shared" si="22"/>
        <v>35</v>
      </c>
      <c r="B113" s="125">
        <f t="shared" si="23"/>
        <v>11.1</v>
      </c>
      <c r="C113" s="125">
        <f t="shared" si="24"/>
        <v>18.7</v>
      </c>
      <c r="D113" s="125">
        <f t="shared" si="59"/>
        <v>14.899999999999999</v>
      </c>
      <c r="E113" s="125">
        <f t="shared" si="25"/>
        <v>7.6</v>
      </c>
      <c r="F113" s="7">
        <v>10.574999999999999</v>
      </c>
      <c r="G113" s="7">
        <v>17.491666666666664</v>
      </c>
      <c r="H113" s="7">
        <f t="shared" si="60"/>
        <v>14.033333333333331</v>
      </c>
      <c r="I113" s="7">
        <f t="shared" si="61"/>
        <v>6.9166666666666643</v>
      </c>
      <c r="K113" s="7">
        <f t="shared" si="26"/>
        <v>8.4</v>
      </c>
      <c r="L113" s="7">
        <f t="shared" si="27"/>
        <v>14.100000000000001</v>
      </c>
      <c r="M113" s="370">
        <f t="shared" si="28"/>
        <v>5.8434782608695652</v>
      </c>
      <c r="N113" s="1">
        <f t="shared" si="29"/>
        <v>0</v>
      </c>
      <c r="O113" s="7">
        <f t="shared" si="30"/>
        <v>74.782608695652172</v>
      </c>
      <c r="P113" s="7">
        <f t="shared" si="31"/>
        <v>12.356521739130432</v>
      </c>
      <c r="Q113" s="7">
        <f t="shared" si="32"/>
        <v>19.634782608695655</v>
      </c>
      <c r="R113" s="7">
        <f t="shared" si="33"/>
        <v>15.860869565217392</v>
      </c>
      <c r="S113" s="7">
        <f t="shared" si="34"/>
        <v>7.2782608695652176</v>
      </c>
      <c r="T113" s="1">
        <v>54</v>
      </c>
      <c r="U113" s="333">
        <f t="shared" si="35"/>
        <v>2.2000000000000002</v>
      </c>
      <c r="V113" s="4">
        <v>23</v>
      </c>
      <c r="W113" s="7">
        <f t="shared" si="36"/>
        <v>6.2790000000000008</v>
      </c>
      <c r="X113" s="7">
        <f t="shared" si="37"/>
        <v>14.742000000000001</v>
      </c>
      <c r="Y113" s="8">
        <f t="shared" si="38"/>
        <v>4</v>
      </c>
      <c r="Z113" s="7">
        <f>IF(ISBLANK(Z26),NA(),SUM($Z$4:Z26))</f>
        <v>38.79999999999999</v>
      </c>
      <c r="AA113" s="7">
        <f t="shared" si="62"/>
        <v>50.6</v>
      </c>
      <c r="AB113" s="26">
        <f>IF(ISBLANK(Z26),"",SUM($Z$4:Z26))</f>
        <v>38.79999999999999</v>
      </c>
      <c r="AC113" s="115">
        <f t="shared" si="63"/>
        <v>0.76679841897233181</v>
      </c>
      <c r="AD113" s="8">
        <f t="shared" si="39"/>
        <v>1011.4565217391304</v>
      </c>
      <c r="AE113" s="610">
        <f t="shared" si="40"/>
        <v>1.0109011675607369</v>
      </c>
      <c r="AF113" s="524">
        <f t="shared" si="41"/>
        <v>0.33263888888888887</v>
      </c>
      <c r="AG113" s="22">
        <f>IF(ISBLANK(AP26),NA(),SUM($AP$4:AP26))</f>
        <v>109</v>
      </c>
      <c r="AH113" s="8">
        <f>SUM($AS$91:AS113)</f>
        <v>107.82458611954374</v>
      </c>
      <c r="AI113" s="115">
        <f t="shared" si="42"/>
        <v>1.0109011675607369</v>
      </c>
      <c r="AJ113" s="124">
        <f t="shared" si="43"/>
        <v>0</v>
      </c>
      <c r="AK113" s="8">
        <f t="shared" si="44"/>
        <v>1018</v>
      </c>
      <c r="AL113" s="124">
        <f t="shared" si="45"/>
        <v>0</v>
      </c>
      <c r="AM113" s="524">
        <f t="shared" si="46"/>
        <v>0.6645833333333333</v>
      </c>
      <c r="AO113" s="524">
        <f t="shared" si="47"/>
        <v>0.63749999999999996</v>
      </c>
      <c r="AR113" s="524">
        <f t="shared" si="48"/>
        <v>0.25555555555555559</v>
      </c>
      <c r="AS113" s="7">
        <f t="shared" si="49"/>
        <v>4.4115284862419273</v>
      </c>
      <c r="AT113" s="7">
        <v>10.931007761510624</v>
      </c>
      <c r="AU113" s="4">
        <v>23</v>
      </c>
      <c r="AV113" s="127">
        <f t="shared" si="50"/>
        <v>1</v>
      </c>
      <c r="AW113" s="124">
        <f t="shared" si="64"/>
        <v>0</v>
      </c>
      <c r="AX113" s="124">
        <f t="shared" si="65"/>
        <v>0</v>
      </c>
      <c r="AY113" s="124">
        <f t="shared" si="51"/>
        <v>1</v>
      </c>
      <c r="AZ113" s="125">
        <f t="shared" si="52"/>
        <v>3.9</v>
      </c>
      <c r="BA113" s="125">
        <f t="shared" si="53"/>
        <v>12.366666666666665</v>
      </c>
      <c r="BB113" s="125">
        <f t="shared" si="54"/>
        <v>17.43333333333333</v>
      </c>
      <c r="BC113" s="7">
        <v>11.727777777777778</v>
      </c>
      <c r="BD113" s="7">
        <v>16.338888888888885</v>
      </c>
      <c r="BE113" s="124"/>
      <c r="BF113" s="8">
        <f t="shared" si="55"/>
        <v>73</v>
      </c>
      <c r="BG113" s="21">
        <f t="shared" si="56"/>
        <v>14.1</v>
      </c>
      <c r="BH113" s="124">
        <f t="shared" si="57"/>
        <v>0</v>
      </c>
      <c r="BI113" s="124">
        <f t="shared" si="66"/>
        <v>0</v>
      </c>
      <c r="BJ113" s="144">
        <f t="shared" si="58"/>
        <v>0</v>
      </c>
      <c r="BL113" s="99">
        <v>23</v>
      </c>
    </row>
    <row r="114" spans="1:64" ht="12.75" x14ac:dyDescent="0.2">
      <c r="A114" s="8">
        <f t="shared" si="22"/>
        <v>41</v>
      </c>
      <c r="B114" s="125">
        <f t="shared" si="23"/>
        <v>11.1</v>
      </c>
      <c r="C114" s="125">
        <f t="shared" si="24"/>
        <v>18.7</v>
      </c>
      <c r="D114" s="125">
        <f t="shared" si="59"/>
        <v>14.899999999999999</v>
      </c>
      <c r="E114" s="125">
        <f t="shared" si="25"/>
        <v>7.6</v>
      </c>
      <c r="F114" s="7">
        <v>10.504000000000001</v>
      </c>
      <c r="G114" s="7">
        <v>17.371999999999996</v>
      </c>
      <c r="H114" s="7">
        <f t="shared" si="60"/>
        <v>13.937999999999999</v>
      </c>
      <c r="I114" s="7">
        <f t="shared" si="61"/>
        <v>6.867999999999995</v>
      </c>
      <c r="K114" s="7">
        <f t="shared" si="26"/>
        <v>12.1</v>
      </c>
      <c r="L114" s="7">
        <f t="shared" si="27"/>
        <v>14.05</v>
      </c>
      <c r="M114" s="370">
        <f t="shared" si="28"/>
        <v>5.7041666666666666</v>
      </c>
      <c r="N114" s="1">
        <f t="shared" si="29"/>
        <v>0</v>
      </c>
      <c r="O114" s="7">
        <f t="shared" si="30"/>
        <v>74.833333333333329</v>
      </c>
      <c r="P114" s="7">
        <f t="shared" si="31"/>
        <v>12.174999999999997</v>
      </c>
      <c r="Q114" s="7">
        <f t="shared" si="32"/>
        <v>19.654166666666672</v>
      </c>
      <c r="R114" s="7">
        <f t="shared" si="33"/>
        <v>15.804166666666667</v>
      </c>
      <c r="S114" s="7">
        <f t="shared" si="34"/>
        <v>7.479166666666667</v>
      </c>
      <c r="T114" s="1">
        <v>55</v>
      </c>
      <c r="U114" s="333">
        <f t="shared" si="35"/>
        <v>2.2000000000000002</v>
      </c>
      <c r="V114" s="4">
        <v>24</v>
      </c>
      <c r="W114" s="7">
        <f t="shared" si="36"/>
        <v>6.5520000000000005</v>
      </c>
      <c r="X114" s="7">
        <f t="shared" si="37"/>
        <v>15.015000000000001</v>
      </c>
      <c r="Y114" s="8">
        <f t="shared" si="38"/>
        <v>2</v>
      </c>
      <c r="Z114" s="7">
        <f>IF(ISBLANK(Z27),NA(),SUM($Z$4:Z27))</f>
        <v>38.79999999999999</v>
      </c>
      <c r="AA114" s="7">
        <f t="shared" si="62"/>
        <v>52.800000000000004</v>
      </c>
      <c r="AB114" s="26">
        <f>IF(ISBLANK(Z27),"",SUM($Z$4:Z27))</f>
        <v>38.79999999999999</v>
      </c>
      <c r="AC114" s="115">
        <f t="shared" si="63"/>
        <v>0.73484848484848464</v>
      </c>
      <c r="AD114" s="8">
        <f t="shared" si="39"/>
        <v>1011.6041666666666</v>
      </c>
      <c r="AE114" s="610">
        <f t="shared" si="40"/>
        <v>1.0248558748829926</v>
      </c>
      <c r="AF114" s="524">
        <f t="shared" si="41"/>
        <v>0.38124999999999998</v>
      </c>
      <c r="AG114" s="22">
        <f>IF(ISBLANK(AP27),NA(),SUM($AP$4:AP27))</f>
        <v>115</v>
      </c>
      <c r="AH114" s="8">
        <f>SUM($AS$91:AS114)</f>
        <v>112.21089991129681</v>
      </c>
      <c r="AI114" s="115">
        <f t="shared" si="42"/>
        <v>1.0248558748829926</v>
      </c>
      <c r="AJ114" s="124">
        <f t="shared" si="43"/>
        <v>0</v>
      </c>
      <c r="AK114" s="8">
        <f t="shared" si="44"/>
        <v>1015</v>
      </c>
      <c r="AL114" s="124">
        <f t="shared" si="45"/>
        <v>0</v>
      </c>
      <c r="AM114" s="524">
        <f t="shared" si="46"/>
        <v>0.61597222222222225</v>
      </c>
      <c r="AO114" s="524">
        <f t="shared" si="47"/>
        <v>0.5854166666666667</v>
      </c>
      <c r="AR114" s="524">
        <f t="shared" si="48"/>
        <v>0.29166666666666669</v>
      </c>
      <c r="AS114" s="7">
        <f t="shared" si="49"/>
        <v>4.3863137917530644</v>
      </c>
      <c r="AT114" s="7">
        <v>10.86853009146464</v>
      </c>
      <c r="AU114" s="4">
        <v>24</v>
      </c>
      <c r="AV114" s="127">
        <f t="shared" si="50"/>
        <v>1</v>
      </c>
      <c r="AW114" s="124">
        <f t="shared" si="64"/>
        <v>0</v>
      </c>
      <c r="AX114" s="124">
        <f t="shared" si="65"/>
        <v>0</v>
      </c>
      <c r="AY114" s="124">
        <f t="shared" si="51"/>
        <v>1</v>
      </c>
      <c r="AZ114" s="125">
        <f t="shared" si="52"/>
        <v>3.9</v>
      </c>
      <c r="BA114" s="125">
        <f t="shared" si="53"/>
        <v>12.366666666666665</v>
      </c>
      <c r="BB114" s="125">
        <f t="shared" si="54"/>
        <v>17.43333333333333</v>
      </c>
      <c r="BC114" s="7">
        <v>11.648666666666667</v>
      </c>
      <c r="BD114" s="7">
        <v>16.227333333333331</v>
      </c>
      <c r="BE114" s="124"/>
      <c r="BF114" s="8">
        <f t="shared" si="55"/>
        <v>76</v>
      </c>
      <c r="BG114" s="21">
        <f t="shared" si="56"/>
        <v>14.5</v>
      </c>
      <c r="BH114" s="124">
        <f t="shared" si="57"/>
        <v>0</v>
      </c>
      <c r="BI114" s="124">
        <f t="shared" si="66"/>
        <v>0</v>
      </c>
      <c r="BJ114" s="144">
        <f t="shared" si="58"/>
        <v>0</v>
      </c>
      <c r="BL114" s="99">
        <v>24</v>
      </c>
    </row>
    <row r="115" spans="1:64" ht="12.75" x14ac:dyDescent="0.2">
      <c r="A115" s="8">
        <f t="shared" si="22"/>
        <v>35</v>
      </c>
      <c r="B115" s="125">
        <f t="shared" si="23"/>
        <v>11.1</v>
      </c>
      <c r="C115" s="125">
        <f t="shared" si="24"/>
        <v>18.7</v>
      </c>
      <c r="D115" s="125">
        <f t="shared" si="59"/>
        <v>14.899999999999999</v>
      </c>
      <c r="E115" s="125">
        <f t="shared" si="25"/>
        <v>7.6</v>
      </c>
      <c r="F115" s="7">
        <v>10.433000000000002</v>
      </c>
      <c r="G115" s="7">
        <v>17.252333333333329</v>
      </c>
      <c r="H115" s="7">
        <f t="shared" si="60"/>
        <v>13.842666666666666</v>
      </c>
      <c r="I115" s="7">
        <f t="shared" si="61"/>
        <v>6.8193333333333275</v>
      </c>
      <c r="K115" s="7">
        <f t="shared" si="26"/>
        <v>9.5</v>
      </c>
      <c r="L115" s="7">
        <f t="shared" si="27"/>
        <v>16.149999999999999</v>
      </c>
      <c r="M115" s="370">
        <f t="shared" si="28"/>
        <v>5.6880000000000006</v>
      </c>
      <c r="N115" s="1">
        <f t="shared" si="29"/>
        <v>0</v>
      </c>
      <c r="O115" s="7">
        <f t="shared" si="30"/>
        <v>74.92</v>
      </c>
      <c r="P115" s="7">
        <f t="shared" si="31"/>
        <v>12.143999999999997</v>
      </c>
      <c r="Q115" s="7">
        <f t="shared" si="32"/>
        <v>19.704000000000004</v>
      </c>
      <c r="R115" s="7">
        <f t="shared" si="33"/>
        <v>15.84</v>
      </c>
      <c r="S115" s="7">
        <f t="shared" si="34"/>
        <v>7.56</v>
      </c>
      <c r="T115" s="1">
        <v>56</v>
      </c>
      <c r="U115" s="333">
        <f t="shared" si="35"/>
        <v>2.2000000000000002</v>
      </c>
      <c r="V115" s="4">
        <v>25</v>
      </c>
      <c r="W115" s="7">
        <f t="shared" si="36"/>
        <v>6.8250000000000002</v>
      </c>
      <c r="X115" s="7">
        <f t="shared" si="37"/>
        <v>15.288</v>
      </c>
      <c r="Y115" s="8">
        <f t="shared" si="38"/>
        <v>1</v>
      </c>
      <c r="Z115" s="7">
        <f>IF(ISBLANK(Z28),NA(),SUM($Z$4:Z28))</f>
        <v>38.79999999999999</v>
      </c>
      <c r="AA115" s="7">
        <f t="shared" si="62"/>
        <v>55.000000000000007</v>
      </c>
      <c r="AB115" s="26">
        <f>IF(ISBLANK(Z28),"",SUM($Z$4:Z28))</f>
        <v>38.79999999999999</v>
      </c>
      <c r="AC115" s="115">
        <f t="shared" si="63"/>
        <v>0.70545454545454522</v>
      </c>
      <c r="AD115" s="8">
        <f t="shared" si="39"/>
        <v>1011.8</v>
      </c>
      <c r="AE115" s="610">
        <f t="shared" si="40"/>
        <v>1.0508526183055464</v>
      </c>
      <c r="AF115" s="524">
        <f t="shared" si="41"/>
        <v>0.29166666666666669</v>
      </c>
      <c r="AG115" s="22">
        <f>IF(ISBLANK(AP28),NA(),SUM($AP$4:AP28))</f>
        <v>122.5</v>
      </c>
      <c r="AH115" s="8">
        <f>SUM($AS$91:AS115)</f>
        <v>116.57200816373836</v>
      </c>
      <c r="AI115" s="115">
        <f t="shared" si="42"/>
        <v>1.0508526183055464</v>
      </c>
      <c r="AJ115" s="124">
        <f t="shared" si="43"/>
        <v>0</v>
      </c>
      <c r="AK115" s="8">
        <f t="shared" si="44"/>
        <v>1016.5</v>
      </c>
      <c r="AL115" s="124">
        <f t="shared" si="45"/>
        <v>0</v>
      </c>
      <c r="AM115" s="524">
        <f t="shared" si="46"/>
        <v>0.5854166666666667</v>
      </c>
      <c r="AO115" s="524">
        <f t="shared" si="47"/>
        <v>0.6118055555555556</v>
      </c>
      <c r="AR115" s="524">
        <f t="shared" si="48"/>
        <v>0.12152777777777778</v>
      </c>
      <c r="AS115" s="7">
        <f t="shared" si="49"/>
        <v>4.3611082524415474</v>
      </c>
      <c r="AT115" s="7">
        <v>10.806075106371262</v>
      </c>
      <c r="AU115" s="4">
        <v>25</v>
      </c>
      <c r="AV115" s="127">
        <f t="shared" si="50"/>
        <v>1</v>
      </c>
      <c r="AW115" s="124">
        <f t="shared" si="64"/>
        <v>0</v>
      </c>
      <c r="AX115" s="124">
        <f t="shared" si="65"/>
        <v>1</v>
      </c>
      <c r="AY115" s="124">
        <f t="shared" si="51"/>
        <v>1</v>
      </c>
      <c r="AZ115" s="125">
        <f t="shared" si="52"/>
        <v>3.9</v>
      </c>
      <c r="BA115" s="125">
        <f t="shared" si="53"/>
        <v>12.366666666666665</v>
      </c>
      <c r="BB115" s="125">
        <f t="shared" si="54"/>
        <v>17.43333333333333</v>
      </c>
      <c r="BC115" s="7">
        <v>11.569555555555556</v>
      </c>
      <c r="BD115" s="7">
        <v>16.115777777777776</v>
      </c>
      <c r="BF115" s="8">
        <f t="shared" si="55"/>
        <v>77</v>
      </c>
      <c r="BG115" s="21">
        <f t="shared" si="56"/>
        <v>16.7</v>
      </c>
      <c r="BH115" s="124">
        <f t="shared" si="57"/>
        <v>0</v>
      </c>
      <c r="BI115" s="124">
        <f t="shared" si="66"/>
        <v>0</v>
      </c>
      <c r="BJ115" s="144">
        <f t="shared" si="58"/>
        <v>0</v>
      </c>
      <c r="BL115" s="99">
        <v>25</v>
      </c>
    </row>
    <row r="116" spans="1:64" ht="12.75" x14ac:dyDescent="0.2">
      <c r="A116" s="8">
        <f t="shared" si="22"/>
        <v>25</v>
      </c>
      <c r="B116" s="125">
        <f t="shared" si="23"/>
        <v>11.1</v>
      </c>
      <c r="C116" s="125">
        <f t="shared" si="24"/>
        <v>18.7</v>
      </c>
      <c r="D116" s="125">
        <f t="shared" si="59"/>
        <v>14.899999999999999</v>
      </c>
      <c r="E116" s="125">
        <f t="shared" si="25"/>
        <v>7.6</v>
      </c>
      <c r="F116" s="7">
        <v>10.362000000000002</v>
      </c>
      <c r="G116" s="7">
        <v>17.132666666666662</v>
      </c>
      <c r="H116" s="7">
        <f t="shared" si="60"/>
        <v>13.747333333333332</v>
      </c>
      <c r="I116" s="7">
        <f t="shared" si="61"/>
        <v>6.7706666666666599</v>
      </c>
      <c r="K116" s="7">
        <f t="shared" si="26"/>
        <v>6.1</v>
      </c>
      <c r="L116" s="7">
        <f t="shared" si="27"/>
        <v>18.05</v>
      </c>
      <c r="M116" s="370">
        <f t="shared" si="28"/>
        <v>5.6153846153846168</v>
      </c>
      <c r="N116" s="1">
        <f t="shared" si="29"/>
        <v>1</v>
      </c>
      <c r="O116" s="7">
        <f t="shared" si="30"/>
        <v>75.192307692307693</v>
      </c>
      <c r="P116" s="7">
        <f t="shared" si="31"/>
        <v>12.253846153846151</v>
      </c>
      <c r="Q116" s="7">
        <f t="shared" si="32"/>
        <v>19.757692307692309</v>
      </c>
      <c r="R116" s="7">
        <f t="shared" si="33"/>
        <v>15.911538461538461</v>
      </c>
      <c r="S116" s="7">
        <f t="shared" si="34"/>
        <v>7.5038461538461538</v>
      </c>
      <c r="T116" s="1">
        <v>57</v>
      </c>
      <c r="U116" s="333">
        <f t="shared" si="35"/>
        <v>2.2000000000000002</v>
      </c>
      <c r="V116" s="4">
        <v>26</v>
      </c>
      <c r="W116" s="7">
        <f t="shared" si="36"/>
        <v>7.0980000000000008</v>
      </c>
      <c r="X116" s="7">
        <f t="shared" si="37"/>
        <v>15.561000000000002</v>
      </c>
      <c r="Y116" s="8">
        <f t="shared" si="38"/>
        <v>10</v>
      </c>
      <c r="Z116" s="7">
        <f>IF(ISBLANK(Z29),NA(),SUM($Z$4:Z29))</f>
        <v>41.79999999999999</v>
      </c>
      <c r="AA116" s="7">
        <f t="shared" si="62"/>
        <v>57.2</v>
      </c>
      <c r="AB116" s="26">
        <f>IF(ISBLANK(Z29),"",SUM($Z$4:Z29))</f>
        <v>41.79999999999999</v>
      </c>
      <c r="AC116" s="115">
        <f t="shared" si="63"/>
        <v>0.7307692307692305</v>
      </c>
      <c r="AD116" s="8">
        <f t="shared" si="39"/>
        <v>1012.1538461538462</v>
      </c>
      <c r="AE116" s="610">
        <f t="shared" si="40"/>
        <v>1.0214384374550085</v>
      </c>
      <c r="AF116" s="524" t="e">
        <f t="shared" si="41"/>
        <v>#N/A</v>
      </c>
      <c r="AG116" s="22">
        <f>IF(ISBLANK(AP29),NA(),SUM($AP$4:AP29))</f>
        <v>123.5</v>
      </c>
      <c r="AH116" s="8">
        <f>SUM($AS$91:AS116)</f>
        <v>120.90792305379621</v>
      </c>
      <c r="AI116" s="115">
        <f t="shared" si="42"/>
        <v>1.0214384374550085</v>
      </c>
      <c r="AJ116" s="124">
        <f t="shared" si="43"/>
        <v>1</v>
      </c>
      <c r="AK116" s="8">
        <f t="shared" si="44"/>
        <v>1021</v>
      </c>
      <c r="AL116" s="124">
        <f t="shared" si="45"/>
        <v>1</v>
      </c>
      <c r="AM116" s="524">
        <f t="shared" si="46"/>
        <v>0.65694444444444444</v>
      </c>
      <c r="AO116" s="524">
        <f t="shared" si="47"/>
        <v>0.65138888888888891</v>
      </c>
      <c r="AR116" s="524">
        <f t="shared" si="48"/>
        <v>0.19791666666666666</v>
      </c>
      <c r="AS116" s="7">
        <f t="shared" si="49"/>
        <v>4.335914890057845</v>
      </c>
      <c r="AT116" s="7">
        <v>10.743650293607693</v>
      </c>
      <c r="AU116" s="4">
        <v>26</v>
      </c>
      <c r="AV116" s="127">
        <f t="shared" si="50"/>
        <v>0</v>
      </c>
      <c r="AW116" s="124">
        <f t="shared" si="64"/>
        <v>0</v>
      </c>
      <c r="AX116" s="124">
        <f t="shared" si="65"/>
        <v>1</v>
      </c>
      <c r="AY116" s="124">
        <f t="shared" si="51"/>
        <v>1</v>
      </c>
      <c r="AZ116" s="125">
        <f t="shared" si="52"/>
        <v>3.9</v>
      </c>
      <c r="BA116" s="125">
        <f t="shared" si="53"/>
        <v>12.366666666666665</v>
      </c>
      <c r="BB116" s="125">
        <f t="shared" si="54"/>
        <v>17.43333333333333</v>
      </c>
      <c r="BC116" s="7">
        <v>11.490444444444446</v>
      </c>
      <c r="BD116" s="7">
        <v>16.004222222222218</v>
      </c>
      <c r="BF116" s="8">
        <f t="shared" si="55"/>
        <v>82</v>
      </c>
      <c r="BG116" s="21">
        <f t="shared" si="56"/>
        <v>17.7</v>
      </c>
      <c r="BH116" s="124">
        <f t="shared" si="57"/>
        <v>0</v>
      </c>
      <c r="BI116" s="124">
        <f t="shared" si="66"/>
        <v>1</v>
      </c>
      <c r="BJ116" s="144">
        <f t="shared" si="58"/>
        <v>1</v>
      </c>
      <c r="BL116" s="99">
        <v>26</v>
      </c>
    </row>
    <row r="117" spans="1:64" ht="12.75" x14ac:dyDescent="0.2">
      <c r="A117" s="8">
        <f t="shared" si="22"/>
        <v>27</v>
      </c>
      <c r="B117" s="125">
        <f t="shared" si="23"/>
        <v>11.1</v>
      </c>
      <c r="C117" s="125">
        <f t="shared" si="24"/>
        <v>18.7</v>
      </c>
      <c r="D117" s="125">
        <f t="shared" si="59"/>
        <v>14.899999999999999</v>
      </c>
      <c r="E117" s="125">
        <f t="shared" si="25"/>
        <v>7.6</v>
      </c>
      <c r="F117" s="7">
        <v>10.291000000000002</v>
      </c>
      <c r="G117" s="7">
        <v>17.012999999999995</v>
      </c>
      <c r="H117" s="7">
        <f t="shared" si="60"/>
        <v>13.651999999999997</v>
      </c>
      <c r="I117" s="7">
        <f t="shared" si="61"/>
        <v>6.7219999999999924</v>
      </c>
      <c r="K117" s="7">
        <f t="shared" si="26"/>
        <v>7.6</v>
      </c>
      <c r="L117" s="7">
        <f t="shared" si="27"/>
        <v>16.600000000000001</v>
      </c>
      <c r="M117" s="370">
        <f t="shared" si="28"/>
        <v>5.4814814814814827</v>
      </c>
      <c r="N117" s="1">
        <f t="shared" si="29"/>
        <v>9.9999999999999992E-2</v>
      </c>
      <c r="O117" s="7">
        <f t="shared" si="30"/>
        <v>75.666666666666671</v>
      </c>
      <c r="P117" s="7">
        <f t="shared" si="31"/>
        <v>12.274074074074072</v>
      </c>
      <c r="Q117" s="7">
        <f t="shared" si="32"/>
        <v>19.781481481481482</v>
      </c>
      <c r="R117" s="7">
        <f t="shared" si="33"/>
        <v>15.903703703703703</v>
      </c>
      <c r="S117" s="7">
        <f t="shared" si="34"/>
        <v>7.5074074074074071</v>
      </c>
      <c r="T117" s="1">
        <v>58</v>
      </c>
      <c r="U117" s="333">
        <f t="shared" si="35"/>
        <v>2.2000000000000002</v>
      </c>
      <c r="V117" s="4">
        <v>27</v>
      </c>
      <c r="W117" s="7">
        <f t="shared" si="36"/>
        <v>7.3710000000000004</v>
      </c>
      <c r="X117" s="7">
        <f t="shared" si="37"/>
        <v>15.834000000000001</v>
      </c>
      <c r="Y117" s="8">
        <f t="shared" si="38"/>
        <v>4</v>
      </c>
      <c r="Z117" s="7">
        <f>IF(ISBLANK(Z30),NA(),SUM($Z$4:Z30))</f>
        <v>42.099999999999987</v>
      </c>
      <c r="AA117" s="7">
        <f t="shared" si="62"/>
        <v>59.400000000000006</v>
      </c>
      <c r="AB117" s="26">
        <f>IF(ISBLANK(Z30),"",SUM($Z$4:Z30))</f>
        <v>42.099999999999987</v>
      </c>
      <c r="AC117" s="115">
        <f t="shared" si="63"/>
        <v>0.70875420875420847</v>
      </c>
      <c r="AD117" s="8">
        <f t="shared" si="39"/>
        <v>1012.7407407407408</v>
      </c>
      <c r="AE117" s="610">
        <f t="shared" si="40"/>
        <v>1.0262048819058174</v>
      </c>
      <c r="AF117" s="524">
        <f t="shared" si="41"/>
        <v>0.39513888888888887</v>
      </c>
      <c r="AG117" s="22">
        <f>IF(ISBLANK(AP30),NA(),SUM($AP$4:AP30))</f>
        <v>128.5</v>
      </c>
      <c r="AH117" s="8">
        <f>SUM($AS$91:AS117)</f>
        <v>125.21865980734383</v>
      </c>
      <c r="AI117" s="115">
        <f t="shared" si="42"/>
        <v>1.0262048819058174</v>
      </c>
      <c r="AJ117" s="124">
        <f t="shared" si="43"/>
        <v>1</v>
      </c>
      <c r="AK117" s="8">
        <f t="shared" si="44"/>
        <v>1028</v>
      </c>
      <c r="AL117" s="124">
        <f t="shared" si="45"/>
        <v>0</v>
      </c>
      <c r="AM117" s="524">
        <f t="shared" si="46"/>
        <v>0.71458333333333324</v>
      </c>
      <c r="AO117" s="524">
        <f t="shared" si="47"/>
        <v>0.72499999999999998</v>
      </c>
      <c r="AR117" s="524">
        <f t="shared" si="48"/>
        <v>0.3263888888888889</v>
      </c>
      <c r="AS117" s="7">
        <f t="shared" si="49"/>
        <v>4.3107367535476184</v>
      </c>
      <c r="AT117" s="7">
        <v>10.681263207936142</v>
      </c>
      <c r="AU117" s="4">
        <v>27</v>
      </c>
      <c r="AV117" s="127">
        <f t="shared" si="50"/>
        <v>1</v>
      </c>
      <c r="AW117" s="124">
        <f t="shared" si="64"/>
        <v>0</v>
      </c>
      <c r="AX117" s="124">
        <f t="shared" si="65"/>
        <v>1</v>
      </c>
      <c r="AY117" s="124">
        <f t="shared" si="51"/>
        <v>1</v>
      </c>
      <c r="AZ117" s="125">
        <f t="shared" si="52"/>
        <v>3.9</v>
      </c>
      <c r="BA117" s="125">
        <f t="shared" si="53"/>
        <v>12.366666666666665</v>
      </c>
      <c r="BB117" s="125">
        <f t="shared" si="54"/>
        <v>17.43333333333333</v>
      </c>
      <c r="BC117" s="7">
        <v>11.411333333333333</v>
      </c>
      <c r="BD117" s="7">
        <v>15.892666666666662</v>
      </c>
      <c r="BF117" s="8">
        <f t="shared" si="55"/>
        <v>88</v>
      </c>
      <c r="BG117" s="21">
        <f t="shared" si="56"/>
        <v>15.7</v>
      </c>
      <c r="BH117" s="124">
        <f t="shared" si="57"/>
        <v>0</v>
      </c>
      <c r="BI117" s="124">
        <f t="shared" si="66"/>
        <v>1</v>
      </c>
      <c r="BJ117" s="144">
        <f t="shared" si="58"/>
        <v>9.9999999999999992E-2</v>
      </c>
      <c r="BL117" s="99">
        <v>27</v>
      </c>
    </row>
    <row r="118" spans="1:64" ht="12.75" x14ac:dyDescent="0.2">
      <c r="A118" s="8">
        <f t="shared" si="22"/>
        <v>47</v>
      </c>
      <c r="B118" s="125">
        <f t="shared" si="23"/>
        <v>11.1</v>
      </c>
      <c r="C118" s="125">
        <f t="shared" si="24"/>
        <v>18.7</v>
      </c>
      <c r="D118" s="125">
        <f t="shared" si="59"/>
        <v>14.899999999999999</v>
      </c>
      <c r="E118" s="125">
        <f t="shared" si="25"/>
        <v>7.6</v>
      </c>
      <c r="F118" s="7">
        <v>10.220000000000001</v>
      </c>
      <c r="G118" s="7">
        <v>16.893333333333327</v>
      </c>
      <c r="H118" s="7">
        <f t="shared" si="60"/>
        <v>13.556666666666665</v>
      </c>
      <c r="I118" s="7">
        <f t="shared" si="61"/>
        <v>6.6733333333333267</v>
      </c>
      <c r="K118" s="7">
        <f t="shared" si="26"/>
        <v>12.3</v>
      </c>
      <c r="L118" s="7">
        <f t="shared" si="27"/>
        <v>18.75</v>
      </c>
      <c r="M118" s="370">
        <f t="shared" si="28"/>
        <v>5.3678571428571447</v>
      </c>
      <c r="N118" s="1">
        <f t="shared" si="29"/>
        <v>0</v>
      </c>
      <c r="O118" s="7">
        <f t="shared" si="30"/>
        <v>75.714285714285708</v>
      </c>
      <c r="P118" s="7">
        <f t="shared" si="31"/>
        <v>12.285714285714283</v>
      </c>
      <c r="Q118" s="7">
        <f t="shared" si="32"/>
        <v>19.964285714285715</v>
      </c>
      <c r="R118" s="7">
        <f t="shared" si="33"/>
        <v>16</v>
      </c>
      <c r="S118" s="7">
        <f t="shared" si="34"/>
        <v>7.6785714285714288</v>
      </c>
      <c r="T118" s="1">
        <v>59</v>
      </c>
      <c r="U118" s="333">
        <f t="shared" si="35"/>
        <v>2.2000000000000002</v>
      </c>
      <c r="V118" s="4">
        <v>28</v>
      </c>
      <c r="W118" s="7">
        <f t="shared" si="36"/>
        <v>7.6440000000000001</v>
      </c>
      <c r="X118" s="7">
        <f t="shared" si="37"/>
        <v>16.107000000000003</v>
      </c>
      <c r="Y118" s="8">
        <f t="shared" si="38"/>
        <v>5</v>
      </c>
      <c r="Z118" s="7">
        <f>IF(ISBLANK(Z31),NA(),SUM($Z$4:Z31))</f>
        <v>42.099999999999987</v>
      </c>
      <c r="AA118" s="7">
        <f t="shared" si="62"/>
        <v>61.600000000000009</v>
      </c>
      <c r="AB118" s="26">
        <f>IF(ISBLANK(Z31),"",SUM($Z$4:Z31))</f>
        <v>42.099999999999987</v>
      </c>
      <c r="AC118" s="115">
        <f t="shared" si="63"/>
        <v>0.68344155844155818</v>
      </c>
      <c r="AD118" s="8">
        <f t="shared" si="39"/>
        <v>1013.2321428571429</v>
      </c>
      <c r="AE118" s="610">
        <f t="shared" si="40"/>
        <v>1.0740961339102704</v>
      </c>
      <c r="AF118" s="524">
        <f t="shared" si="41"/>
        <v>0.34861111111111115</v>
      </c>
      <c r="AG118" s="22">
        <f>IF(ISBLANK(AP31),NA(),SUM($AP$4:AP31))</f>
        <v>139.1</v>
      </c>
      <c r="AH118" s="8">
        <f>SUM($AS$91:AS118)</f>
        <v>129.50423673307847</v>
      </c>
      <c r="AI118" s="115">
        <f t="shared" si="42"/>
        <v>1.0740961339102704</v>
      </c>
      <c r="AJ118" s="124">
        <f t="shared" si="43"/>
        <v>0</v>
      </c>
      <c r="AK118" s="8">
        <f t="shared" si="44"/>
        <v>1026.5</v>
      </c>
      <c r="AL118" s="124">
        <f t="shared" si="45"/>
        <v>0</v>
      </c>
      <c r="AM118" s="524">
        <f t="shared" si="46"/>
        <v>0.75624999999999998</v>
      </c>
      <c r="AO118" s="524">
        <f t="shared" si="47"/>
        <v>0.64236111111111105</v>
      </c>
      <c r="AR118" s="524">
        <f t="shared" si="48"/>
        <v>0.29722222222222222</v>
      </c>
      <c r="AS118" s="7">
        <f t="shared" si="49"/>
        <v>4.2855769257346426</v>
      </c>
      <c r="AT118" s="7">
        <v>10.61892148806295</v>
      </c>
      <c r="AU118" s="4">
        <v>28</v>
      </c>
      <c r="AV118" s="127">
        <f t="shared" si="50"/>
        <v>1</v>
      </c>
      <c r="AW118" s="124">
        <f t="shared" si="64"/>
        <v>0</v>
      </c>
      <c r="AX118" s="124">
        <f t="shared" si="65"/>
        <v>1</v>
      </c>
      <c r="AY118" s="124">
        <f t="shared" si="51"/>
        <v>1</v>
      </c>
      <c r="AZ118" s="125">
        <f t="shared" si="52"/>
        <v>3.9</v>
      </c>
      <c r="BA118" s="125">
        <f t="shared" si="53"/>
        <v>12.366666666666665</v>
      </c>
      <c r="BB118" s="125">
        <f t="shared" si="54"/>
        <v>17.43333333333333</v>
      </c>
      <c r="BC118" s="7">
        <v>11.332222222222223</v>
      </c>
      <c r="BD118" s="7">
        <v>15.781111111111107</v>
      </c>
      <c r="BF118" s="8">
        <f t="shared" si="55"/>
        <v>77</v>
      </c>
      <c r="BG118" s="21">
        <f t="shared" si="56"/>
        <v>18.600000000000001</v>
      </c>
      <c r="BH118" s="124">
        <f t="shared" si="57"/>
        <v>0</v>
      </c>
      <c r="BI118" s="124">
        <f t="shared" si="66"/>
        <v>0</v>
      </c>
      <c r="BJ118" s="144">
        <f t="shared" si="58"/>
        <v>0</v>
      </c>
      <c r="BL118" s="99">
        <v>28</v>
      </c>
    </row>
    <row r="119" spans="1:64" ht="12.75" x14ac:dyDescent="0.2">
      <c r="A119" s="8">
        <f t="shared" si="22"/>
        <v>54</v>
      </c>
      <c r="B119" s="125">
        <f t="shared" si="23"/>
        <v>11.1</v>
      </c>
      <c r="C119" s="125">
        <f t="shared" si="24"/>
        <v>18.7</v>
      </c>
      <c r="D119" s="125">
        <f t="shared" si="59"/>
        <v>14.899999999999999</v>
      </c>
      <c r="E119" s="125">
        <f t="shared" si="25"/>
        <v>7.6</v>
      </c>
      <c r="F119" s="7">
        <v>10.149000000000003</v>
      </c>
      <c r="G119" s="7">
        <v>16.77366666666666</v>
      </c>
      <c r="H119" s="7">
        <f t="shared" si="60"/>
        <v>13.461333333333332</v>
      </c>
      <c r="I119" s="7">
        <f t="shared" si="61"/>
        <v>6.6246666666666574</v>
      </c>
      <c r="K119" s="7">
        <f t="shared" si="26"/>
        <v>12.9</v>
      </c>
      <c r="L119" s="7">
        <f t="shared" si="27"/>
        <v>20.45</v>
      </c>
      <c r="M119" s="370">
        <f t="shared" si="28"/>
        <v>5.244827586206898</v>
      </c>
      <c r="N119" s="1">
        <f t="shared" si="29"/>
        <v>0</v>
      </c>
      <c r="O119" s="7">
        <f t="shared" si="30"/>
        <v>75.58620689655173</v>
      </c>
      <c r="P119" s="7">
        <f t="shared" si="31"/>
        <v>12.344827586206895</v>
      </c>
      <c r="Q119" s="7">
        <f t="shared" si="32"/>
        <v>20.203448275862069</v>
      </c>
      <c r="R119" s="7">
        <f t="shared" si="33"/>
        <v>16.124137931034483</v>
      </c>
      <c r="S119" s="7">
        <f t="shared" si="34"/>
        <v>7.8586206896551722</v>
      </c>
      <c r="T119" s="1">
        <v>60</v>
      </c>
      <c r="U119" s="333">
        <f t="shared" si="35"/>
        <v>2.2000000000000002</v>
      </c>
      <c r="V119" s="4">
        <v>29</v>
      </c>
      <c r="W119" s="7">
        <f t="shared" si="36"/>
        <v>7.9170000000000007</v>
      </c>
      <c r="X119" s="7">
        <f t="shared" si="37"/>
        <v>16.380000000000003</v>
      </c>
      <c r="Y119" s="8">
        <f t="shared" si="38"/>
        <v>2</v>
      </c>
      <c r="Z119" s="7">
        <f>IF(ISBLANK(Z32),NA(),SUM($Z$4:Z32))</f>
        <v>42.099999999999987</v>
      </c>
      <c r="AA119" s="7">
        <f t="shared" si="62"/>
        <v>63.800000000000004</v>
      </c>
      <c r="AB119" s="26">
        <f>IF(ISBLANK(Z32),"",SUM($Z$4:Z32))</f>
        <v>42.099999999999987</v>
      </c>
      <c r="AC119" s="115">
        <f t="shared" si="63"/>
        <v>0.65987460815046994</v>
      </c>
      <c r="AD119" s="8">
        <f t="shared" si="39"/>
        <v>1013.6034482758621</v>
      </c>
      <c r="AE119" s="610">
        <f t="shared" si="40"/>
        <v>1.1192043019247508</v>
      </c>
      <c r="AF119" s="524">
        <f t="shared" si="41"/>
        <v>0.28611111111111115</v>
      </c>
      <c r="AG119" s="22">
        <f>IF(ISBLANK(AP32),NA(),SUM($AP$4:AP32))</f>
        <v>149.70999999999998</v>
      </c>
      <c r="AH119" s="8">
        <f>SUM($AS$91:AS119)</f>
        <v>133.76467526307422</v>
      </c>
      <c r="AI119" s="115">
        <f t="shared" si="42"/>
        <v>1.1192043019247508</v>
      </c>
      <c r="AJ119" s="124">
        <f t="shared" si="43"/>
        <v>0</v>
      </c>
      <c r="AK119" s="8">
        <f t="shared" si="44"/>
        <v>1024</v>
      </c>
      <c r="AL119" s="124">
        <f t="shared" si="45"/>
        <v>0</v>
      </c>
      <c r="AM119" s="524">
        <f t="shared" si="46"/>
        <v>0.62430555555555556</v>
      </c>
      <c r="AO119" s="524">
        <f t="shared" si="47"/>
        <v>0.64027777777777783</v>
      </c>
      <c r="AR119" s="524">
        <f t="shared" si="48"/>
        <v>0.30694444444444441</v>
      </c>
      <c r="AS119" s="7">
        <f t="shared" si="49"/>
        <v>4.2604385299957634</v>
      </c>
      <c r="AT119" s="7">
        <v>10.556632873177975</v>
      </c>
      <c r="AU119" s="4">
        <v>29</v>
      </c>
      <c r="AV119" s="127">
        <f t="shared" si="50"/>
        <v>1</v>
      </c>
      <c r="AW119" s="124">
        <f t="shared" si="64"/>
        <v>0</v>
      </c>
      <c r="AX119" s="124">
        <f t="shared" si="65"/>
        <v>1</v>
      </c>
      <c r="AY119" s="124">
        <f t="shared" si="51"/>
        <v>1</v>
      </c>
      <c r="AZ119" s="125">
        <f t="shared" si="52"/>
        <v>3.9</v>
      </c>
      <c r="BA119" s="125">
        <f t="shared" si="53"/>
        <v>12.366666666666665</v>
      </c>
      <c r="BB119" s="125">
        <f t="shared" si="54"/>
        <v>17.43333333333333</v>
      </c>
      <c r="BC119" s="7">
        <v>11.253111111111114</v>
      </c>
      <c r="BD119" s="7">
        <v>15.669555555555551</v>
      </c>
      <c r="BF119" s="8">
        <f t="shared" si="55"/>
        <v>72</v>
      </c>
      <c r="BG119" s="21">
        <f t="shared" si="56"/>
        <v>19.600000000000001</v>
      </c>
      <c r="BH119" s="124">
        <f t="shared" si="57"/>
        <v>0</v>
      </c>
      <c r="BI119" s="124">
        <f t="shared" si="66"/>
        <v>0</v>
      </c>
      <c r="BJ119" s="144">
        <f t="shared" si="58"/>
        <v>0</v>
      </c>
      <c r="BL119" s="99">
        <v>29</v>
      </c>
    </row>
    <row r="120" spans="1:64" ht="12.75" x14ac:dyDescent="0.2">
      <c r="A120" s="8">
        <f t="shared" si="22"/>
        <v>55</v>
      </c>
      <c r="B120" s="125">
        <f t="shared" si="23"/>
        <v>11.1</v>
      </c>
      <c r="C120" s="125">
        <f t="shared" si="24"/>
        <v>18.7</v>
      </c>
      <c r="D120" s="125">
        <f t="shared" si="59"/>
        <v>14.899999999999999</v>
      </c>
      <c r="E120" s="125">
        <f t="shared" si="25"/>
        <v>7.6</v>
      </c>
      <c r="F120" s="7">
        <v>10.078000000000003</v>
      </c>
      <c r="G120" s="7">
        <v>16.653999999999993</v>
      </c>
      <c r="H120" s="7">
        <f t="shared" si="60"/>
        <v>13.365999999999998</v>
      </c>
      <c r="I120" s="7">
        <f t="shared" si="61"/>
        <v>6.5759999999999899</v>
      </c>
      <c r="K120" s="7">
        <f t="shared" si="26"/>
        <v>13.9</v>
      </c>
      <c r="L120" s="7">
        <f t="shared" si="27"/>
        <v>20.45</v>
      </c>
      <c r="M120" s="370">
        <f t="shared" si="28"/>
        <v>5.1433333333333344</v>
      </c>
      <c r="N120" s="1">
        <f t="shared" si="29"/>
        <v>0</v>
      </c>
      <c r="O120" s="7">
        <f t="shared" si="30"/>
        <v>75.36666666666666</v>
      </c>
      <c r="P120" s="7">
        <f t="shared" si="31"/>
        <v>12.383333333333331</v>
      </c>
      <c r="Q120" s="7">
        <f t="shared" si="32"/>
        <v>20.443333333333332</v>
      </c>
      <c r="R120" s="7">
        <f t="shared" si="33"/>
        <v>16.233333333333334</v>
      </c>
      <c r="S120" s="7">
        <f t="shared" si="34"/>
        <v>8.06</v>
      </c>
      <c r="T120" s="1">
        <v>61</v>
      </c>
      <c r="U120" s="333">
        <f t="shared" si="35"/>
        <v>2.2000000000000002</v>
      </c>
      <c r="V120" s="4">
        <v>30</v>
      </c>
      <c r="W120" s="7">
        <f t="shared" si="36"/>
        <v>8.1900000000000013</v>
      </c>
      <c r="X120" s="7">
        <f t="shared" si="37"/>
        <v>16.653000000000002</v>
      </c>
      <c r="Y120" s="8">
        <f t="shared" si="38"/>
        <v>2</v>
      </c>
      <c r="Z120" s="7">
        <f>IF(ISBLANK(Z33),NA(),SUM($Z$4:Z33))</f>
        <v>42.099999999999987</v>
      </c>
      <c r="AA120" s="7">
        <f t="shared" si="62"/>
        <v>66</v>
      </c>
      <c r="AB120" s="26">
        <f>IF(ISBLANK(Z33),"",SUM($Z$4:Z33))</f>
        <v>42.099999999999987</v>
      </c>
      <c r="AC120" s="115">
        <f t="shared" si="63"/>
        <v>0.63787878787878771</v>
      </c>
      <c r="AD120" s="8">
        <f t="shared" si="39"/>
        <v>1013.9166666666666</v>
      </c>
      <c r="AE120" s="610">
        <f t="shared" si="40"/>
        <v>1.1616666666666666</v>
      </c>
      <c r="AF120" s="524">
        <f t="shared" si="41"/>
        <v>0.34583333333333338</v>
      </c>
      <c r="AG120" s="22">
        <f>IF(ISBLANK(AP33),NA(),SUM($AP$4:AP33))</f>
        <v>160.30999999999997</v>
      </c>
      <c r="AH120" s="8">
        <f>SUM($AS$91:AS120)</f>
        <v>137.99999999999997</v>
      </c>
      <c r="AI120" s="115">
        <f t="shared" si="42"/>
        <v>1.1616666666666666</v>
      </c>
      <c r="AJ120" s="124">
        <f t="shared" si="43"/>
        <v>0</v>
      </c>
      <c r="AK120" s="8">
        <f t="shared" si="44"/>
        <v>1023</v>
      </c>
      <c r="AL120" s="124">
        <f t="shared" si="45"/>
        <v>0</v>
      </c>
      <c r="AM120" s="524">
        <f t="shared" si="46"/>
        <v>0.66527777777777775</v>
      </c>
      <c r="AO120" s="524">
        <f t="shared" si="47"/>
        <v>0.6381944444444444</v>
      </c>
      <c r="AR120" s="524">
        <f t="shared" si="48"/>
        <v>8.7499999999999994E-2</v>
      </c>
      <c r="AS120" s="7">
        <f t="shared" si="49"/>
        <v>4.2353247369257598</v>
      </c>
      <c r="AT120" s="7">
        <v>10.494405219468993</v>
      </c>
      <c r="AU120" s="4">
        <v>30</v>
      </c>
      <c r="AV120" s="127">
        <f t="shared" si="50"/>
        <v>1</v>
      </c>
      <c r="AW120" s="124">
        <f t="shared" si="64"/>
        <v>0</v>
      </c>
      <c r="AX120" s="124">
        <f t="shared" si="65"/>
        <v>1</v>
      </c>
      <c r="AY120" s="124">
        <f t="shared" si="51"/>
        <v>1</v>
      </c>
      <c r="AZ120" s="125">
        <f t="shared" si="52"/>
        <v>3.9</v>
      </c>
      <c r="BA120" s="125">
        <f t="shared" si="53"/>
        <v>12.366666666666665</v>
      </c>
      <c r="BB120" s="125">
        <f t="shared" si="54"/>
        <v>17.43333333333333</v>
      </c>
      <c r="BC120" s="7">
        <v>11.174000000000001</v>
      </c>
      <c r="BD120" s="7">
        <v>15.557999999999995</v>
      </c>
      <c r="BF120" s="8">
        <f t="shared" si="55"/>
        <v>69</v>
      </c>
      <c r="BG120" s="21">
        <f t="shared" si="56"/>
        <v>19.399999999999999</v>
      </c>
      <c r="BH120" s="124">
        <f t="shared" si="57"/>
        <v>0</v>
      </c>
      <c r="BI120" s="124">
        <f t="shared" si="66"/>
        <v>0</v>
      </c>
      <c r="BJ120" s="144">
        <f t="shared" si="58"/>
        <v>0</v>
      </c>
      <c r="BL120" s="99">
        <v>30</v>
      </c>
    </row>
    <row r="121" spans="1:64" ht="12.75" customHeight="1" x14ac:dyDescent="0.2">
      <c r="A121" s="8" t="e">
        <f t="shared" si="22"/>
        <v>#N/A</v>
      </c>
      <c r="B121" s="125">
        <f t="shared" si="23"/>
        <v>11.1</v>
      </c>
      <c r="C121" s="125">
        <f t="shared" si="24"/>
        <v>18.7</v>
      </c>
      <c r="D121" s="125">
        <f t="shared" si="59"/>
        <v>14.899999999999999</v>
      </c>
      <c r="E121" s="125">
        <f t="shared" si="25"/>
        <v>7.6</v>
      </c>
      <c r="F121" s="7"/>
      <c r="G121" s="7"/>
      <c r="H121" s="7"/>
      <c r="I121" s="7"/>
      <c r="K121" s="7" t="e">
        <f t="shared" si="26"/>
        <v>#N/A</v>
      </c>
      <c r="L121" s="7" t="e">
        <f t="shared" si="27"/>
        <v>#N/A</v>
      </c>
      <c r="M121" s="370" t="e">
        <f t="shared" si="28"/>
        <v>#N/A</v>
      </c>
      <c r="N121" s="1" t="e">
        <f t="shared" si="29"/>
        <v>#N/A</v>
      </c>
      <c r="O121" s="7" t="e">
        <f t="shared" si="30"/>
        <v>#N/A</v>
      </c>
      <c r="P121" s="7" t="e">
        <f t="shared" si="31"/>
        <v>#N/A</v>
      </c>
      <c r="Q121" s="7" t="e">
        <f t="shared" si="32"/>
        <v>#N/A</v>
      </c>
      <c r="R121" s="7" t="e">
        <f t="shared" si="33"/>
        <v>#N/A</v>
      </c>
      <c r="S121" s="7" t="e">
        <f t="shared" si="34"/>
        <v>#N/A</v>
      </c>
      <c r="T121" s="1">
        <v>62</v>
      </c>
      <c r="U121" s="333">
        <f t="shared" si="35"/>
        <v>2.2000000000000002</v>
      </c>
      <c r="V121" s="4">
        <v>31</v>
      </c>
      <c r="W121" s="7">
        <f t="shared" si="36"/>
        <v>8.463000000000001</v>
      </c>
      <c r="X121" s="7">
        <f t="shared" si="37"/>
        <v>16.926000000000002</v>
      </c>
      <c r="Y121" s="8" t="e">
        <f t="shared" si="38"/>
        <v>#N/A</v>
      </c>
      <c r="Z121" s="7" t="e">
        <f>IF(ISBLANK(Z34),NA(),SUM($Z$4:Z34))</f>
        <v>#N/A</v>
      </c>
      <c r="AA121" s="7">
        <f t="shared" si="62"/>
        <v>66</v>
      </c>
      <c r="AB121" s="26">
        <f>IF(ISBLANK(Z6),"",SUM($Z$4:Z34))</f>
        <v>42.099999999999987</v>
      </c>
      <c r="AC121" s="115" t="e">
        <f t="shared" si="63"/>
        <v>#N/A</v>
      </c>
      <c r="AD121" s="8" t="e">
        <f t="shared" si="39"/>
        <v>#N/A</v>
      </c>
      <c r="AE121" s="610"/>
      <c r="AF121" s="524" t="e">
        <f t="shared" si="41"/>
        <v>#N/A</v>
      </c>
      <c r="AG121" s="22"/>
      <c r="AH121" s="8"/>
      <c r="AI121" s="115"/>
      <c r="AJ121" s="124" t="str">
        <f t="shared" si="43"/>
        <v/>
      </c>
      <c r="AK121" s="8" t="e">
        <f t="shared" si="44"/>
        <v>#N/A</v>
      </c>
      <c r="AL121" s="124" t="str">
        <f t="shared" si="45"/>
        <v/>
      </c>
      <c r="AM121" s="524" t="e">
        <f t="shared" si="46"/>
        <v>#N/A</v>
      </c>
      <c r="AO121" s="524" t="e">
        <f t="shared" si="47"/>
        <v>#N/A</v>
      </c>
      <c r="AR121" s="524" t="e">
        <f t="shared" si="48"/>
        <v>#N/A</v>
      </c>
      <c r="AS121" s="7"/>
      <c r="AT121" s="7"/>
      <c r="AU121" s="4">
        <v>31</v>
      </c>
      <c r="AV121" s="127" t="str">
        <f t="shared" si="50"/>
        <v/>
      </c>
      <c r="AW121" s="124" t="str">
        <f t="shared" si="64"/>
        <v/>
      </c>
      <c r="AX121" s="124" t="str">
        <f t="shared" si="65"/>
        <v/>
      </c>
      <c r="AY121" s="124" t="str">
        <f t="shared" si="51"/>
        <v/>
      </c>
      <c r="AZ121" s="125">
        <f t="shared" si="52"/>
        <v>3.9</v>
      </c>
      <c r="BA121" s="125">
        <f t="shared" si="53"/>
        <v>12.366666666666665</v>
      </c>
      <c r="BB121" s="125">
        <f t="shared" si="54"/>
        <v>17.43333333333333</v>
      </c>
      <c r="BF121" s="8" t="e">
        <f t="shared" si="55"/>
        <v>#N/A</v>
      </c>
      <c r="BG121" s="21" t="e">
        <f t="shared" si="56"/>
        <v>#N/A</v>
      </c>
      <c r="BH121" s="124" t="str">
        <f t="shared" si="57"/>
        <v/>
      </c>
      <c r="BI121" s="124" t="str">
        <f t="shared" si="66"/>
        <v/>
      </c>
      <c r="BJ121" s="144" t="str">
        <f t="shared" si="58"/>
        <v/>
      </c>
      <c r="BL121" s="99"/>
    </row>
    <row r="122" spans="1:64" ht="6" customHeight="1" x14ac:dyDescent="0.2">
      <c r="C122" s="1"/>
      <c r="D122" s="125"/>
      <c r="E122" s="125"/>
      <c r="F122" s="125"/>
      <c r="G122" s="125"/>
      <c r="H122" s="21"/>
      <c r="I122" s="7"/>
      <c r="K122" s="7"/>
      <c r="M122" s="8"/>
      <c r="N122" s="8"/>
      <c r="P122" s="125"/>
      <c r="R122" s="8"/>
      <c r="S122" s="8"/>
      <c r="U122" s="333"/>
      <c r="V122" s="4"/>
      <c r="W122" s="7"/>
      <c r="Z122" s="7"/>
      <c r="AA122" s="7"/>
      <c r="AB122" s="127"/>
      <c r="AC122" s="7"/>
      <c r="AD122" s="115"/>
      <c r="AE122" s="115"/>
      <c r="AG122" s="22"/>
      <c r="AH122" s="8"/>
      <c r="AI122" s="115"/>
      <c r="AJ122" s="124"/>
      <c r="AK122" s="67"/>
      <c r="AL122" s="124"/>
      <c r="AQ122" s="7"/>
      <c r="AS122" s="7"/>
      <c r="AT122" s="7"/>
      <c r="AU122" s="8"/>
      <c r="AV122" s="127"/>
      <c r="AW122" s="124"/>
      <c r="AX122" s="124"/>
      <c r="AY122" s="124"/>
      <c r="AZ122" s="127"/>
      <c r="BA122" s="125"/>
      <c r="BG122" s="127"/>
      <c r="BH122" s="124"/>
      <c r="BI122" s="124"/>
      <c r="BJ122" s="144"/>
      <c r="BL122" s="99"/>
    </row>
    <row r="123" spans="1:64" ht="12.75" x14ac:dyDescent="0.2">
      <c r="C123" s="1"/>
      <c r="R123" s="8"/>
      <c r="S123" s="8"/>
      <c r="V123" s="11" t="s">
        <v>4</v>
      </c>
      <c r="W123" s="7">
        <f>IF(Z38&lt;1,"",AVERAGE(AB4:AB33))</f>
        <v>1.555555555555556</v>
      </c>
      <c r="X123" s="7">
        <f>MAX(AB4:AB34)</f>
        <v>7.4</v>
      </c>
      <c r="AH123" s="115">
        <f>MIN(AE95:AE121)</f>
        <v>0.73182709620604514</v>
      </c>
      <c r="AI123" s="115">
        <f>MAX(AE95:AE121)</f>
        <v>1.200898511428123</v>
      </c>
      <c r="AJ123" s="117"/>
      <c r="AK123" s="240"/>
      <c r="AL123" s="117"/>
      <c r="AT123" s="7">
        <f>SUM(AT91:AT121)</f>
        <v>341.94023132637693</v>
      </c>
      <c r="AV123" s="124"/>
      <c r="AW123" s="124"/>
      <c r="AX123" s="124"/>
      <c r="AY123" s="124"/>
      <c r="AZ123" s="124"/>
      <c r="BA123" s="124"/>
      <c r="BE123" s="124"/>
      <c r="BG123" s="7"/>
      <c r="BH123" s="124"/>
      <c r="BL123" s="4"/>
    </row>
    <row r="124" spans="1:64" s="95" customFormat="1" ht="18.75" customHeight="1" x14ac:dyDescent="0.2">
      <c r="C124" s="116"/>
      <c r="R124" s="325"/>
      <c r="S124" s="325"/>
      <c r="AY124" s="326"/>
      <c r="AZ124" s="326"/>
      <c r="BA124" s="326"/>
      <c r="BB124" s="326"/>
      <c r="BC124" s="326"/>
      <c r="BD124" s="326"/>
      <c r="BE124" s="326"/>
      <c r="BF124" s="326"/>
      <c r="BH124" s="326"/>
      <c r="BL124" s="81"/>
    </row>
    <row r="125" spans="1:64" ht="12.75" hidden="1" x14ac:dyDescent="0.2">
      <c r="AY125" s="124"/>
      <c r="AZ125" s="124"/>
      <c r="BA125" s="124"/>
      <c r="BB125" s="124"/>
      <c r="BC125" s="124"/>
      <c r="BD125" s="124"/>
      <c r="BE125" s="124"/>
      <c r="BF125" s="124"/>
      <c r="BG125" s="124"/>
      <c r="BH125" s="124"/>
    </row>
    <row r="126" spans="1:64" ht="12.75" hidden="1" x14ac:dyDescent="0.2">
      <c r="AY126" s="124"/>
      <c r="AZ126" s="124"/>
      <c r="BA126" s="124"/>
      <c r="BB126" s="124"/>
      <c r="BC126" s="124"/>
      <c r="BD126" s="124"/>
      <c r="BE126" s="124"/>
      <c r="BF126" s="124"/>
      <c r="BG126" s="124"/>
      <c r="BH126" s="124"/>
    </row>
    <row r="127" spans="1:64" ht="12.75" hidden="1" x14ac:dyDescent="0.2">
      <c r="AY127" s="124"/>
      <c r="AZ127" s="124"/>
      <c r="BA127" s="124"/>
      <c r="BB127" s="124"/>
      <c r="BC127" s="124"/>
      <c r="BD127" s="124"/>
      <c r="BE127" s="124"/>
      <c r="BF127" s="124"/>
      <c r="BG127" s="124"/>
      <c r="BH127" s="124"/>
    </row>
    <row r="128" spans="1:64" ht="12.75" hidden="1" x14ac:dyDescent="0.2">
      <c r="AY128" s="124"/>
      <c r="AZ128" s="124"/>
      <c r="BA128" s="124"/>
      <c r="BB128" s="124"/>
      <c r="BC128" s="124"/>
      <c r="BD128" s="124"/>
      <c r="BE128" s="124"/>
      <c r="BF128" s="124"/>
      <c r="BG128" s="124"/>
      <c r="BH128" s="124"/>
    </row>
    <row r="129" spans="13:60" ht="12.75" hidden="1" x14ac:dyDescent="0.2">
      <c r="AY129" s="124"/>
      <c r="AZ129" s="124"/>
      <c r="BA129" s="124"/>
      <c r="BB129" s="124"/>
      <c r="BC129" s="124"/>
      <c r="BD129" s="124"/>
      <c r="BE129" s="124"/>
      <c r="BF129" s="124"/>
      <c r="BG129" s="124"/>
      <c r="BH129" s="124"/>
    </row>
    <row r="130" spans="13:60" ht="12.75" hidden="1" x14ac:dyDescent="0.2"/>
    <row r="131" spans="13:60" ht="12.75" hidden="1" x14ac:dyDescent="0.2"/>
    <row r="132" spans="13:60" ht="12.75" hidden="1" x14ac:dyDescent="0.2"/>
    <row r="133" spans="13:60" ht="12.75" hidden="1" x14ac:dyDescent="0.2"/>
    <row r="134" spans="13:60" ht="12.75" hidden="1" x14ac:dyDescent="0.2">
      <c r="M134" s="10"/>
    </row>
  </sheetData>
  <sheetCalcPr fullCalcOnLoad="1"/>
  <mergeCells count="175">
    <mergeCell ref="W90:X90"/>
    <mergeCell ref="H59:I59"/>
    <mergeCell ref="Q50:R50"/>
    <mergeCell ref="H67:I67"/>
    <mergeCell ref="H60:I60"/>
    <mergeCell ref="Q74:AA74"/>
    <mergeCell ref="Q75:AA75"/>
    <mergeCell ref="Q76:AA76"/>
    <mergeCell ref="H50:I50"/>
    <mergeCell ref="AA50:AA51"/>
    <mergeCell ref="AQ1:AQ2"/>
    <mergeCell ref="AG1:AJ1"/>
    <mergeCell ref="Z1:AC1"/>
    <mergeCell ref="AD1:AE1"/>
    <mergeCell ref="P1:S1"/>
    <mergeCell ref="U1:X1"/>
    <mergeCell ref="AP1:AP2"/>
    <mergeCell ref="H51:I51"/>
    <mergeCell ref="Z50:Z51"/>
    <mergeCell ref="B1:B2"/>
    <mergeCell ref="C1:C2"/>
    <mergeCell ref="F1:I1"/>
    <mergeCell ref="K1:N1"/>
    <mergeCell ref="B36:C36"/>
    <mergeCell ref="B38:C38"/>
    <mergeCell ref="Z46:Z47"/>
    <mergeCell ref="BA36:BB36"/>
    <mergeCell ref="BF1:BJ1"/>
    <mergeCell ref="D4:D43"/>
    <mergeCell ref="BA37:BB37"/>
    <mergeCell ref="BA39:BB39"/>
    <mergeCell ref="BA40:BB40"/>
    <mergeCell ref="AL1:AL2"/>
    <mergeCell ref="BA1:BD1"/>
    <mergeCell ref="AN1:AN2"/>
    <mergeCell ref="BA38:BB38"/>
    <mergeCell ref="AA46:AA47"/>
    <mergeCell ref="B42:C42"/>
    <mergeCell ref="B46:E46"/>
    <mergeCell ref="B47:D47"/>
    <mergeCell ref="B49:D49"/>
    <mergeCell ref="B48:D48"/>
    <mergeCell ref="Z49:AA49"/>
    <mergeCell ref="BF46:BJ46"/>
    <mergeCell ref="BF47:BJ47"/>
    <mergeCell ref="AY47:BD47"/>
    <mergeCell ref="AG49:AJ49"/>
    <mergeCell ref="B54:D54"/>
    <mergeCell ref="B52:D52"/>
    <mergeCell ref="B53:D53"/>
    <mergeCell ref="B50:D50"/>
    <mergeCell ref="B51:D51"/>
    <mergeCell ref="AD51:AD52"/>
    <mergeCell ref="AS58:AT58"/>
    <mergeCell ref="AH50:AI50"/>
    <mergeCell ref="AC50:AD50"/>
    <mergeCell ref="AS57:AT57"/>
    <mergeCell ref="AG51:AJ51"/>
    <mergeCell ref="AP53:AQ53"/>
    <mergeCell ref="AS51:AT51"/>
    <mergeCell ref="AS52:AT52"/>
    <mergeCell ref="AS53:AT53"/>
    <mergeCell ref="AC51:AC52"/>
    <mergeCell ref="B59:D59"/>
    <mergeCell ref="AP52:AQ52"/>
    <mergeCell ref="W57:W58"/>
    <mergeCell ref="B58:D58"/>
    <mergeCell ref="B55:D55"/>
    <mergeCell ref="AG52:AJ52"/>
    <mergeCell ref="Q52:R52"/>
    <mergeCell ref="Z52:Z53"/>
    <mergeCell ref="AH53:AI53"/>
    <mergeCell ref="AH57:AI57"/>
    <mergeCell ref="B56:D56"/>
    <mergeCell ref="AG56:AJ56"/>
    <mergeCell ref="B57:D57"/>
    <mergeCell ref="H57:I58"/>
    <mergeCell ref="K57:N57"/>
    <mergeCell ref="P57:S57"/>
    <mergeCell ref="U57:U58"/>
    <mergeCell ref="V57:V58"/>
    <mergeCell ref="Z57:AB57"/>
    <mergeCell ref="AC57:AE57"/>
    <mergeCell ref="AS59:AT59"/>
    <mergeCell ref="AP59:AQ59"/>
    <mergeCell ref="B63:D63"/>
    <mergeCell ref="H63:I63"/>
    <mergeCell ref="AS63:AT63"/>
    <mergeCell ref="AS60:AT60"/>
    <mergeCell ref="B61:D61"/>
    <mergeCell ref="B62:D62"/>
    <mergeCell ref="H62:I62"/>
    <mergeCell ref="AH60:AI60"/>
    <mergeCell ref="AS62:AT62"/>
    <mergeCell ref="AP60:AQ62"/>
    <mergeCell ref="B60:D60"/>
    <mergeCell ref="B67:D67"/>
    <mergeCell ref="B64:D64"/>
    <mergeCell ref="H64:I64"/>
    <mergeCell ref="AG64:AJ64"/>
    <mergeCell ref="B65:D65"/>
    <mergeCell ref="B66:D66"/>
    <mergeCell ref="H66:I66"/>
    <mergeCell ref="AP63:AQ68"/>
    <mergeCell ref="AG67:AJ67"/>
    <mergeCell ref="AP69:AQ72"/>
    <mergeCell ref="AH65:AI65"/>
    <mergeCell ref="AH68:AI68"/>
    <mergeCell ref="AG66:AJ66"/>
    <mergeCell ref="B68:D68"/>
    <mergeCell ref="H68:I68"/>
    <mergeCell ref="B72:D72"/>
    <mergeCell ref="H70:I70"/>
    <mergeCell ref="B69:D69"/>
    <mergeCell ref="H69:I69"/>
    <mergeCell ref="B73:D73"/>
    <mergeCell ref="B71:D71"/>
    <mergeCell ref="H71:I71"/>
    <mergeCell ref="AG71:AJ71"/>
    <mergeCell ref="AG73:AJ73"/>
    <mergeCell ref="AH72:AI72"/>
    <mergeCell ref="AD73:AE73"/>
    <mergeCell ref="Q73:AA73"/>
    <mergeCell ref="AP76:AQ78"/>
    <mergeCell ref="H78:H79"/>
    <mergeCell ref="AG78:AJ78"/>
    <mergeCell ref="B74:D74"/>
    <mergeCell ref="H74:H75"/>
    <mergeCell ref="AG74:AJ74"/>
    <mergeCell ref="B75:D75"/>
    <mergeCell ref="AH75:AI75"/>
    <mergeCell ref="AP73:AQ75"/>
    <mergeCell ref="B78:D78"/>
    <mergeCell ref="B83:D83"/>
    <mergeCell ref="Q82:AA82"/>
    <mergeCell ref="Q83:AA83"/>
    <mergeCell ref="B80:D80"/>
    <mergeCell ref="H80:H81"/>
    <mergeCell ref="B81:D81"/>
    <mergeCell ref="AH82:AI82"/>
    <mergeCell ref="Q81:AA81"/>
    <mergeCell ref="B76:D76"/>
    <mergeCell ref="H76:H77"/>
    <mergeCell ref="B77:D77"/>
    <mergeCell ref="B79:D79"/>
    <mergeCell ref="AA54:AA55"/>
    <mergeCell ref="AA52:AA53"/>
    <mergeCell ref="B82:D82"/>
    <mergeCell ref="H82:H83"/>
    <mergeCell ref="BF84:BJ84"/>
    <mergeCell ref="BB81:BC81"/>
    <mergeCell ref="AP79:AQ81"/>
    <mergeCell ref="AG81:AJ81"/>
    <mergeCell ref="AH79:AI79"/>
    <mergeCell ref="AP82:AQ84"/>
    <mergeCell ref="AS55:AT55"/>
    <mergeCell ref="AS49:AT49"/>
    <mergeCell ref="AG59:AJ59"/>
    <mergeCell ref="AG58:AJ58"/>
    <mergeCell ref="AL38:AL43"/>
    <mergeCell ref="K48:N48"/>
    <mergeCell ref="X57:X58"/>
    <mergeCell ref="Q53:R53"/>
    <mergeCell ref="Z54:Z55"/>
    <mergeCell ref="Q51:R51"/>
    <mergeCell ref="Q77:AA77"/>
    <mergeCell ref="Q78:AA78"/>
    <mergeCell ref="Q79:AA79"/>
    <mergeCell ref="Q80:AA80"/>
    <mergeCell ref="AS1:AY1"/>
    <mergeCell ref="AS56:AT56"/>
    <mergeCell ref="AS48:AU48"/>
    <mergeCell ref="AS46:AX46"/>
    <mergeCell ref="AS50:AT50"/>
    <mergeCell ref="AS54:AT54"/>
  </mergeCells>
  <phoneticPr fontId="4" type="noConversion"/>
  <conditionalFormatting sqref="C4:C34">
    <cfRule type="cellIs" dxfId="545" priority="1" stopIfTrue="1" operator="notEqual">
      <formula>G4</formula>
    </cfRule>
  </conditionalFormatting>
  <conditionalFormatting sqref="AC4:AC34">
    <cfRule type="cellIs" dxfId="544" priority="2" stopIfTrue="1" operator="equal">
      <formula>$AC$86</formula>
    </cfRule>
    <cfRule type="cellIs" dxfId="543" priority="3" stopIfTrue="1" operator="equal">
      <formula>0</formula>
    </cfRule>
    <cfRule type="expression" dxfId="542" priority="4" stopIfTrue="1">
      <formula>Z4=0.1</formula>
    </cfRule>
  </conditionalFormatting>
  <conditionalFormatting sqref="W46:W53">
    <cfRule type="expression" dxfId="541" priority="5" stopIfTrue="1">
      <formula>X46=$X$55</formula>
    </cfRule>
  </conditionalFormatting>
  <conditionalFormatting sqref="B4:B34">
    <cfRule type="cellIs" dxfId="540" priority="6" stopIfTrue="1" operator="notEqual">
      <formula>F4</formula>
    </cfRule>
  </conditionalFormatting>
  <conditionalFormatting sqref="AP92:AP107">
    <cfRule type="expression" dxfId="539" priority="7" stopIfTrue="1">
      <formula>AQ92=$AQ$109</formula>
    </cfRule>
  </conditionalFormatting>
  <conditionalFormatting sqref="BG79">
    <cfRule type="expression" dxfId="538" priority="8" stopIfTrue="1">
      <formula>IF(J34=1,1,0)</formula>
    </cfRule>
  </conditionalFormatting>
  <conditionalFormatting sqref="B72:D80 B48:C66 D48 D51:D52 D54:D66">
    <cfRule type="expression" dxfId="537" priority="9" stopIfTrue="1">
      <formula>IF(F48&gt;0.5,1,0)</formula>
    </cfRule>
    <cfRule type="expression" dxfId="536" priority="10" stopIfTrue="1">
      <formula>IF(F48&lt;0.2,1,0)</formula>
    </cfRule>
  </conditionalFormatting>
  <conditionalFormatting sqref="AS50:AT60">
    <cfRule type="expression" dxfId="535" priority="11" stopIfTrue="1">
      <formula>IF(AV50&gt;0.5,1,0)</formula>
    </cfRule>
    <cfRule type="expression" dxfId="534" priority="12" stopIfTrue="1">
      <formula>IF(AV50&lt;0.2,1,0)</formula>
    </cfRule>
  </conditionalFormatting>
  <conditionalFormatting sqref="BD35">
    <cfRule type="cellIs" dxfId="533" priority="13" stopIfTrue="1" operator="equal">
      <formula>#REF!</formula>
    </cfRule>
    <cfRule type="expression" dxfId="532" priority="14" stopIfTrue="1">
      <formula>AY123=1</formula>
    </cfRule>
    <cfRule type="expression" dxfId="531" priority="15" stopIfTrue="1">
      <formula>BH123=1</formula>
    </cfRule>
  </conditionalFormatting>
  <conditionalFormatting sqref="F4:F34">
    <cfRule type="cellIs" dxfId="530" priority="16" stopIfTrue="1" operator="equal">
      <formula>$F$85</formula>
    </cfRule>
    <cfRule type="cellIs" dxfId="529" priority="17" stopIfTrue="1" operator="equal">
      <formula>$F$86</formula>
    </cfRule>
    <cfRule type="expression" dxfId="528" priority="18" stopIfTrue="1">
      <formula>IF(B4&lt;0,1,0)</formula>
    </cfRule>
  </conditionalFormatting>
  <conditionalFormatting sqref="BF79 BF49:BJ78">
    <cfRule type="cellIs" dxfId="527" priority="19" stopIfTrue="1" operator="greaterThan">
      <formula>0.9</formula>
    </cfRule>
    <cfRule type="expression" dxfId="526" priority="20" stopIfTrue="1">
      <formula>IF(O4=1,1,0)</formula>
    </cfRule>
  </conditionalFormatting>
  <conditionalFormatting sqref="D53">
    <cfRule type="expression" dxfId="525" priority="21" stopIfTrue="1">
      <formula>IF(H50&gt;0.5,1,0)</formula>
    </cfRule>
    <cfRule type="expression" dxfId="524" priority="22" stopIfTrue="1">
      <formula>IF(H50&lt;0.2,1,0)</formula>
    </cfRule>
  </conditionalFormatting>
  <conditionalFormatting sqref="D49:D50">
    <cfRule type="expression" dxfId="523" priority="23" stopIfTrue="1">
      <formula>IF(L53&gt;0.5,1,0)</formula>
    </cfRule>
    <cfRule type="expression" dxfId="522" priority="24" stopIfTrue="1">
      <formula>IF(L53&lt;0.2,1,0)</formula>
    </cfRule>
  </conditionalFormatting>
  <conditionalFormatting sqref="BA49:BA79">
    <cfRule type="cellIs" dxfId="521" priority="25" stopIfTrue="1" operator="equal">
      <formula>$BB$86</formula>
    </cfRule>
    <cfRule type="expression" dxfId="520" priority="26" stopIfTrue="1">
      <formula>IF(AX91=1,1,0)</formula>
    </cfRule>
    <cfRule type="expression" dxfId="519" priority="27" stopIfTrue="1">
      <formula>IF(AW91=1,1,0)</formula>
    </cfRule>
  </conditionalFormatting>
  <conditionalFormatting sqref="AQ92:AQ107">
    <cfRule type="cellIs" dxfId="518" priority="28" stopIfTrue="1" operator="equal">
      <formula>$AQ$109</formula>
    </cfRule>
  </conditionalFormatting>
  <conditionalFormatting sqref="AB91:AB121">
    <cfRule type="cellIs" dxfId="517" priority="29" stopIfTrue="1" operator="equal">
      <formula>0</formula>
    </cfRule>
  </conditionalFormatting>
  <conditionalFormatting sqref="AE4:AE34">
    <cfRule type="cellIs" dxfId="516" priority="30" stopIfTrue="1" operator="equal">
      <formula>$AD$86</formula>
    </cfRule>
    <cfRule type="cellIs" dxfId="515" priority="31" stopIfTrue="1" operator="equal">
      <formula>0</formula>
    </cfRule>
  </conditionalFormatting>
  <conditionalFormatting sqref="AY49:AZ79">
    <cfRule type="cellIs" dxfId="514" priority="32" stopIfTrue="1" operator="equal">
      <formula>$BA$84</formula>
    </cfRule>
    <cfRule type="cellIs" dxfId="513" priority="33" stopIfTrue="1" operator="equal">
      <formula>$BB$84</formula>
    </cfRule>
  </conditionalFormatting>
  <conditionalFormatting sqref="AW4:AW34 BI35">
    <cfRule type="cellIs" dxfId="512" priority="34" stopIfTrue="1" operator="equal">
      <formula>$AW$85</formula>
    </cfRule>
    <cfRule type="cellIs" dxfId="511" priority="35" stopIfTrue="1" operator="equal">
      <formula>$AW$86</formula>
    </cfRule>
  </conditionalFormatting>
  <conditionalFormatting sqref="BC35 BD4:BD34">
    <cfRule type="cellIs" dxfId="510" priority="36" stopIfTrue="1" operator="equal">
      <formula>$BD$85</formula>
    </cfRule>
    <cfRule type="cellIs" dxfId="509" priority="37" stopIfTrue="1" operator="equal">
      <formula>$BD$86</formula>
    </cfRule>
  </conditionalFormatting>
  <conditionalFormatting sqref="BC49:BC80">
    <cfRule type="cellIs" dxfId="508" priority="38" stopIfTrue="1" operator="equal">
      <formula>$AU$85</formula>
    </cfRule>
    <cfRule type="cellIs" dxfId="507" priority="39" stopIfTrue="1" operator="equal">
      <formula>$AU$86</formula>
    </cfRule>
  </conditionalFormatting>
  <conditionalFormatting sqref="BD49:BD80">
    <cfRule type="cellIs" dxfId="506" priority="40" stopIfTrue="1" operator="equal">
      <formula>#REF!</formula>
    </cfRule>
    <cfRule type="cellIs" dxfId="505" priority="41" stopIfTrue="1" operator="equal">
      <formula>#REF!</formula>
    </cfRule>
  </conditionalFormatting>
  <conditionalFormatting sqref="BF35">
    <cfRule type="cellIs" dxfId="504" priority="42" stopIfTrue="1" operator="equal">
      <formula>$BF$85</formula>
    </cfRule>
    <cfRule type="cellIs" dxfId="503" priority="43" stopIfTrue="1" operator="equal">
      <formula>$BF$86</formula>
    </cfRule>
  </conditionalFormatting>
  <conditionalFormatting sqref="BG35">
    <cfRule type="cellIs" dxfId="502" priority="44" stopIfTrue="1" operator="equal">
      <formula>$BG$85</formula>
    </cfRule>
    <cfRule type="cellIs" dxfId="501" priority="45" stopIfTrue="1" operator="equal">
      <formula>$BG$86</formula>
    </cfRule>
  </conditionalFormatting>
  <conditionalFormatting sqref="BH35">
    <cfRule type="cellIs" dxfId="500" priority="46" stopIfTrue="1" operator="equal">
      <formula>$BH$85</formula>
    </cfRule>
    <cfRule type="cellIs" dxfId="499" priority="47" stopIfTrue="1" operator="equal">
      <formula>$BH$86</formula>
    </cfRule>
  </conditionalFormatting>
  <conditionalFormatting sqref="BA4:BA35 BB4:BB34">
    <cfRule type="cellIs" dxfId="498" priority="48" stopIfTrue="1" operator="equal">
      <formula>$BA$85</formula>
    </cfRule>
    <cfRule type="cellIs" dxfId="497" priority="49" stopIfTrue="1" operator="equal">
      <formula>$BA$86</formula>
    </cfRule>
  </conditionalFormatting>
  <conditionalFormatting sqref="BF80">
    <cfRule type="cellIs" dxfId="496" priority="50" stopIfTrue="1" operator="greaterThan">
      <formula>0.9</formula>
    </cfRule>
  </conditionalFormatting>
  <conditionalFormatting sqref="BG80">
    <cfRule type="cellIs" dxfId="495" priority="51" stopIfTrue="1" operator="lessThan">
      <formula>0.3</formula>
    </cfRule>
  </conditionalFormatting>
  <conditionalFormatting sqref="BJ8:BJ35">
    <cfRule type="cellIs" dxfId="494" priority="52" stopIfTrue="1" operator="equal">
      <formula>$BJ$85</formula>
    </cfRule>
    <cfRule type="cellIs" dxfId="493" priority="53" stopIfTrue="1" operator="equal">
      <formula>$BJ$86</formula>
    </cfRule>
  </conditionalFormatting>
  <conditionalFormatting sqref="BI8:BI34">
    <cfRule type="cellIs" dxfId="492" priority="54" stopIfTrue="1" operator="equal">
      <formula>$BI$86</formula>
    </cfRule>
    <cfRule type="cellIs" dxfId="491" priority="55" stopIfTrue="1" operator="equal">
      <formula>$BI$85</formula>
    </cfRule>
  </conditionalFormatting>
  <conditionalFormatting sqref="AY35:AZ35">
    <cfRule type="cellIs" dxfId="490" priority="56" stopIfTrue="1" operator="equal">
      <formula>$AY$85</formula>
    </cfRule>
    <cfRule type="cellIs" dxfId="489" priority="57" stopIfTrue="1" operator="equal">
      <formula>$AY$86</formula>
    </cfRule>
  </conditionalFormatting>
  <conditionalFormatting sqref="AY4:AY34">
    <cfRule type="cellIs" dxfId="488" priority="58" stopIfTrue="1" operator="equal">
      <formula>$AY$85</formula>
    </cfRule>
    <cfRule type="cellIs" dxfId="487" priority="59" stopIfTrue="1" operator="equal">
      <formula>$AY$86</formula>
    </cfRule>
  </conditionalFormatting>
  <conditionalFormatting sqref="AM4:AM34 X6:X22 X4 X31:X34">
    <cfRule type="cellIs" dxfId="486" priority="60" stopIfTrue="1" operator="equal">
      <formula>10</formula>
    </cfRule>
    <cfRule type="cellIs" priority="61" stopIfTrue="1" operator="equal">
      <formula>0</formula>
    </cfRule>
  </conditionalFormatting>
  <conditionalFormatting sqref="AK4:AK34">
    <cfRule type="cellIs" dxfId="485" priority="62" stopIfTrue="1" operator="equal">
      <formula>$AH$86</formula>
    </cfRule>
    <cfRule type="cellIs" dxfId="484" priority="63" stopIfTrue="1" operator="equal">
      <formula>$AH$85</formula>
    </cfRule>
  </conditionalFormatting>
  <conditionalFormatting sqref="AR4:AR34">
    <cfRule type="cellIs" dxfId="483" priority="64" stopIfTrue="1" operator="equal">
      <formula>$M$92</formula>
    </cfRule>
  </conditionalFormatting>
  <conditionalFormatting sqref="AV50:AV60 F72:F80 F48:F66">
    <cfRule type="cellIs" dxfId="482" priority="65" stopIfTrue="1" operator="between">
      <formula>0.45</formula>
      <formula>0.55</formula>
    </cfRule>
  </conditionalFormatting>
  <conditionalFormatting sqref="AS8:AS34">
    <cfRule type="cellIs" dxfId="481" priority="66" stopIfTrue="1" operator="equal">
      <formula>$AS$85</formula>
    </cfRule>
    <cfRule type="cellIs" dxfId="480" priority="67" stopIfTrue="1" operator="equal">
      <formula>$AS$86</formula>
    </cfRule>
  </conditionalFormatting>
  <conditionalFormatting sqref="AI4:AI35">
    <cfRule type="cellIs" dxfId="479" priority="68" stopIfTrue="1" operator="equal">
      <formula>$AI$85</formula>
    </cfRule>
    <cfRule type="cellIs" dxfId="478" priority="69" stopIfTrue="1" operator="equal">
      <formula>$AI$86</formula>
    </cfRule>
  </conditionalFormatting>
  <conditionalFormatting sqref="AJ4:AJ35">
    <cfRule type="cellIs" dxfId="477" priority="70" stopIfTrue="1" operator="equal">
      <formula>$AJ$85</formula>
    </cfRule>
    <cfRule type="cellIs" dxfId="476" priority="71" stopIfTrue="1" operator="equal">
      <formula>$AJ$86</formula>
    </cfRule>
  </conditionalFormatting>
  <conditionalFormatting sqref="AT4:AT35">
    <cfRule type="cellIs" dxfId="475" priority="72" stopIfTrue="1" operator="equal">
      <formula>$AT$85</formula>
    </cfRule>
    <cfRule type="cellIs" dxfId="474" priority="73" stopIfTrue="1" operator="equal">
      <formula>$AT$86</formula>
    </cfRule>
  </conditionalFormatting>
  <conditionalFormatting sqref="AU4:AU35">
    <cfRule type="cellIs" dxfId="473" priority="74" stopIfTrue="1" operator="equal">
      <formula>$AU$85</formula>
    </cfRule>
    <cfRule type="cellIs" dxfId="472" priority="75" stopIfTrue="1" operator="equal">
      <formula>$AU$86</formula>
    </cfRule>
  </conditionalFormatting>
  <conditionalFormatting sqref="AV35:AW35 AV4:AV34">
    <cfRule type="cellIs" dxfId="471" priority="76" stopIfTrue="1" operator="equal">
      <formula>$AV$85</formula>
    </cfRule>
    <cfRule type="cellIs" dxfId="470" priority="77" stopIfTrue="1" operator="equal">
      <formula>$AV$86</formula>
    </cfRule>
  </conditionalFormatting>
  <conditionalFormatting sqref="AX4:AX35">
    <cfRule type="cellIs" dxfId="469" priority="78" stopIfTrue="1" operator="equal">
      <formula>$AX$85</formula>
    </cfRule>
    <cfRule type="cellIs" dxfId="468" priority="79" stopIfTrue="1" operator="equal">
      <formula>$AX$86</formula>
    </cfRule>
  </conditionalFormatting>
  <conditionalFormatting sqref="AG4:AG34">
    <cfRule type="cellIs" dxfId="467" priority="80" stopIfTrue="1" operator="equal">
      <formula>$AG$85</formula>
    </cfRule>
    <cfRule type="cellIs" dxfId="466" priority="81" stopIfTrue="1" operator="equal">
      <formula>$AG$86</formula>
    </cfRule>
  </conditionalFormatting>
  <conditionalFormatting sqref="AH4:AH35">
    <cfRule type="cellIs" dxfId="465" priority="82" stopIfTrue="1" operator="equal">
      <formula>$AH$85</formula>
    </cfRule>
    <cfRule type="cellIs" dxfId="464" priority="83" stopIfTrue="1" operator="equal">
      <formula>$AH$86</formula>
    </cfRule>
  </conditionalFormatting>
  <conditionalFormatting sqref="AP4:AP34">
    <cfRule type="cellIs" dxfId="463" priority="84" stopIfTrue="1" operator="equal">
      <formula>$AP$86</formula>
    </cfRule>
    <cfRule type="cellIs" dxfId="462" priority="85" stopIfTrue="1" operator="equal">
      <formula>0.001</formula>
    </cfRule>
  </conditionalFormatting>
  <conditionalFormatting sqref="AN26">
    <cfRule type="expression" dxfId="461" priority="86" stopIfTrue="1">
      <formula>$AS$36</formula>
    </cfRule>
  </conditionalFormatting>
  <conditionalFormatting sqref="BH79">
    <cfRule type="cellIs" dxfId="460" priority="87" stopIfTrue="1" operator="greaterThan">
      <formula>0.9</formula>
    </cfRule>
  </conditionalFormatting>
  <conditionalFormatting sqref="BI79">
    <cfRule type="cellIs" dxfId="459" priority="88" stopIfTrue="1" operator="greaterThan">
      <formula>0.5</formula>
    </cfRule>
  </conditionalFormatting>
  <conditionalFormatting sqref="X46:X53">
    <cfRule type="cellIs" dxfId="458" priority="89" stopIfTrue="1" operator="equal">
      <formula>$X$55</formula>
    </cfRule>
  </conditionalFormatting>
  <conditionalFormatting sqref="L4:L34">
    <cfRule type="cellIs" dxfId="457" priority="90" stopIfTrue="1" operator="equal">
      <formula>98</formula>
    </cfRule>
    <cfRule type="cellIs" dxfId="456" priority="91" stopIfTrue="1" operator="equal">
      <formula>$L$85</formula>
    </cfRule>
    <cfRule type="cellIs" dxfId="455" priority="92" stopIfTrue="1" operator="equal">
      <formula>$L$86</formula>
    </cfRule>
  </conditionalFormatting>
  <conditionalFormatting sqref="K4:K34">
    <cfRule type="cellIs" dxfId="454" priority="93" stopIfTrue="1" operator="equal">
      <formula>$K$85</formula>
    </cfRule>
    <cfRule type="cellIs" dxfId="453" priority="94" stopIfTrue="1" operator="equal">
      <formula>$K$86</formula>
    </cfRule>
  </conditionalFormatting>
  <conditionalFormatting sqref="X30">
    <cfRule type="cellIs" dxfId="452" priority="95" stopIfTrue="1" operator="equal">
      <formula>$AW$85</formula>
    </cfRule>
    <cfRule type="cellIs" dxfId="451" priority="96" stopIfTrue="1" operator="equal">
      <formula>$AW$86</formula>
    </cfRule>
  </conditionalFormatting>
  <conditionalFormatting sqref="I4:I34">
    <cfRule type="cellIs" dxfId="450" priority="97" stopIfTrue="1" operator="equal">
      <formula>$I$85</formula>
    </cfRule>
    <cfRule type="cellIs" dxfId="449" priority="98" stopIfTrue="1" operator="equal">
      <formula>$I$86</formula>
    </cfRule>
  </conditionalFormatting>
  <conditionalFormatting sqref="N4:N34">
    <cfRule type="cellIs" dxfId="448" priority="99" stopIfTrue="1" operator="equal">
      <formula>$N$85</formula>
    </cfRule>
    <cfRule type="cellIs" dxfId="447" priority="100" stopIfTrue="1" operator="equal">
      <formula>$N$86</formula>
    </cfRule>
  </conditionalFormatting>
  <conditionalFormatting sqref="AA34:AB34 AA4:AA33">
    <cfRule type="cellIs" dxfId="446" priority="101" stopIfTrue="1" operator="equal">
      <formula>$AA$86</formula>
    </cfRule>
  </conditionalFormatting>
  <conditionalFormatting sqref="P4:P34">
    <cfRule type="cellIs" dxfId="445" priority="102" stopIfTrue="1" operator="equal">
      <formula>$P$85</formula>
    </cfRule>
    <cfRule type="cellIs" dxfId="444" priority="103" stopIfTrue="1" operator="equal">
      <formula>$P$86</formula>
    </cfRule>
  </conditionalFormatting>
  <conditionalFormatting sqref="S4:S34">
    <cfRule type="cellIs" dxfId="443" priority="104" stopIfTrue="1" operator="equal">
      <formula>$S$85</formula>
    </cfRule>
    <cfRule type="cellIs" dxfId="442" priority="105" stopIfTrue="1" operator="equal">
      <formula>$S$86</formula>
    </cfRule>
  </conditionalFormatting>
  <conditionalFormatting sqref="R4:R34">
    <cfRule type="cellIs" dxfId="441" priority="106" stopIfTrue="1" operator="equal">
      <formula>$R$85</formula>
    </cfRule>
    <cfRule type="cellIs" dxfId="440" priority="107" stopIfTrue="1" operator="equal">
      <formula>$R$86</formula>
    </cfRule>
  </conditionalFormatting>
  <conditionalFormatting sqref="Q4:Q34">
    <cfRule type="cellIs" dxfId="439" priority="108" stopIfTrue="1" operator="equal">
      <formula>$Q$85</formula>
    </cfRule>
    <cfRule type="cellIs" dxfId="438" priority="109" stopIfTrue="1" operator="equal">
      <formula>$Q$86</formula>
    </cfRule>
  </conditionalFormatting>
  <conditionalFormatting sqref="U47:U50 U53:U56">
    <cfRule type="cellIs" dxfId="437" priority="110" stopIfTrue="1" operator="equal">
      <formula>$W$86</formula>
    </cfRule>
    <cfRule type="cellIs" dxfId="436" priority="111" stopIfTrue="1" operator="equal">
      <formula>$W$85</formula>
    </cfRule>
  </conditionalFormatting>
  <conditionalFormatting sqref="H4:H35">
    <cfRule type="cellIs" dxfId="435" priority="112" stopIfTrue="1" operator="equal">
      <formula>$H$85</formula>
    </cfRule>
    <cfRule type="cellIs" dxfId="434" priority="113" stopIfTrue="1" operator="equal">
      <formula>$H$86</formula>
    </cfRule>
  </conditionalFormatting>
  <conditionalFormatting sqref="M4:M34">
    <cfRule type="cellIs" dxfId="433" priority="114" stopIfTrue="1" operator="equal">
      <formula>$M$85</formula>
    </cfRule>
    <cfRule type="cellIs" dxfId="432" priority="115" stopIfTrue="1" operator="equal">
      <formula>$M$86</formula>
    </cfRule>
  </conditionalFormatting>
  <conditionalFormatting sqref="AB4:AB33">
    <cfRule type="cellIs" dxfId="431" priority="116" stopIfTrue="1" operator="equal">
      <formula>$X$123</formula>
    </cfRule>
  </conditionalFormatting>
  <conditionalFormatting sqref="G4:G34">
    <cfRule type="cellIs" dxfId="430" priority="117" stopIfTrue="1" operator="equal">
      <formula>$G$86</formula>
    </cfRule>
    <cfRule type="cellIs" dxfId="429" priority="118" stopIfTrue="1" operator="equal">
      <formula>$G$85</formula>
    </cfRule>
    <cfRule type="cellIs" dxfId="428" priority="119" stopIfTrue="1" operator="greaterThan">
      <formula>25</formula>
    </cfRule>
  </conditionalFormatting>
  <conditionalFormatting sqref="AD4:AD34">
    <cfRule type="cellIs" dxfId="427" priority="120" stopIfTrue="1" operator="equal">
      <formula>$AE$86</formula>
    </cfRule>
    <cfRule type="cellIs" dxfId="426" priority="121" stopIfTrue="1" operator="equal">
      <formula>$AE$85</formula>
    </cfRule>
  </conditionalFormatting>
  <conditionalFormatting sqref="AQ4:AQ34">
    <cfRule type="cellIs" dxfId="425" priority="122" stopIfTrue="1" operator="equal">
      <formula>0</formula>
    </cfRule>
    <cfRule type="cellIs" dxfId="424" priority="123" stopIfTrue="1" operator="equal">
      <formula>$AQ$86</formula>
    </cfRule>
    <cfRule type="cellIs" dxfId="423" priority="124" stopIfTrue="1" operator="between">
      <formula>0.1</formula>
      <formula>0.4</formula>
    </cfRule>
  </conditionalFormatting>
  <conditionalFormatting sqref="U4:U34">
    <cfRule type="cellIs" dxfId="422" priority="125" stopIfTrue="1" operator="equal">
      <formula>$U$86</formula>
    </cfRule>
    <cfRule type="cellIs" dxfId="421" priority="126" stopIfTrue="1" operator="equal">
      <formula>$U$85</formula>
    </cfRule>
  </conditionalFormatting>
  <conditionalFormatting sqref="V4:V34">
    <cfRule type="cellIs" dxfId="420" priority="127" stopIfTrue="1" operator="equal">
      <formula>$V$86</formula>
    </cfRule>
    <cfRule type="cellIs" dxfId="419" priority="128" stopIfTrue="1" operator="equal">
      <formula>$V$85</formula>
    </cfRule>
  </conditionalFormatting>
  <conditionalFormatting sqref="W4:W34">
    <cfRule type="cellIs" dxfId="418" priority="129" stopIfTrue="1" operator="equal">
      <formula>$W$86</formula>
    </cfRule>
    <cfRule type="cellIs" dxfId="417" priority="130" stopIfTrue="1" operator="equal">
      <formula>$W$85</formula>
    </cfRule>
  </conditionalFormatting>
  <conditionalFormatting sqref="Z4:Z34">
    <cfRule type="cellIs" dxfId="416" priority="131" stopIfTrue="1" operator="equal">
      <formula>0</formula>
    </cfRule>
    <cfRule type="cellIs" dxfId="415" priority="132" stopIfTrue="1" operator="equal">
      <formula>$Z$86</formula>
    </cfRule>
    <cfRule type="cellIs" dxfId="414" priority="133" stopIfTrue="1" operator="lessThan">
      <formula>0.2</formula>
    </cfRule>
  </conditionalFormatting>
  <conditionalFormatting sqref="E48:E66 AU50:AU60">
    <cfRule type="cellIs" dxfId="413" priority="134" stopIfTrue="1" operator="notBetween">
      <formula>-0.5</formula>
      <formula>0.5</formula>
    </cfRule>
    <cfRule type="cellIs" dxfId="412" priority="135" stopIfTrue="1" operator="between">
      <formula>-0.2</formula>
      <formula>0.2</formula>
    </cfRule>
  </conditionalFormatting>
  <conditionalFormatting sqref="E72:E80">
    <cfRule type="cellIs" dxfId="411" priority="136" stopIfTrue="1" operator="notBetween">
      <formula>-0.5</formula>
      <formula>0.5</formula>
    </cfRule>
    <cfRule type="cellIs" dxfId="410" priority="137" stopIfTrue="1" operator="between">
      <formula>-0.2</formula>
      <formula>0.2</formula>
    </cfRule>
  </conditionalFormatting>
  <conditionalFormatting sqref="BC4:BC34">
    <cfRule type="cellIs" dxfId="409" priority="138" stopIfTrue="1" operator="equal">
      <formula>$BC$85</formula>
    </cfRule>
    <cfRule type="cellIs" dxfId="408" priority="139" stopIfTrue="1" operator="equal">
      <formula>$BC$86</formula>
    </cfRule>
  </conditionalFormatting>
  <pageMargins left="0.75" right="0.75" top="1" bottom="1" header="0.5" footer="0.5"/>
  <pageSetup paperSize="9" orientation="portrait" horizontalDpi="4294967293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 enableFormatConditionsCalculation="0">
    <tabColor indexed="42"/>
  </sheetPr>
  <dimension ref="AB8"/>
  <sheetViews>
    <sheetView zoomScale="75" workbookViewId="0">
      <selection activeCell="AB8" sqref="AB8"/>
    </sheetView>
  </sheetViews>
  <sheetFormatPr defaultRowHeight="12.75" x14ac:dyDescent="0.2"/>
  <sheetData>
    <row r="8" spans="28:28" ht="15.75" x14ac:dyDescent="0.25">
      <c r="AB8" s="614" t="s">
        <v>504</v>
      </c>
    </row>
  </sheetData>
  <phoneticPr fontId="4" type="noConversion"/>
  <pageMargins left="0.75" right="0.75" top="1" bottom="1" header="0.5" footer="0.5"/>
  <headerFooter alignWithMargins="0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>
    <tabColor indexed="11"/>
  </sheetPr>
  <dimension ref="A1:CK134"/>
  <sheetViews>
    <sheetView zoomScale="90" workbookViewId="0">
      <pane xSplit="1" topLeftCell="B1" activePane="topRight" state="frozen"/>
      <selection activeCell="AN72" sqref="AN72"/>
      <selection pane="topRight"/>
    </sheetView>
  </sheetViews>
  <sheetFormatPr defaultRowHeight="0" customHeight="1" zeroHeight="1" x14ac:dyDescent="0.2"/>
  <cols>
    <col min="1" max="1" width="2.85546875" style="1" customWidth="1"/>
    <col min="2" max="2" width="5.140625" style="1" customWidth="1"/>
    <col min="3" max="3" width="5.140625" style="7" customWidth="1"/>
    <col min="4" max="4" width="11.28515625" style="1" customWidth="1"/>
    <col min="5" max="5" width="8.85546875" style="1" customWidth="1"/>
    <col min="6" max="9" width="9.28515625" style="1" customWidth="1"/>
    <col min="10" max="10" width="0.7109375" style="1" customWidth="1"/>
    <col min="11" max="13" width="8.5703125" style="1" customWidth="1"/>
    <col min="14" max="14" width="7.85546875" style="1" customWidth="1"/>
    <col min="15" max="15" width="1" style="1" customWidth="1"/>
    <col min="16" max="17" width="7.28515625" style="1" customWidth="1"/>
    <col min="18" max="18" width="8.5703125" style="1" customWidth="1"/>
    <col min="19" max="19" width="7.140625" style="1" customWidth="1"/>
    <col min="20" max="20" width="0.7109375" style="1" customWidth="1"/>
    <col min="21" max="22" width="9.28515625" style="1" customWidth="1"/>
    <col min="23" max="23" width="9.7109375" style="1" customWidth="1"/>
    <col min="24" max="24" width="9.28515625" style="1" customWidth="1"/>
    <col min="25" max="25" width="0.85546875" style="1" customWidth="1"/>
    <col min="26" max="26" width="10.42578125" style="1" customWidth="1"/>
    <col min="27" max="27" width="9.42578125" style="1" customWidth="1"/>
    <col min="28" max="28" width="10.5703125" style="1" customWidth="1"/>
    <col min="29" max="29" width="9.28515625" style="1" customWidth="1"/>
    <col min="30" max="30" width="9.85546875" style="1" customWidth="1"/>
    <col min="31" max="31" width="10.140625" style="1" customWidth="1"/>
    <col min="32" max="32" width="0.85546875" style="1" customWidth="1"/>
    <col min="33" max="34" width="8.42578125" style="1" customWidth="1"/>
    <col min="35" max="35" width="8.85546875" style="1" customWidth="1"/>
    <col min="36" max="36" width="8.42578125" style="1" customWidth="1"/>
    <col min="37" max="37" width="0.5703125" style="1" customWidth="1"/>
    <col min="38" max="38" width="8.140625" style="1" customWidth="1"/>
    <col min="39" max="39" width="0.42578125" style="1" customWidth="1"/>
    <col min="40" max="40" width="43.42578125" style="1" customWidth="1"/>
    <col min="41" max="41" width="0.7109375" style="1" customWidth="1"/>
    <col min="42" max="43" width="7.85546875" style="1" customWidth="1"/>
    <col min="44" max="44" width="0.7109375" style="1" customWidth="1"/>
    <col min="45" max="48" width="8.85546875" style="1" customWidth="1"/>
    <col min="49" max="49" width="8.5703125" style="1" customWidth="1"/>
    <col min="50" max="51" width="9.140625" style="1" customWidth="1"/>
    <col min="52" max="52" width="0.5703125" style="1" customWidth="1"/>
    <col min="53" max="53" width="8.28515625" style="1" customWidth="1"/>
    <col min="54" max="54" width="7.7109375" style="1" customWidth="1"/>
    <col min="55" max="55" width="8.5703125" style="1" customWidth="1"/>
    <col min="56" max="56" width="8.85546875" style="1" customWidth="1"/>
    <col min="57" max="57" width="0.5703125" style="1" customWidth="1"/>
    <col min="58" max="62" width="8.85546875" style="1" customWidth="1"/>
    <col min="63" max="63" width="1" style="1" customWidth="1"/>
    <col min="64" max="64" width="2.140625" style="1" customWidth="1"/>
    <col min="65" max="89" width="1.140625" style="1" hidden="1" customWidth="1"/>
    <col min="90" max="91" width="0" style="1" hidden="1" customWidth="1"/>
    <col min="92" max="16384" width="9.140625" style="1"/>
  </cols>
  <sheetData>
    <row r="1" spans="1:64" ht="13.5" customHeight="1" x14ac:dyDescent="0.2">
      <c r="A1" s="88">
        <v>1</v>
      </c>
      <c r="B1" s="676" t="s">
        <v>100</v>
      </c>
      <c r="C1" s="677" t="s">
        <v>99</v>
      </c>
      <c r="D1" s="109">
        <f ca="1">D2/E1</f>
        <v>73.016189302594341</v>
      </c>
      <c r="E1" s="98">
        <f ca="1">COUNT(A3:BL88)</f>
        <v>2467</v>
      </c>
      <c r="F1" s="678" t="s">
        <v>186</v>
      </c>
      <c r="G1" s="678"/>
      <c r="H1" s="678"/>
      <c r="I1" s="678"/>
      <c r="J1" s="6"/>
      <c r="K1" s="679" t="s">
        <v>147</v>
      </c>
      <c r="L1" s="679"/>
      <c r="M1" s="679"/>
      <c r="N1" s="680"/>
      <c r="O1" s="2"/>
      <c r="P1" s="664" t="s">
        <v>0</v>
      </c>
      <c r="Q1" s="664"/>
      <c r="R1" s="664"/>
      <c r="S1" s="665"/>
      <c r="T1" s="3"/>
      <c r="U1" s="666" t="s">
        <v>139</v>
      </c>
      <c r="V1" s="666"/>
      <c r="W1" s="666"/>
      <c r="X1" s="666"/>
      <c r="Y1" s="86"/>
      <c r="Z1" s="674" t="s">
        <v>107</v>
      </c>
      <c r="AA1" s="674"/>
      <c r="AB1" s="674"/>
      <c r="AC1" s="675"/>
      <c r="AD1" s="673" t="s">
        <v>198</v>
      </c>
      <c r="AE1" s="673"/>
      <c r="AF1" s="137"/>
      <c r="AG1" s="672" t="s">
        <v>157</v>
      </c>
      <c r="AH1" s="672"/>
      <c r="AI1" s="672"/>
      <c r="AJ1" s="672"/>
      <c r="AK1" s="6"/>
      <c r="AL1" s="690" t="s">
        <v>252</v>
      </c>
      <c r="AM1" s="86"/>
      <c r="AN1" s="667" t="s">
        <v>1</v>
      </c>
      <c r="AO1" s="399"/>
      <c r="AP1" s="691" t="s">
        <v>122</v>
      </c>
      <c r="AQ1" s="671" t="s">
        <v>192</v>
      </c>
      <c r="AR1" s="86"/>
      <c r="AS1" s="670" t="s">
        <v>12</v>
      </c>
      <c r="AT1" s="670"/>
      <c r="AU1" s="670"/>
      <c r="AV1" s="670"/>
      <c r="AW1" s="670"/>
      <c r="AX1" s="670"/>
      <c r="AY1" s="670"/>
      <c r="AZ1" s="6"/>
      <c r="BA1" s="667" t="s">
        <v>366</v>
      </c>
      <c r="BB1" s="667"/>
      <c r="BC1" s="667"/>
      <c r="BD1" s="667"/>
      <c r="BE1" s="67"/>
      <c r="BF1" s="667" t="s">
        <v>20</v>
      </c>
      <c r="BG1" s="667"/>
      <c r="BH1" s="667"/>
      <c r="BI1" s="667"/>
      <c r="BJ1" s="667"/>
      <c r="BK1" s="88"/>
      <c r="BL1" s="78"/>
    </row>
    <row r="2" spans="1:64" ht="12.75" customHeight="1" x14ac:dyDescent="0.2">
      <c r="A2" s="67"/>
      <c r="B2" s="676"/>
      <c r="C2" s="677"/>
      <c r="D2" s="104">
        <f ca="1">SUM(A3:BL88)</f>
        <v>180130.93900950023</v>
      </c>
      <c r="E2" s="292" t="s">
        <v>150</v>
      </c>
      <c r="F2" s="468" t="s">
        <v>101</v>
      </c>
      <c r="G2" s="469" t="s">
        <v>102</v>
      </c>
      <c r="H2" s="470" t="s">
        <v>156</v>
      </c>
      <c r="I2" s="471" t="s">
        <v>5</v>
      </c>
      <c r="J2" s="6"/>
      <c r="K2" s="212" t="s">
        <v>2</v>
      </c>
      <c r="L2" s="213" t="s">
        <v>3</v>
      </c>
      <c r="M2" s="395" t="s">
        <v>156</v>
      </c>
      <c r="N2" s="398" t="s">
        <v>5</v>
      </c>
      <c r="O2" s="20"/>
      <c r="P2" s="264" t="s">
        <v>2</v>
      </c>
      <c r="Q2" s="258" t="s">
        <v>3</v>
      </c>
      <c r="R2" s="265" t="s">
        <v>4</v>
      </c>
      <c r="S2" s="4" t="s">
        <v>5</v>
      </c>
      <c r="T2" s="67"/>
      <c r="U2" s="217" t="s">
        <v>156</v>
      </c>
      <c r="V2" s="97" t="s">
        <v>3</v>
      </c>
      <c r="W2" s="97" t="s">
        <v>154</v>
      </c>
      <c r="X2" s="217" t="s">
        <v>104</v>
      </c>
      <c r="Y2" s="133"/>
      <c r="Z2" s="424" t="s">
        <v>152</v>
      </c>
      <c r="AA2" s="458" t="s">
        <v>108</v>
      </c>
      <c r="AB2" s="458" t="s">
        <v>197</v>
      </c>
      <c r="AC2" s="508" t="s">
        <v>141</v>
      </c>
      <c r="AD2" s="179" t="s">
        <v>4</v>
      </c>
      <c r="AE2" s="179" t="s">
        <v>3</v>
      </c>
      <c r="AF2" s="68"/>
      <c r="AG2" s="299" t="s">
        <v>2</v>
      </c>
      <c r="AH2" s="309" t="s">
        <v>3</v>
      </c>
      <c r="AI2" s="308" t="s">
        <v>156</v>
      </c>
      <c r="AJ2" s="99" t="s">
        <v>5</v>
      </c>
      <c r="AK2" s="310"/>
      <c r="AL2" s="690"/>
      <c r="AM2" s="86"/>
      <c r="AN2" s="667"/>
      <c r="AO2" s="399"/>
      <c r="AP2" s="692"/>
      <c r="AQ2" s="671"/>
      <c r="AR2" s="86"/>
      <c r="AS2" s="181" t="s">
        <v>21</v>
      </c>
      <c r="AT2" s="294" t="s">
        <v>22</v>
      </c>
      <c r="AU2" s="295" t="s">
        <v>23</v>
      </c>
      <c r="AV2" s="365" t="s">
        <v>24</v>
      </c>
      <c r="AW2" s="263" t="s">
        <v>187</v>
      </c>
      <c r="AX2" s="374" t="s">
        <v>188</v>
      </c>
      <c r="AY2" s="371" t="s">
        <v>124</v>
      </c>
      <c r="AZ2" s="6"/>
      <c r="BA2" s="181" t="s">
        <v>21</v>
      </c>
      <c r="BB2" s="294" t="s">
        <v>22</v>
      </c>
      <c r="BC2" s="295" t="s">
        <v>23</v>
      </c>
      <c r="BD2" s="365" t="s">
        <v>24</v>
      </c>
      <c r="BE2" s="67"/>
      <c r="BF2" s="181" t="s">
        <v>21</v>
      </c>
      <c r="BG2" s="294" t="s">
        <v>25</v>
      </c>
      <c r="BH2" s="365" t="s">
        <v>24</v>
      </c>
      <c r="BI2" s="179" t="s">
        <v>7</v>
      </c>
      <c r="BJ2" s="419" t="s">
        <v>196</v>
      </c>
      <c r="BK2" s="88"/>
      <c r="BL2" s="78"/>
    </row>
    <row r="3" spans="1:64" ht="1.5" customHeight="1" x14ac:dyDescent="0.2">
      <c r="A3" s="67"/>
      <c r="B3" s="128"/>
      <c r="C3" s="283"/>
      <c r="D3" s="67"/>
      <c r="E3" s="68"/>
      <c r="F3" s="68"/>
      <c r="G3" s="68"/>
      <c r="H3" s="68"/>
      <c r="I3" s="68"/>
      <c r="J3" s="6"/>
      <c r="K3" s="68"/>
      <c r="L3" s="68"/>
      <c r="M3" s="68"/>
      <c r="N3" s="84"/>
      <c r="O3" s="20"/>
      <c r="P3" s="257"/>
      <c r="Q3" s="68"/>
      <c r="R3" s="68"/>
      <c r="S3" s="68"/>
      <c r="T3" s="67"/>
      <c r="U3" s="63"/>
      <c r="V3" s="63"/>
      <c r="W3" s="63"/>
      <c r="X3" s="63"/>
      <c r="Y3" s="67"/>
      <c r="Z3" s="425"/>
      <c r="AA3" s="500"/>
      <c r="AB3" s="500"/>
      <c r="AC3" s="509"/>
      <c r="AD3" s="63"/>
      <c r="AE3" s="63"/>
      <c r="AF3" s="67"/>
      <c r="AG3" s="63"/>
      <c r="AH3" s="63"/>
      <c r="AI3" s="63"/>
      <c r="AJ3" s="63"/>
      <c r="AK3" s="67"/>
      <c r="AL3" s="132"/>
      <c r="AM3" s="6"/>
      <c r="AN3" s="67"/>
      <c r="AO3" s="88"/>
      <c r="AP3" s="63"/>
      <c r="AQ3" s="63"/>
      <c r="AR3" s="67"/>
      <c r="AS3" s="67"/>
      <c r="AT3" s="67"/>
      <c r="AU3" s="67"/>
      <c r="AV3" s="366"/>
      <c r="AW3" s="67"/>
      <c r="AX3" s="375"/>
      <c r="AY3" s="372"/>
      <c r="AZ3" s="6"/>
      <c r="BA3" s="67"/>
      <c r="BB3" s="67"/>
      <c r="BC3" s="6"/>
      <c r="BD3" s="366"/>
      <c r="BE3" s="67"/>
      <c r="BF3" s="67"/>
      <c r="BG3" s="67"/>
      <c r="BH3" s="366"/>
      <c r="BI3" s="6"/>
      <c r="BJ3" s="87"/>
      <c r="BK3" s="88"/>
      <c r="BL3" s="78"/>
    </row>
    <row r="4" spans="1:64" ht="12.75" customHeight="1" x14ac:dyDescent="0.2">
      <c r="A4" s="277">
        <v>1</v>
      </c>
      <c r="B4" s="131">
        <v>12.3</v>
      </c>
      <c r="C4" s="282">
        <v>27.1</v>
      </c>
      <c r="D4" s="685" t="s">
        <v>227</v>
      </c>
      <c r="E4" s="113">
        <v>1</v>
      </c>
      <c r="F4" s="23">
        <v>12.3</v>
      </c>
      <c r="G4" s="23">
        <v>27.1</v>
      </c>
      <c r="H4" s="553">
        <v>19.3</v>
      </c>
      <c r="I4" s="23">
        <v>14.8</v>
      </c>
      <c r="J4" s="72">
        <f>IF(C4=G4,0,1)</f>
        <v>0</v>
      </c>
      <c r="K4" s="24">
        <v>40</v>
      </c>
      <c r="L4" s="24">
        <v>94</v>
      </c>
      <c r="M4" s="554">
        <v>68</v>
      </c>
      <c r="N4" s="24">
        <v>54</v>
      </c>
      <c r="O4" s="50">
        <f>IF(B4=F4,0,1)</f>
        <v>0</v>
      </c>
      <c r="P4" s="24">
        <v>1024</v>
      </c>
      <c r="Q4" s="24">
        <v>1026</v>
      </c>
      <c r="R4" s="24">
        <f>IF(AND(P4&gt;900,P4&lt;1100),AVERAGE(P4:Q4),"")</f>
        <v>1025</v>
      </c>
      <c r="S4" s="24">
        <f>IF(AND(P4&gt;800,P4&lt;1100),Q4-P4,"")</f>
        <v>2</v>
      </c>
      <c r="T4" s="50"/>
      <c r="U4" s="553">
        <v>1.2</v>
      </c>
      <c r="V4" s="553">
        <v>8.1</v>
      </c>
      <c r="W4" s="553">
        <v>10</v>
      </c>
      <c r="X4" s="485" t="s">
        <v>110</v>
      </c>
      <c r="Y4" s="72">
        <f>IF(OR(H4&lt;-20,H4&gt;40),"",IF(AQ4&lt;0.5,0,IF(Z4=0,0,IF(Z4&lt;1,1,2))))</f>
        <v>0</v>
      </c>
      <c r="Z4" s="539">
        <v>0</v>
      </c>
      <c r="AA4" s="23" t="s">
        <v>619</v>
      </c>
      <c r="AB4" s="23" t="s">
        <v>619</v>
      </c>
      <c r="AC4" s="628" t="str">
        <f>IF(AND(Z4&lt;300,Z4&gt;0),Z4/$Z$38,"")</f>
        <v/>
      </c>
      <c r="AD4" s="26" t="str">
        <f>IF(OR(Z4&lt;0.3,Z4&gt;300),"",Z4/AQ4)</f>
        <v/>
      </c>
      <c r="AE4" s="485" t="s">
        <v>619</v>
      </c>
      <c r="AF4" s="54"/>
      <c r="AG4" s="553">
        <v>10.6</v>
      </c>
      <c r="AH4" s="553">
        <v>16.100000000000001</v>
      </c>
      <c r="AI4" s="553">
        <v>12.5</v>
      </c>
      <c r="AJ4" s="26">
        <f>IF(AND(AG4&gt;-40,AG4&lt;30),AH4-AG4,"")</f>
        <v>5.5000000000000018</v>
      </c>
      <c r="AK4" s="54"/>
      <c r="AL4" s="485" t="s">
        <v>515</v>
      </c>
      <c r="AM4" s="134"/>
      <c r="AN4" s="47" t="s">
        <v>480</v>
      </c>
      <c r="AO4" s="400"/>
      <c r="AP4" s="485">
        <v>10.3</v>
      </c>
      <c r="AQ4" s="485">
        <v>0</v>
      </c>
      <c r="AR4" s="134"/>
      <c r="AS4" s="26">
        <f>IF(ISBLANK(F4),"",(AVERAGE($F$4:F4)))</f>
        <v>12.3</v>
      </c>
      <c r="AT4" s="25">
        <f>IF(ISBLANK(G4),"",(AVERAGE($G$4:G4)))</f>
        <v>27.1</v>
      </c>
      <c r="AU4" s="25">
        <f>IF(ISBLANK(H4),"",(AVERAGE($H$4:H4)))</f>
        <v>19.3</v>
      </c>
      <c r="AV4" s="367">
        <f>IF(ISBLANK(G4),"",(AVERAGE($I$4:I4)))</f>
        <v>14.8</v>
      </c>
      <c r="AW4" s="22">
        <f>IF(ISBLANK(M4),"",AVERAGE($M$4:M4))</f>
        <v>68</v>
      </c>
      <c r="AX4" s="376">
        <f>IF(ISBLANK(P4),"",(AVERAGE($R$4:R4)))</f>
        <v>1025</v>
      </c>
      <c r="AY4" s="368">
        <f>IF(ISBLANK(U4),"",(AVERAGE($U$4:U4)))</f>
        <v>1.2</v>
      </c>
      <c r="AZ4" s="6"/>
      <c r="BA4" s="25">
        <f>IF(ISBLANK(F4),"",F4-F91)</f>
        <v>2.2929999999999975</v>
      </c>
      <c r="BB4" s="25">
        <f>IF(ISBLANK(G4),"",G4-G91)</f>
        <v>10.565666666666676</v>
      </c>
      <c r="BC4" s="25">
        <f>IF(ISBLANK(G4),"",AVERAGE(BA4:BB4))</f>
        <v>6.4293333333333367</v>
      </c>
      <c r="BD4" s="367">
        <f>IF(ISBLANK(G4),"",BB4-BA4)</f>
        <v>8.2726666666666784</v>
      </c>
      <c r="BE4" s="67"/>
      <c r="BF4" s="25">
        <f>IF(ISBLANK(F4),"",AS4-AVERAGE($F$91:F91))</f>
        <v>2.2929999999999975</v>
      </c>
      <c r="BG4" s="25">
        <f>IF(ISBLANK(G4),"",AT4-AVERAGE($G$91:G91))</f>
        <v>10.565666666666676</v>
      </c>
      <c r="BH4" s="367">
        <f>IF(ISBLANK(G4),"",BG4-BF4)</f>
        <v>8.2726666666666784</v>
      </c>
      <c r="BI4" s="115">
        <f t="shared" ref="BI4:BI33" si="0">IF(ISBLANK(Z4),"",AB91/AA91)</f>
        <v>0</v>
      </c>
      <c r="BJ4" s="115">
        <f t="shared" ref="BJ4:BJ34" si="1">IF(ISBLANK(AP4),"",AG91/AH91)</f>
        <v>2.7498628216177816</v>
      </c>
      <c r="BK4" s="402"/>
      <c r="BL4" s="572">
        <v>1</v>
      </c>
    </row>
    <row r="5" spans="1:64" ht="12.75" customHeight="1" x14ac:dyDescent="0.2">
      <c r="A5" s="394">
        <f t="shared" ref="A5:A33" si="2">SUM(A4+1)</f>
        <v>2</v>
      </c>
      <c r="B5" s="131">
        <v>11.8</v>
      </c>
      <c r="C5" s="282">
        <v>26.6</v>
      </c>
      <c r="D5" s="685"/>
      <c r="E5" s="97">
        <f t="shared" ref="E5:E33" si="3">SUM(E4+1)</f>
        <v>2</v>
      </c>
      <c r="F5" s="23">
        <v>11.8</v>
      </c>
      <c r="G5" s="23">
        <v>26.6</v>
      </c>
      <c r="H5" s="553">
        <v>19.399999999999999</v>
      </c>
      <c r="I5" s="23">
        <v>14.8</v>
      </c>
      <c r="J5" s="72">
        <f t="shared" ref="J5:J34" si="4">IF(C5=G5,0,1)</f>
        <v>0</v>
      </c>
      <c r="K5" s="24">
        <v>36</v>
      </c>
      <c r="L5" s="24">
        <v>93</v>
      </c>
      <c r="M5" s="554">
        <v>63</v>
      </c>
      <c r="N5" s="24">
        <v>57</v>
      </c>
      <c r="O5" s="50">
        <f t="shared" ref="O5:O34" si="5">IF(B5=F5,0,1)</f>
        <v>0</v>
      </c>
      <c r="P5" s="24">
        <v>1022</v>
      </c>
      <c r="Q5" s="24">
        <v>1025</v>
      </c>
      <c r="R5" s="24">
        <f t="shared" ref="R5:R34" si="6">IF(AND(P5&gt;900,P5&lt;1100),AVERAGE(P5:Q5),"")</f>
        <v>1023.5</v>
      </c>
      <c r="S5" s="24">
        <f t="shared" ref="S5:S34" si="7">IF(AND(P5&gt;800,P5&lt;1100),Q5-P5,"")</f>
        <v>3</v>
      </c>
      <c r="T5" s="50"/>
      <c r="U5" s="553">
        <v>3</v>
      </c>
      <c r="V5" s="553">
        <v>11.5</v>
      </c>
      <c r="W5" s="553">
        <v>16.100000000000001</v>
      </c>
      <c r="X5" s="485" t="s">
        <v>110</v>
      </c>
      <c r="Y5" s="72">
        <f t="shared" ref="Y5:Y34" si="8">IF(OR(H5&lt;-20,H5&gt;40),"",IF(AQ5&lt;0.5,0,IF(Z5=0,0,IF(Z5&lt;1,1,2))))</f>
        <v>0</v>
      </c>
      <c r="Z5" s="539">
        <v>0</v>
      </c>
      <c r="AA5" s="23" t="s">
        <v>619</v>
      </c>
      <c r="AB5" s="23" t="s">
        <v>619</v>
      </c>
      <c r="AC5" s="628" t="str">
        <f t="shared" ref="AC5:AC34" si="9">IF(AND(Z5&lt;300,Z5&gt;0),Z5/$Z$38,"")</f>
        <v/>
      </c>
      <c r="AD5" s="26" t="str">
        <f t="shared" ref="AD5:AD34" si="10">IF(OR(Z5&lt;0.3,Z5&gt;300),"",Z5/AQ5)</f>
        <v/>
      </c>
      <c r="AE5" s="485" t="s">
        <v>619</v>
      </c>
      <c r="AF5" s="54"/>
      <c r="AG5" s="553">
        <v>9.6</v>
      </c>
      <c r="AH5" s="553">
        <v>16.399999999999999</v>
      </c>
      <c r="AI5" s="553">
        <v>11.3</v>
      </c>
      <c r="AJ5" s="26">
        <f t="shared" ref="AJ5:AJ34" si="11">IF(AND(AG5&gt;-40,AG5&lt;30),AH5-AG5,"")</f>
        <v>6.7999999999999989</v>
      </c>
      <c r="AK5" s="54"/>
      <c r="AL5" s="485" t="s">
        <v>238</v>
      </c>
      <c r="AM5" s="134"/>
      <c r="AN5" s="47" t="s">
        <v>480</v>
      </c>
      <c r="AO5" s="400"/>
      <c r="AP5" s="485">
        <v>10.4</v>
      </c>
      <c r="AQ5" s="485">
        <v>0</v>
      </c>
      <c r="AR5" s="134"/>
      <c r="AS5" s="26">
        <f>IF(ISBLANK(F5),"",(AVERAGE($F$4:F5)))</f>
        <v>12.05</v>
      </c>
      <c r="AT5" s="26">
        <f>IF(ISBLANK(G5),"",(AVERAGE($G$4:G5)))</f>
        <v>26.85</v>
      </c>
      <c r="AU5" s="25">
        <f>IF(ISBLANK(H5),"",(AVERAGE($H$4:H5)))</f>
        <v>19.350000000000001</v>
      </c>
      <c r="AV5" s="368">
        <f>IF(ISBLANK(G5),"",(AVERAGE($I$4:I5)))</f>
        <v>14.8</v>
      </c>
      <c r="AW5" s="22">
        <f>IF(ISBLANK(M5),"",AVERAGE($M$4:M5))</f>
        <v>65.5</v>
      </c>
      <c r="AX5" s="376">
        <f>IF(ISBLANK(P5),"",(AVERAGE($R$4:R5)))</f>
        <v>1024.25</v>
      </c>
      <c r="AY5" s="368">
        <f>IF(ISBLANK(U5),"",(AVERAGE($U$4:U5)))</f>
        <v>2.1</v>
      </c>
      <c r="AZ5" s="6"/>
      <c r="BA5" s="25">
        <f t="shared" ref="BA5:BA34" si="12">IF(ISBLANK(F5),"",F5-F92)</f>
        <v>1.8639999999999972</v>
      </c>
      <c r="BB5" s="25">
        <f t="shared" ref="BB5:BB34" si="13">IF(ISBLANK(G5),"",G5-G92)</f>
        <v>10.185333333333343</v>
      </c>
      <c r="BC5" s="25">
        <f>IF(ISBLANK(G5),"",AVERAGE(BA5:BB5))</f>
        <v>6.0246666666666702</v>
      </c>
      <c r="BD5" s="367">
        <f>IF(ISBLANK(G5),"",BB5-BA5)</f>
        <v>8.3213333333333459</v>
      </c>
      <c r="BE5" s="72"/>
      <c r="BF5" s="25">
        <f>IF(ISBLANK(F5),"",AS5-AVERAGE($F$91:F92))</f>
        <v>2.0784999999999982</v>
      </c>
      <c r="BG5" s="25">
        <f>IF(ISBLANK(G5),"",AT5-AVERAGE($G$91:G92))</f>
        <v>10.375500000000009</v>
      </c>
      <c r="BH5" s="367">
        <f t="shared" ref="BH5:BH10" si="14">IF(ISBLANK(G5),"",BG5-BF5)</f>
        <v>8.2970000000000113</v>
      </c>
      <c r="BI5" s="115">
        <f t="shared" si="0"/>
        <v>0</v>
      </c>
      <c r="BJ5" s="115">
        <f t="shared" si="1"/>
        <v>2.7714580525000652</v>
      </c>
      <c r="BK5" s="420"/>
      <c r="BL5" s="572">
        <v>2</v>
      </c>
    </row>
    <row r="6" spans="1:64" ht="12.75" customHeight="1" x14ac:dyDescent="0.2">
      <c r="A6" s="394">
        <f t="shared" si="2"/>
        <v>3</v>
      </c>
      <c r="B6" s="131">
        <v>16.2</v>
      </c>
      <c r="C6" s="282">
        <v>25.3</v>
      </c>
      <c r="D6" s="685"/>
      <c r="E6" s="97">
        <f t="shared" si="3"/>
        <v>3</v>
      </c>
      <c r="F6" s="23">
        <v>16.2</v>
      </c>
      <c r="G6" s="23">
        <v>25.3</v>
      </c>
      <c r="H6" s="553">
        <v>19.899999999999999</v>
      </c>
      <c r="I6" s="23">
        <v>9.1</v>
      </c>
      <c r="J6" s="72">
        <f t="shared" si="4"/>
        <v>0</v>
      </c>
      <c r="K6" s="24">
        <v>35</v>
      </c>
      <c r="L6" s="24">
        <v>78</v>
      </c>
      <c r="M6" s="554">
        <v>59</v>
      </c>
      <c r="N6" s="24">
        <v>43</v>
      </c>
      <c r="O6" s="50">
        <f t="shared" si="5"/>
        <v>0</v>
      </c>
      <c r="P6" s="24">
        <v>1016</v>
      </c>
      <c r="Q6" s="24">
        <v>1022</v>
      </c>
      <c r="R6" s="24">
        <f t="shared" si="6"/>
        <v>1019</v>
      </c>
      <c r="S6" s="24">
        <f t="shared" si="7"/>
        <v>6</v>
      </c>
      <c r="T6" s="50"/>
      <c r="U6" s="553">
        <v>6.3</v>
      </c>
      <c r="V6" s="553">
        <v>15.9</v>
      </c>
      <c r="W6" s="553">
        <v>25.1</v>
      </c>
      <c r="X6" s="485" t="s">
        <v>110</v>
      </c>
      <c r="Y6" s="72">
        <f t="shared" si="8"/>
        <v>0</v>
      </c>
      <c r="Z6" s="539">
        <v>0</v>
      </c>
      <c r="AA6" s="23" t="s">
        <v>619</v>
      </c>
      <c r="AB6" s="23" t="s">
        <v>619</v>
      </c>
      <c r="AC6" s="628" t="str">
        <f t="shared" si="9"/>
        <v/>
      </c>
      <c r="AD6" s="26" t="str">
        <f t="shared" si="10"/>
        <v/>
      </c>
      <c r="AE6" s="485" t="s">
        <v>619</v>
      </c>
      <c r="AF6" s="54"/>
      <c r="AG6" s="553">
        <v>8.1</v>
      </c>
      <c r="AH6" s="553">
        <v>13.8</v>
      </c>
      <c r="AI6" s="553">
        <v>11.2</v>
      </c>
      <c r="AJ6" s="26">
        <f t="shared" si="11"/>
        <v>5.7000000000000011</v>
      </c>
      <c r="AK6" s="54"/>
      <c r="AL6" s="485" t="s">
        <v>705</v>
      </c>
      <c r="AM6" s="134"/>
      <c r="AN6" s="47" t="s">
        <v>16</v>
      </c>
      <c r="AO6" s="400"/>
      <c r="AP6" s="485">
        <v>8.5</v>
      </c>
      <c r="AQ6" s="485">
        <v>0</v>
      </c>
      <c r="AR6" s="134"/>
      <c r="AS6" s="26">
        <f>IF(ISBLANK(F6),"",(AVERAGE($F$4:F6)))</f>
        <v>13.433333333333332</v>
      </c>
      <c r="AT6" s="26">
        <f>IF(ISBLANK(G6),"",(AVERAGE($G$4:G6)))</f>
        <v>26.333333333333332</v>
      </c>
      <c r="AU6" s="25">
        <f>IF(ISBLANK(H6),"",(AVERAGE($H$4:H6)))</f>
        <v>19.533333333333335</v>
      </c>
      <c r="AV6" s="368">
        <f>IF(ISBLANK(G6),"",(AVERAGE($I$4:I6)))</f>
        <v>12.9</v>
      </c>
      <c r="AW6" s="22">
        <f>IF(ISBLANK(M6),"",AVERAGE($M$4:M6))</f>
        <v>63.333333333333336</v>
      </c>
      <c r="AX6" s="376">
        <f>IF(ISBLANK(P6),"",(AVERAGE($R$4:R6)))</f>
        <v>1022.5</v>
      </c>
      <c r="AY6" s="368">
        <f>IF(ISBLANK(U6),"",(AVERAGE($U$4:U6)))</f>
        <v>3.5</v>
      </c>
      <c r="AZ6" s="6"/>
      <c r="BA6" s="25">
        <f t="shared" si="12"/>
        <v>6.3349999999999991</v>
      </c>
      <c r="BB6" s="25">
        <f t="shared" si="13"/>
        <v>9.004999999999999</v>
      </c>
      <c r="BC6" s="25">
        <f>IF(ISBLANK(G6),"",AVERAGE(BA6:BB6))</f>
        <v>7.669999999999999</v>
      </c>
      <c r="BD6" s="367">
        <f t="shared" ref="BD6:BD34" si="15">IF(ISBLANK(G6),"",BB6-BA6)</f>
        <v>2.67</v>
      </c>
      <c r="BE6" s="72"/>
      <c r="BF6" s="25">
        <f>IF(ISBLANK(F6),"",AS6-AVERAGE($F$91:F93))</f>
        <v>3.4973333333333301</v>
      </c>
      <c r="BG6" s="25">
        <f>IF(ISBLANK(G6),"",AT6-AVERAGE($G$91:G93))</f>
        <v>9.9186666666666703</v>
      </c>
      <c r="BH6" s="367">
        <f t="shared" si="14"/>
        <v>6.4213333333333402</v>
      </c>
      <c r="BI6" s="115">
        <f t="shared" si="0"/>
        <v>0</v>
      </c>
      <c r="BJ6" s="115">
        <f t="shared" si="1"/>
        <v>2.6141252245208246</v>
      </c>
      <c r="BK6" s="402"/>
      <c r="BL6" s="572">
        <v>3</v>
      </c>
    </row>
    <row r="7" spans="1:64" ht="12.75" customHeight="1" x14ac:dyDescent="0.2">
      <c r="A7" s="394">
        <f t="shared" si="2"/>
        <v>4</v>
      </c>
      <c r="B7" s="131">
        <v>15.8</v>
      </c>
      <c r="C7" s="282">
        <v>18.7</v>
      </c>
      <c r="D7" s="685"/>
      <c r="E7" s="97">
        <f t="shared" si="3"/>
        <v>4</v>
      </c>
      <c r="F7" s="23">
        <v>15.8</v>
      </c>
      <c r="G7" s="23">
        <v>18.7</v>
      </c>
      <c r="H7" s="553">
        <v>17.2</v>
      </c>
      <c r="I7" s="23">
        <v>2.9</v>
      </c>
      <c r="J7" s="72">
        <f t="shared" si="4"/>
        <v>0</v>
      </c>
      <c r="K7" s="24">
        <v>65</v>
      </c>
      <c r="L7" s="24">
        <v>81</v>
      </c>
      <c r="M7" s="554">
        <v>75</v>
      </c>
      <c r="N7" s="24">
        <v>16</v>
      </c>
      <c r="O7" s="50">
        <f t="shared" si="5"/>
        <v>0</v>
      </c>
      <c r="P7" s="24">
        <v>1018</v>
      </c>
      <c r="Q7" s="24">
        <v>1021</v>
      </c>
      <c r="R7" s="24">
        <f t="shared" si="6"/>
        <v>1019.5</v>
      </c>
      <c r="S7" s="24">
        <f t="shared" si="7"/>
        <v>3</v>
      </c>
      <c r="T7" s="50"/>
      <c r="U7" s="553">
        <v>6.4</v>
      </c>
      <c r="V7" s="553">
        <v>13.2</v>
      </c>
      <c r="W7" s="553">
        <v>19.399999999999999</v>
      </c>
      <c r="X7" s="485" t="s">
        <v>114</v>
      </c>
      <c r="Y7" s="72">
        <f t="shared" si="8"/>
        <v>0</v>
      </c>
      <c r="Z7" s="539">
        <v>0</v>
      </c>
      <c r="AA7" s="23" t="s">
        <v>619</v>
      </c>
      <c r="AB7" s="23" t="s">
        <v>619</v>
      </c>
      <c r="AC7" s="628" t="str">
        <f t="shared" si="9"/>
        <v/>
      </c>
      <c r="AD7" s="26" t="str">
        <f t="shared" si="10"/>
        <v/>
      </c>
      <c r="AE7" s="485" t="s">
        <v>619</v>
      </c>
      <c r="AF7" s="54"/>
      <c r="AG7" s="553">
        <v>11.7</v>
      </c>
      <c r="AH7" s="553">
        <v>14</v>
      </c>
      <c r="AI7" s="553">
        <v>12.7</v>
      </c>
      <c r="AJ7" s="26">
        <f t="shared" si="11"/>
        <v>2.3000000000000007</v>
      </c>
      <c r="AK7" s="54"/>
      <c r="AL7" s="485" t="s">
        <v>706</v>
      </c>
      <c r="AM7" s="134"/>
      <c r="AN7" s="23" t="s">
        <v>8</v>
      </c>
      <c r="AO7" s="400"/>
      <c r="AP7" s="485">
        <v>1</v>
      </c>
      <c r="AQ7" s="485">
        <v>0</v>
      </c>
      <c r="AR7" s="134"/>
      <c r="AS7" s="26">
        <f>IF(ISBLANK(F7),"",(AVERAGE($F$4:F7)))</f>
        <v>14.024999999999999</v>
      </c>
      <c r="AT7" s="26">
        <f>IF(ISBLANK(G7),"",(AVERAGE($G$4:G7)))</f>
        <v>24.425000000000001</v>
      </c>
      <c r="AU7" s="25">
        <f>IF(ISBLANK(H7),"",(AVERAGE($H$4:H7)))</f>
        <v>18.95</v>
      </c>
      <c r="AV7" s="368">
        <f>IF(ISBLANK(G7),"",(AVERAGE($I$4:I7)))</f>
        <v>10.4</v>
      </c>
      <c r="AW7" s="22">
        <f>IF(ISBLANK(M7),"",AVERAGE($M$4:M7))</f>
        <v>66.25</v>
      </c>
      <c r="AX7" s="376">
        <f>IF(ISBLANK(P7),"",(AVERAGE($R$4:R7)))</f>
        <v>1021.75</v>
      </c>
      <c r="AY7" s="368">
        <f>IF(ISBLANK(U7),"",(AVERAGE($U$4:U7)))</f>
        <v>4.2249999999999996</v>
      </c>
      <c r="AZ7" s="6"/>
      <c r="BA7" s="25">
        <f t="shared" si="12"/>
        <v>6.0059999999999967</v>
      </c>
      <c r="BB7" s="25">
        <f t="shared" si="13"/>
        <v>2.5246666666666755</v>
      </c>
      <c r="BC7" s="25">
        <f t="shared" ref="BC7:BC34" si="16">IF(ISBLANK(G7),"",AVERAGE(BA7:BB7))</f>
        <v>4.2653333333333361</v>
      </c>
      <c r="BD7" s="367">
        <f t="shared" si="15"/>
        <v>-3.4813333333333212</v>
      </c>
      <c r="BE7" s="72"/>
      <c r="BF7" s="25">
        <f>IF(ISBLANK(F7),"",AS7-AVERAGE($F$91:F94))</f>
        <v>4.1244999999999958</v>
      </c>
      <c r="BG7" s="25">
        <f>IF(ISBLANK(G7),"",AT7-AVERAGE($G$91:G94))</f>
        <v>8.0701666666666725</v>
      </c>
      <c r="BH7" s="367">
        <f t="shared" si="14"/>
        <v>3.9456666666666766</v>
      </c>
      <c r="BI7" s="115">
        <f t="shared" si="0"/>
        <v>0</v>
      </c>
      <c r="BJ7" s="115">
        <f t="shared" si="1"/>
        <v>2.0338137212127139</v>
      </c>
      <c r="BK7" s="402"/>
      <c r="BL7" s="572">
        <v>4</v>
      </c>
    </row>
    <row r="8" spans="1:64" ht="12.75" customHeight="1" x14ac:dyDescent="0.2">
      <c r="A8" s="394">
        <f t="shared" si="2"/>
        <v>5</v>
      </c>
      <c r="B8" s="131">
        <v>15.8</v>
      </c>
      <c r="C8" s="282">
        <v>19.100000000000001</v>
      </c>
      <c r="D8" s="685"/>
      <c r="E8" s="97">
        <f t="shared" si="3"/>
        <v>5</v>
      </c>
      <c r="F8" s="23">
        <v>15.8</v>
      </c>
      <c r="G8" s="23">
        <v>19.100000000000001</v>
      </c>
      <c r="H8" s="553">
        <v>17.3</v>
      </c>
      <c r="I8" s="23">
        <v>3.3</v>
      </c>
      <c r="J8" s="72">
        <f t="shared" si="4"/>
        <v>0</v>
      </c>
      <c r="K8" s="24">
        <v>65</v>
      </c>
      <c r="L8" s="24">
        <v>89</v>
      </c>
      <c r="M8" s="554">
        <v>78</v>
      </c>
      <c r="N8" s="24">
        <v>24</v>
      </c>
      <c r="O8" s="50">
        <f t="shared" si="5"/>
        <v>0</v>
      </c>
      <c r="P8" s="24">
        <v>1010</v>
      </c>
      <c r="Q8" s="24">
        <v>1020</v>
      </c>
      <c r="R8" s="24">
        <f t="shared" si="6"/>
        <v>1015</v>
      </c>
      <c r="S8" s="24">
        <f t="shared" si="7"/>
        <v>10</v>
      </c>
      <c r="T8" s="50"/>
      <c r="U8" s="553">
        <v>8.3000000000000007</v>
      </c>
      <c r="V8" s="553">
        <v>19.399999999999999</v>
      </c>
      <c r="W8" s="553">
        <v>27.7</v>
      </c>
      <c r="X8" s="485" t="s">
        <v>110</v>
      </c>
      <c r="Y8" s="72">
        <f t="shared" si="8"/>
        <v>0</v>
      </c>
      <c r="Z8" s="539">
        <v>0.1</v>
      </c>
      <c r="AA8" s="23" t="s">
        <v>619</v>
      </c>
      <c r="AB8" s="23" t="s">
        <v>619</v>
      </c>
      <c r="AC8" s="628">
        <f t="shared" si="9"/>
        <v>6.4516129032258064E-3</v>
      </c>
      <c r="AD8" s="26" t="str">
        <f t="shared" si="10"/>
        <v/>
      </c>
      <c r="AE8" s="485" t="s">
        <v>619</v>
      </c>
      <c r="AF8" s="54"/>
      <c r="AG8" s="553">
        <v>12.4</v>
      </c>
      <c r="AH8" s="553">
        <v>15</v>
      </c>
      <c r="AI8" s="553">
        <v>13.4</v>
      </c>
      <c r="AJ8" s="26">
        <f t="shared" si="11"/>
        <v>2.5999999999999996</v>
      </c>
      <c r="AK8" s="54"/>
      <c r="AL8" s="485" t="s">
        <v>707</v>
      </c>
      <c r="AM8" s="134"/>
      <c r="AN8" s="302" t="s">
        <v>708</v>
      </c>
      <c r="AO8" s="400"/>
      <c r="AP8" s="485">
        <v>1</v>
      </c>
      <c r="AQ8" s="485">
        <v>0.2</v>
      </c>
      <c r="AR8" s="134"/>
      <c r="AS8" s="26">
        <f>IF(ISBLANK(F8),"",(AVERAGE($F$4:F8)))</f>
        <v>14.379999999999999</v>
      </c>
      <c r="AT8" s="26">
        <f>IF(ISBLANK(G8),"",(AVERAGE($G$4:G8)))</f>
        <v>23.360000000000003</v>
      </c>
      <c r="AU8" s="25">
        <f>IF(ISBLANK(H8),"",(AVERAGE($H$4:H8)))</f>
        <v>18.619999999999997</v>
      </c>
      <c r="AV8" s="368">
        <f>IF(ISBLANK(G8),"",(AVERAGE($I$4:I8)))</f>
        <v>8.98</v>
      </c>
      <c r="AW8" s="22">
        <f>IF(ISBLANK(M8),"",AVERAGE($M$4:M8))</f>
        <v>68.599999999999994</v>
      </c>
      <c r="AX8" s="376">
        <f>IF(ISBLANK(P8),"",(AVERAGE($R$4:R8)))</f>
        <v>1020.4</v>
      </c>
      <c r="AY8" s="368">
        <f>IF(ISBLANK(U8),"",(AVERAGE($U$4:U8)))</f>
        <v>5.04</v>
      </c>
      <c r="AZ8" s="6"/>
      <c r="BA8" s="25">
        <f t="shared" si="12"/>
        <v>6.0769999999999964</v>
      </c>
      <c r="BB8" s="25">
        <f t="shared" si="13"/>
        <v>3.0443333333333449</v>
      </c>
      <c r="BC8" s="25">
        <f t="shared" si="16"/>
        <v>4.5606666666666706</v>
      </c>
      <c r="BD8" s="367">
        <f t="shared" si="15"/>
        <v>-3.0326666666666515</v>
      </c>
      <c r="BE8" s="72"/>
      <c r="BF8" s="25">
        <f>IF(ISBLANK(F8),"",AS8-AVERAGE($F$91:F95))</f>
        <v>4.5149999999999952</v>
      </c>
      <c r="BG8" s="25">
        <f>IF(ISBLANK(G8),"",AT8-AVERAGE($G$91:G95))</f>
        <v>7.0650000000000084</v>
      </c>
      <c r="BH8" s="367">
        <f t="shared" si="14"/>
        <v>2.5500000000000131</v>
      </c>
      <c r="BI8" s="115">
        <f t="shared" si="0"/>
        <v>8.9855072463768115E-3</v>
      </c>
      <c r="BJ8" s="115">
        <f t="shared" si="1"/>
        <v>1.6859735664152489</v>
      </c>
      <c r="BK8" s="420"/>
      <c r="BL8" s="572">
        <v>5</v>
      </c>
    </row>
    <row r="9" spans="1:64" ht="12.75" customHeight="1" x14ac:dyDescent="0.2">
      <c r="A9" s="394">
        <f t="shared" si="2"/>
        <v>6</v>
      </c>
      <c r="B9" s="131">
        <v>11.8</v>
      </c>
      <c r="C9" s="282">
        <v>14.9</v>
      </c>
      <c r="D9" s="685"/>
      <c r="E9" s="97">
        <f t="shared" si="3"/>
        <v>6</v>
      </c>
      <c r="F9" s="23">
        <v>10.7</v>
      </c>
      <c r="G9" s="23">
        <v>17.3</v>
      </c>
      <c r="H9" s="553">
        <v>13.4</v>
      </c>
      <c r="I9" s="23">
        <v>6.6</v>
      </c>
      <c r="J9" s="72">
        <f t="shared" si="4"/>
        <v>1</v>
      </c>
      <c r="K9" s="24">
        <v>43</v>
      </c>
      <c r="L9" s="24">
        <v>92</v>
      </c>
      <c r="M9" s="554">
        <v>65</v>
      </c>
      <c r="N9" s="24">
        <v>49</v>
      </c>
      <c r="O9" s="50">
        <f t="shared" si="5"/>
        <v>1</v>
      </c>
      <c r="P9" s="24">
        <v>1007</v>
      </c>
      <c r="Q9" s="24">
        <v>1011</v>
      </c>
      <c r="R9" s="24">
        <f t="shared" si="6"/>
        <v>1009</v>
      </c>
      <c r="S9" s="24">
        <f t="shared" si="7"/>
        <v>4</v>
      </c>
      <c r="T9" s="50"/>
      <c r="U9" s="553">
        <v>8.8000000000000007</v>
      </c>
      <c r="V9" s="553">
        <v>18.5</v>
      </c>
      <c r="W9" s="553">
        <v>28.6</v>
      </c>
      <c r="X9" s="485" t="s">
        <v>114</v>
      </c>
      <c r="Y9" s="72">
        <f t="shared" si="8"/>
        <v>2</v>
      </c>
      <c r="Z9" s="539">
        <v>3.6</v>
      </c>
      <c r="AA9" s="23">
        <v>1.7</v>
      </c>
      <c r="AB9" s="23">
        <v>1.4</v>
      </c>
      <c r="AC9" s="628">
        <f t="shared" si="9"/>
        <v>0.23225806451612901</v>
      </c>
      <c r="AD9" s="26">
        <f t="shared" si="10"/>
        <v>1.8</v>
      </c>
      <c r="AE9" s="485">
        <v>20</v>
      </c>
      <c r="AF9" s="54"/>
      <c r="AG9" s="553">
        <v>2.1</v>
      </c>
      <c r="AH9" s="553">
        <v>15.4</v>
      </c>
      <c r="AI9" s="553">
        <v>6.7</v>
      </c>
      <c r="AJ9" s="26">
        <f t="shared" si="11"/>
        <v>13.3</v>
      </c>
      <c r="AK9" s="54"/>
      <c r="AL9" s="485" t="s">
        <v>709</v>
      </c>
      <c r="AM9" s="134"/>
      <c r="AN9" s="23" t="s">
        <v>710</v>
      </c>
      <c r="AO9" s="400"/>
      <c r="AP9" s="485">
        <v>7</v>
      </c>
      <c r="AQ9" s="485">
        <v>2</v>
      </c>
      <c r="AR9" s="134"/>
      <c r="AS9" s="26">
        <f>IF(ISBLANK(F9),"",(AVERAGE($F$4:F9)))</f>
        <v>13.766666666666666</v>
      </c>
      <c r="AT9" s="26">
        <f>IF(ISBLANK(G9),"",(AVERAGE($G$4:G9)))</f>
        <v>22.350000000000005</v>
      </c>
      <c r="AU9" s="25">
        <f>IF(ISBLANK(H9),"",(AVERAGE($H$4:H9)))</f>
        <v>17.75</v>
      </c>
      <c r="AV9" s="368">
        <f>IF(ISBLANK(G9),"",(AVERAGE($I$4:I9)))</f>
        <v>8.5833333333333339</v>
      </c>
      <c r="AW9" s="22">
        <f>IF(ISBLANK(M9),"",AVERAGE($M$4:M9))</f>
        <v>68</v>
      </c>
      <c r="AX9" s="376">
        <f>IF(ISBLANK(P9),"",(AVERAGE($R$4:R9)))</f>
        <v>1018.5</v>
      </c>
      <c r="AY9" s="368">
        <f>IF(ISBLANK(U9),"",(AVERAGE($U$4:U9)))</f>
        <v>5.666666666666667</v>
      </c>
      <c r="AZ9" s="6"/>
      <c r="BA9" s="25">
        <f t="shared" si="12"/>
        <v>1.0479999999999947</v>
      </c>
      <c r="BB9" s="25">
        <f t="shared" si="13"/>
        <v>1.3640000000000114</v>
      </c>
      <c r="BC9" s="25">
        <f t="shared" si="16"/>
        <v>1.2060000000000031</v>
      </c>
      <c r="BD9" s="367">
        <f t="shared" si="15"/>
        <v>0.31600000000001671</v>
      </c>
      <c r="BE9" s="72"/>
      <c r="BF9" s="25">
        <f>IF(ISBLANK(F9),"",AS9-AVERAGE($F$91:F96))</f>
        <v>3.9371666666666627</v>
      </c>
      <c r="BG9" s="25">
        <f>IF(ISBLANK(G9),"",AT9-AVERAGE($G$91:G96))</f>
        <v>6.114833333333344</v>
      </c>
      <c r="BH9" s="367">
        <f t="shared" si="14"/>
        <v>2.1776666666666813</v>
      </c>
      <c r="BI9" s="115">
        <f t="shared" si="0"/>
        <v>0.27705314009661841</v>
      </c>
      <c r="BJ9" s="115">
        <f t="shared" si="1"/>
        <v>1.725371706597961</v>
      </c>
      <c r="BK9" s="402"/>
      <c r="BL9" s="572">
        <v>6</v>
      </c>
    </row>
    <row r="10" spans="1:64" ht="12.75" customHeight="1" x14ac:dyDescent="0.2">
      <c r="A10" s="394">
        <f t="shared" si="2"/>
        <v>7</v>
      </c>
      <c r="B10" s="131">
        <v>9.1</v>
      </c>
      <c r="C10" s="282">
        <v>15.1</v>
      </c>
      <c r="D10" s="685"/>
      <c r="E10" s="97">
        <f t="shared" si="3"/>
        <v>7</v>
      </c>
      <c r="F10" s="23">
        <v>9.1</v>
      </c>
      <c r="G10" s="23">
        <v>15.1</v>
      </c>
      <c r="H10" s="553">
        <v>11.7</v>
      </c>
      <c r="I10" s="23">
        <v>6</v>
      </c>
      <c r="J10" s="72">
        <f t="shared" si="4"/>
        <v>0</v>
      </c>
      <c r="K10" s="24">
        <v>53</v>
      </c>
      <c r="L10" s="24">
        <v>78</v>
      </c>
      <c r="M10" s="554">
        <v>69</v>
      </c>
      <c r="N10" s="24">
        <v>25</v>
      </c>
      <c r="O10" s="50">
        <f t="shared" si="5"/>
        <v>0</v>
      </c>
      <c r="P10" s="24">
        <v>1011</v>
      </c>
      <c r="Q10" s="24">
        <v>1022</v>
      </c>
      <c r="R10" s="24">
        <f t="shared" si="6"/>
        <v>1016.5</v>
      </c>
      <c r="S10" s="24">
        <f t="shared" si="7"/>
        <v>11</v>
      </c>
      <c r="T10" s="50"/>
      <c r="U10" s="553">
        <v>5.9</v>
      </c>
      <c r="V10" s="553">
        <v>14.5</v>
      </c>
      <c r="W10" s="553">
        <v>19.899999999999999</v>
      </c>
      <c r="X10" s="485" t="s">
        <v>114</v>
      </c>
      <c r="Y10" s="72">
        <f t="shared" si="8"/>
        <v>0</v>
      </c>
      <c r="Z10" s="539">
        <v>0.1</v>
      </c>
      <c r="AA10" s="23" t="s">
        <v>619</v>
      </c>
      <c r="AB10" s="23" t="s">
        <v>619</v>
      </c>
      <c r="AC10" s="628">
        <f t="shared" si="9"/>
        <v>6.4516129032258064E-3</v>
      </c>
      <c r="AD10" s="26" t="str">
        <f t="shared" si="10"/>
        <v/>
      </c>
      <c r="AE10" s="485" t="s">
        <v>619</v>
      </c>
      <c r="AF10" s="54"/>
      <c r="AG10" s="553">
        <v>4</v>
      </c>
      <c r="AH10" s="553">
        <v>8.4</v>
      </c>
      <c r="AI10" s="553">
        <v>6.1</v>
      </c>
      <c r="AJ10" s="26">
        <f t="shared" si="11"/>
        <v>4.4000000000000004</v>
      </c>
      <c r="AK10" s="54"/>
      <c r="AL10" s="485" t="s">
        <v>711</v>
      </c>
      <c r="AM10" s="134"/>
      <c r="AN10" s="302" t="s">
        <v>712</v>
      </c>
      <c r="AO10" s="400"/>
      <c r="AP10" s="485">
        <v>2.5</v>
      </c>
      <c r="AQ10" s="485">
        <v>0.4</v>
      </c>
      <c r="AR10" s="134"/>
      <c r="AS10" s="26">
        <f>IF(ISBLANK(F10),"",(AVERAGE($F$4:F10)))</f>
        <v>13.099999999999998</v>
      </c>
      <c r="AT10" s="26">
        <f>IF(ISBLANK(G10),"",(AVERAGE($G$4:G10)))</f>
        <v>21.314285714285717</v>
      </c>
      <c r="AU10" s="25">
        <f>IF(ISBLANK(H10),"",(AVERAGE($H$4:H10)))</f>
        <v>16.885714285714286</v>
      </c>
      <c r="AV10" s="368">
        <f>IF(ISBLANK(G10),"",(AVERAGE($I$4:I10)))</f>
        <v>8.2142857142857135</v>
      </c>
      <c r="AW10" s="22">
        <f>IF(ISBLANK(M10),"",AVERAGE($M$4:M10))</f>
        <v>68.142857142857139</v>
      </c>
      <c r="AX10" s="376">
        <f>IF(ISBLANK(P10),"",(AVERAGE($R$4:R10)))</f>
        <v>1018.2142857142857</v>
      </c>
      <c r="AY10" s="368">
        <f>IF(ISBLANK(U10),"",(AVERAGE($U$4:U10)))</f>
        <v>5.7</v>
      </c>
      <c r="AZ10" s="6"/>
      <c r="BA10" s="25">
        <f t="shared" si="12"/>
        <v>-0.4810000000000052</v>
      </c>
      <c r="BB10" s="25">
        <f t="shared" si="13"/>
        <v>-0.71633333333332239</v>
      </c>
      <c r="BC10" s="25">
        <f t="shared" si="16"/>
        <v>-0.59866666666666379</v>
      </c>
      <c r="BD10" s="367">
        <f t="shared" si="15"/>
        <v>-0.23533333333331719</v>
      </c>
      <c r="BE10" s="72"/>
      <c r="BF10" s="25">
        <f>IF(ISBLANK(F10),"",AS10-AVERAGE($F$91:F97))</f>
        <v>3.3059999999999956</v>
      </c>
      <c r="BG10" s="25">
        <f>IF(ISBLANK(G10),"",AT10-AVERAGE($G$91:G97))</f>
        <v>5.1389523809523929</v>
      </c>
      <c r="BH10" s="367">
        <f t="shared" si="14"/>
        <v>1.8329523809523973</v>
      </c>
      <c r="BI10" s="115">
        <f t="shared" si="0"/>
        <v>0.2438923395445135</v>
      </c>
      <c r="BJ10" s="115">
        <f t="shared" si="1"/>
        <v>1.5804241930977572</v>
      </c>
      <c r="BK10" s="402"/>
      <c r="BL10" s="572">
        <v>7</v>
      </c>
    </row>
    <row r="11" spans="1:64" ht="12.75" customHeight="1" x14ac:dyDescent="0.2">
      <c r="A11" s="394">
        <f t="shared" si="2"/>
        <v>8</v>
      </c>
      <c r="B11" s="131">
        <v>9.6</v>
      </c>
      <c r="C11" s="282">
        <v>13.7</v>
      </c>
      <c r="D11" s="685"/>
      <c r="E11" s="97">
        <f t="shared" si="3"/>
        <v>8</v>
      </c>
      <c r="F11" s="23">
        <v>9.6</v>
      </c>
      <c r="G11" s="23">
        <v>14.9</v>
      </c>
      <c r="H11" s="553">
        <v>12.1</v>
      </c>
      <c r="I11" s="23">
        <v>5.3</v>
      </c>
      <c r="J11" s="72">
        <f t="shared" si="4"/>
        <v>1</v>
      </c>
      <c r="K11" s="24">
        <v>69</v>
      </c>
      <c r="L11" s="24">
        <v>83</v>
      </c>
      <c r="M11" s="554">
        <v>75</v>
      </c>
      <c r="N11" s="24">
        <v>14</v>
      </c>
      <c r="O11" s="50">
        <f t="shared" si="5"/>
        <v>0</v>
      </c>
      <c r="P11" s="24">
        <v>1020</v>
      </c>
      <c r="Q11" s="24">
        <v>1023</v>
      </c>
      <c r="R11" s="24">
        <f t="shared" si="6"/>
        <v>1021.5</v>
      </c>
      <c r="S11" s="24">
        <f t="shared" si="7"/>
        <v>3</v>
      </c>
      <c r="T11" s="50"/>
      <c r="U11" s="553">
        <v>5.3</v>
      </c>
      <c r="V11" s="553">
        <v>10.9</v>
      </c>
      <c r="W11" s="553">
        <v>16.8</v>
      </c>
      <c r="X11" s="485" t="s">
        <v>114</v>
      </c>
      <c r="Y11" s="72">
        <f t="shared" si="8"/>
        <v>1</v>
      </c>
      <c r="Z11" s="539">
        <v>0.1</v>
      </c>
      <c r="AA11" s="23" t="s">
        <v>619</v>
      </c>
      <c r="AB11" s="23" t="s">
        <v>619</v>
      </c>
      <c r="AC11" s="628">
        <f t="shared" si="9"/>
        <v>6.4516129032258064E-3</v>
      </c>
      <c r="AD11" s="26" t="str">
        <f t="shared" si="10"/>
        <v/>
      </c>
      <c r="AE11" s="485" t="s">
        <v>619</v>
      </c>
      <c r="AF11" s="54"/>
      <c r="AG11" s="553">
        <v>6.1</v>
      </c>
      <c r="AH11" s="553">
        <v>11.9</v>
      </c>
      <c r="AI11" s="553">
        <v>7.9</v>
      </c>
      <c r="AJ11" s="26">
        <f t="shared" si="11"/>
        <v>5.8000000000000007</v>
      </c>
      <c r="AK11" s="54"/>
      <c r="AL11" s="485" t="s">
        <v>239</v>
      </c>
      <c r="AM11" s="134"/>
      <c r="AN11" s="302" t="s">
        <v>713</v>
      </c>
      <c r="AO11" s="400"/>
      <c r="AP11" s="485">
        <v>0.1</v>
      </c>
      <c r="AQ11" s="485">
        <v>0.5</v>
      </c>
      <c r="AR11" s="134"/>
      <c r="AS11" s="26">
        <f>IF(ISBLANK(F11),"",(AVERAGE($F$4:F11)))</f>
        <v>12.662499999999998</v>
      </c>
      <c r="AT11" s="26">
        <f>IF(ISBLANK(G11),"",(AVERAGE($G$4:G11)))</f>
        <v>20.512500000000003</v>
      </c>
      <c r="AU11" s="25">
        <f>IF(ISBLANK(H11),"",(AVERAGE($H$4:H11)))</f>
        <v>16.287500000000001</v>
      </c>
      <c r="AV11" s="368">
        <f>IF(ISBLANK(G11),"",(AVERAGE($I$4:I11)))</f>
        <v>7.85</v>
      </c>
      <c r="AW11" s="22">
        <f>IF(ISBLANK(M11),"",AVERAGE($M$4:M11))</f>
        <v>69</v>
      </c>
      <c r="AX11" s="376">
        <f>IF(ISBLANK(P11),"",(AVERAGE($R$4:R11)))</f>
        <v>1018.625</v>
      </c>
      <c r="AY11" s="368">
        <f>IF(ISBLANK(U11),"",(AVERAGE($U$4:U11)))</f>
        <v>5.6499999999999995</v>
      </c>
      <c r="AZ11" s="6"/>
      <c r="BA11" s="25">
        <f t="shared" si="12"/>
        <v>8.9999999999999858E-2</v>
      </c>
      <c r="BB11" s="25">
        <f t="shared" si="13"/>
        <v>-0.79666666666665442</v>
      </c>
      <c r="BC11" s="25">
        <f t="shared" si="16"/>
        <v>-0.35333333333332728</v>
      </c>
      <c r="BD11" s="367">
        <f t="shared" si="15"/>
        <v>-0.88666666666665428</v>
      </c>
      <c r="BE11" s="72"/>
      <c r="BF11" s="25">
        <f>IF(ISBLANK(F11),"",AS11-AVERAGE($F$91:F98))</f>
        <v>2.9039999999999946</v>
      </c>
      <c r="BG11" s="25">
        <f>IF(ISBLANK(G11),"",AT11-AVERAGE($G$91:G98))</f>
        <v>4.3970000000000127</v>
      </c>
      <c r="BH11" s="367">
        <f t="shared" ref="BH11:BH20" si="17">IF(ISBLANK(G11),"",BG11-BF11)</f>
        <v>1.4930000000000181</v>
      </c>
      <c r="BI11" s="115">
        <f t="shared" si="0"/>
        <v>0.21902173913043482</v>
      </c>
      <c r="BJ11" s="115">
        <f t="shared" si="1"/>
        <v>1.3904535365858082</v>
      </c>
      <c r="BK11" s="420"/>
      <c r="BL11" s="572">
        <v>8</v>
      </c>
    </row>
    <row r="12" spans="1:64" ht="12.75" customHeight="1" x14ac:dyDescent="0.2">
      <c r="A12" s="394">
        <f t="shared" si="2"/>
        <v>9</v>
      </c>
      <c r="B12" s="131">
        <v>14.4</v>
      </c>
      <c r="C12" s="282">
        <v>19.7</v>
      </c>
      <c r="D12" s="685"/>
      <c r="E12" s="97">
        <f t="shared" si="3"/>
        <v>9</v>
      </c>
      <c r="F12" s="23">
        <v>14.4</v>
      </c>
      <c r="G12" s="23">
        <v>19.7</v>
      </c>
      <c r="H12" s="553">
        <v>16.8</v>
      </c>
      <c r="I12" s="23">
        <v>5.3</v>
      </c>
      <c r="J12" s="72">
        <f t="shared" si="4"/>
        <v>0</v>
      </c>
      <c r="K12" s="24">
        <v>72</v>
      </c>
      <c r="L12" s="24">
        <v>94</v>
      </c>
      <c r="M12" s="554">
        <v>84</v>
      </c>
      <c r="N12" s="24">
        <v>22</v>
      </c>
      <c r="O12" s="50">
        <f t="shared" si="5"/>
        <v>0</v>
      </c>
      <c r="P12" s="24">
        <v>1016</v>
      </c>
      <c r="Q12" s="24">
        <v>1020</v>
      </c>
      <c r="R12" s="24">
        <f t="shared" si="6"/>
        <v>1018</v>
      </c>
      <c r="S12" s="24">
        <f t="shared" si="7"/>
        <v>4</v>
      </c>
      <c r="T12" s="50"/>
      <c r="U12" s="553">
        <v>7.2</v>
      </c>
      <c r="V12" s="553">
        <v>15.6</v>
      </c>
      <c r="W12" s="553">
        <v>22.5</v>
      </c>
      <c r="X12" s="485" t="s">
        <v>114</v>
      </c>
      <c r="Y12" s="72">
        <f t="shared" si="8"/>
        <v>2</v>
      </c>
      <c r="Z12" s="539">
        <v>1.9</v>
      </c>
      <c r="AA12" s="23">
        <v>0.9</v>
      </c>
      <c r="AB12" s="23">
        <v>0.5</v>
      </c>
      <c r="AC12" s="628">
        <f t="shared" si="9"/>
        <v>0.1225806451612903</v>
      </c>
      <c r="AD12" s="26">
        <f t="shared" si="10"/>
        <v>0.38</v>
      </c>
      <c r="AE12" s="485">
        <v>2.5</v>
      </c>
      <c r="AF12" s="54"/>
      <c r="AG12" s="553">
        <v>11.6</v>
      </c>
      <c r="AH12" s="553">
        <v>15.2</v>
      </c>
      <c r="AI12" s="553">
        <v>13.9</v>
      </c>
      <c r="AJ12" s="26">
        <f t="shared" si="11"/>
        <v>3.5999999999999996</v>
      </c>
      <c r="AK12" s="54"/>
      <c r="AL12" s="485" t="s">
        <v>670</v>
      </c>
      <c r="AM12" s="134"/>
      <c r="AN12" s="555" t="s">
        <v>714</v>
      </c>
      <c r="AO12" s="400"/>
      <c r="AP12" s="485">
        <v>2</v>
      </c>
      <c r="AQ12" s="485">
        <v>5</v>
      </c>
      <c r="AR12" s="134"/>
      <c r="AS12" s="26">
        <f>IF(ISBLANK(F12),"",(AVERAGE($F$4:F12)))</f>
        <v>12.855555555555554</v>
      </c>
      <c r="AT12" s="26">
        <f>IF(ISBLANK(G12),"",(AVERAGE($G$4:G12)))</f>
        <v>20.422222222222224</v>
      </c>
      <c r="AU12" s="25">
        <f>IF(ISBLANK(H12),"",(AVERAGE($H$4:H12)))</f>
        <v>16.344444444444449</v>
      </c>
      <c r="AV12" s="368">
        <f>IF(ISBLANK(G12),"",(AVERAGE($I$4:I12)))</f>
        <v>7.5666666666666664</v>
      </c>
      <c r="AW12" s="22">
        <f>IF(ISBLANK(M12),"",AVERAGE($M$4:M12))</f>
        <v>70.666666666666671</v>
      </c>
      <c r="AX12" s="376">
        <f>IF(ISBLANK(P12),"",(AVERAGE($R$4:R12)))</f>
        <v>1018.5555555555555</v>
      </c>
      <c r="AY12" s="368">
        <f>IF(ISBLANK(U12),"",(AVERAGE($U$4:U12)))</f>
        <v>5.822222222222222</v>
      </c>
      <c r="AZ12" s="6"/>
      <c r="BA12" s="25">
        <f t="shared" si="12"/>
        <v>4.960999999999995</v>
      </c>
      <c r="BB12" s="25">
        <f t="shared" si="13"/>
        <v>4.1230000000000118</v>
      </c>
      <c r="BC12" s="25">
        <f t="shared" si="16"/>
        <v>4.5420000000000034</v>
      </c>
      <c r="BD12" s="367">
        <f t="shared" si="15"/>
        <v>-0.8379999999999832</v>
      </c>
      <c r="BE12" s="72"/>
      <c r="BF12" s="25">
        <f>IF(ISBLANK(F12),"",AS12-AVERAGE($F$91:F99))</f>
        <v>3.13255555555555</v>
      </c>
      <c r="BG12" s="25">
        <f>IF(ISBLANK(G12),"",AT12-AVERAGE($G$91:G99))</f>
        <v>4.3665555555555677</v>
      </c>
      <c r="BH12" s="367">
        <f t="shared" si="17"/>
        <v>1.2340000000000177</v>
      </c>
      <c r="BI12" s="115">
        <f t="shared" si="0"/>
        <v>0.28953301127214176</v>
      </c>
      <c r="BJ12" s="115">
        <f t="shared" si="1"/>
        <v>1.3004652216940373</v>
      </c>
      <c r="BK12" s="402"/>
      <c r="BL12" s="572">
        <v>9</v>
      </c>
    </row>
    <row r="13" spans="1:64" ht="12.75" customHeight="1" x14ac:dyDescent="0.2">
      <c r="A13" s="394">
        <f t="shared" si="2"/>
        <v>10</v>
      </c>
      <c r="B13" s="131">
        <v>15.8</v>
      </c>
      <c r="C13" s="282">
        <v>19.5</v>
      </c>
      <c r="D13" s="685"/>
      <c r="E13" s="97">
        <f t="shared" si="3"/>
        <v>10</v>
      </c>
      <c r="F13" s="23">
        <v>15.8</v>
      </c>
      <c r="G13" s="23">
        <v>19.5</v>
      </c>
      <c r="H13" s="553">
        <v>17.2</v>
      </c>
      <c r="I13" s="23">
        <v>3.7</v>
      </c>
      <c r="J13" s="72">
        <f t="shared" si="4"/>
        <v>0</v>
      </c>
      <c r="K13" s="24">
        <v>62</v>
      </c>
      <c r="L13" s="24">
        <v>84</v>
      </c>
      <c r="M13" s="554">
        <v>75</v>
      </c>
      <c r="N13" s="24">
        <v>22</v>
      </c>
      <c r="O13" s="50">
        <f t="shared" si="5"/>
        <v>0</v>
      </c>
      <c r="P13" s="24">
        <v>1016</v>
      </c>
      <c r="Q13" s="24">
        <v>1019</v>
      </c>
      <c r="R13" s="24">
        <f t="shared" si="6"/>
        <v>1017.5</v>
      </c>
      <c r="S13" s="24">
        <f t="shared" si="7"/>
        <v>3</v>
      </c>
      <c r="T13" s="50"/>
      <c r="U13" s="553">
        <v>10.8</v>
      </c>
      <c r="V13" s="553">
        <v>21.5</v>
      </c>
      <c r="W13" s="553">
        <v>37.700000000000003</v>
      </c>
      <c r="X13" s="485" t="s">
        <v>110</v>
      </c>
      <c r="Y13" s="72">
        <f t="shared" si="8"/>
        <v>0</v>
      </c>
      <c r="Z13" s="539">
        <v>0</v>
      </c>
      <c r="AA13" s="23" t="s">
        <v>619</v>
      </c>
      <c r="AB13" s="23" t="s">
        <v>619</v>
      </c>
      <c r="AC13" s="628" t="str">
        <f t="shared" si="9"/>
        <v/>
      </c>
      <c r="AD13" s="26" t="str">
        <f t="shared" si="10"/>
        <v/>
      </c>
      <c r="AE13" s="485" t="s">
        <v>619</v>
      </c>
      <c r="AF13" s="54"/>
      <c r="AG13" s="553">
        <v>11.7</v>
      </c>
      <c r="AH13" s="553">
        <v>14.2</v>
      </c>
      <c r="AI13" s="553">
        <v>12.7</v>
      </c>
      <c r="AJ13" s="26">
        <f t="shared" si="11"/>
        <v>2.5</v>
      </c>
      <c r="AK13" s="54"/>
      <c r="AL13" s="485" t="s">
        <v>715</v>
      </c>
      <c r="AM13" s="134"/>
      <c r="AN13" s="555" t="s">
        <v>8</v>
      </c>
      <c r="AO13" s="400"/>
      <c r="AP13" s="485">
        <v>3.5</v>
      </c>
      <c r="AQ13" s="485">
        <v>0</v>
      </c>
      <c r="AR13" s="134"/>
      <c r="AS13" s="26">
        <f>IF(ISBLANK(F13),"",(AVERAGE($F$4:F13)))</f>
        <v>13.15</v>
      </c>
      <c r="AT13" s="26">
        <f>IF(ISBLANK(G13),"",(AVERAGE($G$4:G13)))</f>
        <v>20.330000000000002</v>
      </c>
      <c r="AU13" s="25">
        <f>IF(ISBLANK(H13),"",(AVERAGE($H$4:H13)))</f>
        <v>16.43</v>
      </c>
      <c r="AV13" s="368">
        <f>IF(ISBLANK(G13),"",(AVERAGE($I$4:I13)))</f>
        <v>7.18</v>
      </c>
      <c r="AW13" s="22">
        <f>IF(ISBLANK(M13),"",AVERAGE($M$4:M13))</f>
        <v>71.099999999999994</v>
      </c>
      <c r="AX13" s="376">
        <f>IF(ISBLANK(P13),"",(AVERAGE($R$4:R13)))</f>
        <v>1018.45</v>
      </c>
      <c r="AY13" s="368">
        <f>IF(ISBLANK(U13),"",(AVERAGE($U$4:U13)))</f>
        <v>6.32</v>
      </c>
      <c r="AZ13" s="6"/>
      <c r="BA13" s="25">
        <f t="shared" si="12"/>
        <v>6.4319999999999951</v>
      </c>
      <c r="BB13" s="25">
        <f t="shared" si="13"/>
        <v>4.0426666666666797</v>
      </c>
      <c r="BC13" s="25">
        <f t="shared" si="16"/>
        <v>5.2373333333333374</v>
      </c>
      <c r="BD13" s="367">
        <f t="shared" si="15"/>
        <v>-2.3893333333333153</v>
      </c>
      <c r="BE13" s="72"/>
      <c r="BF13" s="25">
        <f>IF(ISBLANK(F13),"",AS13-AVERAGE($F$91:F100))</f>
        <v>3.4624999999999968</v>
      </c>
      <c r="BG13" s="25">
        <f>IF(ISBLANK(G13),"",AT13-AVERAGE($G$91:G100))</f>
        <v>4.3341666666666789</v>
      </c>
      <c r="BH13" s="367">
        <f t="shared" si="17"/>
        <v>0.87166666666668213</v>
      </c>
      <c r="BI13" s="115">
        <f t="shared" si="0"/>
        <v>0.26057971014492759</v>
      </c>
      <c r="BJ13" s="115">
        <f t="shared" si="1"/>
        <v>1.269964934381528</v>
      </c>
      <c r="BK13" s="402"/>
      <c r="BL13" s="572">
        <v>10</v>
      </c>
    </row>
    <row r="14" spans="1:64" ht="12.75" customHeight="1" x14ac:dyDescent="0.2">
      <c r="A14" s="394">
        <f t="shared" si="2"/>
        <v>11</v>
      </c>
      <c r="B14" s="131">
        <v>15.8</v>
      </c>
      <c r="C14" s="282">
        <v>18.399999999999999</v>
      </c>
      <c r="D14" s="685"/>
      <c r="E14" s="97">
        <f t="shared" si="3"/>
        <v>11</v>
      </c>
      <c r="F14" s="23">
        <v>15.3</v>
      </c>
      <c r="G14" s="23">
        <v>18.399999999999999</v>
      </c>
      <c r="H14" s="553">
        <v>16.8</v>
      </c>
      <c r="I14" s="23">
        <v>3.1</v>
      </c>
      <c r="J14" s="72">
        <f t="shared" si="4"/>
        <v>0</v>
      </c>
      <c r="K14" s="24">
        <v>71</v>
      </c>
      <c r="L14" s="24">
        <v>83</v>
      </c>
      <c r="M14" s="554">
        <v>76</v>
      </c>
      <c r="N14" s="24">
        <v>12</v>
      </c>
      <c r="O14" s="50">
        <f t="shared" si="5"/>
        <v>1</v>
      </c>
      <c r="P14" s="24">
        <v>1017</v>
      </c>
      <c r="Q14" s="24">
        <v>1021</v>
      </c>
      <c r="R14" s="24">
        <f t="shared" si="6"/>
        <v>1019</v>
      </c>
      <c r="S14" s="24">
        <f t="shared" si="7"/>
        <v>4</v>
      </c>
      <c r="T14" s="50"/>
      <c r="U14" s="553">
        <v>8.1</v>
      </c>
      <c r="V14" s="553">
        <v>16.8</v>
      </c>
      <c r="W14" s="553">
        <v>23.7</v>
      </c>
      <c r="X14" s="485" t="s">
        <v>114</v>
      </c>
      <c r="Y14" s="72">
        <f t="shared" si="8"/>
        <v>0</v>
      </c>
      <c r="Z14" s="539">
        <v>0</v>
      </c>
      <c r="AA14" s="23" t="s">
        <v>619</v>
      </c>
      <c r="AB14" s="23" t="s">
        <v>619</v>
      </c>
      <c r="AC14" s="628" t="str">
        <f t="shared" si="9"/>
        <v/>
      </c>
      <c r="AD14" s="26" t="str">
        <f t="shared" si="10"/>
        <v/>
      </c>
      <c r="AE14" s="485" t="s">
        <v>619</v>
      </c>
      <c r="AF14" s="54"/>
      <c r="AG14" s="553">
        <v>11.4</v>
      </c>
      <c r="AH14" s="553">
        <v>13.4</v>
      </c>
      <c r="AI14" s="553">
        <v>12.5</v>
      </c>
      <c r="AJ14" s="26">
        <f t="shared" si="11"/>
        <v>2</v>
      </c>
      <c r="AK14" s="54"/>
      <c r="AL14" s="485" t="s">
        <v>716</v>
      </c>
      <c r="AM14" s="134"/>
      <c r="AN14" s="555" t="s">
        <v>8</v>
      </c>
      <c r="AO14" s="400"/>
      <c r="AP14" s="485">
        <v>1.5</v>
      </c>
      <c r="AQ14" s="485">
        <v>0</v>
      </c>
      <c r="AR14" s="134"/>
      <c r="AS14" s="26">
        <f>IF(ISBLANK(F14),"",(AVERAGE($F$4:F14)))</f>
        <v>13.345454545454546</v>
      </c>
      <c r="AT14" s="26">
        <f>IF(ISBLANK(G14),"",(AVERAGE($G$4:G14)))</f>
        <v>20.154545454545456</v>
      </c>
      <c r="AU14" s="25">
        <f>IF(ISBLANK(H14),"",(AVERAGE($H$4:H14)))</f>
        <v>16.463636363636365</v>
      </c>
      <c r="AV14" s="368">
        <f>IF(ISBLANK(G14),"",(AVERAGE($I$4:I14)))</f>
        <v>6.8090909090909086</v>
      </c>
      <c r="AW14" s="22">
        <f>IF(ISBLANK(M14),"",AVERAGE($M$4:M14))</f>
        <v>71.545454545454547</v>
      </c>
      <c r="AX14" s="376">
        <f>IF(ISBLANK(P14),"",(AVERAGE($R$4:R14)))</f>
        <v>1018.5</v>
      </c>
      <c r="AY14" s="368">
        <f>IF(ISBLANK(U14),"",(AVERAGE($U$4:U14)))</f>
        <v>6.4818181818181815</v>
      </c>
      <c r="AZ14" s="6"/>
      <c r="BA14" s="25">
        <f t="shared" si="12"/>
        <v>6.0029999999999948</v>
      </c>
      <c r="BB14" s="25">
        <f t="shared" si="13"/>
        <v>3.0623333333333456</v>
      </c>
      <c r="BC14" s="25">
        <f t="shared" si="16"/>
        <v>4.5326666666666702</v>
      </c>
      <c r="BD14" s="367">
        <f t="shared" si="15"/>
        <v>-2.9406666666666492</v>
      </c>
      <c r="BE14" s="72"/>
      <c r="BF14" s="25">
        <f>IF(ISBLANK(F14),"",AS14-AVERAGE($F$91:F101))</f>
        <v>3.6934545454545411</v>
      </c>
      <c r="BG14" s="25">
        <f>IF(ISBLANK(G14),"",AT14-AVERAGE($G$91:G101))</f>
        <v>4.2185454545454668</v>
      </c>
      <c r="BH14" s="367">
        <f t="shared" si="17"/>
        <v>0.52509090909092571</v>
      </c>
      <c r="BI14" s="115">
        <f t="shared" si="0"/>
        <v>0.23689064558629783</v>
      </c>
      <c r="BJ14" s="115">
        <f t="shared" si="1"/>
        <v>1.1955319455113544</v>
      </c>
      <c r="BK14" s="402"/>
      <c r="BL14" s="572">
        <v>11</v>
      </c>
    </row>
    <row r="15" spans="1:64" ht="12.75" customHeight="1" x14ac:dyDescent="0.2">
      <c r="A15" s="394">
        <f t="shared" si="2"/>
        <v>12</v>
      </c>
      <c r="B15" s="131">
        <v>14.7</v>
      </c>
      <c r="C15" s="282">
        <v>18.8</v>
      </c>
      <c r="D15" s="685"/>
      <c r="E15" s="97">
        <f t="shared" si="3"/>
        <v>12</v>
      </c>
      <c r="F15" s="23">
        <v>14.7</v>
      </c>
      <c r="G15" s="23">
        <v>18.8</v>
      </c>
      <c r="H15" s="553">
        <v>16.3</v>
      </c>
      <c r="I15" s="23">
        <v>4.0999999999999996</v>
      </c>
      <c r="J15" s="72">
        <f t="shared" si="4"/>
        <v>0</v>
      </c>
      <c r="K15" s="24">
        <v>69</v>
      </c>
      <c r="L15" s="24">
        <v>87</v>
      </c>
      <c r="M15" s="554">
        <v>79</v>
      </c>
      <c r="N15" s="24">
        <v>18</v>
      </c>
      <c r="O15" s="50">
        <f t="shared" si="5"/>
        <v>0</v>
      </c>
      <c r="P15" s="24">
        <v>1019</v>
      </c>
      <c r="Q15" s="24">
        <v>1024</v>
      </c>
      <c r="R15" s="24">
        <f t="shared" si="6"/>
        <v>1021.5</v>
      </c>
      <c r="S15" s="24">
        <f t="shared" si="7"/>
        <v>5</v>
      </c>
      <c r="T15" s="50"/>
      <c r="U15" s="553">
        <v>4.9000000000000004</v>
      </c>
      <c r="V15" s="553">
        <v>10.7</v>
      </c>
      <c r="W15" s="553">
        <v>14.7</v>
      </c>
      <c r="X15" s="485" t="s">
        <v>114</v>
      </c>
      <c r="Y15" s="72">
        <f t="shared" si="8"/>
        <v>0</v>
      </c>
      <c r="Z15" s="539">
        <v>0</v>
      </c>
      <c r="AA15" s="23" t="s">
        <v>619</v>
      </c>
      <c r="AB15" s="23" t="s">
        <v>619</v>
      </c>
      <c r="AC15" s="628" t="str">
        <f t="shared" si="9"/>
        <v/>
      </c>
      <c r="AD15" s="26" t="str">
        <f t="shared" si="10"/>
        <v/>
      </c>
      <c r="AE15" s="485" t="s">
        <v>619</v>
      </c>
      <c r="AF15" s="54"/>
      <c r="AG15" s="553">
        <v>11.5</v>
      </c>
      <c r="AH15" s="553">
        <v>14.3</v>
      </c>
      <c r="AI15" s="553">
        <v>12.7</v>
      </c>
      <c r="AJ15" s="26">
        <f t="shared" si="11"/>
        <v>2.8000000000000007</v>
      </c>
      <c r="AK15" s="54"/>
      <c r="AL15" s="485" t="s">
        <v>717</v>
      </c>
      <c r="AM15" s="134"/>
      <c r="AN15" s="555" t="s">
        <v>8</v>
      </c>
      <c r="AO15" s="400"/>
      <c r="AP15" s="485">
        <v>1</v>
      </c>
      <c r="AQ15" s="485">
        <v>0</v>
      </c>
      <c r="AR15" s="134"/>
      <c r="AS15" s="26">
        <f>IF(ISBLANK(F15),"",(AVERAGE($F$4:F15)))</f>
        <v>13.458333333333334</v>
      </c>
      <c r="AT15" s="26">
        <f>IF(ISBLANK(G15),"",(AVERAGE($G$4:G15)))</f>
        <v>20.041666666666668</v>
      </c>
      <c r="AU15" s="25">
        <f>IF(ISBLANK(H15),"",(AVERAGE($H$4:H15)))</f>
        <v>16.450000000000003</v>
      </c>
      <c r="AV15" s="368">
        <f>IF(ISBLANK(G15),"",(AVERAGE($I$4:I15)))</f>
        <v>6.5833333333333321</v>
      </c>
      <c r="AW15" s="22">
        <f>IF(ISBLANK(M15),"",AVERAGE($M$4:M15))</f>
        <v>72.166666666666671</v>
      </c>
      <c r="AX15" s="376">
        <f>IF(ISBLANK(P15),"",(AVERAGE($R$4:R15)))</f>
        <v>1018.75</v>
      </c>
      <c r="AY15" s="368">
        <f>IF(ISBLANK(U15),"",(AVERAGE($U$4:U15)))</f>
        <v>6.3500000000000005</v>
      </c>
      <c r="AZ15" s="6"/>
      <c r="BA15" s="25">
        <f t="shared" si="12"/>
        <v>5.4739999999999931</v>
      </c>
      <c r="BB15" s="25">
        <f t="shared" si="13"/>
        <v>3.5820000000000149</v>
      </c>
      <c r="BC15" s="25">
        <f t="shared" si="16"/>
        <v>4.528000000000004</v>
      </c>
      <c r="BD15" s="367">
        <f t="shared" si="15"/>
        <v>-1.8919999999999781</v>
      </c>
      <c r="BE15" s="72"/>
      <c r="BF15" s="25">
        <f>IF(ISBLANK(F15),"",AS15-AVERAGE($F$91:F102))</f>
        <v>3.8418333333333301</v>
      </c>
      <c r="BG15" s="25">
        <f>IF(ISBLANK(G15),"",AT15-AVERAGE($G$91:G102))</f>
        <v>4.1655000000000122</v>
      </c>
      <c r="BH15" s="367">
        <f t="shared" si="17"/>
        <v>0.32366666666668209</v>
      </c>
      <c r="BI15" s="115">
        <f t="shared" si="0"/>
        <v>0.21714975845410633</v>
      </c>
      <c r="BJ15" s="115">
        <f t="shared" si="1"/>
        <v>1.1222294518895779</v>
      </c>
      <c r="BK15" s="402"/>
      <c r="BL15" s="572">
        <v>12</v>
      </c>
    </row>
    <row r="16" spans="1:64" ht="12.75" customHeight="1" x14ac:dyDescent="0.2">
      <c r="A16" s="394">
        <f t="shared" si="2"/>
        <v>13</v>
      </c>
      <c r="B16" s="131">
        <v>14</v>
      </c>
      <c r="C16" s="282">
        <v>15.7</v>
      </c>
      <c r="D16" s="685"/>
      <c r="E16" s="97">
        <f t="shared" si="3"/>
        <v>13</v>
      </c>
      <c r="F16" s="23">
        <v>11.1</v>
      </c>
      <c r="G16" s="23">
        <v>15.9</v>
      </c>
      <c r="H16" s="553">
        <v>14.3</v>
      </c>
      <c r="I16" s="23">
        <v>4.8</v>
      </c>
      <c r="J16" s="72">
        <f t="shared" si="4"/>
        <v>1</v>
      </c>
      <c r="K16" s="24">
        <v>74</v>
      </c>
      <c r="L16" s="24">
        <v>91</v>
      </c>
      <c r="M16" s="554">
        <v>84</v>
      </c>
      <c r="N16" s="24">
        <v>17</v>
      </c>
      <c r="O16" s="50">
        <f t="shared" si="5"/>
        <v>1</v>
      </c>
      <c r="P16" s="24">
        <v>1025</v>
      </c>
      <c r="Q16" s="24">
        <v>1032</v>
      </c>
      <c r="R16" s="24">
        <f t="shared" si="6"/>
        <v>1028.5</v>
      </c>
      <c r="S16" s="24">
        <f t="shared" si="7"/>
        <v>7</v>
      </c>
      <c r="T16" s="50"/>
      <c r="U16" s="553">
        <v>3.2</v>
      </c>
      <c r="V16" s="553">
        <v>8.1</v>
      </c>
      <c r="W16" s="553">
        <v>11.2</v>
      </c>
      <c r="X16" s="485" t="s">
        <v>105</v>
      </c>
      <c r="Y16" s="72">
        <f t="shared" si="8"/>
        <v>0</v>
      </c>
      <c r="Z16" s="539">
        <v>0</v>
      </c>
      <c r="AA16" s="23" t="s">
        <v>619</v>
      </c>
      <c r="AB16" s="23" t="s">
        <v>619</v>
      </c>
      <c r="AC16" s="628" t="str">
        <f t="shared" si="9"/>
        <v/>
      </c>
      <c r="AD16" s="26" t="str">
        <f t="shared" si="10"/>
        <v/>
      </c>
      <c r="AE16" s="485" t="s">
        <v>619</v>
      </c>
      <c r="AF16" s="54"/>
      <c r="AG16" s="553">
        <v>7.5</v>
      </c>
      <c r="AH16" s="553">
        <v>13.6</v>
      </c>
      <c r="AI16" s="553">
        <v>11.7</v>
      </c>
      <c r="AJ16" s="26">
        <f t="shared" si="11"/>
        <v>6.1</v>
      </c>
      <c r="AK16" s="54"/>
      <c r="AL16" s="485" t="s">
        <v>335</v>
      </c>
      <c r="AM16" s="134"/>
      <c r="AN16" s="555" t="s">
        <v>8</v>
      </c>
      <c r="AO16" s="400"/>
      <c r="AP16" s="485">
        <v>0.5</v>
      </c>
      <c r="AQ16" s="485">
        <v>0</v>
      </c>
      <c r="AR16" s="134"/>
      <c r="AS16" s="26">
        <f>IF(ISBLANK(F16),"",(AVERAGE($F$4:F16)))</f>
        <v>13.276923076923076</v>
      </c>
      <c r="AT16" s="26">
        <f>IF(ISBLANK(G16),"",(AVERAGE($G$4:G16)))</f>
        <v>19.723076923076924</v>
      </c>
      <c r="AU16" s="25">
        <f>IF(ISBLANK(H16),"",(AVERAGE($H$4:H16)))</f>
        <v>16.284615384615389</v>
      </c>
      <c r="AV16" s="368">
        <f>IF(ISBLANK(G16),"",(AVERAGE($I$4:I16)))</f>
        <v>6.4461538461538446</v>
      </c>
      <c r="AW16" s="22">
        <f>IF(ISBLANK(M16),"",AVERAGE($M$4:M16))</f>
        <v>73.07692307692308</v>
      </c>
      <c r="AX16" s="376">
        <f>IF(ISBLANK(P16),"",(AVERAGE($R$4:R16)))</f>
        <v>1019.5</v>
      </c>
      <c r="AY16" s="368">
        <f>IF(ISBLANK(U16),"",(AVERAGE($U$4:U16)))</f>
        <v>6.1076923076923082</v>
      </c>
      <c r="AZ16" s="6"/>
      <c r="BA16" s="25">
        <f t="shared" si="12"/>
        <v>1.9449999999999932</v>
      </c>
      <c r="BB16" s="25">
        <f t="shared" si="13"/>
        <v>0.80166666666668185</v>
      </c>
      <c r="BC16" s="25">
        <f t="shared" si="16"/>
        <v>1.3733333333333375</v>
      </c>
      <c r="BD16" s="367">
        <f t="shared" si="15"/>
        <v>-1.1433333333333113</v>
      </c>
      <c r="BE16" s="72"/>
      <c r="BF16" s="25">
        <f>IF(ISBLANK(F16),"",AS16-AVERAGE($F$91:F103))</f>
        <v>3.6959230769230711</v>
      </c>
      <c r="BG16" s="25">
        <f>IF(ISBLANK(G16),"",AT16-AVERAGE($G$91:G103))</f>
        <v>3.906743589743602</v>
      </c>
      <c r="BH16" s="367">
        <f t="shared" si="17"/>
        <v>0.21082051282053094</v>
      </c>
      <c r="BI16" s="115">
        <f t="shared" si="0"/>
        <v>0.20044593088071352</v>
      </c>
      <c r="BJ16" s="115">
        <f t="shared" si="1"/>
        <v>1.0497008202066627</v>
      </c>
      <c r="BK16" s="402"/>
      <c r="BL16" s="572">
        <v>13</v>
      </c>
    </row>
    <row r="17" spans="1:64" ht="12.75" customHeight="1" x14ac:dyDescent="0.2">
      <c r="A17" s="394">
        <f t="shared" si="2"/>
        <v>14</v>
      </c>
      <c r="B17" s="131">
        <v>8.6</v>
      </c>
      <c r="C17" s="282">
        <v>15.1</v>
      </c>
      <c r="D17" s="685"/>
      <c r="E17" s="97">
        <f t="shared" si="3"/>
        <v>14</v>
      </c>
      <c r="F17" s="23">
        <v>7.5</v>
      </c>
      <c r="G17" s="23">
        <v>15.1</v>
      </c>
      <c r="H17" s="553">
        <v>11.7</v>
      </c>
      <c r="I17" s="23">
        <v>7.6</v>
      </c>
      <c r="J17" s="72">
        <f t="shared" si="4"/>
        <v>0</v>
      </c>
      <c r="K17" s="24">
        <v>47</v>
      </c>
      <c r="L17" s="24">
        <v>86</v>
      </c>
      <c r="M17" s="554">
        <v>67</v>
      </c>
      <c r="N17" s="24">
        <v>39</v>
      </c>
      <c r="O17" s="50">
        <f t="shared" si="5"/>
        <v>1</v>
      </c>
      <c r="P17" s="24">
        <v>1028</v>
      </c>
      <c r="Q17" s="24">
        <v>1033</v>
      </c>
      <c r="R17" s="24">
        <f t="shared" si="6"/>
        <v>1030.5</v>
      </c>
      <c r="S17" s="24">
        <f t="shared" si="7"/>
        <v>5</v>
      </c>
      <c r="T17" s="50"/>
      <c r="U17" s="553">
        <v>3.2</v>
      </c>
      <c r="V17" s="553">
        <v>10.199999999999999</v>
      </c>
      <c r="W17" s="553">
        <v>16.100000000000001</v>
      </c>
      <c r="X17" s="485" t="s">
        <v>106</v>
      </c>
      <c r="Y17" s="72">
        <f t="shared" si="8"/>
        <v>0</v>
      </c>
      <c r="Z17" s="539">
        <v>0</v>
      </c>
      <c r="AA17" s="23" t="s">
        <v>619</v>
      </c>
      <c r="AB17" s="23" t="s">
        <v>619</v>
      </c>
      <c r="AC17" s="628" t="str">
        <f t="shared" si="9"/>
        <v/>
      </c>
      <c r="AD17" s="26" t="str">
        <f t="shared" si="10"/>
        <v/>
      </c>
      <c r="AE17" s="485" t="s">
        <v>619</v>
      </c>
      <c r="AF17" s="54"/>
      <c r="AG17" s="553">
        <v>3.1</v>
      </c>
      <c r="AH17" s="553">
        <v>8.4</v>
      </c>
      <c r="AI17" s="553">
        <v>5.4</v>
      </c>
      <c r="AJ17" s="26">
        <f t="shared" si="11"/>
        <v>5.3000000000000007</v>
      </c>
      <c r="AK17" s="54"/>
      <c r="AL17" s="485" t="s">
        <v>378</v>
      </c>
      <c r="AM17" s="134"/>
      <c r="AN17" s="555" t="s">
        <v>8</v>
      </c>
      <c r="AO17" s="400"/>
      <c r="AP17" s="485">
        <v>9</v>
      </c>
      <c r="AQ17" s="485">
        <v>0</v>
      </c>
      <c r="AR17" s="134"/>
      <c r="AS17" s="26">
        <f>IF(ISBLANK(F17),"",(AVERAGE($F$4:F17)))</f>
        <v>12.864285714285714</v>
      </c>
      <c r="AT17" s="26">
        <f>IF(ISBLANK(G17),"",(AVERAGE($G$4:G17)))</f>
        <v>19.392857142857146</v>
      </c>
      <c r="AU17" s="25">
        <f>IF(ISBLANK(H17),"",(AVERAGE($H$4:H17)))</f>
        <v>15.957142857142859</v>
      </c>
      <c r="AV17" s="368">
        <f>IF(ISBLANK(G17),"",(AVERAGE($I$4:I17)))</f>
        <v>6.5285714285714267</v>
      </c>
      <c r="AW17" s="22">
        <f>IF(ISBLANK(M17),"",AVERAGE($M$4:M17))</f>
        <v>72.642857142857139</v>
      </c>
      <c r="AX17" s="376">
        <f>IF(ISBLANK(P17),"",(AVERAGE($R$4:R17)))</f>
        <v>1020.2857142857143</v>
      </c>
      <c r="AY17" s="368">
        <f>IF(ISBLANK(U17),"",(AVERAGE($U$4:U17)))</f>
        <v>5.9</v>
      </c>
      <c r="AZ17" s="6"/>
      <c r="BA17" s="25">
        <f t="shared" si="12"/>
        <v>-1.5840000000000067</v>
      </c>
      <c r="BB17" s="25">
        <f t="shared" si="13"/>
        <v>0.12133333333334839</v>
      </c>
      <c r="BC17" s="25">
        <f t="shared" si="16"/>
        <v>-0.73133333333332917</v>
      </c>
      <c r="BD17" s="367">
        <f t="shared" si="15"/>
        <v>1.7053333333333551</v>
      </c>
      <c r="BE17" s="72"/>
      <c r="BF17" s="25">
        <f>IF(ISBLANK(F17),"",AS17-AVERAGE($F$91:F104))</f>
        <v>3.3187857142857098</v>
      </c>
      <c r="BG17" s="25">
        <f>IF(ISBLANK(G17),"",AT17-AVERAGE($G$91:G104))</f>
        <v>3.6363571428571575</v>
      </c>
      <c r="BH17" s="367">
        <f t="shared" si="17"/>
        <v>0.31757142857144771</v>
      </c>
      <c r="BI17" s="115">
        <f t="shared" si="0"/>
        <v>0.186128364389234</v>
      </c>
      <c r="BJ17" s="115">
        <f t="shared" si="1"/>
        <v>1.1561735578950461</v>
      </c>
      <c r="BK17" s="402"/>
      <c r="BL17" s="572">
        <v>14</v>
      </c>
    </row>
    <row r="18" spans="1:64" ht="12.75" customHeight="1" x14ac:dyDescent="0.2">
      <c r="A18" s="394">
        <f t="shared" si="2"/>
        <v>15</v>
      </c>
      <c r="B18" s="131">
        <v>5.6</v>
      </c>
      <c r="C18" s="282">
        <v>16</v>
      </c>
      <c r="D18" s="685"/>
      <c r="E18" s="97">
        <f t="shared" si="3"/>
        <v>15</v>
      </c>
      <c r="F18" s="23">
        <v>5.6</v>
      </c>
      <c r="G18" s="23">
        <v>16</v>
      </c>
      <c r="H18" s="553">
        <v>10.199999999999999</v>
      </c>
      <c r="I18" s="23">
        <v>10.4</v>
      </c>
      <c r="J18" s="72">
        <f t="shared" si="4"/>
        <v>0</v>
      </c>
      <c r="K18" s="24">
        <v>49</v>
      </c>
      <c r="L18" s="24">
        <v>92</v>
      </c>
      <c r="M18" s="554">
        <v>72</v>
      </c>
      <c r="N18" s="24">
        <v>43</v>
      </c>
      <c r="O18" s="50">
        <f t="shared" si="5"/>
        <v>0</v>
      </c>
      <c r="P18" s="24">
        <v>1023</v>
      </c>
      <c r="Q18" s="24">
        <v>1028</v>
      </c>
      <c r="R18" s="24">
        <f t="shared" si="6"/>
        <v>1025.5</v>
      </c>
      <c r="S18" s="24">
        <f t="shared" si="7"/>
        <v>5</v>
      </c>
      <c r="T18" s="50"/>
      <c r="U18" s="553">
        <v>1.6</v>
      </c>
      <c r="V18" s="553">
        <v>6.9</v>
      </c>
      <c r="W18" s="553">
        <v>10.199999999999999</v>
      </c>
      <c r="X18" s="562" t="s">
        <v>106</v>
      </c>
      <c r="Y18" s="72">
        <f t="shared" si="8"/>
        <v>0</v>
      </c>
      <c r="Z18" s="539">
        <v>0</v>
      </c>
      <c r="AA18" s="23" t="s">
        <v>619</v>
      </c>
      <c r="AB18" s="23" t="s">
        <v>619</v>
      </c>
      <c r="AC18" s="628" t="str">
        <f t="shared" si="9"/>
        <v/>
      </c>
      <c r="AD18" s="26" t="str">
        <f t="shared" si="10"/>
        <v/>
      </c>
      <c r="AE18" s="485" t="s">
        <v>619</v>
      </c>
      <c r="AF18" s="54"/>
      <c r="AG18" s="553">
        <v>2.9</v>
      </c>
      <c r="AH18" s="553">
        <v>8.4</v>
      </c>
      <c r="AI18" s="553">
        <v>5</v>
      </c>
      <c r="AJ18" s="26">
        <f t="shared" si="11"/>
        <v>5.5</v>
      </c>
      <c r="AK18" s="54"/>
      <c r="AL18" s="485" t="s">
        <v>238</v>
      </c>
      <c r="AM18" s="134"/>
      <c r="AN18" s="564" t="s">
        <v>253</v>
      </c>
      <c r="AO18" s="400"/>
      <c r="AP18" s="485">
        <v>9.6</v>
      </c>
      <c r="AQ18" s="485">
        <v>0</v>
      </c>
      <c r="AR18" s="134"/>
      <c r="AS18" s="26">
        <f>IF(ISBLANK(F18),"",(AVERAGE($F$4:F18)))</f>
        <v>12.379999999999999</v>
      </c>
      <c r="AT18" s="26">
        <f>IF(ISBLANK(G18),"",(AVERAGE($G$4:G18)))</f>
        <v>19.166666666666671</v>
      </c>
      <c r="AU18" s="25">
        <f>IF(ISBLANK(H18),"",(AVERAGE($H$4:H18)))</f>
        <v>15.573333333333334</v>
      </c>
      <c r="AV18" s="368">
        <f>IF(ISBLANK(G18),"",(AVERAGE($I$4:I18)))</f>
        <v>6.7866666666666653</v>
      </c>
      <c r="AW18" s="22">
        <f>IF(ISBLANK(M18),"",AVERAGE($M$4:M18))</f>
        <v>72.599999999999994</v>
      </c>
      <c r="AX18" s="376">
        <f>IF(ISBLANK(P18),"",(AVERAGE($R$4:R18)))</f>
        <v>1020.6333333333333</v>
      </c>
      <c r="AY18" s="368">
        <f>IF(ISBLANK(U18),"",(AVERAGE($U$4:U18)))</f>
        <v>5.6133333333333333</v>
      </c>
      <c r="AZ18" s="6"/>
      <c r="BA18" s="25">
        <f t="shared" si="12"/>
        <v>-3.4130000000000074</v>
      </c>
      <c r="BB18" s="25">
        <f t="shared" si="13"/>
        <v>1.141000000000016</v>
      </c>
      <c r="BC18" s="25">
        <f t="shared" si="16"/>
        <v>-1.1359999999999957</v>
      </c>
      <c r="BD18" s="367">
        <f t="shared" si="15"/>
        <v>4.5540000000000234</v>
      </c>
      <c r="BE18" s="72"/>
      <c r="BF18" s="25">
        <f>IF(ISBLANK(F18),"",AS18-AVERAGE($F$91:F105))</f>
        <v>2.8699999999999957</v>
      </c>
      <c r="BG18" s="25">
        <f>IF(ISBLANK(G18),"",AT18-AVERAGE($G$91:G105))</f>
        <v>3.4700000000000166</v>
      </c>
      <c r="BH18" s="367">
        <f t="shared" si="17"/>
        <v>0.60000000000002096</v>
      </c>
      <c r="BI18" s="115">
        <f t="shared" si="0"/>
        <v>0.17371980676328508</v>
      </c>
      <c r="BJ18" s="115">
        <f t="shared" si="1"/>
        <v>1.2606168824291313</v>
      </c>
      <c r="BK18" s="402"/>
      <c r="BL18" s="572">
        <v>15</v>
      </c>
    </row>
    <row r="19" spans="1:64" ht="12.75" customHeight="1" x14ac:dyDescent="0.2">
      <c r="A19" s="394">
        <f t="shared" si="2"/>
        <v>16</v>
      </c>
      <c r="B19" s="131">
        <v>3.3</v>
      </c>
      <c r="C19" s="282">
        <v>15.9</v>
      </c>
      <c r="D19" s="685"/>
      <c r="E19" s="97">
        <f t="shared" si="3"/>
        <v>16</v>
      </c>
      <c r="F19" s="23">
        <v>3.3</v>
      </c>
      <c r="G19" s="23">
        <v>15.9</v>
      </c>
      <c r="H19" s="553">
        <v>9.9</v>
      </c>
      <c r="I19" s="23">
        <v>12.6</v>
      </c>
      <c r="J19" s="72">
        <f t="shared" si="4"/>
        <v>0</v>
      </c>
      <c r="K19" s="24">
        <v>73</v>
      </c>
      <c r="L19" s="24">
        <v>96</v>
      </c>
      <c r="M19" s="554">
        <v>83</v>
      </c>
      <c r="N19" s="24">
        <v>23</v>
      </c>
      <c r="O19" s="50">
        <f t="shared" si="5"/>
        <v>0</v>
      </c>
      <c r="P19" s="24">
        <v>1022</v>
      </c>
      <c r="Q19" s="24">
        <v>1024</v>
      </c>
      <c r="R19" s="24">
        <f t="shared" si="6"/>
        <v>1023</v>
      </c>
      <c r="S19" s="24">
        <f t="shared" si="7"/>
        <v>2</v>
      </c>
      <c r="T19" s="50"/>
      <c r="U19" s="553">
        <v>2.1</v>
      </c>
      <c r="V19" s="553">
        <v>6.7</v>
      </c>
      <c r="W19" s="553">
        <v>9.8000000000000007</v>
      </c>
      <c r="X19" s="485" t="s">
        <v>110</v>
      </c>
      <c r="Y19" s="72">
        <f t="shared" si="8"/>
        <v>0</v>
      </c>
      <c r="Z19" s="539">
        <v>0</v>
      </c>
      <c r="AA19" s="23" t="s">
        <v>619</v>
      </c>
      <c r="AB19" s="23" t="s">
        <v>619</v>
      </c>
      <c r="AC19" s="628" t="str">
        <f t="shared" si="9"/>
        <v/>
      </c>
      <c r="AD19" s="26" t="str">
        <f t="shared" si="10"/>
        <v/>
      </c>
      <c r="AE19" s="485" t="s">
        <v>619</v>
      </c>
      <c r="AF19" s="54"/>
      <c r="AG19" s="553">
        <v>2.1</v>
      </c>
      <c r="AH19" s="553">
        <v>11.1</v>
      </c>
      <c r="AI19" s="553">
        <v>7.1</v>
      </c>
      <c r="AJ19" s="26">
        <f t="shared" si="11"/>
        <v>9</v>
      </c>
      <c r="AK19" s="54"/>
      <c r="AL19" s="485" t="s">
        <v>718</v>
      </c>
      <c r="AM19" s="134"/>
      <c r="AN19" s="555" t="s">
        <v>8</v>
      </c>
      <c r="AO19" s="400"/>
      <c r="AP19" s="485">
        <v>5</v>
      </c>
      <c r="AQ19" s="485">
        <v>0</v>
      </c>
      <c r="AR19" s="134"/>
      <c r="AS19" s="26">
        <f>IF(ISBLANK(F19),"",(AVERAGE($F$4:F19)))</f>
        <v>11.8125</v>
      </c>
      <c r="AT19" s="26">
        <f>IF(ISBLANK(G19),"",(AVERAGE($G$4:G19)))</f>
        <v>18.962500000000002</v>
      </c>
      <c r="AU19" s="25">
        <f>IF(ISBLANK(H19),"",(AVERAGE($H$4:H19)))</f>
        <v>15.218750000000002</v>
      </c>
      <c r="AV19" s="368">
        <f>IF(ISBLANK(G19),"",(AVERAGE($I$4:I19)))</f>
        <v>7.1499999999999986</v>
      </c>
      <c r="AW19" s="22">
        <f>IF(ISBLANK(M19),"",AVERAGE($M$4:M19))</f>
        <v>73.25</v>
      </c>
      <c r="AX19" s="376">
        <f>IF(ISBLANK(P19),"",(AVERAGE($R$4:R19)))</f>
        <v>1020.78125</v>
      </c>
      <c r="AY19" s="368">
        <f>IF(ISBLANK(U19),"",(AVERAGE($U$4:U19)))</f>
        <v>5.3937499999999998</v>
      </c>
      <c r="AZ19" s="6"/>
      <c r="BA19" s="25">
        <f t="shared" si="12"/>
        <v>-5.6420000000000075</v>
      </c>
      <c r="BB19" s="25">
        <f t="shared" si="13"/>
        <v>1.1606666666666836</v>
      </c>
      <c r="BC19" s="25">
        <f t="shared" si="16"/>
        <v>-2.2406666666666619</v>
      </c>
      <c r="BD19" s="367">
        <f t="shared" si="15"/>
        <v>6.8026666666666911</v>
      </c>
      <c r="BE19" s="72"/>
      <c r="BF19" s="25">
        <f>IF(ISBLANK(F19),"",AS19-AVERAGE($F$91:F106))</f>
        <v>2.3379999999999956</v>
      </c>
      <c r="BG19" s="25">
        <f>IF(ISBLANK(G19),"",AT19-AVERAGE($G$91:G106))</f>
        <v>3.325666666666681</v>
      </c>
      <c r="BH19" s="367">
        <f t="shared" si="17"/>
        <v>0.98766666666668534</v>
      </c>
      <c r="BI19" s="115">
        <f t="shared" si="0"/>
        <v>0.16286231884057975</v>
      </c>
      <c r="BJ19" s="115">
        <f t="shared" si="1"/>
        <v>1.2727281995228226</v>
      </c>
      <c r="BK19" s="402"/>
      <c r="BL19" s="572">
        <v>16</v>
      </c>
    </row>
    <row r="20" spans="1:64" ht="12.75" customHeight="1" x14ac:dyDescent="0.2">
      <c r="A20" s="394">
        <f t="shared" si="2"/>
        <v>17</v>
      </c>
      <c r="B20" s="131">
        <v>8</v>
      </c>
      <c r="C20" s="282">
        <v>16.3</v>
      </c>
      <c r="D20" s="685"/>
      <c r="E20" s="97">
        <f t="shared" si="3"/>
        <v>17</v>
      </c>
      <c r="F20" s="23">
        <v>8</v>
      </c>
      <c r="G20" s="23">
        <v>16.3</v>
      </c>
      <c r="H20" s="553">
        <v>12.8</v>
      </c>
      <c r="I20" s="23">
        <v>8.3000000000000007</v>
      </c>
      <c r="J20" s="72">
        <f t="shared" si="4"/>
        <v>0</v>
      </c>
      <c r="K20" s="24">
        <v>64</v>
      </c>
      <c r="L20" s="24">
        <v>94</v>
      </c>
      <c r="M20" s="554">
        <v>78</v>
      </c>
      <c r="N20" s="24">
        <v>30</v>
      </c>
      <c r="O20" s="50">
        <f t="shared" si="5"/>
        <v>0</v>
      </c>
      <c r="P20" s="24">
        <v>1009</v>
      </c>
      <c r="Q20" s="24">
        <v>1022</v>
      </c>
      <c r="R20" s="24">
        <f t="shared" si="6"/>
        <v>1015.5</v>
      </c>
      <c r="S20" s="24">
        <f t="shared" si="7"/>
        <v>13</v>
      </c>
      <c r="T20" s="50"/>
      <c r="U20" s="553">
        <v>7</v>
      </c>
      <c r="V20" s="553">
        <v>17.8</v>
      </c>
      <c r="W20" s="553">
        <v>29.7</v>
      </c>
      <c r="X20" s="485" t="s">
        <v>110</v>
      </c>
      <c r="Y20" s="72">
        <f t="shared" si="8"/>
        <v>0</v>
      </c>
      <c r="Z20" s="539">
        <v>0</v>
      </c>
      <c r="AA20" s="23" t="s">
        <v>619</v>
      </c>
      <c r="AB20" s="23" t="s">
        <v>619</v>
      </c>
      <c r="AC20" s="628" t="str">
        <f t="shared" si="9"/>
        <v/>
      </c>
      <c r="AD20" s="26" t="str">
        <f t="shared" si="10"/>
        <v/>
      </c>
      <c r="AE20" s="485" t="s">
        <v>619</v>
      </c>
      <c r="AF20" s="54"/>
      <c r="AG20" s="553">
        <v>6.9</v>
      </c>
      <c r="AH20" s="553">
        <v>10.8</v>
      </c>
      <c r="AI20" s="553">
        <v>8.8000000000000007</v>
      </c>
      <c r="AJ20" s="26">
        <f t="shared" si="11"/>
        <v>3.9000000000000004</v>
      </c>
      <c r="AK20" s="54"/>
      <c r="AL20" s="485" t="s">
        <v>719</v>
      </c>
      <c r="AM20" s="134"/>
      <c r="AN20" s="555" t="s">
        <v>8</v>
      </c>
      <c r="AO20" s="400"/>
      <c r="AP20" s="485">
        <v>4</v>
      </c>
      <c r="AQ20" s="485">
        <v>0</v>
      </c>
      <c r="AR20" s="134"/>
      <c r="AS20" s="26">
        <f>IF(ISBLANK(F20),"",(AVERAGE($F$4:F20)))</f>
        <v>11.588235294117647</v>
      </c>
      <c r="AT20" s="26">
        <f>IF(ISBLANK(G20),"",(AVERAGE($G$4:G20)))</f>
        <v>18.805882352941179</v>
      </c>
      <c r="AU20" s="25">
        <f>IF(ISBLANK(H20),"",(AVERAGE($H$4:H20)))</f>
        <v>15.076470588235296</v>
      </c>
      <c r="AV20" s="368">
        <f>IF(ISBLANK(G20),"",(AVERAGE($I$4:I20)))</f>
        <v>7.2176470588235278</v>
      </c>
      <c r="AW20" s="22">
        <f>IF(ISBLANK(M20),"",AVERAGE($M$4:M20))</f>
        <v>73.529411764705884</v>
      </c>
      <c r="AX20" s="376">
        <f>IF(ISBLANK(P20),"",(AVERAGE($R$4:R20)))</f>
        <v>1020.4705882352941</v>
      </c>
      <c r="AY20" s="368">
        <f>IF(ISBLANK(U20),"",(AVERAGE($U$4:U20)))</f>
        <v>5.4882352941176471</v>
      </c>
      <c r="AZ20" s="6"/>
      <c r="BA20" s="25">
        <f t="shared" si="12"/>
        <v>-0.87100000000000755</v>
      </c>
      <c r="BB20" s="25">
        <f t="shared" si="13"/>
        <v>1.6803333333333512</v>
      </c>
      <c r="BC20" s="25">
        <f t="shared" si="16"/>
        <v>0.40466666666667184</v>
      </c>
      <c r="BD20" s="367">
        <f t="shared" si="15"/>
        <v>2.5513333333333588</v>
      </c>
      <c r="BE20" s="72"/>
      <c r="BF20" s="25">
        <f>IF(ISBLANK(F20),"",AS20-AVERAGE($F$91:F107))</f>
        <v>2.1492352941176414</v>
      </c>
      <c r="BG20" s="25">
        <f>IF(ISBLANK(G20),"",AT20-AVERAGE($G$91:G107))</f>
        <v>3.2288823529411914</v>
      </c>
      <c r="BH20" s="367">
        <f t="shared" si="17"/>
        <v>1.0796470588235501</v>
      </c>
      <c r="BI20" s="115">
        <f t="shared" si="0"/>
        <v>0.15328218243819269</v>
      </c>
      <c r="BJ20" s="115">
        <f t="shared" si="1"/>
        <v>1.2674486131920741</v>
      </c>
      <c r="BK20" s="402"/>
      <c r="BL20" s="572">
        <v>17</v>
      </c>
    </row>
    <row r="21" spans="1:64" ht="12.75" customHeight="1" x14ac:dyDescent="0.2">
      <c r="A21" s="394">
        <f t="shared" si="2"/>
        <v>18</v>
      </c>
      <c r="B21" s="131">
        <v>8</v>
      </c>
      <c r="C21" s="282">
        <v>12.4</v>
      </c>
      <c r="D21" s="685"/>
      <c r="E21" s="97">
        <f t="shared" si="3"/>
        <v>18</v>
      </c>
      <c r="F21" s="23">
        <v>8</v>
      </c>
      <c r="G21" s="23">
        <v>14.5</v>
      </c>
      <c r="H21" s="553">
        <v>10.5</v>
      </c>
      <c r="I21" s="23">
        <v>6.5</v>
      </c>
      <c r="J21" s="72">
        <f t="shared" si="4"/>
        <v>1</v>
      </c>
      <c r="K21" s="24">
        <v>42</v>
      </c>
      <c r="L21" s="24">
        <v>87</v>
      </c>
      <c r="M21" s="554">
        <v>66</v>
      </c>
      <c r="N21" s="24">
        <v>45</v>
      </c>
      <c r="O21" s="50">
        <f t="shared" si="5"/>
        <v>0</v>
      </c>
      <c r="P21" s="24">
        <v>1006</v>
      </c>
      <c r="Q21" s="24">
        <v>1012</v>
      </c>
      <c r="R21" s="24">
        <f t="shared" si="6"/>
        <v>1009</v>
      </c>
      <c r="S21" s="24">
        <f t="shared" si="7"/>
        <v>6</v>
      </c>
      <c r="T21" s="50"/>
      <c r="U21" s="553">
        <v>7.2</v>
      </c>
      <c r="V21" s="553">
        <v>15.4</v>
      </c>
      <c r="W21" s="553">
        <v>26.1</v>
      </c>
      <c r="X21" s="485" t="s">
        <v>114</v>
      </c>
      <c r="Y21" s="72">
        <f t="shared" si="8"/>
        <v>2</v>
      </c>
      <c r="Z21" s="539">
        <v>3.3</v>
      </c>
      <c r="AA21" s="23">
        <v>2.7</v>
      </c>
      <c r="AB21" s="23">
        <v>1.7</v>
      </c>
      <c r="AC21" s="628">
        <f t="shared" si="9"/>
        <v>0.21290322580645157</v>
      </c>
      <c r="AD21" s="26">
        <f t="shared" si="10"/>
        <v>2.1999999999999997</v>
      </c>
      <c r="AE21" s="485">
        <v>50</v>
      </c>
      <c r="AF21" s="54"/>
      <c r="AG21" s="553">
        <v>-0.5</v>
      </c>
      <c r="AH21" s="553">
        <v>11</v>
      </c>
      <c r="AI21" s="553">
        <v>4</v>
      </c>
      <c r="AJ21" s="26">
        <f t="shared" si="11"/>
        <v>11.5</v>
      </c>
      <c r="AK21" s="54"/>
      <c r="AL21" s="485" t="s">
        <v>720</v>
      </c>
      <c r="AM21" s="134"/>
      <c r="AN21" s="555" t="s">
        <v>721</v>
      </c>
      <c r="AO21" s="400"/>
      <c r="AP21" s="485">
        <v>8</v>
      </c>
      <c r="AQ21" s="485">
        <v>1.5</v>
      </c>
      <c r="AR21" s="134"/>
      <c r="AS21" s="26">
        <f>IF(ISBLANK(F21),"",(AVERAGE($F$4:F21)))</f>
        <v>11.388888888888889</v>
      </c>
      <c r="AT21" s="26">
        <f>IF(ISBLANK(G21),"",(AVERAGE($G$4:G21)))</f>
        <v>18.56666666666667</v>
      </c>
      <c r="AU21" s="25">
        <f>IF(ISBLANK(H21),"",(AVERAGE($H$4:H21)))</f>
        <v>14.822222222222223</v>
      </c>
      <c r="AV21" s="368">
        <f>IF(ISBLANK(G21),"",(AVERAGE($I$4:I21)))</f>
        <v>7.1777777777777771</v>
      </c>
      <c r="AW21" s="22">
        <f>IF(ISBLANK(M21),"",AVERAGE($M$4:M21))</f>
        <v>73.111111111111114</v>
      </c>
      <c r="AX21" s="376">
        <f>IF(ISBLANK(P21),"",(AVERAGE($R$4:R21)))</f>
        <v>1019.8333333333334</v>
      </c>
      <c r="AY21" s="368">
        <f>IF(ISBLANK(U21),"",(AVERAGE($U$4:U21)))</f>
        <v>5.583333333333333</v>
      </c>
      <c r="AZ21" s="6"/>
      <c r="BA21" s="25">
        <f t="shared" si="12"/>
        <v>-0.80000000000000071</v>
      </c>
      <c r="BB21" s="25">
        <f t="shared" si="13"/>
        <v>0</v>
      </c>
      <c r="BC21" s="25">
        <f t="shared" si="16"/>
        <v>-0.40000000000000036</v>
      </c>
      <c r="BD21" s="367">
        <f t="shared" si="15"/>
        <v>0.80000000000000071</v>
      </c>
      <c r="BE21" s="72"/>
      <c r="BF21" s="25">
        <f>IF(ISBLANK(F21),"",AS21-AVERAGE($F$91:F108))</f>
        <v>1.9853888888888847</v>
      </c>
      <c r="BG21" s="25">
        <f>IF(ISBLANK(G21),"",AT21-AVERAGE($G$91:G108))</f>
        <v>3.0495000000000143</v>
      </c>
      <c r="BH21" s="367">
        <f t="shared" ref="BH21:BH29" si="18">IF(ISBLANK(G21),"",BG21-BF21)</f>
        <v>1.0641111111111297</v>
      </c>
      <c r="BI21" s="115">
        <f t="shared" si="0"/>
        <v>0.22713365539452501</v>
      </c>
      <c r="BJ21" s="115">
        <f t="shared" si="1"/>
        <v>1.3256049699085692</v>
      </c>
      <c r="BK21" s="402"/>
      <c r="BL21" s="572">
        <v>18</v>
      </c>
    </row>
    <row r="22" spans="1:64" ht="12.75" customHeight="1" x14ac:dyDescent="0.2">
      <c r="A22" s="394">
        <f t="shared" si="2"/>
        <v>19</v>
      </c>
      <c r="B22" s="131">
        <v>4.8</v>
      </c>
      <c r="C22" s="282">
        <v>11.7</v>
      </c>
      <c r="D22" s="685"/>
      <c r="E22" s="97">
        <f t="shared" si="3"/>
        <v>19</v>
      </c>
      <c r="F22" s="23">
        <v>4.8</v>
      </c>
      <c r="G22" s="23">
        <v>11.7</v>
      </c>
      <c r="H22" s="553">
        <v>7.8</v>
      </c>
      <c r="I22" s="23">
        <v>6.9</v>
      </c>
      <c r="J22" s="72">
        <f t="shared" si="4"/>
        <v>0</v>
      </c>
      <c r="K22" s="24">
        <v>45</v>
      </c>
      <c r="L22" s="24">
        <v>85</v>
      </c>
      <c r="M22" s="554">
        <v>70</v>
      </c>
      <c r="N22" s="24">
        <v>40</v>
      </c>
      <c r="O22" s="50">
        <f t="shared" si="5"/>
        <v>0</v>
      </c>
      <c r="P22" s="24">
        <v>1012</v>
      </c>
      <c r="Q22" s="24">
        <v>1024</v>
      </c>
      <c r="R22" s="24">
        <f t="shared" si="6"/>
        <v>1018</v>
      </c>
      <c r="S22" s="24">
        <f t="shared" si="7"/>
        <v>12</v>
      </c>
      <c r="T22" s="50"/>
      <c r="U22" s="553">
        <v>4.5999999999999996</v>
      </c>
      <c r="V22" s="553">
        <v>12.3</v>
      </c>
      <c r="W22" s="553">
        <v>17</v>
      </c>
      <c r="X22" s="485" t="s">
        <v>114</v>
      </c>
      <c r="Y22" s="72">
        <f t="shared" si="8"/>
        <v>0</v>
      </c>
      <c r="Z22" s="539">
        <v>0</v>
      </c>
      <c r="AA22" s="23" t="s">
        <v>619</v>
      </c>
      <c r="AB22" s="23" t="s">
        <v>619</v>
      </c>
      <c r="AC22" s="628" t="str">
        <f t="shared" si="9"/>
        <v/>
      </c>
      <c r="AD22" s="26" t="str">
        <f t="shared" si="10"/>
        <v/>
      </c>
      <c r="AE22" s="485" t="s">
        <v>619</v>
      </c>
      <c r="AF22" s="54"/>
      <c r="AG22" s="553">
        <v>-0.2</v>
      </c>
      <c r="AH22" s="553">
        <v>5</v>
      </c>
      <c r="AI22" s="553">
        <v>2.5</v>
      </c>
      <c r="AJ22" s="26">
        <f t="shared" si="11"/>
        <v>5.2</v>
      </c>
      <c r="AK22" s="54"/>
      <c r="AL22" s="485" t="s">
        <v>322</v>
      </c>
      <c r="AM22" s="134"/>
      <c r="AN22" s="555" t="s">
        <v>8</v>
      </c>
      <c r="AO22" s="400"/>
      <c r="AP22" s="485">
        <v>7</v>
      </c>
      <c r="AQ22" s="485">
        <v>0</v>
      </c>
      <c r="AR22" s="134"/>
      <c r="AS22" s="26">
        <f>IF(ISBLANK(F22),"",(AVERAGE($F$4:F22)))</f>
        <v>11.042105263157895</v>
      </c>
      <c r="AT22" s="26">
        <f>IF(ISBLANK(G22),"",(AVERAGE($G$4:G22)))</f>
        <v>18.205263157894738</v>
      </c>
      <c r="AU22" s="25">
        <f>IF(ISBLANK(H22),"",(AVERAGE($H$4:H22)))</f>
        <v>14.45263157894737</v>
      </c>
      <c r="AV22" s="368">
        <f>IF(ISBLANK(G22),"",(AVERAGE($I$4:I22)))</f>
        <v>7.1631578947368419</v>
      </c>
      <c r="AW22" s="22">
        <f>IF(ISBLANK(M22),"",AVERAGE($M$4:M22))</f>
        <v>72.94736842105263</v>
      </c>
      <c r="AX22" s="376">
        <f>IF(ISBLANK(P22),"",(AVERAGE($R$4:R22)))</f>
        <v>1019.7368421052631</v>
      </c>
      <c r="AY22" s="368">
        <f>IF(ISBLANK(U22),"",(AVERAGE($U$4:U22)))</f>
        <v>5.5315789473684207</v>
      </c>
      <c r="AZ22" s="6"/>
      <c r="BA22" s="25">
        <f t="shared" si="12"/>
        <v>-3.8640000000000017</v>
      </c>
      <c r="BB22" s="25">
        <f t="shared" si="13"/>
        <v>-2.6384615384615397</v>
      </c>
      <c r="BC22" s="25">
        <f t="shared" si="16"/>
        <v>-3.2512307692307707</v>
      </c>
      <c r="BD22" s="367">
        <f t="shared" si="15"/>
        <v>1.2255384615384619</v>
      </c>
      <c r="BE22" s="72"/>
      <c r="BF22" s="25">
        <f>IF(ISBLANK(F22),"",AS22-AVERAGE($F$91:F109))</f>
        <v>1.6775263157894695</v>
      </c>
      <c r="BG22" s="25">
        <f>IF(ISBLANK(G22),"",AT22-AVERAGE($G$91:G109))</f>
        <v>2.7501336032388775</v>
      </c>
      <c r="BH22" s="367">
        <f t="shared" si="18"/>
        <v>1.0726072874494079</v>
      </c>
      <c r="BI22" s="115">
        <f t="shared" si="0"/>
        <v>0.2151792524790237</v>
      </c>
      <c r="BJ22" s="115">
        <f t="shared" si="1"/>
        <v>1.3635400152920183</v>
      </c>
      <c r="BK22" s="402"/>
      <c r="BL22" s="572">
        <v>19</v>
      </c>
    </row>
    <row r="23" spans="1:64" ht="12.75" customHeight="1" x14ac:dyDescent="0.2">
      <c r="A23" s="394">
        <f t="shared" si="2"/>
        <v>20</v>
      </c>
      <c r="B23" s="131">
        <v>3.3</v>
      </c>
      <c r="C23" s="282">
        <v>11.4</v>
      </c>
      <c r="D23" s="685"/>
      <c r="E23" s="97">
        <f t="shared" si="3"/>
        <v>20</v>
      </c>
      <c r="F23" s="23">
        <v>3.3</v>
      </c>
      <c r="G23" s="23">
        <v>11.4</v>
      </c>
      <c r="H23" s="553">
        <v>6.9</v>
      </c>
      <c r="I23" s="23">
        <v>8.1</v>
      </c>
      <c r="J23" s="72">
        <f t="shared" si="4"/>
        <v>0</v>
      </c>
      <c r="K23" s="24">
        <v>50</v>
      </c>
      <c r="L23" s="24">
        <v>84</v>
      </c>
      <c r="M23" s="554">
        <v>70</v>
      </c>
      <c r="N23" s="24">
        <v>34</v>
      </c>
      <c r="O23" s="50">
        <f t="shared" si="5"/>
        <v>0</v>
      </c>
      <c r="P23" s="24">
        <v>1024</v>
      </c>
      <c r="Q23" s="24">
        <v>1028</v>
      </c>
      <c r="R23" s="24">
        <f t="shared" si="6"/>
        <v>1026</v>
      </c>
      <c r="S23" s="24">
        <f t="shared" si="7"/>
        <v>4</v>
      </c>
      <c r="T23" s="50"/>
      <c r="U23" s="553">
        <v>3.6</v>
      </c>
      <c r="V23" s="553">
        <v>9.4</v>
      </c>
      <c r="W23" s="553">
        <v>12.1</v>
      </c>
      <c r="X23" s="485" t="s">
        <v>114</v>
      </c>
      <c r="Y23" s="72">
        <f t="shared" si="8"/>
        <v>0</v>
      </c>
      <c r="Z23" s="539">
        <v>0</v>
      </c>
      <c r="AA23" s="23" t="s">
        <v>619</v>
      </c>
      <c r="AB23" s="23" t="s">
        <v>619</v>
      </c>
      <c r="AC23" s="628" t="str">
        <f t="shared" si="9"/>
        <v/>
      </c>
      <c r="AD23" s="26" t="str">
        <f t="shared" si="10"/>
        <v/>
      </c>
      <c r="AE23" s="485" t="s">
        <v>619</v>
      </c>
      <c r="AF23" s="54"/>
      <c r="AG23" s="553">
        <v>0.6</v>
      </c>
      <c r="AH23" s="553">
        <v>4.2</v>
      </c>
      <c r="AI23" s="553">
        <v>1.7</v>
      </c>
      <c r="AJ23" s="26">
        <f t="shared" si="11"/>
        <v>3.6</v>
      </c>
      <c r="AK23" s="54"/>
      <c r="AL23" s="485" t="s">
        <v>490</v>
      </c>
      <c r="AM23" s="134"/>
      <c r="AN23" s="555" t="s">
        <v>8</v>
      </c>
      <c r="AO23" s="400"/>
      <c r="AP23" s="485">
        <v>7.5</v>
      </c>
      <c r="AQ23" s="485">
        <v>0</v>
      </c>
      <c r="AR23" s="134"/>
      <c r="AS23" s="26">
        <f>IF(ISBLANK(F23),"",(AVERAGE($F$4:F23)))</f>
        <v>10.655000000000001</v>
      </c>
      <c r="AT23" s="26">
        <f>IF(ISBLANK(G23),"",(AVERAGE($G$4:G23)))</f>
        <v>17.865000000000002</v>
      </c>
      <c r="AU23" s="25">
        <f>IF(ISBLANK(H23),"",(AVERAGE($H$4:H23)))</f>
        <v>14.074999999999999</v>
      </c>
      <c r="AV23" s="368">
        <f>IF(ISBLANK(G23),"",(AVERAGE($I$4:I23)))</f>
        <v>7.2099999999999991</v>
      </c>
      <c r="AW23" s="22">
        <f>IF(ISBLANK(M23),"",AVERAGE($M$4:M23))</f>
        <v>72.8</v>
      </c>
      <c r="AX23" s="376">
        <f>IF(ISBLANK(P23),"",(AVERAGE($R$4:R23)))</f>
        <v>1020.05</v>
      </c>
      <c r="AY23" s="368">
        <f>IF(ISBLANK(U23),"",(AVERAGE($U$4:U23)))</f>
        <v>5.4349999999999996</v>
      </c>
      <c r="AZ23" s="6"/>
      <c r="BA23" s="25">
        <f t="shared" si="12"/>
        <v>-5.2280000000000024</v>
      </c>
      <c r="BB23" s="25">
        <f t="shared" si="13"/>
        <v>-2.7769230769230777</v>
      </c>
      <c r="BC23" s="25">
        <f t="shared" si="16"/>
        <v>-4.0024615384615405</v>
      </c>
      <c r="BD23" s="367">
        <f t="shared" si="15"/>
        <v>2.4510769230769247</v>
      </c>
      <c r="BE23" s="72"/>
      <c r="BF23" s="25">
        <f>IF(ISBLANK(F23),"",AS23-AVERAGE($F$91:F110))</f>
        <v>1.3322499999999984</v>
      </c>
      <c r="BG23" s="25">
        <f>IF(ISBLANK(G23),"",AT23-AVERAGE($G$91:G110))</f>
        <v>2.4737807692307818</v>
      </c>
      <c r="BH23" s="367">
        <f t="shared" si="18"/>
        <v>1.1415307692307834</v>
      </c>
      <c r="BI23" s="115">
        <f t="shared" si="0"/>
        <v>0.20442028985507249</v>
      </c>
      <c r="BJ23" s="115">
        <f t="shared" si="1"/>
        <v>1.4053688020805435</v>
      </c>
      <c r="BK23" s="88"/>
      <c r="BL23" s="572">
        <v>20</v>
      </c>
    </row>
    <row r="24" spans="1:64" ht="12.75" customHeight="1" x14ac:dyDescent="0.2">
      <c r="A24" s="394">
        <f t="shared" si="2"/>
        <v>21</v>
      </c>
      <c r="B24" s="131">
        <v>5</v>
      </c>
      <c r="C24" s="282">
        <v>14.7</v>
      </c>
      <c r="D24" s="685"/>
      <c r="E24" s="97">
        <f t="shared" si="3"/>
        <v>21</v>
      </c>
      <c r="F24" s="23">
        <v>5.6</v>
      </c>
      <c r="G24" s="23">
        <v>14.7</v>
      </c>
      <c r="H24" s="553">
        <v>10.4</v>
      </c>
      <c r="I24" s="23">
        <v>9.1</v>
      </c>
      <c r="J24" s="72">
        <f t="shared" si="4"/>
        <v>0</v>
      </c>
      <c r="K24" s="24">
        <v>53</v>
      </c>
      <c r="L24" s="24">
        <v>79</v>
      </c>
      <c r="M24" s="554">
        <v>69</v>
      </c>
      <c r="N24" s="24">
        <v>26</v>
      </c>
      <c r="O24" s="50">
        <f t="shared" si="5"/>
        <v>1</v>
      </c>
      <c r="P24" s="24">
        <v>1022</v>
      </c>
      <c r="Q24" s="24">
        <v>1027</v>
      </c>
      <c r="R24" s="24">
        <f t="shared" si="6"/>
        <v>1024.5</v>
      </c>
      <c r="S24" s="24">
        <f t="shared" si="7"/>
        <v>5</v>
      </c>
      <c r="T24" s="50"/>
      <c r="U24" s="553">
        <v>4.8</v>
      </c>
      <c r="V24" s="553">
        <v>12.5</v>
      </c>
      <c r="W24" s="553">
        <v>18.100000000000001</v>
      </c>
      <c r="X24" s="485" t="s">
        <v>110</v>
      </c>
      <c r="Y24" s="72">
        <f t="shared" si="8"/>
        <v>0</v>
      </c>
      <c r="Z24" s="539">
        <v>0</v>
      </c>
      <c r="AA24" s="23" t="s">
        <v>619</v>
      </c>
      <c r="AB24" s="23" t="s">
        <v>619</v>
      </c>
      <c r="AC24" s="628" t="str">
        <f t="shared" si="9"/>
        <v/>
      </c>
      <c r="AD24" s="26" t="str">
        <f t="shared" si="10"/>
        <v/>
      </c>
      <c r="AE24" s="485" t="s">
        <v>619</v>
      </c>
      <c r="AF24" s="54"/>
      <c r="AG24" s="553">
        <v>1.9</v>
      </c>
      <c r="AH24" s="553">
        <v>7</v>
      </c>
      <c r="AI24" s="553">
        <v>4.9000000000000004</v>
      </c>
      <c r="AJ24" s="26">
        <f t="shared" si="11"/>
        <v>5.0999999999999996</v>
      </c>
      <c r="AK24" s="54"/>
      <c r="AL24" s="485" t="s">
        <v>722</v>
      </c>
      <c r="AM24" s="134"/>
      <c r="AN24" s="555" t="s">
        <v>8</v>
      </c>
      <c r="AO24" s="400"/>
      <c r="AP24" s="485">
        <v>6</v>
      </c>
      <c r="AQ24" s="485">
        <v>0</v>
      </c>
      <c r="AR24" s="134"/>
      <c r="AS24" s="26">
        <f>IF(ISBLANK(F24),"",(AVERAGE($F$4:F24)))</f>
        <v>10.414285714285715</v>
      </c>
      <c r="AT24" s="26">
        <f>IF(ISBLANK(G24),"",(AVERAGE($G$4:G24)))</f>
        <v>17.714285714285715</v>
      </c>
      <c r="AU24" s="25">
        <f>IF(ISBLANK(H24),"",(AVERAGE($H$4:H24)))</f>
        <v>13.899999999999999</v>
      </c>
      <c r="AV24" s="368">
        <f>IF(ISBLANK(G24),"",(AVERAGE($I$4:I24)))</f>
        <v>7.2999999999999989</v>
      </c>
      <c r="AW24" s="22">
        <f>IF(ISBLANK(M24),"",AVERAGE($M$4:M24))</f>
        <v>72.61904761904762</v>
      </c>
      <c r="AX24" s="376">
        <f>IF(ISBLANK(P24),"",(AVERAGE($R$4:R24)))</f>
        <v>1020.2619047619048</v>
      </c>
      <c r="AY24" s="368">
        <f>IF(ISBLANK(U24),"",(AVERAGE($U$4:U24)))</f>
        <v>5.4047619047619042</v>
      </c>
      <c r="AZ24" s="6"/>
      <c r="BA24" s="25">
        <f t="shared" si="12"/>
        <v>-2.7920000000000034</v>
      </c>
      <c r="BB24" s="25">
        <f t="shared" si="13"/>
        <v>0.68461538461538218</v>
      </c>
      <c r="BC24" s="25">
        <f t="shared" si="16"/>
        <v>-1.0536923076923106</v>
      </c>
      <c r="BD24" s="367">
        <f t="shared" si="15"/>
        <v>3.4766153846153856</v>
      </c>
      <c r="BE24" s="72"/>
      <c r="BF24" s="25">
        <f>IF(ISBLANK(F24),"",AS24-AVERAGE($F$91:F111))</f>
        <v>1.1358571428571409</v>
      </c>
      <c r="BG24" s="25">
        <f>IF(ISBLANK(G24),"",AT24-AVERAGE($G$91:G111))</f>
        <v>2.3885824175824286</v>
      </c>
      <c r="BH24" s="367">
        <f t="shared" si="18"/>
        <v>1.2527252747252877</v>
      </c>
      <c r="BI24" s="115">
        <f t="shared" si="0"/>
        <v>0.19468599033816431</v>
      </c>
      <c r="BJ24" s="115">
        <f t="shared" si="1"/>
        <v>1.4235867550680628</v>
      </c>
      <c r="BK24" s="88"/>
      <c r="BL24" s="572">
        <v>21</v>
      </c>
    </row>
    <row r="25" spans="1:64" ht="12.75" customHeight="1" x14ac:dyDescent="0.2">
      <c r="A25" s="394">
        <f t="shared" si="2"/>
        <v>22</v>
      </c>
      <c r="B25" s="131">
        <v>7.9</v>
      </c>
      <c r="C25" s="282">
        <v>13.7</v>
      </c>
      <c r="D25" s="685"/>
      <c r="E25" s="97">
        <f t="shared" si="3"/>
        <v>22</v>
      </c>
      <c r="F25" s="23">
        <v>7.9</v>
      </c>
      <c r="G25" s="23">
        <v>13.7</v>
      </c>
      <c r="H25" s="553">
        <v>11</v>
      </c>
      <c r="I25" s="23">
        <v>5.8</v>
      </c>
      <c r="J25" s="72">
        <f t="shared" si="4"/>
        <v>0</v>
      </c>
      <c r="K25" s="24">
        <v>47</v>
      </c>
      <c r="L25" s="24">
        <v>77</v>
      </c>
      <c r="M25" s="554">
        <v>64</v>
      </c>
      <c r="N25" s="24">
        <v>30</v>
      </c>
      <c r="O25" s="50">
        <f t="shared" si="5"/>
        <v>0</v>
      </c>
      <c r="P25" s="24">
        <v>1010</v>
      </c>
      <c r="Q25" s="24">
        <v>1021</v>
      </c>
      <c r="R25" s="24">
        <f t="shared" si="6"/>
        <v>1015.5</v>
      </c>
      <c r="S25" s="24">
        <f t="shared" si="7"/>
        <v>11</v>
      </c>
      <c r="T25" s="50"/>
      <c r="U25" s="553">
        <v>4.9000000000000004</v>
      </c>
      <c r="V25" s="553">
        <v>13.2</v>
      </c>
      <c r="W25" s="553">
        <v>16.8</v>
      </c>
      <c r="X25" s="485" t="s">
        <v>111</v>
      </c>
      <c r="Y25" s="72">
        <f t="shared" si="8"/>
        <v>0</v>
      </c>
      <c r="Z25" s="539">
        <v>0</v>
      </c>
      <c r="AA25" s="23" t="s">
        <v>619</v>
      </c>
      <c r="AB25" s="23" t="s">
        <v>619</v>
      </c>
      <c r="AC25" s="628" t="str">
        <f t="shared" si="9"/>
        <v/>
      </c>
      <c r="AD25" s="26" t="str">
        <f t="shared" si="10"/>
        <v/>
      </c>
      <c r="AE25" s="485" t="s">
        <v>619</v>
      </c>
      <c r="AF25" s="54"/>
      <c r="AG25" s="553">
        <v>2.6</v>
      </c>
      <c r="AH25" s="553">
        <v>6.7</v>
      </c>
      <c r="AI25" s="553">
        <v>4.3</v>
      </c>
      <c r="AJ25" s="26">
        <f t="shared" si="11"/>
        <v>4.0999999999999996</v>
      </c>
      <c r="AK25" s="54"/>
      <c r="AL25" s="485" t="s">
        <v>238</v>
      </c>
      <c r="AM25" s="134"/>
      <c r="AN25" s="564" t="s">
        <v>253</v>
      </c>
      <c r="AO25" s="400"/>
      <c r="AP25" s="485">
        <v>9</v>
      </c>
      <c r="AQ25" s="485">
        <v>0</v>
      </c>
      <c r="AR25" s="134"/>
      <c r="AS25" s="26">
        <f>IF(ISBLANK(F25),"",(AVERAGE($F$4:F25)))</f>
        <v>10.3</v>
      </c>
      <c r="AT25" s="26">
        <f>IF(ISBLANK(G25),"",(AVERAGE($G$4:G25)))</f>
        <v>17.531818181818181</v>
      </c>
      <c r="AU25" s="25">
        <f>IF(ISBLANK(H25),"",(AVERAGE($H$4:H25)))</f>
        <v>13.768181818181818</v>
      </c>
      <c r="AV25" s="368">
        <f>IF(ISBLANK(G25),"",(AVERAGE($I$4:I25)))</f>
        <v>7.2318181818181815</v>
      </c>
      <c r="AW25" s="22">
        <f>IF(ISBLANK(M25),"",AVERAGE($M$4:M25))</f>
        <v>72.227272727272734</v>
      </c>
      <c r="AX25" s="376">
        <f>IF(ISBLANK(P25),"",(AVERAGE($R$4:R25)))</f>
        <v>1020.0454545454545</v>
      </c>
      <c r="AY25" s="368">
        <f>IF(ISBLANK(U25),"",(AVERAGE($U$4:U25)))</f>
        <v>5.3818181818181818</v>
      </c>
      <c r="AZ25" s="6"/>
      <c r="BA25" s="25">
        <f t="shared" si="12"/>
        <v>-0.35600000000000342</v>
      </c>
      <c r="BB25" s="25">
        <f t="shared" si="13"/>
        <v>-0.15384615384615685</v>
      </c>
      <c r="BC25" s="25">
        <f t="shared" si="16"/>
        <v>-0.25492307692308014</v>
      </c>
      <c r="BD25" s="367">
        <f t="shared" si="15"/>
        <v>0.20215384615384657</v>
      </c>
      <c r="BE25" s="72"/>
      <c r="BF25" s="25">
        <f>IF(ISBLANK(F25),"",AS25-AVERAGE($F$91:F112))</f>
        <v>1.0680454545454516</v>
      </c>
      <c r="BG25" s="25">
        <f>IF(ISBLANK(G25),"",AT25-AVERAGE($G$91:G112))</f>
        <v>2.2730174825174903</v>
      </c>
      <c r="BH25" s="367">
        <f t="shared" si="18"/>
        <v>1.2049720279720386</v>
      </c>
      <c r="BI25" s="115">
        <f t="shared" si="0"/>
        <v>0.18583662714097501</v>
      </c>
      <c r="BJ25" s="115">
        <f t="shared" si="1"/>
        <v>1.479432927983884</v>
      </c>
      <c r="BK25" s="88"/>
      <c r="BL25" s="572">
        <v>22</v>
      </c>
    </row>
    <row r="26" spans="1:64" ht="12.75" customHeight="1" x14ac:dyDescent="0.2">
      <c r="A26" s="394">
        <f t="shared" si="2"/>
        <v>23</v>
      </c>
      <c r="B26" s="131">
        <v>9.4</v>
      </c>
      <c r="C26" s="282">
        <v>18.7</v>
      </c>
      <c r="D26" s="685"/>
      <c r="E26" s="97">
        <f t="shared" si="3"/>
        <v>23</v>
      </c>
      <c r="F26" s="23">
        <v>9.4</v>
      </c>
      <c r="G26" s="23">
        <v>18.7</v>
      </c>
      <c r="H26" s="553">
        <v>14</v>
      </c>
      <c r="I26" s="23">
        <v>9.3000000000000007</v>
      </c>
      <c r="J26" s="72">
        <f t="shared" si="4"/>
        <v>0</v>
      </c>
      <c r="K26" s="24">
        <v>48</v>
      </c>
      <c r="L26" s="24">
        <v>93</v>
      </c>
      <c r="M26" s="554">
        <v>72</v>
      </c>
      <c r="N26" s="24">
        <v>45</v>
      </c>
      <c r="O26" s="50">
        <f t="shared" si="5"/>
        <v>0</v>
      </c>
      <c r="P26" s="24">
        <v>1003</v>
      </c>
      <c r="Q26" s="24">
        <v>1010</v>
      </c>
      <c r="R26" s="24">
        <f t="shared" si="6"/>
        <v>1006.5</v>
      </c>
      <c r="S26" s="24">
        <f t="shared" si="7"/>
        <v>7</v>
      </c>
      <c r="T26" s="50"/>
      <c r="U26" s="553">
        <v>5.7</v>
      </c>
      <c r="V26" s="553">
        <v>16.3</v>
      </c>
      <c r="W26" s="553">
        <v>23.5</v>
      </c>
      <c r="X26" s="485" t="s">
        <v>112</v>
      </c>
      <c r="Y26" s="72">
        <f t="shared" si="8"/>
        <v>0</v>
      </c>
      <c r="Z26" s="539">
        <v>0</v>
      </c>
      <c r="AA26" s="23" t="s">
        <v>619</v>
      </c>
      <c r="AB26" s="23" t="s">
        <v>619</v>
      </c>
      <c r="AC26" s="628" t="str">
        <f t="shared" si="9"/>
        <v/>
      </c>
      <c r="AD26" s="26" t="str">
        <f t="shared" si="10"/>
        <v/>
      </c>
      <c r="AE26" s="485" t="s">
        <v>619</v>
      </c>
      <c r="AF26" s="54"/>
      <c r="AG26" s="553">
        <v>6.3</v>
      </c>
      <c r="AH26" s="553">
        <v>12.6</v>
      </c>
      <c r="AI26" s="553">
        <v>8.8000000000000007</v>
      </c>
      <c r="AJ26" s="26">
        <f t="shared" si="11"/>
        <v>6.3</v>
      </c>
      <c r="AK26" s="54"/>
      <c r="AL26" s="485" t="s">
        <v>723</v>
      </c>
      <c r="AM26" s="134"/>
      <c r="AN26" s="555" t="s">
        <v>8</v>
      </c>
      <c r="AO26" s="400"/>
      <c r="AP26" s="485">
        <v>7.5</v>
      </c>
      <c r="AQ26" s="485">
        <v>0</v>
      </c>
      <c r="AR26" s="134"/>
      <c r="AS26" s="26">
        <f>IF(ISBLANK(F26),"",(AVERAGE($F$4:F26)))</f>
        <v>10.260869565217392</v>
      </c>
      <c r="AT26" s="26">
        <f>IF(ISBLANK(G26),"",(AVERAGE($G$4:G26)))</f>
        <v>17.582608695652173</v>
      </c>
      <c r="AU26" s="25">
        <f>IF(ISBLANK(H26),"",(AVERAGE($H$4:H26)))</f>
        <v>13.778260869565216</v>
      </c>
      <c r="AV26" s="368">
        <f>IF(ISBLANK(G26),"",(AVERAGE($I$4:I26)))</f>
        <v>7.321739130434783</v>
      </c>
      <c r="AW26" s="22">
        <f>IF(ISBLANK(M26),"",AVERAGE($M$4:M26))</f>
        <v>72.217391304347828</v>
      </c>
      <c r="AX26" s="376">
        <f>IF(ISBLANK(P26),"",(AVERAGE($R$4:R26)))</f>
        <v>1019.4565217391304</v>
      </c>
      <c r="AY26" s="368">
        <f>IF(ISBLANK(U26),"",(AVERAGE($U$4:U26)))</f>
        <v>5.3956521739130432</v>
      </c>
      <c r="AZ26" s="6"/>
      <c r="BA26" s="25">
        <f t="shared" si="12"/>
        <v>1.2800000000000011</v>
      </c>
      <c r="BB26" s="25">
        <f t="shared" si="13"/>
        <v>5.0076923076923041</v>
      </c>
      <c r="BC26" s="25">
        <f t="shared" si="16"/>
        <v>3.1438461538461526</v>
      </c>
      <c r="BD26" s="367">
        <f t="shared" si="15"/>
        <v>3.727692307692303</v>
      </c>
      <c r="BE26" s="72"/>
      <c r="BF26" s="25">
        <f>IF(ISBLANK(F26),"",AS26-AVERAGE($F$91:F113))</f>
        <v>1.0772608695652153</v>
      </c>
      <c r="BG26" s="25">
        <f>IF(ISBLANK(G26),"",AT26-AVERAGE($G$91:G113))</f>
        <v>2.3919163879598724</v>
      </c>
      <c r="BH26" s="367">
        <f t="shared" si="18"/>
        <v>1.3146555183946571</v>
      </c>
      <c r="BI26" s="115">
        <f t="shared" si="0"/>
        <v>0.17775677378701957</v>
      </c>
      <c r="BJ26" s="115">
        <f t="shared" si="1"/>
        <v>1.5125076434634952</v>
      </c>
      <c r="BK26" s="88"/>
      <c r="BL26" s="572">
        <v>23</v>
      </c>
    </row>
    <row r="27" spans="1:64" ht="12.75" customHeight="1" x14ac:dyDescent="0.2">
      <c r="A27" s="394">
        <f t="shared" si="2"/>
        <v>24</v>
      </c>
      <c r="B27" s="131">
        <v>11.2</v>
      </c>
      <c r="C27" s="282">
        <v>16.5</v>
      </c>
      <c r="D27" s="685"/>
      <c r="E27" s="97">
        <f t="shared" si="3"/>
        <v>24</v>
      </c>
      <c r="F27" s="23">
        <v>11.2</v>
      </c>
      <c r="G27" s="23">
        <v>16.5</v>
      </c>
      <c r="H27" s="553">
        <v>13.7</v>
      </c>
      <c r="I27" s="23">
        <v>5.3</v>
      </c>
      <c r="J27" s="72">
        <f t="shared" si="4"/>
        <v>0</v>
      </c>
      <c r="K27" s="24">
        <v>57</v>
      </c>
      <c r="L27" s="24">
        <v>87</v>
      </c>
      <c r="M27" s="554">
        <v>72</v>
      </c>
      <c r="N27" s="24">
        <v>30</v>
      </c>
      <c r="O27" s="50">
        <f t="shared" si="5"/>
        <v>0</v>
      </c>
      <c r="P27" s="24">
        <v>993</v>
      </c>
      <c r="Q27" s="24">
        <v>1002</v>
      </c>
      <c r="R27" s="24">
        <f t="shared" si="6"/>
        <v>997.5</v>
      </c>
      <c r="S27" s="24">
        <f t="shared" si="7"/>
        <v>9</v>
      </c>
      <c r="T27" s="50"/>
      <c r="U27" s="553">
        <v>6.5</v>
      </c>
      <c r="V27" s="553">
        <v>12.5</v>
      </c>
      <c r="W27" s="553">
        <v>21</v>
      </c>
      <c r="X27" s="485" t="s">
        <v>112</v>
      </c>
      <c r="Y27" s="72">
        <f t="shared" si="8"/>
        <v>1</v>
      </c>
      <c r="Z27" s="539">
        <v>0.8</v>
      </c>
      <c r="AA27" s="23">
        <v>0.8</v>
      </c>
      <c r="AB27" s="23">
        <v>0.5</v>
      </c>
      <c r="AC27" s="628">
        <f t="shared" si="9"/>
        <v>5.1612903225806452E-2</v>
      </c>
      <c r="AD27" s="26">
        <f t="shared" si="10"/>
        <v>0.53333333333333333</v>
      </c>
      <c r="AE27" s="485">
        <v>1.8</v>
      </c>
      <c r="AF27" s="54"/>
      <c r="AG27" s="553">
        <v>7.6</v>
      </c>
      <c r="AH27" s="553">
        <v>11.6</v>
      </c>
      <c r="AI27" s="553">
        <v>8.6999999999999993</v>
      </c>
      <c r="AJ27" s="26">
        <f t="shared" si="11"/>
        <v>4</v>
      </c>
      <c r="AK27" s="72"/>
      <c r="AL27" s="485" t="s">
        <v>724</v>
      </c>
      <c r="AM27" s="134"/>
      <c r="AN27" s="609" t="s">
        <v>725</v>
      </c>
      <c r="AO27" s="400"/>
      <c r="AP27" s="485">
        <v>5</v>
      </c>
      <c r="AQ27" s="485">
        <v>1.5</v>
      </c>
      <c r="AR27" s="134"/>
      <c r="AS27" s="26">
        <f>IF(ISBLANK(F27),"",(AVERAGE($F$4:F27)))</f>
        <v>10.3</v>
      </c>
      <c r="AT27" s="26">
        <f>IF(ISBLANK(G27),"",(AVERAGE($G$4:G27)))</f>
        <v>17.537499999999998</v>
      </c>
      <c r="AU27" s="25">
        <f>IF(ISBLANK(H27),"",(AVERAGE($H$4:H27)))</f>
        <v>13.774999999999999</v>
      </c>
      <c r="AV27" s="368">
        <f>IF(ISBLANK(G27),"",(AVERAGE($I$4:I27)))</f>
        <v>7.2375000000000007</v>
      </c>
      <c r="AW27" s="22">
        <f>IF(ISBLANK(M27),"",AVERAGE($M$4:M27))</f>
        <v>72.208333333333329</v>
      </c>
      <c r="AX27" s="376">
        <f>IF(ISBLANK(P27),"",(AVERAGE($R$4:R27)))</f>
        <v>1018.5416666666666</v>
      </c>
      <c r="AY27" s="368">
        <f>IF(ISBLANK(U27),"",(AVERAGE($U$4:U27)))</f>
        <v>5.4416666666666664</v>
      </c>
      <c r="AZ27" s="6"/>
      <c r="BA27" s="25">
        <f t="shared" si="12"/>
        <v>3.2159999999999949</v>
      </c>
      <c r="BB27" s="25">
        <f t="shared" si="13"/>
        <v>2.9692307692307658</v>
      </c>
      <c r="BC27" s="25">
        <f t="shared" si="16"/>
        <v>3.0926153846153803</v>
      </c>
      <c r="BD27" s="367">
        <f t="shared" si="15"/>
        <v>-0.24676923076922908</v>
      </c>
      <c r="BE27" s="72"/>
      <c r="BF27" s="25">
        <f>IF(ISBLANK(F27),"",AS27-AVERAGE($F$91:F114))</f>
        <v>1.1663749999999968</v>
      </c>
      <c r="BG27" s="25">
        <f>IF(ISBLANK(G27),"",AT27-AVERAGE($G$91:G114))</f>
        <v>2.4159711538461597</v>
      </c>
      <c r="BH27" s="367">
        <f t="shared" si="18"/>
        <v>1.2495961538461628</v>
      </c>
      <c r="BI27" s="115">
        <f t="shared" si="0"/>
        <v>0.18532608695652181</v>
      </c>
      <c r="BJ27" s="115">
        <f t="shared" si="1"/>
        <v>1.5135687659262087</v>
      </c>
      <c r="BK27" s="88"/>
      <c r="BL27" s="572">
        <v>24</v>
      </c>
    </row>
    <row r="28" spans="1:64" ht="12.75" customHeight="1" x14ac:dyDescent="0.2">
      <c r="A28" s="394">
        <f t="shared" si="2"/>
        <v>25</v>
      </c>
      <c r="B28" s="131">
        <v>12.4</v>
      </c>
      <c r="C28" s="282">
        <v>16.3</v>
      </c>
      <c r="D28" s="685"/>
      <c r="E28" s="97">
        <f t="shared" si="3"/>
        <v>25</v>
      </c>
      <c r="F28" s="23">
        <v>10.5</v>
      </c>
      <c r="G28" s="23">
        <v>16.3</v>
      </c>
      <c r="H28" s="553">
        <v>13.5</v>
      </c>
      <c r="I28" s="23">
        <v>5.8</v>
      </c>
      <c r="J28" s="72">
        <f t="shared" si="4"/>
        <v>0</v>
      </c>
      <c r="K28" s="24">
        <v>56</v>
      </c>
      <c r="L28" s="24">
        <v>90</v>
      </c>
      <c r="M28" s="554">
        <v>78</v>
      </c>
      <c r="N28" s="24">
        <v>34</v>
      </c>
      <c r="O28" s="50">
        <f t="shared" si="5"/>
        <v>1</v>
      </c>
      <c r="P28" s="24">
        <v>992</v>
      </c>
      <c r="Q28" s="24">
        <v>1000</v>
      </c>
      <c r="R28" s="24">
        <f t="shared" si="6"/>
        <v>996</v>
      </c>
      <c r="S28" s="24">
        <f t="shared" si="7"/>
        <v>8</v>
      </c>
      <c r="T28" s="50"/>
      <c r="U28" s="553">
        <v>5.2</v>
      </c>
      <c r="V28" s="553">
        <v>11.4</v>
      </c>
      <c r="W28" s="553">
        <v>17.5</v>
      </c>
      <c r="X28" s="485" t="s">
        <v>111</v>
      </c>
      <c r="Y28" s="72">
        <f t="shared" si="8"/>
        <v>2</v>
      </c>
      <c r="Z28" s="539">
        <v>1.7</v>
      </c>
      <c r="AA28" s="23">
        <v>1.7</v>
      </c>
      <c r="AB28" s="23">
        <v>1.4</v>
      </c>
      <c r="AC28" s="628">
        <f t="shared" si="9"/>
        <v>0.1096774193548387</v>
      </c>
      <c r="AD28" s="26">
        <f t="shared" si="10"/>
        <v>3.4</v>
      </c>
      <c r="AE28" s="485">
        <v>20</v>
      </c>
      <c r="AF28" s="54"/>
      <c r="AG28" s="553">
        <v>7.2</v>
      </c>
      <c r="AH28" s="553">
        <v>12.5</v>
      </c>
      <c r="AI28" s="553">
        <v>9.6</v>
      </c>
      <c r="AJ28" s="26">
        <f t="shared" si="11"/>
        <v>5.3</v>
      </c>
      <c r="AK28" s="72"/>
      <c r="AL28" s="485" t="s">
        <v>393</v>
      </c>
      <c r="AM28" s="134"/>
      <c r="AN28" s="555" t="s">
        <v>726</v>
      </c>
      <c r="AO28" s="400"/>
      <c r="AP28" s="485">
        <v>4</v>
      </c>
      <c r="AQ28" s="485">
        <v>0.5</v>
      </c>
      <c r="AR28" s="134"/>
      <c r="AS28" s="26">
        <f>IF(ISBLANK(F28),"",(AVERAGE($F$4:F28)))</f>
        <v>10.308000000000002</v>
      </c>
      <c r="AT28" s="26">
        <f>IF(ISBLANK(G28),"",(AVERAGE($G$4:G28)))</f>
        <v>17.488</v>
      </c>
      <c r="AU28" s="25">
        <f>IF(ISBLANK(H28),"",(AVERAGE($H$4:H28)))</f>
        <v>13.763999999999999</v>
      </c>
      <c r="AV28" s="368">
        <f>IF(ISBLANK(G28),"",(AVERAGE($I$4:I28)))</f>
        <v>7.1800000000000015</v>
      </c>
      <c r="AW28" s="22">
        <f>IF(ISBLANK(M28),"",AVERAGE($M$4:M28))</f>
        <v>72.44</v>
      </c>
      <c r="AX28" s="376">
        <f>IF(ISBLANK(P28),"",(AVERAGE($R$4:R28)))</f>
        <v>1017.64</v>
      </c>
      <c r="AY28" s="368">
        <f>IF(ISBLANK(U28),"",(AVERAGE($U$4:U28)))</f>
        <v>5.4319999999999995</v>
      </c>
      <c r="AZ28" s="6"/>
      <c r="BA28" s="25">
        <f t="shared" si="12"/>
        <v>2.6519999999999957</v>
      </c>
      <c r="BB28" s="25">
        <f t="shared" si="13"/>
        <v>2.9307692307692275</v>
      </c>
      <c r="BC28" s="25">
        <f t="shared" si="16"/>
        <v>2.7913846153846116</v>
      </c>
      <c r="BD28" s="367">
        <f t="shared" si="15"/>
        <v>0.27876923076923177</v>
      </c>
      <c r="BE28" s="72"/>
      <c r="BF28" s="25">
        <f>IF(ISBLANK(F28),"",AS28-AVERAGE($F$91:F115))</f>
        <v>1.2257999999999978</v>
      </c>
      <c r="BG28" s="25">
        <f>IF(ISBLANK(G28),"",AT28-AVERAGE($G$91:G115))</f>
        <v>2.4365630769230826</v>
      </c>
      <c r="BH28" s="367">
        <f t="shared" si="18"/>
        <v>1.2107630769230848</v>
      </c>
      <c r="BI28" s="115">
        <f t="shared" si="0"/>
        <v>0.20846376811594208</v>
      </c>
      <c r="BJ28" s="115">
        <f t="shared" si="1"/>
        <v>1.5034244657260145</v>
      </c>
      <c r="BK28" s="88"/>
      <c r="BL28" s="572">
        <v>25</v>
      </c>
    </row>
    <row r="29" spans="1:64" ht="12.75" customHeight="1" x14ac:dyDescent="0.2">
      <c r="A29" s="394">
        <f t="shared" si="2"/>
        <v>26</v>
      </c>
      <c r="B29" s="131">
        <v>8.8000000000000007</v>
      </c>
      <c r="C29" s="282">
        <v>11.6</v>
      </c>
      <c r="D29" s="685"/>
      <c r="E29" s="97">
        <f t="shared" si="3"/>
        <v>26</v>
      </c>
      <c r="F29" s="23">
        <v>8.8000000000000007</v>
      </c>
      <c r="G29" s="23">
        <v>11.8</v>
      </c>
      <c r="H29" s="553">
        <v>10.1</v>
      </c>
      <c r="I29" s="23">
        <v>3</v>
      </c>
      <c r="J29" s="72">
        <f t="shared" si="4"/>
        <v>1</v>
      </c>
      <c r="K29" s="24">
        <v>72</v>
      </c>
      <c r="L29" s="24">
        <v>90</v>
      </c>
      <c r="M29" s="554">
        <v>83</v>
      </c>
      <c r="N29" s="24">
        <v>18</v>
      </c>
      <c r="O29" s="50">
        <f t="shared" si="5"/>
        <v>0</v>
      </c>
      <c r="P29" s="24">
        <v>1000</v>
      </c>
      <c r="Q29" s="24">
        <v>1008</v>
      </c>
      <c r="R29" s="24">
        <f t="shared" si="6"/>
        <v>1004</v>
      </c>
      <c r="S29" s="24">
        <f t="shared" si="7"/>
        <v>8</v>
      </c>
      <c r="T29" s="50"/>
      <c r="U29" s="553">
        <v>4.2</v>
      </c>
      <c r="V29" s="553">
        <v>13.7</v>
      </c>
      <c r="W29" s="553">
        <v>19.2</v>
      </c>
      <c r="X29" s="485" t="s">
        <v>111</v>
      </c>
      <c r="Y29" s="72">
        <f t="shared" si="8"/>
        <v>2</v>
      </c>
      <c r="Z29" s="539">
        <v>3.1</v>
      </c>
      <c r="AA29" s="23">
        <v>1.1000000000000001</v>
      </c>
      <c r="AB29" s="23">
        <v>0.6</v>
      </c>
      <c r="AC29" s="628">
        <f t="shared" si="9"/>
        <v>0.19999999999999998</v>
      </c>
      <c r="AD29" s="26">
        <f t="shared" si="10"/>
        <v>0.77500000000000002</v>
      </c>
      <c r="AE29" s="485">
        <v>4.4000000000000004</v>
      </c>
      <c r="AF29" s="54"/>
      <c r="AG29" s="553">
        <v>-0.2</v>
      </c>
      <c r="AH29" s="553">
        <v>10.199999999999999</v>
      </c>
      <c r="AI29" s="553">
        <v>7.3</v>
      </c>
      <c r="AJ29" s="26">
        <f t="shared" si="11"/>
        <v>10.399999999999999</v>
      </c>
      <c r="AK29" s="72"/>
      <c r="AL29" s="485" t="s">
        <v>727</v>
      </c>
      <c r="AM29" s="134"/>
      <c r="AN29" s="555" t="s">
        <v>728</v>
      </c>
      <c r="AO29" s="400"/>
      <c r="AP29" s="485">
        <v>3</v>
      </c>
      <c r="AQ29" s="485">
        <v>4</v>
      </c>
      <c r="AR29" s="134"/>
      <c r="AS29" s="26">
        <f>IF(ISBLANK(F29),"",(AVERAGE($F$4:F29)))</f>
        <v>10.250000000000002</v>
      </c>
      <c r="AT29" s="26">
        <f>IF(ISBLANK(G29),"",(AVERAGE($G$4:G29)))</f>
        <v>17.26923076923077</v>
      </c>
      <c r="AU29" s="25">
        <f>IF(ISBLANK(H29),"",(AVERAGE($H$4:H29)))</f>
        <v>13.623076923076923</v>
      </c>
      <c r="AV29" s="368">
        <f>IF(ISBLANK(G29),"",(AVERAGE($I$4:I29)))</f>
        <v>7.0192307692307701</v>
      </c>
      <c r="AW29" s="22">
        <f>IF(ISBLANK(M29),"",AVERAGE($M$4:M29))</f>
        <v>72.84615384615384</v>
      </c>
      <c r="AX29" s="376">
        <f>IF(ISBLANK(P29),"",(AVERAGE($R$4:R29)))</f>
        <v>1017.1153846153846</v>
      </c>
      <c r="AY29" s="368">
        <f>IF(ISBLANK(U29),"",(AVERAGE($U$4:U29)))</f>
        <v>5.3846153846153832</v>
      </c>
      <c r="AZ29" s="6"/>
      <c r="BA29" s="25">
        <f t="shared" si="12"/>
        <v>1.0879999999999965</v>
      </c>
      <c r="BB29" s="25">
        <f t="shared" si="13"/>
        <v>-1.4076923076923116</v>
      </c>
      <c r="BC29" s="25">
        <f t="shared" si="16"/>
        <v>-0.15984615384615752</v>
      </c>
      <c r="BD29" s="367">
        <f t="shared" si="15"/>
        <v>-2.4956923076923081</v>
      </c>
      <c r="BE29" s="72"/>
      <c r="BF29" s="25">
        <f>IF(ISBLANK(F29),"",AS29-AVERAGE($F$91:F116))</f>
        <v>1.2204999999999977</v>
      </c>
      <c r="BG29" s="25">
        <f>IF(ISBLANK(G29),"",AT29-AVERAGE($G$91:G116))</f>
        <v>2.2887071005917221</v>
      </c>
      <c r="BH29" s="367">
        <f t="shared" si="18"/>
        <v>1.0682071005917244</v>
      </c>
      <c r="BI29" s="115">
        <f t="shared" si="0"/>
        <v>0.25401337792642142</v>
      </c>
      <c r="BJ29" s="115">
        <f t="shared" si="1"/>
        <v>1.483267093323503</v>
      </c>
      <c r="BK29" s="88"/>
      <c r="BL29" s="572">
        <v>26</v>
      </c>
    </row>
    <row r="30" spans="1:64" ht="12.75" customHeight="1" x14ac:dyDescent="0.2">
      <c r="A30" s="394">
        <f t="shared" si="2"/>
        <v>27</v>
      </c>
      <c r="B30" s="131">
        <v>9.1999999999999993</v>
      </c>
      <c r="C30" s="282">
        <v>13.5</v>
      </c>
      <c r="D30" s="685"/>
      <c r="E30" s="97">
        <f t="shared" si="3"/>
        <v>27</v>
      </c>
      <c r="F30" s="23">
        <v>11.1</v>
      </c>
      <c r="G30" s="23">
        <v>13.7</v>
      </c>
      <c r="H30" s="553">
        <v>12.3</v>
      </c>
      <c r="I30" s="23">
        <v>2.6</v>
      </c>
      <c r="J30" s="72">
        <f t="shared" si="4"/>
        <v>1</v>
      </c>
      <c r="K30" s="24">
        <v>81</v>
      </c>
      <c r="L30" s="24">
        <v>92</v>
      </c>
      <c r="M30" s="554">
        <v>87</v>
      </c>
      <c r="N30" s="24">
        <v>11</v>
      </c>
      <c r="O30" s="50">
        <f t="shared" si="5"/>
        <v>1</v>
      </c>
      <c r="P30" s="24">
        <v>1006</v>
      </c>
      <c r="Q30" s="24">
        <v>1012</v>
      </c>
      <c r="R30" s="24">
        <f t="shared" si="6"/>
        <v>1009</v>
      </c>
      <c r="S30" s="24">
        <f t="shared" si="7"/>
        <v>6</v>
      </c>
      <c r="T30" s="50"/>
      <c r="U30" s="553">
        <v>2.8</v>
      </c>
      <c r="V30" s="553">
        <v>9.1999999999999993</v>
      </c>
      <c r="W30" s="553">
        <v>12.3</v>
      </c>
      <c r="X30" s="562" t="s">
        <v>112</v>
      </c>
      <c r="Y30" s="72">
        <f t="shared" si="8"/>
        <v>1</v>
      </c>
      <c r="Z30" s="539">
        <v>0.8</v>
      </c>
      <c r="AA30" s="23">
        <v>0.5</v>
      </c>
      <c r="AB30" s="23">
        <v>0.5</v>
      </c>
      <c r="AC30" s="628">
        <f t="shared" si="9"/>
        <v>5.1612903225806452E-2</v>
      </c>
      <c r="AD30" s="26">
        <f t="shared" si="10"/>
        <v>0.26666666666666666</v>
      </c>
      <c r="AE30" s="485">
        <v>4.2</v>
      </c>
      <c r="AF30" s="54"/>
      <c r="AG30" s="553">
        <v>9.1</v>
      </c>
      <c r="AH30" s="553">
        <v>12</v>
      </c>
      <c r="AI30" s="553">
        <v>10.199999999999999</v>
      </c>
      <c r="AJ30" s="26">
        <f t="shared" si="11"/>
        <v>2.9000000000000004</v>
      </c>
      <c r="AK30" s="72"/>
      <c r="AL30" s="485" t="s">
        <v>364</v>
      </c>
      <c r="AM30" s="134"/>
      <c r="AN30" s="555" t="s">
        <v>729</v>
      </c>
      <c r="AO30" s="400"/>
      <c r="AP30" s="565">
        <v>0</v>
      </c>
      <c r="AQ30" s="485">
        <v>3</v>
      </c>
      <c r="AR30" s="134"/>
      <c r="AS30" s="26">
        <f>IF(ISBLANK(F30),"",(AVERAGE($F$4:F30)))</f>
        <v>10.281481481481485</v>
      </c>
      <c r="AT30" s="26">
        <f>IF(ISBLANK(G30),"",(AVERAGE($G$4:G30)))</f>
        <v>17.137037037037036</v>
      </c>
      <c r="AU30" s="25">
        <f>IF(ISBLANK(H30),"",(AVERAGE($H$4:H30)))</f>
        <v>13.574074074074074</v>
      </c>
      <c r="AV30" s="368">
        <f>IF(ISBLANK(G30),"",(AVERAGE($I$4:I30)))</f>
        <v>6.8555555555555561</v>
      </c>
      <c r="AW30" s="22">
        <f>IF(ISBLANK(M30),"",AVERAGE($M$4:M30))</f>
        <v>73.370370370370367</v>
      </c>
      <c r="AX30" s="376">
        <f>IF(ISBLANK(P30),"",(AVERAGE($R$4:R30)))</f>
        <v>1016.8148148148148</v>
      </c>
      <c r="AY30" s="368">
        <f>IF(ISBLANK(U30),"",(AVERAGE($U$4:U30)))</f>
        <v>5.2888888888888879</v>
      </c>
      <c r="AZ30" s="6"/>
      <c r="BA30" s="25">
        <f t="shared" si="12"/>
        <v>3.5239999999999956</v>
      </c>
      <c r="BB30" s="25">
        <f t="shared" si="13"/>
        <v>0.65384615384614797</v>
      </c>
      <c r="BC30" s="25">
        <f t="shared" si="16"/>
        <v>2.0889230769230718</v>
      </c>
      <c r="BD30" s="367">
        <f t="shared" si="15"/>
        <v>-2.8701538461538476</v>
      </c>
      <c r="BE30" s="72"/>
      <c r="BF30" s="25">
        <f>IF(ISBLANK(F30),"",AS30-AVERAGE($F$91:F117))</f>
        <v>1.3058148148148145</v>
      </c>
      <c r="BG30" s="25">
        <f>IF(ISBLANK(G30),"",AT30-AVERAGE($G$91:G117))</f>
        <v>2.2281566951567005</v>
      </c>
      <c r="BH30" s="367">
        <f>IF(ISBLANK(G30),"",BG30-BF30)</f>
        <v>0.92234188034188591</v>
      </c>
      <c r="BI30" s="115">
        <f t="shared" si="0"/>
        <v>0.25791733762748259</v>
      </c>
      <c r="BJ30" s="115">
        <f t="shared" si="1"/>
        <v>1.4327119496129286</v>
      </c>
      <c r="BK30" s="421"/>
      <c r="BL30" s="572">
        <v>27</v>
      </c>
    </row>
    <row r="31" spans="1:64" ht="12.75" customHeight="1" x14ac:dyDescent="0.2">
      <c r="A31" s="394">
        <f t="shared" si="2"/>
        <v>28</v>
      </c>
      <c r="B31" s="131">
        <v>8.9</v>
      </c>
      <c r="C31" s="282">
        <v>14.6</v>
      </c>
      <c r="D31" s="685"/>
      <c r="E31" s="97">
        <f t="shared" si="3"/>
        <v>28</v>
      </c>
      <c r="F31" s="23">
        <v>8.9</v>
      </c>
      <c r="G31" s="23">
        <v>14.6</v>
      </c>
      <c r="H31" s="553">
        <v>12.4</v>
      </c>
      <c r="I31" s="23">
        <v>5.7</v>
      </c>
      <c r="J31" s="72">
        <f t="shared" si="4"/>
        <v>0</v>
      </c>
      <c r="K31" s="24">
        <v>66</v>
      </c>
      <c r="L31" s="24">
        <v>94</v>
      </c>
      <c r="M31" s="554">
        <v>84</v>
      </c>
      <c r="N31" s="24">
        <v>28</v>
      </c>
      <c r="O31" s="50">
        <f t="shared" si="5"/>
        <v>0</v>
      </c>
      <c r="P31" s="24">
        <v>1013</v>
      </c>
      <c r="Q31" s="24">
        <v>1024</v>
      </c>
      <c r="R31" s="24">
        <f t="shared" si="6"/>
        <v>1018.5</v>
      </c>
      <c r="S31" s="24">
        <f t="shared" si="7"/>
        <v>11</v>
      </c>
      <c r="T31" s="50"/>
      <c r="U31" s="553">
        <v>2.4</v>
      </c>
      <c r="V31" s="553">
        <v>7.8</v>
      </c>
      <c r="W31" s="553">
        <v>10.199999999999999</v>
      </c>
      <c r="X31" s="562" t="s">
        <v>105</v>
      </c>
      <c r="Y31" s="72">
        <f t="shared" si="8"/>
        <v>0</v>
      </c>
      <c r="Z31" s="539">
        <v>0</v>
      </c>
      <c r="AA31" s="23" t="s">
        <v>619</v>
      </c>
      <c r="AB31" s="23" t="s">
        <v>619</v>
      </c>
      <c r="AC31" s="628" t="str">
        <f t="shared" si="9"/>
        <v/>
      </c>
      <c r="AD31" s="26" t="str">
        <f t="shared" si="10"/>
        <v/>
      </c>
      <c r="AE31" s="485" t="s">
        <v>619</v>
      </c>
      <c r="AF31" s="54"/>
      <c r="AG31" s="553">
        <v>7.6</v>
      </c>
      <c r="AH31" s="553">
        <v>11.8</v>
      </c>
      <c r="AI31" s="553">
        <v>9.6</v>
      </c>
      <c r="AJ31" s="26">
        <f t="shared" si="11"/>
        <v>4.2000000000000011</v>
      </c>
      <c r="AK31" s="72"/>
      <c r="AL31" s="485" t="s">
        <v>730</v>
      </c>
      <c r="AM31" s="134"/>
      <c r="AN31" s="555" t="s">
        <v>8</v>
      </c>
      <c r="AO31" s="400"/>
      <c r="AP31" s="485">
        <v>6.5</v>
      </c>
      <c r="AQ31" s="485">
        <v>0</v>
      </c>
      <c r="AR31" s="134"/>
      <c r="AS31" s="26">
        <f>IF(ISBLANK(F31),"",(AVERAGE($F$4:F31)))</f>
        <v>10.232142857142859</v>
      </c>
      <c r="AT31" s="26">
        <f>IF(ISBLANK(G31),"",(AVERAGE($G$4:G31)))</f>
        <v>17.046428571428571</v>
      </c>
      <c r="AU31" s="25">
        <f>IF(ISBLANK(H31),"",(AVERAGE($H$4:H31)))</f>
        <v>13.532142857142857</v>
      </c>
      <c r="AV31" s="368">
        <f>IF(ISBLANK(G31),"",(AVERAGE($I$4:I31)))</f>
        <v>6.8142857142857149</v>
      </c>
      <c r="AW31" s="22">
        <f>IF(ISBLANK(M31),"",AVERAGE($M$4:M31))</f>
        <v>73.75</v>
      </c>
      <c r="AX31" s="376">
        <f>IF(ISBLANK(P31),"",(AVERAGE($R$4:R31)))</f>
        <v>1016.875</v>
      </c>
      <c r="AY31" s="368">
        <f>IF(ISBLANK(U31),"",(AVERAGE($U$4:U31)))</f>
        <v>5.1857142857142851</v>
      </c>
      <c r="AZ31" s="6"/>
      <c r="BA31" s="25">
        <f t="shared" si="12"/>
        <v>1.46</v>
      </c>
      <c r="BB31" s="25">
        <f t="shared" si="13"/>
        <v>1.7153846153846093</v>
      </c>
      <c r="BC31" s="25">
        <f t="shared" si="16"/>
        <v>1.5876923076923046</v>
      </c>
      <c r="BD31" s="367">
        <f t="shared" si="15"/>
        <v>0.25538461538460933</v>
      </c>
      <c r="BE31" s="72"/>
      <c r="BF31" s="25">
        <f>IF(ISBLANK(F31),"",AS31-AVERAGE($F$91:F118))</f>
        <v>1.3113214285714268</v>
      </c>
      <c r="BG31" s="25">
        <f>IF(ISBLANK(G31),"",AT31-AVERAGE($G$91:G118))</f>
        <v>2.2098434065934107</v>
      </c>
      <c r="BH31" s="367">
        <f>IF(ISBLANK(G31),"",BG31-BF31)</f>
        <v>0.89852197802198397</v>
      </c>
      <c r="BI31" s="115">
        <f t="shared" si="0"/>
        <v>0.24870600414078681</v>
      </c>
      <c r="BJ31" s="115">
        <f t="shared" si="1"/>
        <v>1.4530504042233581</v>
      </c>
      <c r="BK31" s="421"/>
      <c r="BL31" s="572">
        <v>28</v>
      </c>
    </row>
    <row r="32" spans="1:64" ht="12.75" customHeight="1" x14ac:dyDescent="0.2">
      <c r="A32" s="394">
        <f t="shared" si="2"/>
        <v>29</v>
      </c>
      <c r="B32" s="131">
        <v>12.4</v>
      </c>
      <c r="C32" s="282">
        <v>15.7</v>
      </c>
      <c r="D32" s="685"/>
      <c r="E32" s="97">
        <f t="shared" si="3"/>
        <v>29</v>
      </c>
      <c r="F32" s="23">
        <v>12.4</v>
      </c>
      <c r="G32" s="23">
        <v>15.7</v>
      </c>
      <c r="H32" s="553">
        <v>13.7</v>
      </c>
      <c r="I32" s="23">
        <v>3.3</v>
      </c>
      <c r="J32" s="72">
        <f t="shared" si="4"/>
        <v>0</v>
      </c>
      <c r="K32" s="24">
        <v>63</v>
      </c>
      <c r="L32" s="24">
        <v>93</v>
      </c>
      <c r="M32" s="554">
        <v>81</v>
      </c>
      <c r="N32" s="24">
        <v>30</v>
      </c>
      <c r="O32" s="50">
        <f t="shared" si="5"/>
        <v>0</v>
      </c>
      <c r="P32" s="24">
        <v>1018</v>
      </c>
      <c r="Q32" s="24">
        <v>1024</v>
      </c>
      <c r="R32" s="24">
        <f t="shared" si="6"/>
        <v>1021</v>
      </c>
      <c r="S32" s="24">
        <f t="shared" si="7"/>
        <v>6</v>
      </c>
      <c r="T32" s="50"/>
      <c r="U32" s="553">
        <v>5.8</v>
      </c>
      <c r="V32" s="553">
        <v>13.8</v>
      </c>
      <c r="W32" s="553">
        <v>23.9</v>
      </c>
      <c r="X32" s="485" t="s">
        <v>110</v>
      </c>
      <c r="Y32" s="72">
        <f t="shared" si="8"/>
        <v>0</v>
      </c>
      <c r="Z32" s="539">
        <v>0</v>
      </c>
      <c r="AA32" s="23" t="s">
        <v>619</v>
      </c>
      <c r="AB32" s="23" t="s">
        <v>619</v>
      </c>
      <c r="AC32" s="628" t="str">
        <f t="shared" si="9"/>
        <v/>
      </c>
      <c r="AD32" s="26" t="str">
        <f t="shared" si="10"/>
        <v/>
      </c>
      <c r="AE32" s="485" t="s">
        <v>619</v>
      </c>
      <c r="AF32" s="54"/>
      <c r="AG32" s="553">
        <v>8</v>
      </c>
      <c r="AH32" s="553">
        <v>12.4</v>
      </c>
      <c r="AI32" s="553">
        <v>10.3</v>
      </c>
      <c r="AJ32" s="26">
        <f t="shared" si="11"/>
        <v>4.4000000000000004</v>
      </c>
      <c r="AK32" s="72"/>
      <c r="AL32" s="485" t="s">
        <v>393</v>
      </c>
      <c r="AM32" s="134"/>
      <c r="AN32" s="555" t="s">
        <v>8</v>
      </c>
      <c r="AO32" s="400"/>
      <c r="AP32" s="485">
        <v>3.5</v>
      </c>
      <c r="AQ32" s="485">
        <v>0</v>
      </c>
      <c r="AR32" s="134"/>
      <c r="AS32" s="26">
        <f>IF(ISBLANK(F32),"",(AVERAGE($F$4:F32)))</f>
        <v>10.306896551724138</v>
      </c>
      <c r="AT32" s="26">
        <f>IF(ISBLANK(G32),"",(AVERAGE($G$4:G32)))</f>
        <v>17</v>
      </c>
      <c r="AU32" s="25">
        <f>IF(ISBLANK(H32),"",(AVERAGE($H$4:H32)))</f>
        <v>13.537931034482757</v>
      </c>
      <c r="AV32" s="368">
        <f>IF(ISBLANK(G32),"",(AVERAGE($I$4:I32)))</f>
        <v>6.6931034482758625</v>
      </c>
      <c r="AW32" s="22">
        <f>IF(ISBLANK(M32),"",AVERAGE($M$4:M32))</f>
        <v>74</v>
      </c>
      <c r="AX32" s="376">
        <f>IF(ISBLANK(P32),"",(AVERAGE($R$4:R32)))</f>
        <v>1017.0172413793103</v>
      </c>
      <c r="AY32" s="368">
        <f>IF(ISBLANK(U32),"",(AVERAGE($U$4:U32)))</f>
        <v>5.2068965517241379</v>
      </c>
      <c r="AZ32" s="6"/>
      <c r="BA32" s="25">
        <f t="shared" si="12"/>
        <v>5.0959999999999965</v>
      </c>
      <c r="BB32" s="25">
        <f t="shared" si="13"/>
        <v>2.9769230769230699</v>
      </c>
      <c r="BC32" s="25">
        <f t="shared" si="16"/>
        <v>4.0364615384615332</v>
      </c>
      <c r="BD32" s="367">
        <f t="shared" si="15"/>
        <v>-2.1190769230769266</v>
      </c>
      <c r="BE32" s="72"/>
      <c r="BF32" s="25">
        <f>IF(ISBLANK(F32),"",AS32-AVERAGE($F$91:F119))</f>
        <v>1.4418275862068928</v>
      </c>
      <c r="BG32" s="25">
        <f>IF(ISBLANK(G32),"",AT32-AVERAGE($G$91:G119))</f>
        <v>2.2362944297082272</v>
      </c>
      <c r="BH32" s="367">
        <f>IF(ISBLANK(G32),"",BG32-BF32)</f>
        <v>0.79446684350133445</v>
      </c>
      <c r="BI32" s="115">
        <f t="shared" si="0"/>
        <v>0.24012993503248378</v>
      </c>
      <c r="BJ32" s="115">
        <f t="shared" si="1"/>
        <v>1.4423256806806435</v>
      </c>
      <c r="BK32" s="88"/>
      <c r="BL32" s="572">
        <v>29</v>
      </c>
    </row>
    <row r="33" spans="1:64" ht="12.75" customHeight="1" x14ac:dyDescent="0.2">
      <c r="A33" s="394">
        <f t="shared" si="2"/>
        <v>30</v>
      </c>
      <c r="B33" s="131">
        <v>13.5</v>
      </c>
      <c r="C33" s="282">
        <v>16.600000000000001</v>
      </c>
      <c r="D33" s="685"/>
      <c r="E33" s="97">
        <f t="shared" si="3"/>
        <v>30</v>
      </c>
      <c r="F33" s="23">
        <v>13.8</v>
      </c>
      <c r="G33" s="23">
        <v>16.600000000000001</v>
      </c>
      <c r="H33" s="553">
        <v>15.2</v>
      </c>
      <c r="I33" s="23">
        <v>2.8</v>
      </c>
      <c r="J33" s="72">
        <f t="shared" si="4"/>
        <v>0</v>
      </c>
      <c r="K33" s="24">
        <v>81</v>
      </c>
      <c r="L33" s="24">
        <v>92</v>
      </c>
      <c r="M33" s="554">
        <v>88</v>
      </c>
      <c r="N33" s="24">
        <v>11</v>
      </c>
      <c r="O33" s="50">
        <f t="shared" si="5"/>
        <v>1</v>
      </c>
      <c r="P33" s="24">
        <v>1017</v>
      </c>
      <c r="Q33" s="24">
        <v>1019</v>
      </c>
      <c r="R33" s="24">
        <f t="shared" si="6"/>
        <v>1018</v>
      </c>
      <c r="S33" s="24">
        <f t="shared" si="7"/>
        <v>2</v>
      </c>
      <c r="T33" s="50"/>
      <c r="U33" s="553">
        <v>6.3</v>
      </c>
      <c r="V33" s="553">
        <v>13</v>
      </c>
      <c r="W33" s="553">
        <v>17.600000000000001</v>
      </c>
      <c r="X33" s="485" t="s">
        <v>110</v>
      </c>
      <c r="Y33" s="72">
        <f t="shared" si="8"/>
        <v>0</v>
      </c>
      <c r="Z33" s="539">
        <v>0</v>
      </c>
      <c r="AA33" s="23" t="s">
        <v>619</v>
      </c>
      <c r="AB33" s="23" t="s">
        <v>619</v>
      </c>
      <c r="AC33" s="628" t="str">
        <f t="shared" si="9"/>
        <v/>
      </c>
      <c r="AD33" s="26" t="str">
        <f t="shared" si="10"/>
        <v/>
      </c>
      <c r="AE33" s="485" t="s">
        <v>619</v>
      </c>
      <c r="AF33" s="54"/>
      <c r="AG33" s="553">
        <v>10.8</v>
      </c>
      <c r="AH33" s="553">
        <v>14.1</v>
      </c>
      <c r="AI33" s="553">
        <v>13.2</v>
      </c>
      <c r="AJ33" s="26">
        <f t="shared" si="11"/>
        <v>3.2999999999999989</v>
      </c>
      <c r="AK33" s="72"/>
      <c r="AL33" s="485" t="s">
        <v>566</v>
      </c>
      <c r="AM33" s="134"/>
      <c r="AN33" s="555" t="s">
        <v>8</v>
      </c>
      <c r="AO33" s="400"/>
      <c r="AP33" s="485">
        <v>0.5</v>
      </c>
      <c r="AQ33" s="485">
        <v>0</v>
      </c>
      <c r="AR33" s="134"/>
      <c r="AS33" s="26">
        <f>IF(ISBLANK(F33),"",(AVERAGE($F$4:F33)))</f>
        <v>10.423333333333336</v>
      </c>
      <c r="AT33" s="26">
        <f>IF(ISBLANK(G33),"",(AVERAGE($G$4:G33)))</f>
        <v>16.986666666666668</v>
      </c>
      <c r="AU33" s="25">
        <f>IF(ISBLANK(H33),"",(AVERAGE($H$4:H33)))</f>
        <v>13.593333333333332</v>
      </c>
      <c r="AV33" s="368">
        <f>IF(ISBLANK(G33),"",(AVERAGE($I$4:I33)))</f>
        <v>6.5633333333333344</v>
      </c>
      <c r="AW33" s="22">
        <f>IF(ISBLANK(M33),"",AVERAGE($M$4:M33))</f>
        <v>74.466666666666669</v>
      </c>
      <c r="AX33" s="376">
        <f>IF(ISBLANK(P33),"",(AVERAGE($R$4:R33)))</f>
        <v>1017.05</v>
      </c>
      <c r="AY33" s="368">
        <f>IF(ISBLANK(U33),"",(AVERAGE($U$4:U33)))</f>
        <v>5.2433333333333341</v>
      </c>
      <c r="AZ33" s="6"/>
      <c r="BA33" s="25">
        <f t="shared" si="12"/>
        <v>6.631999999999997</v>
      </c>
      <c r="BB33" s="25">
        <f t="shared" si="13"/>
        <v>4.038461538461533</v>
      </c>
      <c r="BC33" s="25">
        <f t="shared" si="16"/>
        <v>5.3352307692307654</v>
      </c>
      <c r="BD33" s="367">
        <f t="shared" si="15"/>
        <v>-2.593538461538464</v>
      </c>
      <c r="BE33" s="72"/>
      <c r="BF33" s="25">
        <f>IF(ISBLANK(F33),"",AS33-AVERAGE($F$91:F120))</f>
        <v>1.6148333333333316</v>
      </c>
      <c r="BG33" s="25">
        <f>IF(ISBLANK(G33),"",AT33-AVERAGE($G$91:G120))</f>
        <v>2.2963666666666711</v>
      </c>
      <c r="BH33" s="367">
        <f>IF(ISBLANK(G33),"",BG33-BF33)</f>
        <v>0.68153333333333954</v>
      </c>
      <c r="BI33" s="115">
        <f t="shared" si="0"/>
        <v>0.23212560386473435</v>
      </c>
      <c r="BJ33" s="115">
        <f t="shared" si="1"/>
        <v>1.4033778642562478</v>
      </c>
      <c r="BK33" s="88"/>
      <c r="BL33" s="572">
        <v>30</v>
      </c>
    </row>
    <row r="34" spans="1:64" ht="12.75" customHeight="1" x14ac:dyDescent="0.2">
      <c r="A34" s="394">
        <v>31</v>
      </c>
      <c r="B34" s="131">
        <v>15.2</v>
      </c>
      <c r="C34" s="282">
        <v>16.3</v>
      </c>
      <c r="D34" s="685"/>
      <c r="E34" s="97">
        <v>31</v>
      </c>
      <c r="F34" s="23">
        <v>13.2</v>
      </c>
      <c r="G34" s="23">
        <v>16.3</v>
      </c>
      <c r="H34" s="553">
        <v>14.9</v>
      </c>
      <c r="I34" s="23">
        <v>3.1</v>
      </c>
      <c r="J34" s="72">
        <f t="shared" si="4"/>
        <v>0</v>
      </c>
      <c r="K34" s="24">
        <v>71</v>
      </c>
      <c r="L34" s="24">
        <v>92</v>
      </c>
      <c r="M34" s="554">
        <v>84</v>
      </c>
      <c r="N34" s="24">
        <v>21</v>
      </c>
      <c r="O34" s="50">
        <f t="shared" si="5"/>
        <v>1</v>
      </c>
      <c r="P34" s="24">
        <v>1008</v>
      </c>
      <c r="Q34" s="24">
        <v>1018</v>
      </c>
      <c r="R34" s="24">
        <f t="shared" si="6"/>
        <v>1013</v>
      </c>
      <c r="S34" s="24">
        <f t="shared" si="7"/>
        <v>10</v>
      </c>
      <c r="T34" s="50"/>
      <c r="U34" s="553">
        <v>5.7</v>
      </c>
      <c r="V34" s="553">
        <v>13.2</v>
      </c>
      <c r="W34" s="553">
        <v>18.7</v>
      </c>
      <c r="X34" s="485" t="s">
        <v>111</v>
      </c>
      <c r="Y34" s="72">
        <f t="shared" si="8"/>
        <v>0</v>
      </c>
      <c r="Z34" s="539">
        <v>0</v>
      </c>
      <c r="AA34" s="23" t="s">
        <v>619</v>
      </c>
      <c r="AB34" s="23" t="s">
        <v>619</v>
      </c>
      <c r="AC34" s="628" t="str">
        <f t="shared" si="9"/>
        <v/>
      </c>
      <c r="AD34" s="26" t="str">
        <f t="shared" si="10"/>
        <v/>
      </c>
      <c r="AE34" s="485" t="s">
        <v>619</v>
      </c>
      <c r="AF34" s="54"/>
      <c r="AG34" s="553">
        <v>10.199999999999999</v>
      </c>
      <c r="AH34" s="553">
        <v>14.1</v>
      </c>
      <c r="AI34" s="553">
        <v>12.2</v>
      </c>
      <c r="AJ34" s="26">
        <f t="shared" si="11"/>
        <v>3.9000000000000004</v>
      </c>
      <c r="AK34" s="72"/>
      <c r="AL34" s="485" t="s">
        <v>239</v>
      </c>
      <c r="AM34" s="134"/>
      <c r="AN34" s="555" t="s">
        <v>8</v>
      </c>
      <c r="AO34" s="400"/>
      <c r="AP34" s="485">
        <v>0.2</v>
      </c>
      <c r="AQ34" s="485">
        <v>0</v>
      </c>
      <c r="AR34" s="134"/>
      <c r="AS34" s="26">
        <f>IF(ISBLANK(F6),"",(AVERAGE($F$4:F34)))</f>
        <v>10.512903225806452</v>
      </c>
      <c r="AT34" s="26">
        <f>IF(ISBLANK(G6),"",(AVERAGE($G$4:G34)))</f>
        <v>16.964516129032258</v>
      </c>
      <c r="AU34" s="25">
        <f>IF(ISBLANK(H5),"",(AVERAGE($H$4:H34)))</f>
        <v>13.63548387096774</v>
      </c>
      <c r="AV34" s="368">
        <f>IF(ISBLANK(G6),"",(AVERAGE($I$4:I34)))</f>
        <v>6.4516129032258069</v>
      </c>
      <c r="AW34" s="22">
        <f>IF(ISBLANK(M5),"",AVERAGE($M$4:M34))</f>
        <v>74.774193548387103</v>
      </c>
      <c r="AX34" s="376">
        <f>IF(ISBLANK(P6),"",(AVERAGE($R$4:R34)))</f>
        <v>1016.9193548387096</v>
      </c>
      <c r="AY34" s="368">
        <f>IF(ISBLANK(U6),"",(AVERAGE($U$4:U34)))</f>
        <v>5.258064516129032</v>
      </c>
      <c r="AZ34" s="6"/>
      <c r="BA34" s="25">
        <f t="shared" si="12"/>
        <v>6.1679999999999957</v>
      </c>
      <c r="BB34" s="25">
        <f t="shared" si="13"/>
        <v>3.9000000000000004</v>
      </c>
      <c r="BC34" s="25">
        <f t="shared" si="16"/>
        <v>5.033999999999998</v>
      </c>
      <c r="BD34" s="367">
        <f t="shared" si="15"/>
        <v>-2.2679999999999954</v>
      </c>
      <c r="BE34" s="72"/>
      <c r="BF34" s="25">
        <f>IF(ISBLANK(F34),"",AS34-AVERAGE($F$91:F121))</f>
        <v>1.7617096774193524</v>
      </c>
      <c r="BG34" s="25">
        <f>IF(ISBLANK(G34),"",AT34-AVERAGE($G$91:G121))</f>
        <v>2.3480967741935537</v>
      </c>
      <c r="BH34" s="367">
        <f>IF(ISBLANK(G34),"",BG34-BF34)</f>
        <v>0.58638709677420131</v>
      </c>
      <c r="BI34" s="138">
        <f>IF(ISBLANK(Z6),"",AB121/AA121)</f>
        <v>0.22463768115942032</v>
      </c>
      <c r="BJ34" s="115">
        <f t="shared" si="1"/>
        <v>1.3641509433962267</v>
      </c>
      <c r="BK34" s="88"/>
      <c r="BL34" s="572">
        <v>31</v>
      </c>
    </row>
    <row r="35" spans="1:64" s="10" customFormat="1" ht="3" customHeight="1" x14ac:dyDescent="0.2">
      <c r="A35" s="72"/>
      <c r="B35" s="284"/>
      <c r="C35" s="285"/>
      <c r="D35" s="685"/>
      <c r="E35" s="15"/>
      <c r="F35" s="29"/>
      <c r="G35" s="29"/>
      <c r="H35" s="28"/>
      <c r="I35" s="29"/>
      <c r="J35" s="6"/>
      <c r="K35" s="30"/>
      <c r="L35" s="30"/>
      <c r="M35" s="30"/>
      <c r="N35" s="30"/>
      <c r="O35" s="17"/>
      <c r="P35" s="30"/>
      <c r="Q35" s="30"/>
      <c r="R35" s="30"/>
      <c r="S35" s="30"/>
      <c r="T35" s="50"/>
      <c r="U35" s="28"/>
      <c r="V35" s="28"/>
      <c r="W35" s="32"/>
      <c r="X35" s="28"/>
      <c r="Y35" s="67"/>
      <c r="Z35" s="501"/>
      <c r="AA35" s="501"/>
      <c r="AB35" s="501"/>
      <c r="AC35" s="511"/>
      <c r="AD35" s="28"/>
      <c r="AE35" s="28"/>
      <c r="AF35" s="6"/>
      <c r="AG35" s="28"/>
      <c r="AH35" s="28"/>
      <c r="AI35" s="28"/>
      <c r="AJ35" s="28"/>
      <c r="AK35" s="67"/>
      <c r="AL35" s="95"/>
      <c r="AM35" s="6"/>
      <c r="AN35" s="29"/>
      <c r="AO35" s="400"/>
      <c r="AP35" s="28"/>
      <c r="AQ35" s="28"/>
      <c r="AR35" s="67"/>
      <c r="AS35" s="31"/>
      <c r="AT35" s="32"/>
      <c r="AU35" s="83"/>
      <c r="AV35" s="33"/>
      <c r="AW35" s="33"/>
      <c r="AX35" s="32"/>
      <c r="AY35" s="112"/>
      <c r="AZ35" s="54"/>
      <c r="BA35" s="112"/>
      <c r="BB35" s="112"/>
      <c r="BC35" s="112"/>
      <c r="BD35" s="82"/>
      <c r="BE35" s="402"/>
      <c r="BF35" s="32"/>
      <c r="BG35" s="32"/>
      <c r="BH35" s="32"/>
      <c r="BI35" s="28"/>
      <c r="BJ35" s="584"/>
      <c r="BK35" s="88"/>
      <c r="BL35" s="78"/>
    </row>
    <row r="36" spans="1:64" ht="12.75" customHeight="1" x14ac:dyDescent="0.2">
      <c r="A36" s="67"/>
      <c r="B36" s="697"/>
      <c r="C36" s="698"/>
      <c r="D36" s="685"/>
      <c r="E36" s="4"/>
      <c r="F36" s="25"/>
      <c r="G36" s="25"/>
      <c r="H36" s="21"/>
      <c r="I36" s="25"/>
      <c r="J36" s="18"/>
      <c r="K36" s="22"/>
      <c r="L36" s="22"/>
      <c r="M36" s="22"/>
      <c r="N36" s="22"/>
      <c r="O36" s="18"/>
      <c r="P36" s="48"/>
      <c r="Q36" s="48"/>
      <c r="R36" s="48"/>
      <c r="S36" s="48"/>
      <c r="T36" s="67"/>
      <c r="U36" s="21"/>
      <c r="V36" s="21"/>
      <c r="W36" s="21"/>
      <c r="X36" s="21"/>
      <c r="Y36" s="67"/>
      <c r="Z36" s="458" t="s">
        <v>34</v>
      </c>
      <c r="AA36" s="502"/>
      <c r="AB36" s="502"/>
      <c r="AC36" s="512"/>
      <c r="AD36" s="430" t="s">
        <v>202</v>
      </c>
      <c r="AE36" s="111"/>
      <c r="AF36" s="6"/>
      <c r="AG36" s="21"/>
      <c r="AJ36" s="21"/>
      <c r="AK36" s="67"/>
      <c r="AM36" s="6"/>
      <c r="AN36" s="182" t="s">
        <v>121</v>
      </c>
      <c r="AO36" s="402"/>
      <c r="AP36" s="185" t="s">
        <v>34</v>
      </c>
      <c r="AQ36" s="520" t="s">
        <v>34</v>
      </c>
      <c r="AR36" s="67"/>
      <c r="AS36" s="271" t="s">
        <v>16</v>
      </c>
      <c r="AT36" s="152" t="s">
        <v>26</v>
      </c>
      <c r="AU36" s="11" t="s">
        <v>41</v>
      </c>
      <c r="AV36" s="416" t="s">
        <v>81</v>
      </c>
      <c r="AW36" s="11" t="s">
        <v>6</v>
      </c>
      <c r="AX36" s="296" t="s">
        <v>79</v>
      </c>
      <c r="AY36" s="182" t="s">
        <v>201</v>
      </c>
      <c r="AZ36" s="71"/>
      <c r="BA36" s="699" t="s">
        <v>78</v>
      </c>
      <c r="BB36" s="699"/>
      <c r="BC36" s="569" t="s">
        <v>200</v>
      </c>
      <c r="BD36" s="417" t="s">
        <v>253</v>
      </c>
      <c r="BE36" s="402"/>
      <c r="BH36" s="21"/>
      <c r="BK36" s="88"/>
      <c r="BL36" s="78"/>
    </row>
    <row r="37" spans="1:64" ht="3" customHeight="1" x14ac:dyDescent="0.2">
      <c r="A37" s="73"/>
      <c r="B37" s="284"/>
      <c r="C37" s="286"/>
      <c r="D37" s="685"/>
      <c r="E37" s="35"/>
      <c r="F37" s="36"/>
      <c r="G37" s="36"/>
      <c r="H37" s="34"/>
      <c r="I37" s="36"/>
      <c r="J37" s="60"/>
      <c r="K37" s="37"/>
      <c r="L37" s="37"/>
      <c r="M37" s="37"/>
      <c r="N37" s="37"/>
      <c r="O37" s="18"/>
      <c r="P37" s="37"/>
      <c r="Q37" s="37"/>
      <c r="R37" s="37"/>
      <c r="S37" s="37"/>
      <c r="T37" s="73"/>
      <c r="U37" s="34"/>
      <c r="V37" s="34"/>
      <c r="W37" s="34"/>
      <c r="X37" s="34"/>
      <c r="Y37" s="73"/>
      <c r="Z37" s="503"/>
      <c r="AA37" s="503"/>
      <c r="AB37" s="503"/>
      <c r="AC37" s="513"/>
      <c r="AD37" s="261"/>
      <c r="AE37" s="261"/>
      <c r="AF37" s="6"/>
      <c r="AG37" s="34"/>
      <c r="AH37" s="34"/>
      <c r="AI37" s="34"/>
      <c r="AJ37" s="34"/>
      <c r="AK37" s="73"/>
      <c r="AL37" s="95"/>
      <c r="AM37" s="6"/>
      <c r="AN37" s="34"/>
      <c r="AO37" s="403"/>
      <c r="AP37" s="34"/>
      <c r="AQ37" s="34"/>
      <c r="AR37" s="73"/>
      <c r="AS37" s="272"/>
      <c r="AT37" s="270"/>
      <c r="AU37" s="36"/>
      <c r="AV37" s="269"/>
      <c r="AW37" s="36"/>
      <c r="AX37" s="297"/>
      <c r="AY37" s="269"/>
      <c r="AZ37" s="76"/>
      <c r="BA37" s="687"/>
      <c r="BB37" s="687"/>
      <c r="BC37" s="36"/>
      <c r="BD37" s="34"/>
      <c r="BE37" s="522"/>
      <c r="BF37" s="95"/>
      <c r="BG37" s="34"/>
      <c r="BH37" s="34"/>
      <c r="BI37" s="364"/>
      <c r="BJ37" s="364"/>
      <c r="BK37" s="403"/>
      <c r="BL37" s="79"/>
    </row>
    <row r="38" spans="1:64" ht="12.75" customHeight="1" x14ac:dyDescent="0.2">
      <c r="A38" s="67"/>
      <c r="B38" s="700" t="s">
        <v>4</v>
      </c>
      <c r="C38" s="701"/>
      <c r="D38" s="685"/>
      <c r="E38" s="4" t="s">
        <v>4</v>
      </c>
      <c r="F38" s="152">
        <f>IF(OR(H4&lt;-10,H4&gt;40),"",AVERAGE(F4:F34))</f>
        <v>10.512903225806452</v>
      </c>
      <c r="G38" s="151">
        <f>IF(OR(H4&lt;-10,H4&gt;40),"",AVERAGE(G4:G34))</f>
        <v>16.964516129032258</v>
      </c>
      <c r="H38" s="14">
        <f>IF(OR(H4&lt;-10,H4&gt;40),"",AVERAGE(H4:H34))</f>
        <v>13.63548387096774</v>
      </c>
      <c r="I38" s="129">
        <f>IF(OR(H4&lt;-10,H4&gt;40),"",AVERAGE(I4:I34))</f>
        <v>6.4516129032258069</v>
      </c>
      <c r="J38" s="19"/>
      <c r="K38" s="156">
        <f>IF(OR(H4&lt;-10,H4&gt;40),"",AVERAGE(K4:K34))</f>
        <v>58.677419354838712</v>
      </c>
      <c r="L38" s="153">
        <f>IF(OR(H4&lt;-10,H4&gt;40),"",AVERAGE(L4:L34))</f>
        <v>88.064516129032256</v>
      </c>
      <c r="M38" s="9">
        <f>IF(OR(H4&lt;-10,H4&gt;40),"",AVERAGE(M4:M34))</f>
        <v>74.774193548387103</v>
      </c>
      <c r="N38" s="398">
        <f>IF(OR(H4&lt;-10,H4&gt;40),"",AVERAGE(N4:N34))</f>
        <v>29.387096774193548</v>
      </c>
      <c r="O38" s="18"/>
      <c r="P38" s="154">
        <f>IF(OR(H4&lt;-10,H4&gt;40),"",AVERAGE(P4:P34))</f>
        <v>1013.7741935483871</v>
      </c>
      <c r="Q38" s="155">
        <f>IF(OR(H4&lt;-10,H4&gt;40),"",AVERAGE(Q4:Q34))</f>
        <v>1020.0645161290323</v>
      </c>
      <c r="R38" s="378">
        <f>IF(OR(H4&lt;-10,H4&gt;40),"",AVERAGE(P4:Q34))</f>
        <v>1016.9193548387096</v>
      </c>
      <c r="S38" s="130">
        <f>IF(OR(H4&lt;-10,H4&gt;40),"",AVERAGE(S4:S34))</f>
        <v>6.290322580645161</v>
      </c>
      <c r="T38" s="70"/>
      <c r="U38" s="266">
        <f>IF(OR(H4&lt;-10,H4&gt;40),"",AVERAGE(U4:U34))</f>
        <v>5.258064516129032</v>
      </c>
      <c r="V38" s="266">
        <f>IF(OR(H4&lt;-10,H4&gt;40),"",AVERAGE(V4:V34))</f>
        <v>12.90322580645161</v>
      </c>
      <c r="W38" s="266">
        <f>IF(OR(H4&lt;-10,H4&gt;40),"",AVERAGE(W4:W34))</f>
        <v>19.135483870967747</v>
      </c>
      <c r="X38" s="266" t="s">
        <v>110</v>
      </c>
      <c r="Y38" s="56"/>
      <c r="Z38" s="466">
        <f>SUM(Z4:Z34)</f>
        <v>15.500000000000002</v>
      </c>
      <c r="AA38" s="466">
        <f>IF($AN$38=0,"",AVERAGE(AA4:AA34))</f>
        <v>1.342857142857143</v>
      </c>
      <c r="AB38" s="466">
        <f>IF($AN$38=0,"",IF(AA86&lt;0.6,"n/a",AVERAGE(AB4:AB34)))</f>
        <v>0.94285714285714284</v>
      </c>
      <c r="AC38" s="514">
        <f>IF($AN$38=0,"",AVERAGE(AC4:AC34))</f>
        <v>9.9999999999999992E-2</v>
      </c>
      <c r="AD38" s="182">
        <f>IF(Z38&lt;0.1,"",Z38/AQ38)</f>
        <v>0.83333333333333337</v>
      </c>
      <c r="AE38" s="254">
        <f>IF($Z$38=0,"",IF(AA86&lt;0.6,"n/a",AVERAGE(AE4:AE34)))</f>
        <v>14.700000000000001</v>
      </c>
      <c r="AF38" s="6"/>
      <c r="AG38" s="263">
        <f>IF(OR(H5&lt;-20,H5&gt;40),"",AVERAGE(AG4:AG34))</f>
        <v>6.5903225806451609</v>
      </c>
      <c r="AH38" s="321">
        <f>IF(OR(H5&lt;-20,H5&gt;40),"",AVERAGE(AH4:AH34))</f>
        <v>11.793548387096777</v>
      </c>
      <c r="AI38" s="301">
        <f>IF(OR(H5&lt;-20,H5&gt;40),"",AVERAGE(AI4:AI34))</f>
        <v>8.9967741935483865</v>
      </c>
      <c r="AJ38" s="46">
        <f>IF(OR(H5&lt;-20,H5&gt;40),"",AVERAGE(AJ4:AJ34))</f>
        <v>5.2032258064516146</v>
      </c>
      <c r="AK38" s="311"/>
      <c r="AL38" s="626"/>
      <c r="AM38" s="6"/>
      <c r="AN38" s="254">
        <f>COUNTIF(AL91:AL121,1)</f>
        <v>5</v>
      </c>
      <c r="AO38" s="224"/>
      <c r="AP38" s="528">
        <f>SUM(AP4:AP34)</f>
        <v>144.6</v>
      </c>
      <c r="AQ38" s="432">
        <f>SUM(AQ4:AQ34)</f>
        <v>18.600000000000001</v>
      </c>
      <c r="AR38" s="56"/>
      <c r="AS38" s="358">
        <f>COUNTIF(G4:G34, "&gt;25")</f>
        <v>3</v>
      </c>
      <c r="AT38" s="357">
        <f>COUNTIF(B4:B34,"&lt;0")</f>
        <v>0</v>
      </c>
      <c r="AU38" s="145">
        <f>SUM(COUNTIF(AN4:AN34,"Thunder"),COUNTIF(AN4:AN34,"*Thunder*"),COUNTIF(AN4:AN34,"*Storm*"))</f>
        <v>0</v>
      </c>
      <c r="AV38" s="396">
        <f xml:space="preserve"> SUM(COUNTIF(AN4:AN34,"*Slt*"),COUNTIF(AN4:AN34,"*Snw*"))</f>
        <v>0</v>
      </c>
      <c r="AW38" s="145">
        <f>COUNTIF(W4:W34, "&gt;38")</f>
        <v>0</v>
      </c>
      <c r="AX38" s="359">
        <f xml:space="preserve"> SUM(COUNTIF(AN4:AN34,"Hail"),COUNTIF(AN4:AN34,"*Hail*"))</f>
        <v>0</v>
      </c>
      <c r="AY38" s="396">
        <f>COUNTIF(Z4:Z34,"&gt;19.9")</f>
        <v>0</v>
      </c>
      <c r="AZ38" s="360"/>
      <c r="BA38" s="689">
        <f xml:space="preserve"> SUM(COUNTIF(AN4:AN34,"cm"),COUNTIF(AN4:AN34,"*cm*"))</f>
        <v>0</v>
      </c>
      <c r="BB38" s="689"/>
      <c r="BC38" s="568">
        <f xml:space="preserve"> SUM(COUNTIF(AN4:AN34,"Dense"),COUNTIF(AN4:AN34,"*Dense*"))</f>
        <v>0</v>
      </c>
      <c r="BD38" s="417">
        <f t="array" ref="BD38">SUM(IF(AP4:AP34&gt;0.95*AT91:AT121,1,0))</f>
        <v>4</v>
      </c>
      <c r="BE38" s="523"/>
      <c r="BH38" s="25"/>
      <c r="BK38" s="88"/>
      <c r="BL38" s="78"/>
    </row>
    <row r="39" spans="1:64" ht="12.75" customHeight="1" x14ac:dyDescent="0.2">
      <c r="A39" s="67"/>
      <c r="B39" s="214">
        <f>IF(OR(H4&lt;-10,H4&gt;40),"",AVERAGE(B4:B34))</f>
        <v>10.729032258064516</v>
      </c>
      <c r="C39" s="287">
        <f>IF(OR(H4&lt;-10,H4&gt;40),"",AVERAGE(C4:C34))</f>
        <v>16.761290322580642</v>
      </c>
      <c r="D39" s="686"/>
      <c r="E39" s="4" t="s">
        <v>9</v>
      </c>
      <c r="F39" s="163">
        <v>8.8000000000000007</v>
      </c>
      <c r="G39" s="94">
        <v>14.6</v>
      </c>
      <c r="H39" s="390" t="s">
        <v>4</v>
      </c>
      <c r="I39" s="162">
        <f>G39-F39</f>
        <v>5.7999999999999989</v>
      </c>
      <c r="J39" s="19"/>
      <c r="K39" s="22"/>
      <c r="L39" s="22"/>
      <c r="M39" s="538" t="s">
        <v>4</v>
      </c>
      <c r="N39" s="22"/>
      <c r="O39" s="18"/>
      <c r="P39" s="22"/>
      <c r="Q39" s="22"/>
      <c r="R39" s="380">
        <v>1013.25</v>
      </c>
      <c r="S39" s="22"/>
      <c r="T39" s="70"/>
      <c r="U39" s="259">
        <v>4.0889999999999995</v>
      </c>
      <c r="V39" s="259"/>
      <c r="X39" s="260"/>
      <c r="Y39" s="70"/>
      <c r="Z39" s="504">
        <v>69</v>
      </c>
      <c r="AA39" s="105"/>
      <c r="AB39" s="505"/>
      <c r="AC39" s="515"/>
      <c r="AD39" s="490">
        <f>Z39/AQ39</f>
        <v>1.6046511627906976</v>
      </c>
      <c r="AF39" s="6"/>
      <c r="AG39" s="25"/>
      <c r="AI39" s="25"/>
      <c r="AJ39" s="25"/>
      <c r="AK39" s="56"/>
      <c r="AL39" s="626"/>
      <c r="AM39" s="6"/>
      <c r="AN39" s="253">
        <v>10</v>
      </c>
      <c r="AO39" s="224"/>
      <c r="AP39" s="529">
        <v>106</v>
      </c>
      <c r="AQ39" s="460">
        <v>43</v>
      </c>
      <c r="AR39" s="67"/>
      <c r="AT39" s="357">
        <v>0.2</v>
      </c>
      <c r="AU39" s="22">
        <v>1</v>
      </c>
      <c r="AV39" s="396">
        <v>0</v>
      </c>
      <c r="AW39" s="145"/>
      <c r="AX39" s="359"/>
      <c r="AZ39" s="360"/>
      <c r="BA39" s="689">
        <v>0</v>
      </c>
      <c r="BB39" s="689"/>
      <c r="BC39" s="145"/>
      <c r="BD39" s="145"/>
      <c r="BE39" s="360"/>
      <c r="BF39" s="147"/>
      <c r="BG39" s="147"/>
      <c r="BH39" s="147"/>
      <c r="BI39" s="147"/>
      <c r="BK39" s="88"/>
      <c r="BL39" s="78"/>
    </row>
    <row r="40" spans="1:64" ht="12.75" customHeight="1" x14ac:dyDescent="0.2">
      <c r="A40" s="67"/>
      <c r="B40" s="215">
        <f>IF(OR(H4&lt;-10,H4&gt;40),"",B39-F38)</f>
        <v>0.21612903225806335</v>
      </c>
      <c r="C40" s="288">
        <f>IF(OR(H4&lt;-10,H4&gt;40),"",C39-G38)</f>
        <v>-0.20322580645161636</v>
      </c>
      <c r="D40" s="686"/>
      <c r="E40" s="4" t="s">
        <v>10</v>
      </c>
      <c r="F40" s="152">
        <f>IF(OR(H4&lt;-10,H4&gt;40),"",F38-F39)</f>
        <v>1.7129032258064516</v>
      </c>
      <c r="G40" s="151">
        <f>IF(OR(H4&lt;-10,H4&gt;40),"",G38-G39)</f>
        <v>2.3645161290322587</v>
      </c>
      <c r="H40" s="383">
        <f>IF(M53&lt;1,"",AVERAGE(F4:G34))</f>
        <v>13.738709677419354</v>
      </c>
      <c r="I40" s="129">
        <f>IF(OR(H4&lt;-10,H4&gt;40),"",SUM(I38-I39))</f>
        <v>0.651612903225808</v>
      </c>
      <c r="J40" s="19"/>
      <c r="K40" s="22"/>
      <c r="L40" s="22"/>
      <c r="M40" s="537">
        <f>IF(M53&lt;1,"",AVERAGE(K4:L34))</f>
        <v>73.370967741935488</v>
      </c>
      <c r="N40" s="25"/>
      <c r="O40" s="18"/>
      <c r="P40" s="102"/>
      <c r="Q40" s="22"/>
      <c r="R40" s="378">
        <f>IF(OR(H4&lt;-10,H4&gt;40),"",R38-R39)</f>
        <v>3.6693548387096371</v>
      </c>
      <c r="S40" s="22"/>
      <c r="T40" s="70"/>
      <c r="U40" s="266">
        <f>IF(OR(H4&lt;-10,H4&gt;40),"",U38-U39)</f>
        <v>1.1690645161290325</v>
      </c>
      <c r="V40" s="435">
        <f>IF(OR(H5&lt;-20,H5&gt;40),"",CORREL(U4:U34,V4:V34))</f>
        <v>0.92965570362492611</v>
      </c>
      <c r="W40" s="435">
        <f>IF(OR(H5&lt;-20,H5&gt;40),"",CORREL(U4:U34,W4:W34))</f>
        <v>0.92514503424974415</v>
      </c>
      <c r="X40" s="435">
        <f>IF(OR(H5&lt;-20,H5&gt;40),"",CORREL(V4:V34,W4:W34))</f>
        <v>0.96594689128869893</v>
      </c>
      <c r="Y40" s="70"/>
      <c r="Z40" s="465">
        <f>IF(OR(Z4&lt;0,Z4&gt;300),"",AB47/AB48)</f>
        <v>0.22463768115942037</v>
      </c>
      <c r="AA40" s="506">
        <f>Z38/Z39</f>
        <v>0.22463768115942032</v>
      </c>
      <c r="AB40" s="506"/>
      <c r="AC40" s="516"/>
      <c r="AD40" s="262">
        <f>IF(Z38&lt;0.3,"",AD38/(Z39/AQ39))</f>
        <v>0.51932367149758463</v>
      </c>
      <c r="AE40" s="527">
        <f>IF($AN$38=0,"",AVERAGE(AD4:AD34))</f>
        <v>1.3364285714285715</v>
      </c>
      <c r="AF40" s="6"/>
      <c r="AI40" s="25"/>
      <c r="AJ40" s="25"/>
      <c r="AK40" s="56"/>
      <c r="AL40" s="626"/>
      <c r="AM40" s="6"/>
      <c r="AN40" s="254">
        <f>SUM(AN38-AN39)</f>
        <v>-5</v>
      </c>
      <c r="AO40" s="224"/>
      <c r="AP40" s="530">
        <f>IF(ISBLANK(AP4),"",AP47/AP54)</f>
        <v>1.3641509433962262</v>
      </c>
      <c r="AQ40" s="427">
        <f>IF(ISBLANK(AQ4),"",AQ47/(AQ39/E34))</f>
        <v>0.43255813953488376</v>
      </c>
      <c r="AR40" s="418"/>
      <c r="AT40" s="357">
        <f>SUM(AT38-AT39)</f>
        <v>-0.2</v>
      </c>
      <c r="AU40" s="145">
        <f>SUM(AU38-AU39)</f>
        <v>-1</v>
      </c>
      <c r="AV40" s="396">
        <f>AV38-AV39</f>
        <v>0</v>
      </c>
      <c r="AW40" s="145"/>
      <c r="AX40" s="359"/>
      <c r="AZ40" s="360"/>
      <c r="BA40" s="689">
        <f>BA38-BA39</f>
        <v>0</v>
      </c>
      <c r="BB40" s="689"/>
      <c r="BC40" s="145"/>
      <c r="BD40" s="145"/>
      <c r="BE40" s="360"/>
      <c r="BI40" s="25"/>
      <c r="BK40" s="88"/>
      <c r="BL40" s="78"/>
    </row>
    <row r="41" spans="1:64" ht="4.5" customHeight="1" x14ac:dyDescent="0.2">
      <c r="A41" s="74"/>
      <c r="B41" s="289"/>
      <c r="C41" s="290"/>
      <c r="D41" s="686"/>
      <c r="E41" s="40"/>
      <c r="F41" s="41"/>
      <c r="G41" s="41"/>
      <c r="H41" s="42"/>
      <c r="I41" s="41"/>
      <c r="J41" s="61"/>
      <c r="K41" s="43"/>
      <c r="L41" s="43"/>
      <c r="M41" s="44"/>
      <c r="N41" s="43"/>
      <c r="O41" s="18"/>
      <c r="P41" s="43"/>
      <c r="Q41" s="43"/>
      <c r="R41" s="44"/>
      <c r="S41" s="43"/>
      <c r="T41" s="74"/>
      <c r="U41" s="41"/>
      <c r="V41" s="41"/>
      <c r="W41" s="41"/>
      <c r="X41" s="41"/>
      <c r="Y41" s="77"/>
      <c r="Z41" s="507"/>
      <c r="AA41" s="507"/>
      <c r="AB41" s="507"/>
      <c r="AC41" s="517"/>
      <c r="AD41" s="41"/>
      <c r="AE41" s="41"/>
      <c r="AF41" s="6"/>
      <c r="AG41" s="41"/>
      <c r="AH41" s="41"/>
      <c r="AI41" s="41"/>
      <c r="AJ41" s="41"/>
      <c r="AK41" s="77"/>
      <c r="AL41" s="629"/>
      <c r="AM41" s="6"/>
      <c r="AN41" s="39"/>
      <c r="AO41" s="39"/>
      <c r="AP41" s="39"/>
      <c r="AQ41" s="39"/>
      <c r="AR41" s="39"/>
      <c r="AS41" s="41"/>
      <c r="AT41" s="43"/>
      <c r="AU41" s="41"/>
      <c r="AV41" s="41"/>
      <c r="AW41" s="41"/>
      <c r="AX41" s="41"/>
      <c r="AY41" s="41"/>
      <c r="AZ41" s="77"/>
      <c r="BA41" s="41"/>
      <c r="BB41" s="41"/>
      <c r="BC41" s="41"/>
      <c r="BD41" s="41"/>
      <c r="BE41" s="77"/>
      <c r="BF41" s="41"/>
      <c r="BG41" s="41"/>
      <c r="BH41" s="39"/>
      <c r="BI41" s="41"/>
      <c r="BJ41" s="41"/>
      <c r="BK41" s="39"/>
      <c r="BL41" s="80"/>
    </row>
    <row r="42" spans="1:64" ht="12.75" customHeight="1" x14ac:dyDescent="0.2">
      <c r="A42" s="67"/>
      <c r="B42" s="705" t="s">
        <v>98</v>
      </c>
      <c r="C42" s="706"/>
      <c r="D42" s="686"/>
      <c r="E42" s="4" t="s">
        <v>5</v>
      </c>
      <c r="F42" s="25">
        <f>F86-F85</f>
        <v>12.899999999999999</v>
      </c>
      <c r="G42" s="25">
        <f>G86-G85</f>
        <v>15.700000000000001</v>
      </c>
      <c r="H42" s="25">
        <f>H86-H85</f>
        <v>12.999999999999998</v>
      </c>
      <c r="I42" s="25">
        <f>I86-I85</f>
        <v>12.200000000000001</v>
      </c>
      <c r="J42" s="20"/>
      <c r="K42" s="22">
        <f>K86-K85</f>
        <v>46</v>
      </c>
      <c r="L42" s="22">
        <f>L86-L85</f>
        <v>19</v>
      </c>
      <c r="M42" s="22">
        <f>M86-M85</f>
        <v>29</v>
      </c>
      <c r="N42" s="22">
        <f>N86-N85</f>
        <v>46</v>
      </c>
      <c r="O42" s="20"/>
      <c r="P42" s="22">
        <f>P86-P85</f>
        <v>36</v>
      </c>
      <c r="Q42" s="22">
        <f>Q86-Q85</f>
        <v>33</v>
      </c>
      <c r="R42" s="22">
        <f>R86-R85</f>
        <v>34.5</v>
      </c>
      <c r="S42" s="22">
        <f>S86-S85</f>
        <v>11</v>
      </c>
      <c r="T42" s="75"/>
      <c r="U42" s="25">
        <f>U86-U85</f>
        <v>9.6000000000000014</v>
      </c>
      <c r="V42" s="25">
        <f>V86-V85</f>
        <v>14.8</v>
      </c>
      <c r="W42" s="25">
        <f>W86-W85</f>
        <v>27.900000000000002</v>
      </c>
      <c r="X42" s="25"/>
      <c r="Y42" s="135"/>
      <c r="Z42" s="38">
        <f>Z86-Z85</f>
        <v>3.6</v>
      </c>
      <c r="AA42" s="38">
        <f>AA86-AA85</f>
        <v>2.2000000000000002</v>
      </c>
      <c r="AB42" s="38">
        <f>AB86-AB85</f>
        <v>1.2</v>
      </c>
      <c r="AC42" s="510">
        <f>AC86-AC85</f>
        <v>0.22580645161290322</v>
      </c>
      <c r="AD42" s="25">
        <f>AE86-AE85</f>
        <v>3.1333333333333333</v>
      </c>
      <c r="AE42" s="22">
        <f>AD86-AD85</f>
        <v>48.2</v>
      </c>
      <c r="AF42" s="6"/>
      <c r="AG42" s="25">
        <f>AG86-AG85</f>
        <v>12.9</v>
      </c>
      <c r="AH42" s="25">
        <f>AH86-AH85</f>
        <v>12.2</v>
      </c>
      <c r="AI42" s="25">
        <f>AI86-AI85</f>
        <v>12.200000000000001</v>
      </c>
      <c r="AJ42" s="25">
        <f>AJ86-AJ85</f>
        <v>11.3</v>
      </c>
      <c r="AK42" s="56"/>
      <c r="AL42" s="626"/>
      <c r="AM42" s="6"/>
      <c r="AN42" s="4" t="s">
        <v>80</v>
      </c>
      <c r="AO42" s="223"/>
      <c r="AP42" s="25">
        <f>AP86-AP85</f>
        <v>10.4</v>
      </c>
      <c r="AQ42" s="22">
        <f>AQ86-AQ85</f>
        <v>5</v>
      </c>
      <c r="AR42" s="70"/>
      <c r="AS42" s="25">
        <f t="shared" ref="AS42:AY42" si="19">AS86-AS85</f>
        <v>4.1478571428571396</v>
      </c>
      <c r="AT42" s="25">
        <f t="shared" si="19"/>
        <v>6.3954838709677446</v>
      </c>
      <c r="AU42" s="25">
        <f t="shared" si="19"/>
        <v>5.0878571428571409</v>
      </c>
      <c r="AV42" s="25">
        <f t="shared" si="19"/>
        <v>2.5338461538461559</v>
      </c>
      <c r="AW42" s="25">
        <f t="shared" si="19"/>
        <v>6.7741935483871032</v>
      </c>
      <c r="AX42" s="25">
        <f t="shared" si="19"/>
        <v>3.9664351851852189</v>
      </c>
      <c r="AY42" s="25">
        <f t="shared" si="19"/>
        <v>1.4418181818181814</v>
      </c>
      <c r="AZ42" s="56"/>
      <c r="BA42" s="25">
        <f>G42</f>
        <v>15.700000000000001</v>
      </c>
      <c r="BB42" s="25">
        <f>H42</f>
        <v>12.999999999999998</v>
      </c>
      <c r="BC42" s="25">
        <f>I42</f>
        <v>12.200000000000001</v>
      </c>
      <c r="BD42" s="22"/>
      <c r="BE42" s="67"/>
      <c r="BF42" s="13">
        <f>AS42</f>
        <v>4.1478571428571396</v>
      </c>
      <c r="BG42" s="13">
        <f>AT42</f>
        <v>6.3954838709677446</v>
      </c>
      <c r="BH42" s="13">
        <f>BH86-BH85</f>
        <v>2.3391794871794822</v>
      </c>
      <c r="BI42" s="93">
        <f>BI86-BI85</f>
        <v>0.28054750402576495</v>
      </c>
      <c r="BJ42" s="93">
        <f>BJ86-BJ85</f>
        <v>0.67567088639129835</v>
      </c>
      <c r="BK42" s="88"/>
      <c r="BL42" s="78"/>
    </row>
    <row r="43" spans="1:64" ht="12.75" customHeight="1" x14ac:dyDescent="0.2">
      <c r="A43" s="67"/>
      <c r="B43" s="216">
        <f>COUNTIF(O4:O34,1)</f>
        <v>9</v>
      </c>
      <c r="C43" s="291">
        <f>COUNTIF(J4:J34,1)</f>
        <v>6</v>
      </c>
      <c r="D43" s="686"/>
      <c r="E43" s="12" t="s">
        <v>174</v>
      </c>
      <c r="F43" s="25">
        <f>IF(G6="","",STDEV(F4:F34))</f>
        <v>3.7527538275675059</v>
      </c>
      <c r="G43" s="25">
        <f>IF(G6="","",STDEV(G4:G34))</f>
        <v>3.8132705461407457</v>
      </c>
      <c r="H43" s="25">
        <f>IF(OR(H5&lt;-20,H5&gt;40),"",STDEV(H4:H34))</f>
        <v>3.3367197851679422</v>
      </c>
      <c r="I43" s="25">
        <f>IF(G6="","",STDEV(I4:I34))</f>
        <v>3.3618319378717612</v>
      </c>
      <c r="J43" s="56"/>
      <c r="K43" s="25">
        <f>IF(G6="","",STDEV(K4:K34))</f>
        <v>13.247357212602058</v>
      </c>
      <c r="L43" s="25">
        <f>IF(G6="","",STDEV(L4:L34))</f>
        <v>5.5673781014703119</v>
      </c>
      <c r="M43" s="25">
        <f>IF(OR(H5&lt;-20,H5&gt;40),"",STDEV(M4:M34))</f>
        <v>7.7619141858150291</v>
      </c>
      <c r="N43" s="25">
        <f>IF(G6="","",STDEV(N4:N34))</f>
        <v>12.844395455748625</v>
      </c>
      <c r="O43" s="56"/>
      <c r="P43" s="25">
        <f>IF(G6="","",STDEV(P4:P34))</f>
        <v>9.0137290744706196</v>
      </c>
      <c r="Q43" s="25">
        <f>IF(G6="","",STDEV(Q4:Q34))</f>
        <v>7.8270278900357715</v>
      </c>
      <c r="R43" s="25">
        <f>IF(G6="","",STDEV(R4:R34))</f>
        <v>8.2856268865563703</v>
      </c>
      <c r="S43" s="25">
        <f>IF(G6="","",STDEV(S4:S34))</f>
        <v>3.2269030394182057</v>
      </c>
      <c r="T43" s="75"/>
      <c r="U43" s="25">
        <f>IF(G6="","",STDEV(U4:U34))</f>
        <v>2.2334986297359238</v>
      </c>
      <c r="V43" s="25">
        <f>IF(G6="","",STDEV(V4:V34))</f>
        <v>3.7357269592381219</v>
      </c>
      <c r="W43" s="25">
        <f>IF(G6="","",STDEV(W4:W34))</f>
        <v>6.6599573765951661</v>
      </c>
      <c r="X43" s="25"/>
      <c r="Y43" s="135"/>
      <c r="Z43" s="38">
        <f>IF(G6="","",STDEV(Z4:Z34))</f>
        <v>1.0570398920255251</v>
      </c>
      <c r="AA43" s="38">
        <f>IF(AA86-AA85=0,"",STDEV(AA4:AA34))</f>
        <v>0.74801324154309545</v>
      </c>
      <c r="AB43" s="38">
        <f>IF(AB86-AB85=0,"",STDEV(AB4:AB34))</f>
        <v>0.53184315625675105</v>
      </c>
      <c r="AC43" s="510">
        <f>IF(AC86-AC85=0,"",STDEV(AC4:AC34))</f>
        <v>8.9305590506865026E-2</v>
      </c>
      <c r="AD43" s="25">
        <f>IF(AE86-AE85=0,"",STDEV(AD4:AD34))</f>
        <v>1.1717715412884651</v>
      </c>
      <c r="AE43" s="25">
        <f>IF(AD86-AD85=0,"",STDEV(AE4:AE34))</f>
        <v>17.482658074026766</v>
      </c>
      <c r="AF43" s="6"/>
      <c r="AG43" s="25">
        <f>IF(OR(H5&lt;-20,H5&gt;40),"",STDEV(AG4:AG34))</f>
        <v>4.1535009200038848</v>
      </c>
      <c r="AH43" s="25">
        <f>IF(OR(H5&lt;-20,H5&gt;40),"",STDEV(AH4:AH34))</f>
        <v>3.1918579212188143</v>
      </c>
      <c r="AI43" s="25">
        <f>IF(OR(H5&lt;-20,H5&gt;40),"",STDEV(AI4:AI34))</f>
        <v>3.5027116991428002</v>
      </c>
      <c r="AJ43" s="25">
        <f>IF(OR(H5&lt;-20,H5&gt;40),"",STDEV(AJ4:AJ34))</f>
        <v>2.6643928477819885</v>
      </c>
      <c r="AK43" s="56"/>
      <c r="AL43" s="626"/>
      <c r="AM43" s="6"/>
      <c r="AN43" s="22">
        <f>M53-AN91</f>
        <v>11</v>
      </c>
      <c r="AO43" s="224"/>
      <c r="AP43" s="25">
        <f>IF(ISBLANK($AP$6),"",STDEV(AP4:AP34))</f>
        <v>3.4179475700188631</v>
      </c>
      <c r="AQ43" s="25">
        <f>IF(ISBLANK($AQ$6),"",STDEV(AQ4:AQ34))</f>
        <v>1.2654380005884656</v>
      </c>
      <c r="AR43" s="56"/>
      <c r="AS43" s="25">
        <f>IF(ISBLANK($G$6),"",STDEV(AS4:AS34))</f>
        <v>1.3978599951039896</v>
      </c>
      <c r="AT43" s="25">
        <f>IF(ISBLANK($G$6),"",STDEV(AT4:AT34))</f>
        <v>2.9984044953080238</v>
      </c>
      <c r="AU43" s="25">
        <f>IF(ISBLANK($G$6),"",STDEV(AU4:AU34))</f>
        <v>1.9913657327681449</v>
      </c>
      <c r="AV43" s="25">
        <f>IF(ISBLANK($G$6),"",STDEV(AV4:AV34))</f>
        <v>2.2353295349914815</v>
      </c>
      <c r="AW43" s="25">
        <f>IF(ISBLANK($M$6),"",STDEV(AW4:AW34))</f>
        <v>2.8252785431589369</v>
      </c>
      <c r="AX43" s="25">
        <f>IF(ISBLANK($G$6),"",STDEV(AX4:AX34))</f>
        <v>2.0278167123995874</v>
      </c>
      <c r="AY43" s="25">
        <f>IF(ISBLANK($G$6),"",STDEV(BA4:BA34))</f>
        <v>3.6654956844747786</v>
      </c>
      <c r="AZ43" s="56"/>
      <c r="BA43" s="25">
        <f>IF(ISBLANK($G$6),"",STDEV(BB4:BB34))</f>
        <v>3.2106897248295425</v>
      </c>
      <c r="BB43" s="25">
        <f>IF(ISBLANK($G$6),"",STDEV(BD4:BD34))</f>
        <v>3.2557206398088798</v>
      </c>
      <c r="BC43" s="25">
        <f>IF(ISBLANK($G$6),"",STDEV(BD4:BD34))</f>
        <v>3.2557206398088798</v>
      </c>
      <c r="BD43" s="25"/>
      <c r="BE43" s="56"/>
      <c r="BF43" s="25">
        <f>IF(ISBLANK($G$6),"",STDEV(BF4:BF34))</f>
        <v>1.0955100549309913</v>
      </c>
      <c r="BG43" s="25">
        <f>IF(ISBLANK($G$6),"",STDEV(BG4:BG34))</f>
        <v>2.49799409374778</v>
      </c>
      <c r="BH43" s="25">
        <f>IF(ISBLANK($G$6),"",STDEV(BH4:BH34))</f>
        <v>2.0983494225291417</v>
      </c>
      <c r="BI43" s="93">
        <f>IF(ISBLANK($Z$6),"",STDEV(BI4:BI34))</f>
        <v>8.7151599846259462E-2</v>
      </c>
      <c r="BJ43" s="93">
        <f>IF(ISBLANK($Z$6),"",STDEV(BJ4:BJ34))</f>
        <v>0.43543165732185335</v>
      </c>
      <c r="BK43" s="402"/>
      <c r="BL43" s="78"/>
    </row>
    <row r="44" spans="1:64" ht="4.5" customHeight="1" x14ac:dyDescent="0.2">
      <c r="A44" s="67"/>
      <c r="B44" s="63"/>
      <c r="C44" s="66"/>
      <c r="D44" s="63"/>
      <c r="E44" s="64"/>
      <c r="F44" s="66"/>
      <c r="G44" s="66"/>
      <c r="H44" s="66"/>
      <c r="I44" s="66"/>
      <c r="J44" s="62"/>
      <c r="K44" s="66"/>
      <c r="L44" s="66"/>
      <c r="M44" s="66"/>
      <c r="N44" s="65"/>
      <c r="O44" s="62"/>
      <c r="P44" s="66"/>
      <c r="Q44" s="66"/>
      <c r="R44" s="66"/>
      <c r="S44" s="66"/>
      <c r="T44" s="66"/>
      <c r="U44" s="66"/>
      <c r="V44" s="66"/>
      <c r="W44" s="66"/>
      <c r="X44" s="66"/>
      <c r="Y44" s="135"/>
      <c r="Z44" s="66"/>
      <c r="AA44" s="66"/>
      <c r="AB44" s="66"/>
      <c r="AC44" s="66"/>
      <c r="AD44" s="66"/>
      <c r="AE44" s="66"/>
      <c r="AF44" s="6"/>
      <c r="AG44" s="66"/>
      <c r="AH44" s="66"/>
      <c r="AI44" s="132"/>
      <c r="AJ44" s="132"/>
      <c r="AK44" s="6"/>
      <c r="AL44" s="132"/>
      <c r="AM44" s="6"/>
      <c r="AN44" s="66"/>
      <c r="AO44" s="402"/>
      <c r="AP44" s="63"/>
      <c r="AQ44" s="63"/>
      <c r="AR44" s="67"/>
      <c r="AS44" s="66"/>
      <c r="AT44" s="65"/>
      <c r="AU44" s="66"/>
      <c r="AV44" s="66"/>
      <c r="AW44" s="66"/>
      <c r="AX44" s="66"/>
      <c r="AY44" s="66"/>
      <c r="AZ44" s="56"/>
      <c r="BA44" s="66"/>
      <c r="BB44" s="66"/>
      <c r="BC44" s="66"/>
      <c r="BD44" s="66"/>
      <c r="BE44" s="56"/>
      <c r="BF44" s="66"/>
      <c r="BG44" s="66"/>
      <c r="BH44" s="63"/>
      <c r="BI44" s="63"/>
      <c r="BJ44" s="66"/>
      <c r="BK44" s="88"/>
      <c r="BL44" s="78"/>
    </row>
    <row r="45" spans="1:64" ht="5.25" customHeight="1" thickBot="1" x14ac:dyDescent="0.25">
      <c r="A45" s="67"/>
      <c r="B45" s="21"/>
      <c r="C45" s="25"/>
      <c r="D45" s="21"/>
      <c r="E45" s="4"/>
      <c r="F45" s="25"/>
      <c r="G45" s="25"/>
      <c r="H45" s="25"/>
      <c r="I45" s="25"/>
      <c r="J45" s="18"/>
      <c r="K45" s="25"/>
      <c r="L45" s="25"/>
      <c r="M45" s="25"/>
      <c r="N45" s="22"/>
      <c r="O45" s="18"/>
      <c r="P45" s="25"/>
      <c r="Q45" s="25"/>
      <c r="R45" s="25"/>
      <c r="S45" s="25"/>
      <c r="T45" s="56"/>
      <c r="U45" s="25"/>
      <c r="V45" s="25"/>
      <c r="W45" s="25"/>
      <c r="X45" s="25"/>
      <c r="Y45" s="135"/>
      <c r="AF45" s="56"/>
      <c r="AG45" s="25"/>
      <c r="AH45" s="25"/>
      <c r="AK45" s="6"/>
      <c r="AM45" s="6"/>
      <c r="AN45" s="25"/>
      <c r="AO45" s="402"/>
      <c r="AP45" s="21"/>
      <c r="AQ45" s="21"/>
      <c r="AR45" s="67"/>
      <c r="AS45" s="25"/>
      <c r="AT45" s="22"/>
      <c r="AU45" s="25"/>
      <c r="AV45" s="25"/>
      <c r="AW45" s="25"/>
      <c r="AX45" s="25"/>
      <c r="AY45" s="25"/>
      <c r="AZ45" s="56"/>
      <c r="BA45" s="25"/>
      <c r="BB45" s="25"/>
      <c r="BC45" s="25"/>
      <c r="BD45" s="25"/>
      <c r="BE45" s="56"/>
      <c r="BF45" s="25"/>
      <c r="BG45" s="25"/>
      <c r="BH45" s="21"/>
      <c r="BI45" s="21"/>
      <c r="BJ45" s="25"/>
      <c r="BK45" s="67"/>
      <c r="BL45" s="78"/>
    </row>
    <row r="46" spans="1:64" ht="15" customHeight="1" x14ac:dyDescent="0.2">
      <c r="A46" s="67"/>
      <c r="B46" s="702" t="s">
        <v>132</v>
      </c>
      <c r="C46" s="703"/>
      <c r="D46" s="703"/>
      <c r="E46" s="704"/>
      <c r="F46" s="349">
        <f>F40</f>
        <v>1.7129032258064516</v>
      </c>
      <c r="G46" s="350">
        <f>G40</f>
        <v>2.3645161290322587</v>
      </c>
      <c r="H46" s="382">
        <f>AY82</f>
        <v>2.0387096774193552</v>
      </c>
      <c r="I46" s="352">
        <f>I40</f>
        <v>0.651612903225808</v>
      </c>
      <c r="J46" s="18"/>
      <c r="K46" s="353">
        <f>K38</f>
        <v>58.677419354838712</v>
      </c>
      <c r="L46" s="298">
        <f>L38</f>
        <v>88.064516129032256</v>
      </c>
      <c r="M46" s="354">
        <f>M38</f>
        <v>74.774193548387103</v>
      </c>
      <c r="N46" s="25">
        <f>N38</f>
        <v>29.387096774193548</v>
      </c>
      <c r="O46" s="18"/>
      <c r="P46" s="25"/>
      <c r="Q46" s="25"/>
      <c r="R46" s="381">
        <f>R40</f>
        <v>3.6693548387096371</v>
      </c>
      <c r="S46" s="162">
        <f>S38</f>
        <v>6.290322580645161</v>
      </c>
      <c r="T46" s="56"/>
      <c r="U46" s="355">
        <f>U38</f>
        <v>5.258064516129032</v>
      </c>
      <c r="W46" s="304" t="s">
        <v>113</v>
      </c>
      <c r="X46" s="22">
        <f>COUNTIF(X4:X34,"N")</f>
        <v>0</v>
      </c>
      <c r="Y46" s="135"/>
      <c r="Z46" s="681" t="s">
        <v>151</v>
      </c>
      <c r="AA46" s="668">
        <f>IF(AN48=0,"n/a",Z38/AN48)</f>
        <v>2.2142857142857144</v>
      </c>
      <c r="AB46" s="385" t="s">
        <v>189</v>
      </c>
      <c r="AC46" s="268" t="s">
        <v>282</v>
      </c>
      <c r="AF46" s="135"/>
      <c r="AG46" s="392">
        <f>AG38</f>
        <v>6.5903225806451609</v>
      </c>
      <c r="AH46" s="393">
        <f>AH38</f>
        <v>11.793548387096777</v>
      </c>
      <c r="AI46" s="348">
        <f>AI38</f>
        <v>8.9967741935483865</v>
      </c>
      <c r="AJ46" s="49">
        <f>AJ38</f>
        <v>5.2032258064516146</v>
      </c>
      <c r="AK46" s="126"/>
      <c r="AL46" s="356"/>
      <c r="AM46" s="6"/>
      <c r="AO46" s="404"/>
      <c r="AP46" s="445">
        <f>AP38/AP39</f>
        <v>1.3641509433962264</v>
      </c>
      <c r="AQ46" s="446">
        <f>AQ38/AQ39</f>
        <v>0.43255813953488376</v>
      </c>
      <c r="AR46" s="6"/>
      <c r="AS46" s="696" t="s">
        <v>131</v>
      </c>
      <c r="AT46" s="650"/>
      <c r="AU46" s="650"/>
      <c r="AV46" s="650"/>
      <c r="AW46" s="650"/>
      <c r="AX46" s="650"/>
      <c r="AY46" s="25"/>
      <c r="AZ46" s="56"/>
      <c r="BC46" s="25"/>
      <c r="BD46" s="25"/>
      <c r="BE46" s="56"/>
      <c r="BF46" s="693" t="s">
        <v>232</v>
      </c>
      <c r="BG46" s="693"/>
      <c r="BH46" s="693"/>
      <c r="BI46" s="693"/>
      <c r="BJ46" s="693"/>
      <c r="BK46" s="67"/>
      <c r="BL46" s="78"/>
    </row>
    <row r="47" spans="1:64" ht="12.75" customHeight="1" x14ac:dyDescent="0.2">
      <c r="A47" s="67"/>
      <c r="B47" s="682" t="s">
        <v>17</v>
      </c>
      <c r="C47" s="683"/>
      <c r="D47" s="684"/>
      <c r="E47" s="581" t="s">
        <v>15</v>
      </c>
      <c r="F47" s="349">
        <f>F38</f>
        <v>10.512903225806452</v>
      </c>
      <c r="G47" s="350">
        <f>G38</f>
        <v>16.964516129032258</v>
      </c>
      <c r="H47" s="351">
        <f>H38</f>
        <v>13.63548387096774</v>
      </c>
      <c r="I47" s="352">
        <f>I38</f>
        <v>6.4516129032258069</v>
      </c>
      <c r="J47" s="18"/>
      <c r="K47" s="21"/>
      <c r="L47" s="170"/>
      <c r="M47" s="52"/>
      <c r="N47" s="118"/>
      <c r="O47" s="18"/>
      <c r="P47" s="21"/>
      <c r="Q47" s="21"/>
      <c r="R47" s="381">
        <f>R38</f>
        <v>1016.9193548387096</v>
      </c>
      <c r="S47" s="21"/>
      <c r="T47" s="56"/>
      <c r="U47" s="7"/>
      <c r="W47" s="143" t="s">
        <v>105</v>
      </c>
      <c r="X47" s="22">
        <f>COUNTIF(X4:X34,"NE")</f>
        <v>2</v>
      </c>
      <c r="Y47" s="56"/>
      <c r="Z47" s="681"/>
      <c r="AA47" s="668"/>
      <c r="AB47" s="384">
        <f>IF(M53=0,"",AVERAGE(Z4:Z34))</f>
        <v>0.50000000000000011</v>
      </c>
      <c r="AC47" s="323" t="str">
        <f>IF(M54&gt;0,IF(Z38&gt;Z39,"",AC48/M54/AB48),"n/a")</f>
        <v>n/a</v>
      </c>
      <c r="AE47" s="548"/>
      <c r="AF47" s="56"/>
      <c r="AH47" s="124"/>
      <c r="AI47" s="124"/>
      <c r="AJ47" s="124"/>
      <c r="AK47" s="126"/>
      <c r="AL47" s="124"/>
      <c r="AM47" s="6"/>
      <c r="AN47" s="179" t="s">
        <v>67</v>
      </c>
      <c r="AO47" s="405"/>
      <c r="AP47" s="456">
        <f>IF(ISBLANK(AP4),"",AVERAGE(AP4:AP34))</f>
        <v>4.6645161290322577</v>
      </c>
      <c r="AQ47" s="443">
        <f>IF(ISBLANK(AQ4),"",AVERAGE(AQ4:AQ34))</f>
        <v>0.60000000000000009</v>
      </c>
      <c r="AR47" s="6"/>
      <c r="AS47" s="25"/>
      <c r="AT47" s="22"/>
      <c r="AU47" s="25"/>
      <c r="AV47" s="25"/>
      <c r="AW47" s="25"/>
      <c r="AX47" s="25"/>
      <c r="AY47" s="695" t="s">
        <v>35</v>
      </c>
      <c r="AZ47" s="695"/>
      <c r="BA47" s="695"/>
      <c r="BB47" s="695"/>
      <c r="BC47" s="695"/>
      <c r="BD47" s="695"/>
      <c r="BE47" s="67"/>
      <c r="BF47" s="694" t="s">
        <v>169</v>
      </c>
      <c r="BG47" s="694"/>
      <c r="BH47" s="694"/>
      <c r="BI47" s="694"/>
      <c r="BJ47" s="694"/>
      <c r="BK47" s="2"/>
      <c r="BL47" s="78"/>
    </row>
    <row r="48" spans="1:64" ht="12.75" customHeight="1" x14ac:dyDescent="0.2">
      <c r="A48" s="67"/>
      <c r="B48" s="707" t="s">
        <v>51</v>
      </c>
      <c r="C48" s="708"/>
      <c r="D48" s="709"/>
      <c r="E48" s="142">
        <f>IF(ISBLANK(H5),"",CORREL(H4:H34,R4:R34))</f>
        <v>4.2064772463343954E-2</v>
      </c>
      <c r="F48" s="576">
        <f>IF(ISBLANK(H5),"",ABS(E48))</f>
        <v>4.2064772463343954E-2</v>
      </c>
      <c r="J48" s="18"/>
      <c r="K48" s="636" t="s">
        <v>377</v>
      </c>
      <c r="L48" s="636"/>
      <c r="M48" s="636"/>
      <c r="N48" s="636"/>
      <c r="O48" s="17"/>
      <c r="R48" s="25"/>
      <c r="S48" s="25"/>
      <c r="T48" s="56"/>
      <c r="U48" s="300"/>
      <c r="W48" s="304" t="s">
        <v>106</v>
      </c>
      <c r="X48" s="22">
        <f>COUNTIF(X4:X34,"E")</f>
        <v>2</v>
      </c>
      <c r="Y48" s="6"/>
      <c r="AB48" s="438">
        <f>Z39/E34</f>
        <v>2.225806451612903</v>
      </c>
      <c r="AC48" s="579">
        <f>ABS(Z39-Z38)</f>
        <v>53.5</v>
      </c>
      <c r="AD48" s="578" t="str">
        <f>IF(Z38&gt;Z39,"Excess","Deficit")</f>
        <v>Deficit</v>
      </c>
      <c r="AE48" s="547"/>
      <c r="AF48" s="6"/>
      <c r="AK48" s="6"/>
      <c r="AL48" s="124"/>
      <c r="AM48" s="6"/>
      <c r="AN48" s="5">
        <f>SUM(AJ91:AJ121)</f>
        <v>7</v>
      </c>
      <c r="AO48" s="406"/>
      <c r="AR48" s="6"/>
      <c r="AS48" s="641" t="s">
        <v>447</v>
      </c>
      <c r="AT48" s="642"/>
      <c r="AU48" s="643"/>
      <c r="AV48" s="139"/>
      <c r="AY48" s="4" t="s">
        <v>164</v>
      </c>
      <c r="AZ48" s="68"/>
      <c r="BA48" s="4" t="s">
        <v>199</v>
      </c>
      <c r="BB48" s="329" t="s">
        <v>166</v>
      </c>
      <c r="BC48" s="147" t="s">
        <v>326</v>
      </c>
      <c r="BD48" s="147" t="s">
        <v>10</v>
      </c>
      <c r="BE48" s="67"/>
      <c r="BF48" s="181" t="s">
        <v>21</v>
      </c>
      <c r="BG48" s="294" t="s">
        <v>22</v>
      </c>
      <c r="BH48" s="335" t="s">
        <v>171</v>
      </c>
      <c r="BI48" s="336" t="s">
        <v>170</v>
      </c>
      <c r="BJ48" s="97" t="s">
        <v>172</v>
      </c>
      <c r="BK48" s="16"/>
      <c r="BL48" s="78"/>
    </row>
    <row r="49" spans="1:64" ht="12.75" customHeight="1" x14ac:dyDescent="0.2">
      <c r="A49" s="67"/>
      <c r="B49" s="707" t="s">
        <v>50</v>
      </c>
      <c r="C49" s="708"/>
      <c r="D49" s="709"/>
      <c r="E49" s="89">
        <f>IF(ISBLANK(H5),"",CORREL(H4:H34,M4:M34))</f>
        <v>-3.5974688740178062E-2</v>
      </c>
      <c r="F49" s="576">
        <f>IF(ISBLANK(H5),"",ABS(E49))</f>
        <v>3.5974688740178062E-2</v>
      </c>
      <c r="H49" s="4"/>
      <c r="I49" s="4"/>
      <c r="J49" s="18"/>
      <c r="K49" s="152">
        <f ca="1">IF(ISBLANK(F4),"",F38-AVERAGE(OFFSET(F91,0,0,M53)))</f>
        <v>1.7617096774193524</v>
      </c>
      <c r="L49" s="151">
        <f ca="1">IF(ISBLANK(G4),"",G38-AVERAGE(OFFSET(G91,0,0,M53)))</f>
        <v>2.3480967741935537</v>
      </c>
      <c r="M49" s="14">
        <f ca="1">IF(ISBLANK(G4),"",AVERAGE(K49:L49))</f>
        <v>2.054903225806453</v>
      </c>
      <c r="N49" s="129">
        <f ca="1">IF(ISBLANK(H4),"",I38-AVERAGE(OFFSET(I91,0,0,M53)))</f>
        <v>0.58638709677420309</v>
      </c>
      <c r="O49" s="18"/>
      <c r="R49" s="21"/>
      <c r="S49" s="21"/>
      <c r="T49" s="56"/>
      <c r="U49" s="300"/>
      <c r="W49" s="304" t="s">
        <v>112</v>
      </c>
      <c r="X49" s="22">
        <f>COUNTIF(X4:X34,"SE")</f>
        <v>3</v>
      </c>
      <c r="Y49" s="67"/>
      <c r="Z49" s="648" t="s">
        <v>115</v>
      </c>
      <c r="AA49" s="648"/>
      <c r="AE49" s="547"/>
      <c r="AF49" s="67"/>
      <c r="AG49" s="710" t="s">
        <v>179</v>
      </c>
      <c r="AH49" s="710"/>
      <c r="AI49" s="710"/>
      <c r="AJ49" s="710"/>
      <c r="AK49" s="313"/>
      <c r="AL49" s="124"/>
      <c r="AM49" s="67"/>
      <c r="AO49" s="224"/>
      <c r="AP49" s="457" t="s">
        <v>215</v>
      </c>
      <c r="AR49" s="6"/>
      <c r="AS49" s="644" t="s">
        <v>17</v>
      </c>
      <c r="AT49" s="645"/>
      <c r="AU49" s="280" t="s">
        <v>15</v>
      </c>
      <c r="AX49" s="361">
        <v>1</v>
      </c>
      <c r="AY49" s="23">
        <f t="shared" ref="AY49:AY79" si="20">IF(ISBLANK(G4),"",AVERAGE(F4:G4))</f>
        <v>19.700000000000003</v>
      </c>
      <c r="AZ49" s="50"/>
      <c r="BA49" s="26">
        <f>BC4</f>
        <v>6.4293333333333367</v>
      </c>
      <c r="BB49" s="25">
        <f t="shared" ref="BB49:BB79" si="21">IF(ISBLANK(H4),"",AY49-H4)</f>
        <v>0.40000000000000213</v>
      </c>
      <c r="BC49" s="25">
        <f>IF(ISBLANK(G4),"",(AVERAGE($AY$49:AY49)))</f>
        <v>19.700000000000003</v>
      </c>
      <c r="BD49" s="13">
        <f>IF(ISBLANK(G4),"",AVERAGE(BF4:BG4))</f>
        <v>6.4293333333333367</v>
      </c>
      <c r="BE49" s="67"/>
      <c r="BF49" s="556">
        <v>0.29791666666666666</v>
      </c>
      <c r="BG49" s="556">
        <v>0.62083333333333335</v>
      </c>
      <c r="BH49" s="556">
        <v>0.68194444444444446</v>
      </c>
      <c r="BI49" s="556">
        <v>0.3527777777777778</v>
      </c>
      <c r="BJ49" s="556">
        <v>0.54722222222222217</v>
      </c>
      <c r="BK49" s="20"/>
      <c r="BL49" s="78"/>
    </row>
    <row r="50" spans="1:64" ht="12.75" customHeight="1" x14ac:dyDescent="0.2">
      <c r="A50" s="67"/>
      <c r="B50" s="707" t="s">
        <v>56</v>
      </c>
      <c r="C50" s="708"/>
      <c r="D50" s="709"/>
      <c r="E50" s="89">
        <f>IF(ISBLANK(H5),"",CORREL(M4:M34,R4:R34))</f>
        <v>-0.10991388071703559</v>
      </c>
      <c r="F50" s="576">
        <f>IF(ISBLANK(H5),"",ABS(E50))</f>
        <v>0.10991388071703559</v>
      </c>
      <c r="G50" s="607" t="s">
        <v>427</v>
      </c>
      <c r="H50" s="820" t="s">
        <v>423</v>
      </c>
      <c r="I50" s="821"/>
      <c r="J50" s="18"/>
      <c r="K50" s="8"/>
      <c r="L50" s="118"/>
      <c r="M50" s="118"/>
      <c r="N50" s="118"/>
      <c r="O50" s="18"/>
      <c r="Q50" s="662" t="s">
        <v>132</v>
      </c>
      <c r="R50" s="662"/>
      <c r="T50" s="68"/>
      <c r="U50" s="300"/>
      <c r="W50" s="305" t="s">
        <v>111</v>
      </c>
      <c r="X50" s="22">
        <f>COUNTIF(X4:X34,"S")</f>
        <v>4</v>
      </c>
      <c r="Y50" s="84"/>
      <c r="Z50" s="661" t="s">
        <v>120</v>
      </c>
      <c r="AA50" s="660">
        <v>0</v>
      </c>
      <c r="AB50" s="322"/>
      <c r="AC50" s="646" t="s">
        <v>285</v>
      </c>
      <c r="AD50" s="647"/>
      <c r="AF50" s="67"/>
      <c r="AH50" s="713">
        <f>SUM(AW91:AW121)</f>
        <v>3</v>
      </c>
      <c r="AI50" s="713"/>
      <c r="AJ50" s="93">
        <f>IF(M53=0,"",AH50/M53)</f>
        <v>9.6774193548387094E-2</v>
      </c>
      <c r="AK50" s="68"/>
      <c r="AM50" s="67"/>
      <c r="AN50" s="180" t="s">
        <v>68</v>
      </c>
      <c r="AO50" s="87"/>
      <c r="AP50" s="397">
        <f>IF(M53=0,"",AP38/SUM(AT91:AT121))</f>
        <v>0.48979097905023489</v>
      </c>
      <c r="AR50" s="6"/>
      <c r="AS50" s="637" t="s">
        <v>44</v>
      </c>
      <c r="AT50" s="638"/>
      <c r="AU50" s="92">
        <f>IF(AP4=AP5,"",IF(AP42=0,"",CORREL(G4:G34,AP4:AP34)))</f>
        <v>0.23465314723560707</v>
      </c>
      <c r="AV50" s="577">
        <f>IF(AP4=AP5,"",IF(AP42=0,"",ABS(AU50)))</f>
        <v>0.23465314723560707</v>
      </c>
      <c r="AX50" s="361">
        <v>2</v>
      </c>
      <c r="AY50" s="23">
        <f t="shared" si="20"/>
        <v>19.200000000000003</v>
      </c>
      <c r="AZ50" s="50"/>
      <c r="BA50" s="26">
        <f t="shared" ref="BA50:BA79" si="22">BC5</f>
        <v>6.0246666666666702</v>
      </c>
      <c r="BB50" s="25">
        <f t="shared" si="21"/>
        <v>-0.19999999999999574</v>
      </c>
      <c r="BC50" s="25">
        <f>IF(ISBLANK(G5),"",(AVERAGE($AY$49:AY50)))</f>
        <v>19.450000000000003</v>
      </c>
      <c r="BD50" s="13">
        <f t="shared" ref="BD50:BD79" si="23">IF(ISBLANK(G5),"",AVERAGE(BF5:BG5))</f>
        <v>6.2270000000000039</v>
      </c>
      <c r="BE50" s="67"/>
      <c r="BF50" s="556">
        <v>0.29791666666666666</v>
      </c>
      <c r="BG50" s="556">
        <v>0.62986111111111109</v>
      </c>
      <c r="BH50" s="556">
        <v>0.68472222222222223</v>
      </c>
      <c r="BI50" s="556">
        <v>0.35347222222222219</v>
      </c>
      <c r="BJ50" s="556">
        <v>0.59027777777777779</v>
      </c>
      <c r="BK50" s="55"/>
      <c r="BL50" s="78"/>
    </row>
    <row r="51" spans="1:64" ht="12.75" customHeight="1" x14ac:dyDescent="0.2">
      <c r="A51" s="67"/>
      <c r="B51" s="707" t="s">
        <v>11</v>
      </c>
      <c r="C51" s="708"/>
      <c r="D51" s="709"/>
      <c r="E51" s="89">
        <f>IF(ISBLANK(H5),"",CORREL(F4:F34,G4:G34))</f>
        <v>0.60523962337926573</v>
      </c>
      <c r="F51" s="576">
        <f>IF(ISBLANK(H5),"",ABS(E51))</f>
        <v>0.60523962337926573</v>
      </c>
      <c r="H51" s="821" t="s">
        <v>424</v>
      </c>
      <c r="I51" s="821"/>
      <c r="J51" s="18"/>
      <c r="K51" s="8"/>
      <c r="N51" s="118"/>
      <c r="O51" s="18"/>
      <c r="P51" s="21"/>
      <c r="Q51" s="649" t="s">
        <v>143</v>
      </c>
      <c r="R51" s="649"/>
      <c r="S51" s="21"/>
      <c r="T51" s="68"/>
      <c r="W51" s="304" t="s">
        <v>110</v>
      </c>
      <c r="X51" s="22">
        <f>COUNTIF(X4:X34,"SW")</f>
        <v>10</v>
      </c>
      <c r="Y51" s="67"/>
      <c r="Z51" s="661"/>
      <c r="AA51" s="660"/>
      <c r="AC51" s="714" t="s">
        <v>286</v>
      </c>
      <c r="AD51" s="717">
        <v>0</v>
      </c>
      <c r="AF51" s="67"/>
      <c r="AG51" s="650"/>
      <c r="AH51" s="650"/>
      <c r="AI51" s="650"/>
      <c r="AJ51" s="650"/>
      <c r="AK51" s="6"/>
      <c r="AM51" s="67"/>
      <c r="AN51" s="5">
        <f>M53-AN48</f>
        <v>24</v>
      </c>
      <c r="AO51" s="406"/>
      <c r="AR51" s="6"/>
      <c r="AS51" s="637" t="s">
        <v>39</v>
      </c>
      <c r="AT51" s="638"/>
      <c r="AU51" s="92">
        <f>IF(AP4=AP5,"",IF(AP42=0,"",CORREL(AP4:AP34,I4:I34)))</f>
        <v>0.76815708428092355</v>
      </c>
      <c r="AV51" s="577">
        <f>IF(AP4=AP5,"",IF(AP42=0,"",ABS(AU51)))</f>
        <v>0.76815708428092355</v>
      </c>
      <c r="AX51" s="361">
        <v>3</v>
      </c>
      <c r="AY51" s="23">
        <f t="shared" si="20"/>
        <v>20.75</v>
      </c>
      <c r="AZ51" s="50"/>
      <c r="BA51" s="26">
        <f t="shared" si="22"/>
        <v>7.669999999999999</v>
      </c>
      <c r="BB51" s="25">
        <f t="shared" si="21"/>
        <v>0.85000000000000142</v>
      </c>
      <c r="BC51" s="25">
        <f>IF(ISBLANK(G6),"",(AVERAGE($AY$49:AY51)))</f>
        <v>19.883333333333336</v>
      </c>
      <c r="BD51" s="13">
        <f t="shared" si="23"/>
        <v>6.7080000000000002</v>
      </c>
      <c r="BE51" s="67"/>
      <c r="BF51" s="556">
        <v>0.31527777777777777</v>
      </c>
      <c r="BG51" s="556">
        <v>0.63680555555555551</v>
      </c>
      <c r="BH51" s="556">
        <v>0.6645833333333333</v>
      </c>
      <c r="BI51" s="556" t="s">
        <v>233</v>
      </c>
      <c r="BJ51" s="556">
        <v>0.63888888888888895</v>
      </c>
      <c r="BK51" s="18"/>
      <c r="BL51" s="78"/>
    </row>
    <row r="52" spans="1:64" ht="12.75" customHeight="1" x14ac:dyDescent="0.2">
      <c r="A52" s="67"/>
      <c r="B52" s="707" t="s">
        <v>92</v>
      </c>
      <c r="C52" s="708"/>
      <c r="D52" s="709"/>
      <c r="E52" s="89">
        <f>IF(ISBLANK(H5),"",CORREL(K4:K34,L4:L34))</f>
        <v>0.28140991741091403</v>
      </c>
      <c r="F52" s="576">
        <f>IF(ISBLANK(H5),"",ABS(E52))</f>
        <v>0.28140991741091403</v>
      </c>
      <c r="H52" s="600"/>
      <c r="I52" s="600"/>
      <c r="J52" s="18"/>
      <c r="K52" s="8"/>
      <c r="L52" s="187" t="s">
        <v>346</v>
      </c>
      <c r="M52" s="118"/>
      <c r="N52" s="118"/>
      <c r="O52" s="18"/>
      <c r="P52" s="25"/>
      <c r="Q52" s="715">
        <f>IF(ISBLANK(H5),"",AVERAGE(F48:F66,F72:F80,AV50:AV60))</f>
        <v>0.32502269523724325</v>
      </c>
      <c r="R52" s="716"/>
      <c r="S52" s="25"/>
      <c r="T52" s="67"/>
      <c r="W52" s="304" t="s">
        <v>114</v>
      </c>
      <c r="X52" s="22">
        <f>COUNTIF(X4:X34,"W")</f>
        <v>10</v>
      </c>
      <c r="Y52" s="67"/>
      <c r="Z52" s="659" t="s">
        <v>116</v>
      </c>
      <c r="AA52" s="711">
        <f>(Z38+AA50)/Z39</f>
        <v>0.22463768115942032</v>
      </c>
      <c r="AC52" s="714"/>
      <c r="AD52" s="717"/>
      <c r="AF52" s="67"/>
      <c r="AG52" s="712" t="s">
        <v>180</v>
      </c>
      <c r="AH52" s="712"/>
      <c r="AI52" s="712"/>
      <c r="AJ52" s="712"/>
      <c r="AK52" s="314"/>
      <c r="AM52" s="67"/>
      <c r="AO52" s="407"/>
      <c r="AP52" s="639" t="s">
        <v>190</v>
      </c>
      <c r="AQ52" s="640"/>
      <c r="AR52" s="6"/>
      <c r="AS52" s="637" t="s">
        <v>40</v>
      </c>
      <c r="AT52" s="638"/>
      <c r="AU52" s="92">
        <f>IF(AP4=AP5,"",IF(AP42=0,"",CORREL(AP4:AP34,K4:K34)))</f>
        <v>-0.87337087998383733</v>
      </c>
      <c r="AV52" s="577">
        <f>IF(AP4=AP5,"",IF(AP42=0,"",ABS(AU52)))</f>
        <v>0.87337087998383733</v>
      </c>
      <c r="AX52" s="361">
        <v>4</v>
      </c>
      <c r="AY52" s="23">
        <f t="shared" si="20"/>
        <v>17.25</v>
      </c>
      <c r="AZ52" s="50"/>
      <c r="BA52" s="26">
        <f t="shared" si="22"/>
        <v>4.2653333333333361</v>
      </c>
      <c r="BB52" s="25">
        <f t="shared" si="21"/>
        <v>5.0000000000000711E-2</v>
      </c>
      <c r="BC52" s="25">
        <f>IF(ISBLANK(G7),"",(AVERAGE($AY$49:AY52)))</f>
        <v>19.225000000000001</v>
      </c>
      <c r="BD52" s="13">
        <f t="shared" si="23"/>
        <v>6.0973333333333342</v>
      </c>
      <c r="BE52" s="6"/>
      <c r="BF52" s="556">
        <v>0.31736111111111115</v>
      </c>
      <c r="BG52" s="556">
        <v>0.66736111111111107</v>
      </c>
      <c r="BH52" s="556">
        <v>0.64722222222222225</v>
      </c>
      <c r="BI52" s="556" t="s">
        <v>233</v>
      </c>
      <c r="BJ52" s="556">
        <v>0.62847222222222221</v>
      </c>
      <c r="BK52" s="18"/>
      <c r="BL52" s="78"/>
    </row>
    <row r="53" spans="1:64" ht="12.75" customHeight="1" x14ac:dyDescent="0.2">
      <c r="A53" s="67"/>
      <c r="B53" s="707" t="s">
        <v>93</v>
      </c>
      <c r="C53" s="708"/>
      <c r="D53" s="709"/>
      <c r="E53" s="89">
        <f>IF(ISBLANK(H5),"",CORREL(P4:P34,Q4:Q34))</f>
        <v>0.93618318178312054</v>
      </c>
      <c r="F53" s="576">
        <f>IF(ISBLANK(H5),"",ABS(E53))</f>
        <v>0.93618318178312054</v>
      </c>
      <c r="H53" s="600"/>
      <c r="I53" s="600"/>
      <c r="J53" s="18"/>
      <c r="K53" s="8"/>
      <c r="L53" s="21" t="s">
        <v>88</v>
      </c>
      <c r="M53" s="21">
        <f>COUNT(H4:H34)</f>
        <v>31</v>
      </c>
      <c r="N53" s="118"/>
      <c r="O53" s="18"/>
      <c r="Q53" s="663" t="s">
        <v>34</v>
      </c>
      <c r="R53" s="663"/>
      <c r="S53" s="22"/>
      <c r="T53" s="67"/>
      <c r="U53" s="7"/>
      <c r="W53" s="304" t="s">
        <v>128</v>
      </c>
      <c r="X53" s="22">
        <f>COUNTIF(X4:X34,"NW")</f>
        <v>0</v>
      </c>
      <c r="Y53" s="136"/>
      <c r="Z53" s="659"/>
      <c r="AA53" s="711"/>
      <c r="AB53" s="323"/>
      <c r="AC53" s="542" t="s">
        <v>281</v>
      </c>
      <c r="AD53" s="549">
        <f>IF(Z38=0,"",AD51/Z38)</f>
        <v>0</v>
      </c>
      <c r="AF53" s="67"/>
      <c r="AH53" s="713">
        <f>SUM(AX91:AX121)</f>
        <v>16</v>
      </c>
      <c r="AI53" s="713"/>
      <c r="AJ53" s="93">
        <f>IF(M53=0,"",AH53/M53)</f>
        <v>0.5161290322580645</v>
      </c>
      <c r="AK53" s="68"/>
      <c r="AL53" s="4"/>
      <c r="AM53" s="67"/>
      <c r="AN53" s="179" t="s">
        <v>77</v>
      </c>
      <c r="AO53" s="88"/>
      <c r="AP53" s="718" t="str">
        <f>IF(M54=0,"",(AP39-AP38)/M54/(AP39/E34))</f>
        <v/>
      </c>
      <c r="AQ53" s="719"/>
      <c r="AR53" s="6"/>
      <c r="AS53" s="637" t="s">
        <v>38</v>
      </c>
      <c r="AT53" s="638"/>
      <c r="AU53" s="92">
        <f>IF(AQ38=0,"",CORREL(AP4:AP34,AQ4:AQ34))</f>
        <v>-0.21586666677034758</v>
      </c>
      <c r="AV53" s="577">
        <f>IF(AQ38=0,"",ABS(AU53))</f>
        <v>0.21586666677034758</v>
      </c>
      <c r="AX53" s="361">
        <v>5</v>
      </c>
      <c r="AY53" s="23">
        <f t="shared" si="20"/>
        <v>17.450000000000003</v>
      </c>
      <c r="AZ53" s="50"/>
      <c r="BA53" s="26">
        <f t="shared" si="22"/>
        <v>4.5606666666666706</v>
      </c>
      <c r="BB53" s="25">
        <f t="shared" si="21"/>
        <v>0.15000000000000213</v>
      </c>
      <c r="BC53" s="25">
        <f>IF(ISBLANK(G8),"",(AVERAGE($AY$49:AY53)))</f>
        <v>18.87</v>
      </c>
      <c r="BD53" s="13">
        <f t="shared" si="23"/>
        <v>5.7900000000000018</v>
      </c>
      <c r="BE53" s="6"/>
      <c r="BF53" s="556">
        <v>6.6666666666666666E-2</v>
      </c>
      <c r="BG53" s="556">
        <v>0.54513888888888895</v>
      </c>
      <c r="BH53" s="556">
        <v>0.54236111111111118</v>
      </c>
      <c r="BI53" s="556">
        <v>0.29652777777777778</v>
      </c>
      <c r="BJ53" s="556">
        <v>0.8305555555555556</v>
      </c>
      <c r="BK53" s="18"/>
      <c r="BL53" s="78"/>
    </row>
    <row r="54" spans="1:64" ht="12.75" customHeight="1" x14ac:dyDescent="0.2">
      <c r="A54" s="67"/>
      <c r="B54" s="707" t="s">
        <v>53</v>
      </c>
      <c r="C54" s="708"/>
      <c r="D54" s="709"/>
      <c r="E54" s="89">
        <f>IF(ISBLANK(H5),"",(CORREL(G4:G34,R4:R34)))</f>
        <v>0.16622842215398811</v>
      </c>
      <c r="F54" s="576">
        <f>IF(ISBLANK(H5),"",ABS(E54))</f>
        <v>0.16622842215398811</v>
      </c>
      <c r="H54" s="600"/>
      <c r="I54" s="600"/>
      <c r="J54" s="18"/>
      <c r="K54" s="8"/>
      <c r="L54" s="21" t="s">
        <v>89</v>
      </c>
      <c r="M54" s="21">
        <f>SUM(E34-M53)</f>
        <v>0</v>
      </c>
      <c r="N54" s="118"/>
      <c r="O54" s="18"/>
      <c r="Q54" s="5">
        <f>SUM(E69,E83,AU63)</f>
        <v>9</v>
      </c>
      <c r="R54" s="21" t="s">
        <v>193</v>
      </c>
      <c r="S54" s="608"/>
      <c r="T54" s="67"/>
      <c r="U54" s="7"/>
      <c r="W54" s="300"/>
      <c r="X54" s="25"/>
      <c r="Y54" s="136"/>
      <c r="Z54" s="659" t="s">
        <v>153</v>
      </c>
      <c r="AA54" s="659" t="str">
        <f>IF(M54&gt;0,(Z39-Z38)/M54,"n/a")</f>
        <v>n/a</v>
      </c>
      <c r="AB54" s="267"/>
      <c r="AC54" s="542" t="s">
        <v>283</v>
      </c>
      <c r="AD54" s="549">
        <f>IF(AT67=0,"",AV38/AT67)</f>
        <v>0</v>
      </c>
      <c r="AF54" s="67"/>
      <c r="AK54" s="6"/>
      <c r="AM54" s="67"/>
      <c r="AN54" s="138">
        <f>IF(M53=0,"",AN48/M53)</f>
        <v>0.22580645161290322</v>
      </c>
      <c r="AO54" s="406"/>
      <c r="AP54" s="531">
        <f>AP39/E34</f>
        <v>3.4193548387096775</v>
      </c>
      <c r="AQ54" s="532" t="str">
        <f>IF(M54=0,"",(AP39-AP38)/M54)</f>
        <v/>
      </c>
      <c r="AR54" s="6"/>
      <c r="AS54" s="637" t="s">
        <v>49</v>
      </c>
      <c r="AT54" s="638"/>
      <c r="AU54" s="92">
        <f>IF(AQ38=0,"",CORREL(AQ4:AQ34,I4:I34))</f>
        <v>-0.26789275920133943</v>
      </c>
      <c r="AV54" s="577">
        <f>IF(AQ38=0,"",ABS(AU54))</f>
        <v>0.26789275920133943</v>
      </c>
      <c r="AX54" s="361">
        <v>6</v>
      </c>
      <c r="AY54" s="23">
        <f t="shared" si="20"/>
        <v>14</v>
      </c>
      <c r="AZ54" s="50"/>
      <c r="BA54" s="26">
        <f t="shared" si="22"/>
        <v>1.2060000000000031</v>
      </c>
      <c r="BB54" s="25">
        <f t="shared" si="21"/>
        <v>0.59999999999999964</v>
      </c>
      <c r="BC54" s="25">
        <f>IF(ISBLANK(G9),"",(AVERAGE($AY$49:AY54)))</f>
        <v>18.058333333333334</v>
      </c>
      <c r="BD54" s="13">
        <f t="shared" si="23"/>
        <v>5.0260000000000034</v>
      </c>
      <c r="BE54" s="6"/>
      <c r="BF54" s="556">
        <v>0.34722222222222227</v>
      </c>
      <c r="BG54" s="556">
        <v>0.64583333333333337</v>
      </c>
      <c r="BH54" s="556">
        <v>0.65208333333333335</v>
      </c>
      <c r="BI54" s="556">
        <v>0.11874999999999999</v>
      </c>
      <c r="BJ54" s="556">
        <v>0.16805555555555554</v>
      </c>
      <c r="BK54" s="18"/>
      <c r="BL54" s="78"/>
    </row>
    <row r="55" spans="1:64" ht="12.75" customHeight="1" x14ac:dyDescent="0.2">
      <c r="A55" s="67"/>
      <c r="B55" s="707" t="s">
        <v>54</v>
      </c>
      <c r="C55" s="708"/>
      <c r="D55" s="709"/>
      <c r="E55" s="89">
        <f>IF(ISBLANK(H5),"",CORREL(F4:F34,R4:R34))</f>
        <v>-0.12662470078412202</v>
      </c>
      <c r="F55" s="576">
        <f>IF(ISBLANK(H5),"",ABS(E55))</f>
        <v>0.12662470078412202</v>
      </c>
      <c r="H55" s="600"/>
      <c r="I55" s="600"/>
      <c r="J55" s="20"/>
      <c r="K55" s="8"/>
      <c r="L55" s="118"/>
      <c r="M55" s="118"/>
      <c r="N55" s="187"/>
      <c r="O55" s="18"/>
      <c r="Q55" s="21"/>
      <c r="S55" s="21"/>
      <c r="T55" s="67"/>
      <c r="U55" s="7"/>
      <c r="W55" s="300" t="s">
        <v>129</v>
      </c>
      <c r="X55" s="22">
        <f>MAX(X46:X53)</f>
        <v>10</v>
      </c>
      <c r="Y55" s="136"/>
      <c r="Z55" s="659"/>
      <c r="AA55" s="659"/>
      <c r="AB55" s="267"/>
      <c r="AC55" s="543" t="s">
        <v>284</v>
      </c>
      <c r="AD55" s="546" t="s">
        <v>205</v>
      </c>
      <c r="AE55" s="267"/>
      <c r="AF55" s="67"/>
      <c r="AK55" s="6"/>
      <c r="AM55" s="67"/>
      <c r="AO55" s="408"/>
      <c r="AR55" s="6"/>
      <c r="AS55" s="637" t="s">
        <v>96</v>
      </c>
      <c r="AT55" s="638"/>
      <c r="AU55" s="92">
        <f>IF(AQ38=0,"",CORREL(M4:M34,AQ4:AQ34))</f>
        <v>0.26776020973325326</v>
      </c>
      <c r="AV55" s="577">
        <f>IF(AQ38=0,"",ABS(AU55))</f>
        <v>0.26776020973325326</v>
      </c>
      <c r="AX55" s="361">
        <v>7</v>
      </c>
      <c r="AY55" s="23">
        <f t="shared" si="20"/>
        <v>12.1</v>
      </c>
      <c r="AZ55" s="50"/>
      <c r="BA55" s="26">
        <f t="shared" si="22"/>
        <v>-0.59866666666666379</v>
      </c>
      <c r="BB55" s="25">
        <f t="shared" si="21"/>
        <v>0.40000000000000036</v>
      </c>
      <c r="BC55" s="25">
        <f>IF(ISBLANK(G10),"",(AVERAGE($AY$49:AY55)))</f>
        <v>17.207142857142859</v>
      </c>
      <c r="BD55" s="13">
        <f t="shared" si="23"/>
        <v>4.2224761904761943</v>
      </c>
      <c r="BE55" s="6"/>
      <c r="BF55" s="556">
        <v>0.25069444444444444</v>
      </c>
      <c r="BG55" s="556">
        <v>0.65416666666666667</v>
      </c>
      <c r="BH55" s="556">
        <v>0.70694444444444438</v>
      </c>
      <c r="BI55" s="556" t="s">
        <v>233</v>
      </c>
      <c r="BJ55" s="556">
        <v>0.64930555555555558</v>
      </c>
      <c r="BK55" s="18"/>
      <c r="BL55" s="78"/>
    </row>
    <row r="56" spans="1:64" ht="12.75" customHeight="1" thickBot="1" x14ac:dyDescent="0.25">
      <c r="A56" s="67"/>
      <c r="B56" s="707" t="s">
        <v>55</v>
      </c>
      <c r="C56" s="708"/>
      <c r="D56" s="709"/>
      <c r="E56" s="89">
        <f>IF(ISBLANK(H5),"",CORREL(I4:I34,R4:R34))</f>
        <v>0.32989908393979966</v>
      </c>
      <c r="F56" s="576">
        <f>IF(ISBLANK(H5),"",ABS(E56))</f>
        <v>0.32989908393979966</v>
      </c>
      <c r="J56" s="20"/>
      <c r="O56" s="20"/>
      <c r="T56" s="67"/>
      <c r="U56" s="7"/>
      <c r="V56" s="7"/>
      <c r="W56" s="25"/>
      <c r="X56" s="25"/>
      <c r="Y56" s="136"/>
      <c r="AD56" s="267"/>
      <c r="AE56" s="267"/>
      <c r="AF56" s="166"/>
      <c r="AG56" s="710" t="s">
        <v>126</v>
      </c>
      <c r="AH56" s="710"/>
      <c r="AI56" s="710"/>
      <c r="AJ56" s="710"/>
      <c r="AK56" s="313"/>
      <c r="AL56" s="152"/>
      <c r="AM56" s="67"/>
      <c r="AN56" s="181" t="s">
        <v>109</v>
      </c>
      <c r="AO56" s="88"/>
      <c r="AR56" s="6"/>
      <c r="AS56" s="637" t="s">
        <v>37</v>
      </c>
      <c r="AT56" s="638"/>
      <c r="AU56" s="92">
        <f>IF(AQ38=0,"",CORREL(Z4:Z34,AQ4:AQ34))</f>
        <v>0.73040260608013741</v>
      </c>
      <c r="AV56" s="577">
        <f>IF(AQ38=0,"",ABS(AU56))</f>
        <v>0.73040260608013741</v>
      </c>
      <c r="AX56" s="361">
        <v>8</v>
      </c>
      <c r="AY56" s="23">
        <f t="shared" si="20"/>
        <v>12.25</v>
      </c>
      <c r="AZ56" s="50"/>
      <c r="BA56" s="26">
        <f t="shared" si="22"/>
        <v>-0.35333333333332728</v>
      </c>
      <c r="BB56" s="25">
        <f t="shared" si="21"/>
        <v>0.15000000000000036</v>
      </c>
      <c r="BC56" s="25">
        <f>IF(ISBLANK(G11),"",(AVERAGE($AY$49:AY56)))</f>
        <v>16.587499999999999</v>
      </c>
      <c r="BD56" s="13">
        <f t="shared" si="23"/>
        <v>3.6505000000000036</v>
      </c>
      <c r="BE56" s="6"/>
      <c r="BF56" s="556">
        <v>6.805555555555555E-2</v>
      </c>
      <c r="BG56" s="556" t="s">
        <v>736</v>
      </c>
      <c r="BH56" s="556">
        <v>0.53472222222222221</v>
      </c>
      <c r="BI56" s="556" t="s">
        <v>233</v>
      </c>
      <c r="BJ56" s="556">
        <v>0.39583333333333331</v>
      </c>
      <c r="BK56" s="18"/>
      <c r="BL56" s="78"/>
    </row>
    <row r="57" spans="1:64" ht="12.75" customHeight="1" x14ac:dyDescent="0.2">
      <c r="A57" s="67"/>
      <c r="B57" s="707" t="s">
        <v>94</v>
      </c>
      <c r="C57" s="708"/>
      <c r="D57" s="709"/>
      <c r="E57" s="89">
        <f>IF(ISBLANK(H5),"",CORREL(N4:N34,R4:R34))</f>
        <v>1.9565705486903173E-2</v>
      </c>
      <c r="F57" s="576">
        <f>IF(ISBLANK(H5),"",ABS(E57))</f>
        <v>1.9565705486903173E-2</v>
      </c>
      <c r="H57" s="720" t="s">
        <v>135</v>
      </c>
      <c r="I57" s="721"/>
      <c r="J57" s="193"/>
      <c r="K57" s="721" t="s">
        <v>35</v>
      </c>
      <c r="L57" s="721"/>
      <c r="M57" s="721"/>
      <c r="N57" s="721"/>
      <c r="O57" s="194"/>
      <c r="P57" s="721" t="s">
        <v>136</v>
      </c>
      <c r="Q57" s="721"/>
      <c r="R57" s="721"/>
      <c r="S57" s="721"/>
      <c r="T57" s="195"/>
      <c r="U57" s="651" t="s">
        <v>159</v>
      </c>
      <c r="V57" s="653" t="s">
        <v>134</v>
      </c>
      <c r="W57" s="655" t="s">
        <v>160</v>
      </c>
      <c r="X57" s="657" t="s">
        <v>181</v>
      </c>
      <c r="Y57" s="196"/>
      <c r="Z57" s="724" t="s">
        <v>133</v>
      </c>
      <c r="AA57" s="724"/>
      <c r="AB57" s="725"/>
      <c r="AC57" s="726" t="s">
        <v>122</v>
      </c>
      <c r="AD57" s="727"/>
      <c r="AE57" s="728"/>
      <c r="AF57" s="166"/>
      <c r="AH57" s="713">
        <f t="array" ref="AH57">MAX(FREQUENCY(IF(AW91:AW121=1,ROW(91:121)),IF(AW91:AW121&lt;&gt;1,ROW(91:121))))</f>
        <v>2</v>
      </c>
      <c r="AI57" s="713"/>
      <c r="AJ57" s="4"/>
      <c r="AK57" s="68"/>
      <c r="AL57" s="4"/>
      <c r="AM57" s="67"/>
      <c r="AN57" s="138">
        <f>IF(AN48=0,"",AN38/AN48)</f>
        <v>0.7142857142857143</v>
      </c>
      <c r="AO57" s="223"/>
      <c r="AR57" s="6"/>
      <c r="AS57" s="637" t="s">
        <v>45</v>
      </c>
      <c r="AT57" s="638"/>
      <c r="AU57" s="92">
        <f>IF(AP4=AP5,"",IF(AP42=0,"",CORREL(AP4:AP34,R4:R34)))</f>
        <v>0.15614647818836608</v>
      </c>
      <c r="AV57" s="577">
        <f>IF(AP4=AP5,"",IF(AP42=0,"",ABS(AU57)))</f>
        <v>0.15614647818836608</v>
      </c>
      <c r="AX57" s="361">
        <v>9</v>
      </c>
      <c r="AY57" s="23">
        <f t="shared" si="20"/>
        <v>17.05</v>
      </c>
      <c r="AZ57" s="50"/>
      <c r="BA57" s="26">
        <f t="shared" si="22"/>
        <v>4.5420000000000034</v>
      </c>
      <c r="BB57" s="25">
        <f t="shared" si="21"/>
        <v>0.25</v>
      </c>
      <c r="BC57" s="25">
        <f>IF(ISBLANK(G12),"",(AVERAGE($AY$49:AY57)))</f>
        <v>16.638888888888889</v>
      </c>
      <c r="BD57" s="13">
        <f t="shared" si="23"/>
        <v>3.7495555555555589</v>
      </c>
      <c r="BE57" s="6"/>
      <c r="BF57" s="556">
        <v>0.1451388888888889</v>
      </c>
      <c r="BG57" s="556">
        <v>0.68125000000000002</v>
      </c>
      <c r="BH57" s="556">
        <v>0.69861111111111107</v>
      </c>
      <c r="BI57" s="556">
        <v>0.3527777777777778</v>
      </c>
      <c r="BJ57" s="556">
        <v>0.62083333333333335</v>
      </c>
      <c r="BK57" s="18"/>
      <c r="BL57" s="78"/>
    </row>
    <row r="58" spans="1:64" ht="12.75" x14ac:dyDescent="0.2">
      <c r="A58" s="67"/>
      <c r="B58" s="707" t="s">
        <v>14</v>
      </c>
      <c r="C58" s="708"/>
      <c r="D58" s="709"/>
      <c r="E58" s="89">
        <f>IF(ISBLANK(H5),"",CORREL(I4:I34,N4:N34))</f>
        <v>0.74815883841496478</v>
      </c>
      <c r="F58" s="576">
        <f>IF(ISBLANK(H5),"",ABS(E58))</f>
        <v>0.74815883841496478</v>
      </c>
      <c r="H58" s="722"/>
      <c r="I58" s="723"/>
      <c r="J58" s="204"/>
      <c r="K58" s="205" t="s">
        <v>2</v>
      </c>
      <c r="L58" s="206" t="s">
        <v>3</v>
      </c>
      <c r="M58" s="207" t="s">
        <v>156</v>
      </c>
      <c r="N58" s="208" t="s">
        <v>5</v>
      </c>
      <c r="O58" s="204"/>
      <c r="P58" s="205" t="s">
        <v>2</v>
      </c>
      <c r="Q58" s="206" t="s">
        <v>3</v>
      </c>
      <c r="R58" s="207" t="s">
        <v>4</v>
      </c>
      <c r="S58" s="208" t="s">
        <v>5</v>
      </c>
      <c r="T58" s="209"/>
      <c r="U58" s="652"/>
      <c r="V58" s="654"/>
      <c r="W58" s="656"/>
      <c r="X58" s="658"/>
      <c r="Y58" s="210"/>
      <c r="Z58" s="211" t="s">
        <v>137</v>
      </c>
      <c r="AA58" s="211" t="s">
        <v>235</v>
      </c>
      <c r="AB58" s="495" t="s">
        <v>138</v>
      </c>
      <c r="AC58" s="533" t="s">
        <v>140</v>
      </c>
      <c r="AD58" s="534" t="s">
        <v>235</v>
      </c>
      <c r="AE58" s="535" t="s">
        <v>141</v>
      </c>
      <c r="AF58" s="166"/>
      <c r="AG58" s="650"/>
      <c r="AH58" s="650"/>
      <c r="AI58" s="650"/>
      <c r="AJ58" s="650"/>
      <c r="AK58" s="6"/>
      <c r="AM58" s="67"/>
      <c r="AO58" s="224"/>
      <c r="AP58" s="488"/>
      <c r="AQ58" s="488"/>
      <c r="AR58" s="6"/>
      <c r="AS58" s="637" t="s">
        <v>46</v>
      </c>
      <c r="AT58" s="638"/>
      <c r="AU58" s="92">
        <f>IF(ISBLANK(U5),"",CORREL(U4:U34,R4:R34))</f>
        <v>-0.36592733531983829</v>
      </c>
      <c r="AV58" s="577">
        <f>IF(ISBLANK(U5),"",ABS(AU58))</f>
        <v>0.36592733531983829</v>
      </c>
      <c r="AX58" s="361">
        <v>10</v>
      </c>
      <c r="AY58" s="23">
        <f t="shared" si="20"/>
        <v>17.649999999999999</v>
      </c>
      <c r="AZ58" s="50"/>
      <c r="BA58" s="26">
        <f t="shared" si="22"/>
        <v>5.2373333333333374</v>
      </c>
      <c r="BB58" s="25">
        <f t="shared" si="21"/>
        <v>0.44999999999999929</v>
      </c>
      <c r="BC58" s="25">
        <f>IF(ISBLANK(G13),"",(AVERAGE($AY$49:AY58)))</f>
        <v>16.740000000000002</v>
      </c>
      <c r="BD58" s="13">
        <f t="shared" si="23"/>
        <v>3.8983333333333379</v>
      </c>
      <c r="BE58" s="6"/>
      <c r="BF58" s="556">
        <v>0.3125</v>
      </c>
      <c r="BG58" s="556">
        <v>0.60555555555555551</v>
      </c>
      <c r="BH58" s="556">
        <v>0.62361111111111112</v>
      </c>
      <c r="BI58" s="556">
        <v>6.458333333333334E-2</v>
      </c>
      <c r="BJ58" s="556">
        <v>0.61875000000000002</v>
      </c>
      <c r="BK58" s="18"/>
      <c r="BL58" s="78"/>
    </row>
    <row r="59" spans="1:64" ht="12.75" x14ac:dyDescent="0.2">
      <c r="A59" s="67"/>
      <c r="B59" s="707" t="s">
        <v>52</v>
      </c>
      <c r="C59" s="708"/>
      <c r="D59" s="709"/>
      <c r="E59" s="89">
        <f>IF(ISBLANK(H5),"",CORREL(L4:L34,R4:R34))</f>
        <v>-9.8519417496543832E-2</v>
      </c>
      <c r="F59" s="576">
        <f>IF(ISBLANK(H5),"",ABS(E59))</f>
        <v>9.8519417496543832E-2</v>
      </c>
      <c r="H59" s="729" t="s">
        <v>19</v>
      </c>
      <c r="I59" s="730"/>
      <c r="J59" s="191"/>
      <c r="K59" s="100">
        <f>IF(ISBLANK(F4),"",AVERAGE(F4:F18))</f>
        <v>12.379999999999999</v>
      </c>
      <c r="L59" s="100">
        <f>IF(ISBLANK(G4),"",AVERAGE(G4:G18))</f>
        <v>19.166666666666671</v>
      </c>
      <c r="M59" s="100">
        <f>IF(ISBLANK(H4),"",AVERAGE(H4:H18))</f>
        <v>15.573333333333334</v>
      </c>
      <c r="N59" s="100">
        <f>IF(ISBLANK(G4),"",AVERAGE(I4:I18))</f>
        <v>6.7866666666666653</v>
      </c>
      <c r="O59" s="191"/>
      <c r="P59" s="100">
        <f>IF(ISBLANK(F4),"",K59-AVERAGE(F91:F105))</f>
        <v>2.8699999999999957</v>
      </c>
      <c r="Q59" s="100">
        <f>IF(ISBLANK(G4),"",L59-AVERAGE(G91:G105))</f>
        <v>3.4700000000000166</v>
      </c>
      <c r="R59" s="100">
        <f>IF(ISBLANK(H4),"",M59-AVERAGE(H91:H105))</f>
        <v>2.9700000000000042</v>
      </c>
      <c r="S59" s="100">
        <f>IF(ISBLANK(G4),"",N59-AVERAGE(I91:I105))</f>
        <v>0.60000000000001474</v>
      </c>
      <c r="T59" s="166"/>
      <c r="U59" s="342">
        <f>IF(ISBLANK(M4),"",AVERAGE(M4:M18))</f>
        <v>72.599999999999994</v>
      </c>
      <c r="V59" s="342">
        <f>IF(ISBLANK(P4),"",AVERAGE(R4:R18))</f>
        <v>1020.6333333333333</v>
      </c>
      <c r="W59" s="345">
        <f>IF(ISBLANK(U4),"",AVERAGE(U4:U18))</f>
        <v>5.6133333333333333</v>
      </c>
      <c r="X59" s="100">
        <f>IF(ISBLANK(AI4),"",AVERAGE(AI4:AI18))</f>
        <v>10.379999999999999</v>
      </c>
      <c r="Y59" s="192"/>
      <c r="Z59" s="38">
        <f>IF(ISBLANK(Z4),"",SUM(Z4:Z18))</f>
        <v>5.8000000000000007</v>
      </c>
      <c r="AA59" s="492">
        <f>IF(ISBLANK(Z4),"",Z59/($Z$39/$E$34*15))</f>
        <v>0.17371980676328508</v>
      </c>
      <c r="AB59" s="496">
        <f>IF(Z38=0,"",Z59/$Z$38)</f>
        <v>0.37419354838709679</v>
      </c>
      <c r="AC59" s="499">
        <f>IF(ISBLANK(AP4),"",SUM(AP4:AP18))</f>
        <v>67.900000000000006</v>
      </c>
      <c r="AD59" s="492">
        <f>IF(ISBLANK(AP4),"",AC59/SUM(AS91:AS105))</f>
        <v>1.2606168824291313</v>
      </c>
      <c r="AE59" s="197">
        <f>IF(ISBLANK(AP4),"",AC59/$AP$38)</f>
        <v>0.46957123098201942</v>
      </c>
      <c r="AF59" s="166"/>
      <c r="AG59" s="712" t="s">
        <v>127</v>
      </c>
      <c r="AH59" s="712"/>
      <c r="AI59" s="712"/>
      <c r="AJ59" s="712"/>
      <c r="AK59" s="314"/>
      <c r="AL59" s="151"/>
      <c r="AM59" s="67"/>
      <c r="AN59" s="182" t="s">
        <v>66</v>
      </c>
      <c r="AO59" s="87"/>
      <c r="AP59" s="800" t="s">
        <v>97</v>
      </c>
      <c r="AQ59" s="800"/>
      <c r="AR59" s="6"/>
      <c r="AS59" s="637" t="s">
        <v>47</v>
      </c>
      <c r="AT59" s="638"/>
      <c r="AU59" s="92">
        <f>IF(AQ38=0,"",CORREL(AQ4:AQ34,R4:R34))</f>
        <v>-0.43109421038188489</v>
      </c>
      <c r="AV59" s="577">
        <f>IF(AQ38=0,"",ABS(AU59))</f>
        <v>0.43109421038188489</v>
      </c>
      <c r="AX59" s="361">
        <v>11</v>
      </c>
      <c r="AY59" s="23">
        <f t="shared" si="20"/>
        <v>16.850000000000001</v>
      </c>
      <c r="AZ59" s="50"/>
      <c r="BA59" s="26">
        <f t="shared" si="22"/>
        <v>4.5326666666666702</v>
      </c>
      <c r="BB59" s="25">
        <f t="shared" si="21"/>
        <v>5.0000000000000711E-2</v>
      </c>
      <c r="BC59" s="25">
        <f>IF(ISBLANK(G14),"",(AVERAGE($AY$49:AY59)))</f>
        <v>16.75</v>
      </c>
      <c r="BD59" s="13">
        <f t="shared" si="23"/>
        <v>3.956000000000004</v>
      </c>
      <c r="BE59" s="6"/>
      <c r="BF59" s="556">
        <v>0.21875</v>
      </c>
      <c r="BG59" s="556">
        <v>0.67708333333333337</v>
      </c>
      <c r="BH59" s="556">
        <v>0.6645833333333333</v>
      </c>
      <c r="BI59" s="556" t="s">
        <v>233</v>
      </c>
      <c r="BJ59" s="556">
        <v>8.8888888888888892E-2</v>
      </c>
      <c r="BK59" s="18"/>
      <c r="BL59" s="78"/>
    </row>
    <row r="60" spans="1:64" ht="12.75" x14ac:dyDescent="0.2">
      <c r="A60" s="67"/>
      <c r="B60" s="707" t="s">
        <v>57</v>
      </c>
      <c r="C60" s="708"/>
      <c r="D60" s="709"/>
      <c r="E60" s="89">
        <f>IF(ISBLANK(H5),"",CORREL(G4:G34,N4:N34))</f>
        <v>0.39984751877838326</v>
      </c>
      <c r="F60" s="576">
        <f>IF(ISBLANK(H5),"",ABS(E60))</f>
        <v>0.39984751877838326</v>
      </c>
      <c r="H60" s="729" t="s">
        <v>18</v>
      </c>
      <c r="I60" s="730"/>
      <c r="J60" s="191"/>
      <c r="K60" s="100">
        <f>IF(ISBLANK(F19),"",AVERAGE(F19:F34))</f>
        <v>8.7624999999999993</v>
      </c>
      <c r="L60" s="100">
        <f>IF(ISBLANK(G19),"",AVERAGE(G19:G34))</f>
        <v>14.900000000000002</v>
      </c>
      <c r="M60" s="100">
        <f>IF(ISBLANK(H19),"",AVERAGE(H19:H34))</f>
        <v>11.81875</v>
      </c>
      <c r="N60" s="100">
        <f>IF(ISBLANK(G19),"",AVERAGE(I19:I34))</f>
        <v>6.1374999999999984</v>
      </c>
      <c r="O60" s="191"/>
      <c r="P60" s="100">
        <f>IF(ISBLANK(F19),"",K60-AVERAGE(F106:F121))</f>
        <v>0.72268749999999571</v>
      </c>
      <c r="Q60" s="100">
        <f>IF(ISBLANK(G19),"",L60-AVERAGE(G106:G121))</f>
        <v>1.2963124999999991</v>
      </c>
      <c r="R60" s="100">
        <f>IF(ISBLANK(H19),"",M60-AVERAGE(H106:H121))</f>
        <v>0.99699999999999633</v>
      </c>
      <c r="S60" s="100">
        <f>IF(ISBLANK(G19),"",N60-AVERAGE(I106:I121))</f>
        <v>0.57362500000000072</v>
      </c>
      <c r="T60" s="166"/>
      <c r="U60" s="342">
        <f>IF(ISBLANK(M19),"",AVERAGE(M19:M34))</f>
        <v>76.8125</v>
      </c>
      <c r="V60" s="342">
        <f>IF(ISBLANK(P19),"",AVERAGE(R19:R34))</f>
        <v>1013.4375</v>
      </c>
      <c r="W60" s="345">
        <f>IF(ISBLANK(U19),"",AVERAGE(U19:U34))</f>
        <v>4.9250000000000007</v>
      </c>
      <c r="X60" s="100">
        <f>IF(ISBLANK(AI19),"",AVERAGE(AI19:AI34))</f>
        <v>7.7</v>
      </c>
      <c r="Y60" s="192"/>
      <c r="Z60" s="38">
        <f>IF(ISBLANK(Z19),"",SUM(Z19:Z34))</f>
        <v>9.7000000000000011</v>
      </c>
      <c r="AA60" s="492">
        <f>IF(ISBLANK(Z19),"",(Z60/($Z$39/$E$34*16)))</f>
        <v>0.27237318840579716</v>
      </c>
      <c r="AB60" s="496">
        <f>IF(ISBLANK(Z19),"",Z60/$Z$38)</f>
        <v>0.62580645161290327</v>
      </c>
      <c r="AC60" s="118">
        <f>IF(ISBLANK(AP19),"",SUM(AP19:AP34))</f>
        <v>76.7</v>
      </c>
      <c r="AD60" s="492">
        <f>IF(ISBLANK(AP19),"",AC60/SUM(AS106:AS121))</f>
        <v>1.4711105641628113</v>
      </c>
      <c r="AE60" s="197">
        <f>IF(ISBLANK(AP19),"",AC60/$AP$38)</f>
        <v>0.53042876901798064</v>
      </c>
      <c r="AF60" s="166"/>
      <c r="AH60" s="713">
        <f t="array" ref="AH60">MAX(FREQUENCY(IF(AX91:AX121=1,ROW(91:121)),IF(AX91:AX121&lt;&gt;1,ROW(91:121))))</f>
        <v>5</v>
      </c>
      <c r="AI60" s="713"/>
      <c r="AJ60" s="4"/>
      <c r="AK60" s="68"/>
      <c r="AL60" s="4"/>
      <c r="AM60" s="67"/>
      <c r="AN60" s="53">
        <f t="array" ref="AN60">MAX(FREQUENCY(IF(AJ91:AJ121=1,ROW(53:83)),IF(AJ91:AJ121&lt;&gt;1,ROW(53:83))))</f>
        <v>4</v>
      </c>
      <c r="AO60" s="223"/>
      <c r="AP60" s="767" t="s">
        <v>268</v>
      </c>
      <c r="AQ60" s="767"/>
      <c r="AR60" s="6"/>
      <c r="AS60" s="801" t="s">
        <v>48</v>
      </c>
      <c r="AT60" s="802"/>
      <c r="AU60" s="96">
        <f>IF(U42=0,"",CORREL(U4:U34,S4:S34))</f>
        <v>6.3257394749342333E-2</v>
      </c>
      <c r="AV60" s="577">
        <f>IF(U42=0,"",ABS(AU60))</f>
        <v>6.3257394749342333E-2</v>
      </c>
      <c r="AX60" s="361">
        <v>12</v>
      </c>
      <c r="AY60" s="23">
        <f t="shared" si="20"/>
        <v>16.75</v>
      </c>
      <c r="AZ60" s="50"/>
      <c r="BA60" s="26">
        <f t="shared" si="22"/>
        <v>4.528000000000004</v>
      </c>
      <c r="BB60" s="25">
        <f t="shared" si="21"/>
        <v>0.44999999999999929</v>
      </c>
      <c r="BC60" s="25">
        <f>IF(ISBLANK(G15),"",(AVERAGE($AY$49:AY60)))</f>
        <v>16.75</v>
      </c>
      <c r="BD60" s="13">
        <f t="shared" si="23"/>
        <v>4.0036666666666711</v>
      </c>
      <c r="BE60" s="6"/>
      <c r="BF60" s="556">
        <v>0.34722222222222227</v>
      </c>
      <c r="BG60" s="556">
        <v>0.6791666666666667</v>
      </c>
      <c r="BH60" s="556">
        <v>0.68888888888888899</v>
      </c>
      <c r="BI60" s="556">
        <v>0.96875</v>
      </c>
      <c r="BJ60" s="556">
        <v>0.13541666666666666</v>
      </c>
      <c r="BK60" s="18"/>
      <c r="BL60" s="78"/>
    </row>
    <row r="61" spans="1:64" ht="12.75" x14ac:dyDescent="0.2">
      <c r="A61" s="67"/>
      <c r="B61" s="707" t="s">
        <v>58</v>
      </c>
      <c r="C61" s="708"/>
      <c r="D61" s="709"/>
      <c r="E61" s="89">
        <f>IF(ISBLANK(H5),"",CORREL(G4:G34,K4:K34))</f>
        <v>-0.3322757543959925</v>
      </c>
      <c r="F61" s="576">
        <f>IF(ISBLANK(H5),"",ABS(E61))</f>
        <v>0.3322757543959925</v>
      </c>
      <c r="H61" s="198"/>
      <c r="I61" s="110"/>
      <c r="J61" s="191"/>
      <c r="K61" s="50"/>
      <c r="L61" s="50"/>
      <c r="M61" s="50"/>
      <c r="N61" s="50"/>
      <c r="O61" s="191"/>
      <c r="P61" s="50"/>
      <c r="Q61" s="50"/>
      <c r="R61" s="50"/>
      <c r="S61" s="50"/>
      <c r="T61" s="166"/>
      <c r="U61" s="343"/>
      <c r="V61" s="343"/>
      <c r="W61" s="346"/>
      <c r="X61" s="50"/>
      <c r="Y61" s="192"/>
      <c r="Z61" s="110"/>
      <c r="AA61" s="493"/>
      <c r="AB61" s="497"/>
      <c r="AC61" s="69"/>
      <c r="AD61" s="493"/>
      <c r="AE61" s="199"/>
      <c r="AF61" s="166"/>
      <c r="AK61" s="6"/>
      <c r="AM61" s="136"/>
      <c r="AO61" s="225"/>
      <c r="AP61" s="767"/>
      <c r="AQ61" s="767"/>
      <c r="AR61" s="6"/>
      <c r="AX61" s="361">
        <v>13</v>
      </c>
      <c r="AY61" s="23">
        <f t="shared" si="20"/>
        <v>13.5</v>
      </c>
      <c r="AZ61" s="50"/>
      <c r="BA61" s="26">
        <f t="shared" si="22"/>
        <v>1.3733333333333375</v>
      </c>
      <c r="BB61" s="25">
        <f t="shared" si="21"/>
        <v>-0.80000000000000071</v>
      </c>
      <c r="BC61" s="25">
        <f>IF(ISBLANK(G16),"",(AVERAGE($AY$49:AY61)))</f>
        <v>16.5</v>
      </c>
      <c r="BD61" s="13">
        <f t="shared" si="23"/>
        <v>3.8013333333333366</v>
      </c>
      <c r="BE61" s="6"/>
      <c r="BF61" s="556">
        <v>0.34027777777777773</v>
      </c>
      <c r="BG61" s="556">
        <v>0.67708333333333337</v>
      </c>
      <c r="BH61" s="556">
        <v>0.77986111111111101</v>
      </c>
      <c r="BI61" s="556">
        <v>0.3527777777777778</v>
      </c>
      <c r="BJ61" s="556">
        <v>0.60277777777777775</v>
      </c>
      <c r="BK61" s="18"/>
      <c r="BL61" s="78"/>
    </row>
    <row r="62" spans="1:64" ht="12.75" x14ac:dyDescent="0.2">
      <c r="A62" s="67"/>
      <c r="B62" s="707" t="s">
        <v>59</v>
      </c>
      <c r="C62" s="708"/>
      <c r="D62" s="709"/>
      <c r="E62" s="89">
        <f>IF(ISBLANK(H5),"",CORREL(I4:I34,K4:K34))</f>
        <v>-0.64397018386160154</v>
      </c>
      <c r="F62" s="576">
        <f>IF(ISBLANK(H5),"",ABS(E62))</f>
        <v>0.64397018386160154</v>
      </c>
      <c r="H62" s="729" t="s">
        <v>27</v>
      </c>
      <c r="I62" s="730"/>
      <c r="J62" s="191"/>
      <c r="K62" s="100">
        <f>IF(ISBLANK(F4),"",AVERAGE(F4:F13))</f>
        <v>13.15</v>
      </c>
      <c r="L62" s="100">
        <f>IF(ISBLANK(G4),"",AVERAGE(G4:G13))</f>
        <v>20.330000000000002</v>
      </c>
      <c r="M62" s="100">
        <f>IF(ISBLANK(H4),"",AVERAGE(H4:H13))</f>
        <v>16.43</v>
      </c>
      <c r="N62" s="100">
        <f>IF(ISBLANK(G4),"",AVERAGE(I4:I13))</f>
        <v>7.18</v>
      </c>
      <c r="O62" s="191"/>
      <c r="P62" s="100">
        <f>IF(ISBLANK(F4),"",K62-AVERAGE(F91:F100))</f>
        <v>3.4624999999999968</v>
      </c>
      <c r="Q62" s="100">
        <f>IF(ISBLANK(G4),"",L62-AVERAGE(G91:G100))</f>
        <v>4.3341666666666789</v>
      </c>
      <c r="R62" s="100">
        <f>IF(ISBLANK(H4),"",M62-AVERAGE(H91:H100))</f>
        <v>3.5883333333333365</v>
      </c>
      <c r="S62" s="100">
        <f>IF(ISBLANK(G4),"",N62-AVERAGE(I91:I100))</f>
        <v>0.87166666666667947</v>
      </c>
      <c r="T62" s="166"/>
      <c r="U62" s="342">
        <f>IF(ISBLANK(M4),"",AVERAGE(M4:M13))</f>
        <v>71.099999999999994</v>
      </c>
      <c r="V62" s="342">
        <f>IF(ISBLANK(P4),"",AVERAGE(R4:R13))</f>
        <v>1018.45</v>
      </c>
      <c r="W62" s="345">
        <f>IF(ISBLANK(U4),"",AVERAGE(U4:U13))</f>
        <v>6.32</v>
      </c>
      <c r="X62" s="100">
        <f>IF(ISBLANK(AI4),"",AVERAGE(AI4:AI13))</f>
        <v>10.84</v>
      </c>
      <c r="Y62" s="192"/>
      <c r="Z62" s="38">
        <f>IF(ISBLANK(Z4),"",SUM(Z4:Z13))</f>
        <v>5.8000000000000007</v>
      </c>
      <c r="AA62" s="492">
        <f>IF(ISBLANK(Z4),"",Z62/($Z$39/$E$34*10))</f>
        <v>0.26057971014492759</v>
      </c>
      <c r="AB62" s="496">
        <f>IF(Z38=0,"",Z62/$Z$38)</f>
        <v>0.37419354838709679</v>
      </c>
      <c r="AC62" s="118">
        <f>IF(ISBLANK(AP4),"",SUM(AP4:AP13))</f>
        <v>46.300000000000004</v>
      </c>
      <c r="AD62" s="492">
        <f>IF(ISBLANK(AP4),"",AC62/SUM(AS91:AS100))</f>
        <v>1.269964934381528</v>
      </c>
      <c r="AE62" s="197">
        <f>IF(ISBLANK(AP4),"",AC62/$AP$38)</f>
        <v>0.32019363762102354</v>
      </c>
      <c r="AF62" s="222"/>
      <c r="AK62" s="6"/>
      <c r="AM62" s="136"/>
      <c r="AN62" s="180" t="s">
        <v>65</v>
      </c>
      <c r="AO62" s="226"/>
      <c r="AP62" s="767"/>
      <c r="AQ62" s="767"/>
      <c r="AR62" s="6"/>
      <c r="AS62" s="785" t="s">
        <v>4</v>
      </c>
      <c r="AT62" s="785"/>
      <c r="AU62" s="220">
        <f>IF(AQ38=0,"",AVERAGE(AV50:AV60))</f>
        <v>0.39768443381135249</v>
      </c>
      <c r="AV62" s="577">
        <f>AU62</f>
        <v>0.39768443381135249</v>
      </c>
      <c r="AX62" s="361">
        <v>14</v>
      </c>
      <c r="AY62" s="23">
        <f t="shared" si="20"/>
        <v>11.3</v>
      </c>
      <c r="AZ62" s="50"/>
      <c r="BA62" s="26">
        <f t="shared" si="22"/>
        <v>-0.73133333333332917</v>
      </c>
      <c r="BB62" s="25">
        <f t="shared" si="21"/>
        <v>-0.39999999999999858</v>
      </c>
      <c r="BC62" s="25">
        <f>IF(ISBLANK(G17),"",(AVERAGE($AY$49:AY62)))</f>
        <v>16.12857142857143</v>
      </c>
      <c r="BD62" s="13">
        <f t="shared" si="23"/>
        <v>3.4775714285714336</v>
      </c>
      <c r="BE62" s="6"/>
      <c r="BF62" s="556">
        <v>0.22916666666666666</v>
      </c>
      <c r="BG62" s="556">
        <v>0.62638888888888888</v>
      </c>
      <c r="BH62" s="556">
        <v>0.65277777777777779</v>
      </c>
      <c r="BI62" s="556">
        <v>0.25416666666666665</v>
      </c>
      <c r="BJ62" s="556">
        <v>0.4284722222222222</v>
      </c>
      <c r="BK62" s="55"/>
      <c r="BL62" s="78"/>
    </row>
    <row r="63" spans="1:64" ht="12.75" customHeight="1" x14ac:dyDescent="0.2">
      <c r="A63" s="67"/>
      <c r="B63" s="707" t="s">
        <v>72</v>
      </c>
      <c r="C63" s="708"/>
      <c r="D63" s="709"/>
      <c r="E63" s="89">
        <f>IF(ISBLANK(H5),"",CORREL(R4:R34,K4:K34))</f>
        <v>-6.0374646304813123E-2</v>
      </c>
      <c r="F63" s="576">
        <f>IF(ISBLANK(H5),"",ABS(E63))</f>
        <v>6.0374646304813123E-2</v>
      </c>
      <c r="H63" s="729" t="s">
        <v>28</v>
      </c>
      <c r="I63" s="730"/>
      <c r="J63" s="191"/>
      <c r="K63" s="100">
        <f>IF(ISBLANK(F14),"",AVERAGE(F14:F23))</f>
        <v>8.16</v>
      </c>
      <c r="L63" s="100">
        <f>IF(ISBLANK(G14),"",AVERAGE(G14:G23))</f>
        <v>15.4</v>
      </c>
      <c r="M63" s="100">
        <f>IF(ISBLANK(H14),"",AVERAGE(H14:H23))</f>
        <v>11.720000000000002</v>
      </c>
      <c r="N63" s="100">
        <f>IF(ISBLANK(G14),"",AVERAGE(I14:I23))</f>
        <v>7.24</v>
      </c>
      <c r="O63" s="191"/>
      <c r="P63" s="100">
        <f>IF(ISBLANK(F14),"",K63-AVERAGE(F101:F110))</f>
        <v>-0.79800000000000537</v>
      </c>
      <c r="Q63" s="100">
        <f>IF(ISBLANK(G14),"",L63-AVERAGE(G101:G110))</f>
        <v>0.61339487179488117</v>
      </c>
      <c r="R63" s="100">
        <f>IF(ISBLANK(H14),"",M63-AVERAGE(H101:H110))</f>
        <v>-0.15230256410256082</v>
      </c>
      <c r="S63" s="100">
        <f>IF(ISBLANK(G14),"",N63-AVERAGE(I101:I110))</f>
        <v>1.4113948717948883</v>
      </c>
      <c r="T63" s="166"/>
      <c r="U63" s="342">
        <f>IF(ISBLANK(M14),"",AVERAGE(M14:M23))</f>
        <v>74.5</v>
      </c>
      <c r="V63" s="342">
        <f>IF(ISBLANK(P14),"",AVERAGE(R14:R23))</f>
        <v>1021.65</v>
      </c>
      <c r="W63" s="345">
        <f>IF(ISBLANK(U14),"",AVERAGE(U14:U23))</f>
        <v>4.5500000000000007</v>
      </c>
      <c r="X63" s="100">
        <f>IF(ISBLANK(AI14),"",AVERAGE(AI14:AI23))</f>
        <v>7.1400000000000006</v>
      </c>
      <c r="Y63" s="192"/>
      <c r="Z63" s="38">
        <f>IF(ISBLANK(Z14),"",SUM(Z14:Z23))</f>
        <v>3.3</v>
      </c>
      <c r="AA63" s="492">
        <f>IF(ISBLANK(Z14),"",Z63/($Z$39/$E$34*10))</f>
        <v>0.14826086956521739</v>
      </c>
      <c r="AB63" s="496">
        <f>IF(ISBLANK(Z14),"",Z63/$Z$38)</f>
        <v>0.21290322580645157</v>
      </c>
      <c r="AC63" s="118">
        <f>IF(ISBLANK(AP14),"",SUM(AP14:AP23))</f>
        <v>53.1</v>
      </c>
      <c r="AD63" s="492">
        <f>IF(ISBLANK(AP14),"",AC63/SUM(AS101:AS110))</f>
        <v>1.5494119892824105</v>
      </c>
      <c r="AE63" s="197">
        <f>IF(ISBLANK(AP14),"",AC63/$AP$38)</f>
        <v>0.36721991701244816</v>
      </c>
      <c r="AF63" s="222"/>
      <c r="AK63" s="315"/>
      <c r="AL63" s="306"/>
      <c r="AM63" s="136"/>
      <c r="AN63" s="5">
        <f>MIN(AT79,AN92)</f>
        <v>8</v>
      </c>
      <c r="AO63" s="227"/>
      <c r="AP63" s="784" t="s">
        <v>228</v>
      </c>
      <c r="AQ63" s="784"/>
      <c r="AR63" s="6"/>
      <c r="AS63" s="785" t="s">
        <v>34</v>
      </c>
      <c r="AT63" s="785"/>
      <c r="AU63" s="9">
        <f>AN96+AN101</f>
        <v>3</v>
      </c>
      <c r="AV63" s="103" t="s">
        <v>69</v>
      </c>
      <c r="AX63" s="361">
        <v>15</v>
      </c>
      <c r="AY63" s="23">
        <f t="shared" si="20"/>
        <v>10.8</v>
      </c>
      <c r="AZ63" s="50"/>
      <c r="BA63" s="26">
        <f t="shared" si="22"/>
        <v>-1.1359999999999957</v>
      </c>
      <c r="BB63" s="25">
        <f t="shared" si="21"/>
        <v>0.60000000000000142</v>
      </c>
      <c r="BC63" s="25">
        <f>IF(ISBLANK(G18),"",(AVERAGE($AY$49:AY63)))</f>
        <v>15.773333333333335</v>
      </c>
      <c r="BD63" s="13">
        <f t="shared" si="23"/>
        <v>3.1700000000000061</v>
      </c>
      <c r="BE63" s="6"/>
      <c r="BF63" s="556">
        <v>0.32291666666666669</v>
      </c>
      <c r="BG63" s="556">
        <v>0.67013888888888884</v>
      </c>
      <c r="BH63" s="556">
        <v>0.68333333333333324</v>
      </c>
      <c r="BI63" s="556">
        <v>0.35972222222222222</v>
      </c>
      <c r="BJ63" s="556">
        <v>0.46527777777777773</v>
      </c>
      <c r="BK63" s="18"/>
      <c r="BL63" s="78"/>
    </row>
    <row r="64" spans="1:64" ht="12.75" x14ac:dyDescent="0.2">
      <c r="A64" s="67"/>
      <c r="B64" s="707" t="s">
        <v>74</v>
      </c>
      <c r="C64" s="708"/>
      <c r="D64" s="709"/>
      <c r="E64" s="89">
        <f>IF(ISBLANK(H5),"",CORREL(K4:K34,N4:N34))</f>
        <v>-0.90939599618479339</v>
      </c>
      <c r="F64" s="576">
        <f>IF(ISBLANK(H5),"",ABS(E64))</f>
        <v>0.90939599618479339</v>
      </c>
      <c r="H64" s="729" t="s">
        <v>42</v>
      </c>
      <c r="I64" s="730"/>
      <c r="J64" s="191"/>
      <c r="K64" s="100">
        <f>IF(ISBLANK(F24),"",AVERAGE(F24:F34))</f>
        <v>10.254545454545454</v>
      </c>
      <c r="L64" s="100">
        <f>IF(ISBLANK(G24),"",AVERAGE(G24:G34))</f>
        <v>15.327272727272726</v>
      </c>
      <c r="M64" s="100">
        <f>IF(ISBLANK(H24),"",AVERAGE(H24:H34))</f>
        <v>12.836363636363636</v>
      </c>
      <c r="N64" s="100">
        <f>IF(ISBLANK(G24),"",AVERAGE(I24:I34))</f>
        <v>5.0727272727272723</v>
      </c>
      <c r="O64" s="191"/>
      <c r="P64" s="100">
        <f>IF(ISBLANK(F24),"",K64-AVERAGE(F111:F121))</f>
        <v>2.5425454545454516</v>
      </c>
      <c r="Q64" s="100">
        <f>IF(ISBLANK(G24),"",L64-AVERAGE(G111:G121))</f>
        <v>2.1195804195804158</v>
      </c>
      <c r="R64" s="100">
        <f>IF(ISBLANK(H24),"",M64-AVERAGE(H111:H121))</f>
        <v>2.3765174825174764</v>
      </c>
      <c r="S64" s="100">
        <f>IF(ISBLANK(G24),"",N64-AVERAGE(I111:I121))</f>
        <v>-0.42296503496503579</v>
      </c>
      <c r="T64" s="166"/>
      <c r="U64" s="342">
        <f>IF(ISBLANK(M24),"",AVERAGE(M24:M34))</f>
        <v>78.36363636363636</v>
      </c>
      <c r="V64" s="342">
        <f>IF(ISBLANK(P24),"",AVERAGE(R24:R34))</f>
        <v>1011.2272727272727</v>
      </c>
      <c r="W64" s="345">
        <f>IF(ISBLANK(U24),"",AVERAGE(U24:U34))</f>
        <v>4.9363636363636356</v>
      </c>
      <c r="X64" s="100">
        <f>IF(ISBLANK(AI24),"",AVERAGE(AI24:AI34))</f>
        <v>9.0090909090909097</v>
      </c>
      <c r="Y64" s="192"/>
      <c r="Z64" s="38">
        <f>IF(ISBLANK(Z24),"",SUM(Z24:Z34))</f>
        <v>6.3999999999999995</v>
      </c>
      <c r="AA64" s="492">
        <f>IF(ISBLANK(Z24),"",Z64/($Z$39/$E$34*11))</f>
        <v>0.26139657444005271</v>
      </c>
      <c r="AB64" s="496">
        <f>IF(ISBLANK(Z24),"",Z64/$Z$38)</f>
        <v>0.41290322580645156</v>
      </c>
      <c r="AC64" s="118">
        <f>IF(ISBLANK(AP24),"",SUM(AP24:AP34))</f>
        <v>45.2</v>
      </c>
      <c r="AD64" s="492">
        <f>IF(ISBLANK(AP24),"",AC64/SUM(AS111:AS121))</f>
        <v>1.2814975216052813</v>
      </c>
      <c r="AE64" s="197">
        <f>IF(ISBLANK(AP24),"",AC64/$AP$38)</f>
        <v>0.31258644536652841</v>
      </c>
      <c r="AF64" s="50"/>
      <c r="AG64" s="739" t="s">
        <v>177</v>
      </c>
      <c r="AH64" s="739"/>
      <c r="AI64" s="739"/>
      <c r="AJ64" s="739"/>
      <c r="AK64" s="68"/>
      <c r="AL64" s="4"/>
      <c r="AM64" s="136"/>
      <c r="AN64" s="105"/>
      <c r="AO64" s="228"/>
      <c r="AP64" s="784"/>
      <c r="AQ64" s="784"/>
      <c r="AR64" s="6"/>
      <c r="AX64" s="361">
        <v>16</v>
      </c>
      <c r="AY64" s="23">
        <f t="shared" si="20"/>
        <v>9.6</v>
      </c>
      <c r="AZ64" s="50"/>
      <c r="BA64" s="26">
        <f t="shared" si="22"/>
        <v>-2.2406666666666619</v>
      </c>
      <c r="BB64" s="25">
        <f t="shared" si="21"/>
        <v>-0.30000000000000071</v>
      </c>
      <c r="BC64" s="25">
        <f>IF(ISBLANK(G19),"",(AVERAGE($AY$49:AY64)))</f>
        <v>15.387500000000001</v>
      </c>
      <c r="BD64" s="13">
        <f t="shared" si="23"/>
        <v>2.8318333333333383</v>
      </c>
      <c r="BE64" s="6"/>
      <c r="BF64" s="556">
        <v>0.3</v>
      </c>
      <c r="BG64" s="556">
        <v>0.7090277777777777</v>
      </c>
      <c r="BH64" s="556">
        <v>0.67569444444444438</v>
      </c>
      <c r="BI64" s="556">
        <v>0.37847222222222227</v>
      </c>
      <c r="BJ64" s="556">
        <v>0.5805555555555556</v>
      </c>
      <c r="BK64" s="18"/>
      <c r="BL64" s="78"/>
    </row>
    <row r="65" spans="1:64" ht="12.75" customHeight="1" thickBot="1" x14ac:dyDescent="0.25">
      <c r="A65" s="67"/>
      <c r="B65" s="707" t="s">
        <v>73</v>
      </c>
      <c r="C65" s="708"/>
      <c r="D65" s="709"/>
      <c r="E65" s="89">
        <f>IF(ISBLANK(H5),"",CORREL(F4:F34,I4:I34))</f>
        <v>-0.42976907384986285</v>
      </c>
      <c r="F65" s="576">
        <f>IF(ISBLANK(H5),"",ABS(E65))</f>
        <v>0.42976907384986285</v>
      </c>
      <c r="G65" s="21"/>
      <c r="H65" s="198"/>
      <c r="I65" s="110"/>
      <c r="J65" s="191"/>
      <c r="K65" s="50"/>
      <c r="L65" s="50"/>
      <c r="M65" s="50"/>
      <c r="N65" s="50"/>
      <c r="O65" s="191"/>
      <c r="P65" s="50"/>
      <c r="Q65" s="50"/>
      <c r="R65" s="50"/>
      <c r="S65" s="50"/>
      <c r="T65" s="166"/>
      <c r="U65" s="343"/>
      <c r="V65" s="343"/>
      <c r="W65" s="346"/>
      <c r="X65" s="50"/>
      <c r="Y65" s="192"/>
      <c r="Z65" s="110"/>
      <c r="AA65" s="493"/>
      <c r="AB65" s="497"/>
      <c r="AC65" s="69"/>
      <c r="AD65" s="493"/>
      <c r="AE65" s="199"/>
      <c r="AF65" s="50"/>
      <c r="AH65" s="713">
        <f>SUM(BH91:BH121)</f>
        <v>7</v>
      </c>
      <c r="AI65" s="713"/>
      <c r="AJ65" s="93">
        <f>IF(M53=0,"",AH65/M53)</f>
        <v>0.22580645161290322</v>
      </c>
      <c r="AK65" s="6"/>
      <c r="AM65" s="136"/>
      <c r="AO65" s="229"/>
      <c r="AP65" s="784"/>
      <c r="AQ65" s="784"/>
      <c r="AR65" s="6"/>
      <c r="AV65" s="332"/>
      <c r="AW65" s="332"/>
      <c r="AX65" s="361">
        <v>17</v>
      </c>
      <c r="AY65" s="23">
        <f t="shared" si="20"/>
        <v>12.15</v>
      </c>
      <c r="AZ65" s="50"/>
      <c r="BA65" s="26">
        <f t="shared" si="22"/>
        <v>0.40466666666667184</v>
      </c>
      <c r="BB65" s="25">
        <f t="shared" si="21"/>
        <v>-0.65000000000000036</v>
      </c>
      <c r="BC65" s="25">
        <f>IF(ISBLANK(G20),"",(AVERAGE($AY$49:AY65)))</f>
        <v>15.197058823529414</v>
      </c>
      <c r="BD65" s="13">
        <f t="shared" si="23"/>
        <v>2.6890588235294164</v>
      </c>
      <c r="BE65" s="6"/>
      <c r="BF65" s="556">
        <v>0.31874999999999998</v>
      </c>
      <c r="BG65" s="556">
        <v>0.55555555555555558</v>
      </c>
      <c r="BH65" s="556">
        <v>0.64583333333333337</v>
      </c>
      <c r="BI65" s="556">
        <v>0.35347222222222219</v>
      </c>
      <c r="BJ65" s="556">
        <v>0.67083333333333339</v>
      </c>
      <c r="BK65" s="18"/>
      <c r="BL65" s="78"/>
    </row>
    <row r="66" spans="1:64" ht="12.75" customHeight="1" thickTop="1" x14ac:dyDescent="0.2">
      <c r="A66" s="67"/>
      <c r="B66" s="707" t="s">
        <v>82</v>
      </c>
      <c r="C66" s="708"/>
      <c r="D66" s="709"/>
      <c r="E66" s="89">
        <f>IF(ISBLANK(H5),"",CORREL(G4:G34,I4:I34))</f>
        <v>0.45866517464428413</v>
      </c>
      <c r="F66" s="576">
        <f>IF(ISBLANK(H5),"",ABS(E66))</f>
        <v>0.45866517464428413</v>
      </c>
      <c r="H66" s="729" t="s">
        <v>29</v>
      </c>
      <c r="I66" s="730"/>
      <c r="J66" s="191"/>
      <c r="K66" s="100">
        <f>IF(ISBLANK(F4),"",AVERAGE(F4:F8))</f>
        <v>14.379999999999999</v>
      </c>
      <c r="L66" s="100">
        <f>IF(ISBLANK(G4),"",AVERAGE(G4:G8))</f>
        <v>23.360000000000003</v>
      </c>
      <c r="M66" s="100">
        <f>IF(ISBLANK(H4),"",AVERAGE(H4:H8))</f>
        <v>18.619999999999997</v>
      </c>
      <c r="N66" s="100">
        <f>IF(ISBLANK(G4),"",AVERAGE(I4:I8))</f>
        <v>8.98</v>
      </c>
      <c r="O66" s="191"/>
      <c r="P66" s="100">
        <f>IF(ISBLANK(F4),"",K66-AVERAGE(F91:F95))</f>
        <v>4.5149999999999952</v>
      </c>
      <c r="Q66" s="100">
        <f>IF(ISBLANK(G4),"",L66-AVERAGE(G91:G95))</f>
        <v>7.0650000000000084</v>
      </c>
      <c r="R66" s="100">
        <f>IF(ISBLANK(H4),"",M66-AVERAGE(H91:H95))</f>
        <v>5.5399999999999991</v>
      </c>
      <c r="S66" s="100">
        <f>IF(ISBLANK(G4),"",N66-AVERAGE(I91:I95))</f>
        <v>2.5500000000000105</v>
      </c>
      <c r="T66" s="166"/>
      <c r="U66" s="342">
        <f>IF(ISBLANK(M4),"",AVERAGE(M4:M8))</f>
        <v>68.599999999999994</v>
      </c>
      <c r="V66" s="342">
        <f>IF(ISBLANK(P4),"",AVERAGE(R4:R8))</f>
        <v>1020.4</v>
      </c>
      <c r="W66" s="345">
        <f>IF(ISBLANK(U4),"",AVERAGE(U4:U8))</f>
        <v>5.04</v>
      </c>
      <c r="X66" s="100">
        <f>IF(ISBLANK(AI4),"",AVERAGE(AI4:AI8))</f>
        <v>12.22</v>
      </c>
      <c r="Y66" s="192"/>
      <c r="Z66" s="100">
        <f>IF(ISBLANK(Z4),"",SUM(Z4:Z8))</f>
        <v>0.1</v>
      </c>
      <c r="AA66" s="492">
        <f>IF(ISBLANK(Z4),"",Z66/($Z$39/$E$34*5))</f>
        <v>8.9855072463768115E-3</v>
      </c>
      <c r="AB66" s="496">
        <f>IF(Z38=0,"",Z66/$Z$38)</f>
        <v>6.4516129032258064E-3</v>
      </c>
      <c r="AC66" s="165">
        <f>IF(ISBLANK(AP4),"",SUM(AP4:AP8))</f>
        <v>31.200000000000003</v>
      </c>
      <c r="AD66" s="492">
        <f>IF(ISBLANK(AP4),"",AC66/SUM(AS91:AS95))</f>
        <v>1.6859735664152489</v>
      </c>
      <c r="AE66" s="197">
        <f>IF(ISBLANK(AP4),"",AC66/$AP$38)</f>
        <v>0.21576763485477182</v>
      </c>
      <c r="AF66" s="50"/>
      <c r="AG66" s="650"/>
      <c r="AH66" s="650"/>
      <c r="AI66" s="650"/>
      <c r="AJ66" s="650"/>
      <c r="AK66" s="316"/>
      <c r="AM66" s="136"/>
      <c r="AN66" s="190" t="s">
        <v>254</v>
      </c>
      <c r="AO66" s="229"/>
      <c r="AP66" s="784"/>
      <c r="AQ66" s="784"/>
      <c r="AR66" s="6"/>
      <c r="AT66" s="186" t="s">
        <v>86</v>
      </c>
      <c r="AU66" s="186"/>
      <c r="AV66" s="571"/>
      <c r="AW66" s="571"/>
      <c r="AX66" s="361">
        <v>18</v>
      </c>
      <c r="AY66" s="23">
        <f t="shared" si="20"/>
        <v>11.25</v>
      </c>
      <c r="AZ66" s="50"/>
      <c r="BA66" s="26">
        <f t="shared" si="22"/>
        <v>-0.40000000000000036</v>
      </c>
      <c r="BB66" s="25">
        <f t="shared" si="21"/>
        <v>0.75</v>
      </c>
      <c r="BC66" s="25">
        <f>IF(ISBLANK(G21),"",(AVERAGE($AY$49:AY66)))</f>
        <v>14.97777777777778</v>
      </c>
      <c r="BD66" s="13">
        <f t="shared" si="23"/>
        <v>2.5174444444444495</v>
      </c>
      <c r="BE66" s="6"/>
      <c r="BF66" s="556">
        <v>0.22222222222222221</v>
      </c>
      <c r="BG66" s="556">
        <v>0.53472222222222221</v>
      </c>
      <c r="BH66" s="556">
        <v>0.64513888888888882</v>
      </c>
      <c r="BI66" s="556">
        <v>0.28888888888888892</v>
      </c>
      <c r="BJ66" s="556">
        <v>0.51180555555555551</v>
      </c>
      <c r="BK66" s="18"/>
      <c r="BL66" s="78"/>
    </row>
    <row r="67" spans="1:64" ht="12.75" x14ac:dyDescent="0.2">
      <c r="A67" s="67"/>
      <c r="B67" s="740"/>
      <c r="C67" s="741"/>
      <c r="D67" s="741"/>
      <c r="E67" s="157"/>
      <c r="F67" s="576"/>
      <c r="H67" s="729" t="s">
        <v>36</v>
      </c>
      <c r="I67" s="730"/>
      <c r="J67" s="191"/>
      <c r="K67" s="100">
        <f>IF(ISBLANK(F9),"",AVERAGE(F9:F13))</f>
        <v>11.919999999999998</v>
      </c>
      <c r="L67" s="100">
        <f>IF(ISBLANK(G9),"",AVERAGE(G9:G13))</f>
        <v>17.3</v>
      </c>
      <c r="M67" s="100">
        <f>IF(ISBLANK(H9),"",AVERAGE(H9:H13))</f>
        <v>14.24</v>
      </c>
      <c r="N67" s="100">
        <f>IF(ISBLANK(G9),"",AVERAGE(I9:I13))</f>
        <v>5.38</v>
      </c>
      <c r="O67" s="191"/>
      <c r="P67" s="100">
        <f>IF(ISBLANK(F9),"",K67-AVERAGE(F96:F100))</f>
        <v>2.409999999999993</v>
      </c>
      <c r="Q67" s="100">
        <f>IF(ISBLANK(G9),"",L67-AVERAGE(G96:G100))</f>
        <v>1.6033333333333459</v>
      </c>
      <c r="R67" s="100">
        <f>IF(ISBLANK(H9),"",M67-AVERAGE(H96:H100))</f>
        <v>1.6366666666666703</v>
      </c>
      <c r="S67" s="100">
        <f>IF(ISBLANK(G9),"",N67-AVERAGE(I96:I100))</f>
        <v>-0.80666666666665066</v>
      </c>
      <c r="T67" s="166"/>
      <c r="U67" s="342">
        <f>IF(ISBLANK(M9),"",AVERAGE(M9:M13))</f>
        <v>73.599999999999994</v>
      </c>
      <c r="V67" s="342">
        <f>IF(ISBLANK(P9),"",AVERAGE(R9:R13))</f>
        <v>1016.5</v>
      </c>
      <c r="W67" s="345">
        <f>IF(ISBLANK(U9),"",AVERAGE(U9:U13))</f>
        <v>7.6</v>
      </c>
      <c r="X67" s="100">
        <f>IF(ISBLANK(AI9),"",AVERAGE(AI9:AI13))</f>
        <v>9.4599999999999991</v>
      </c>
      <c r="Y67" s="192"/>
      <c r="Z67" s="100">
        <f>IF(ISBLANK(Z9),"",SUM(Z9:Z13))</f>
        <v>5.7</v>
      </c>
      <c r="AA67" s="492">
        <f>IF(ISBLANK(Z9),"",Z67/($Z$39/$E$34*5))</f>
        <v>0.51217391304347826</v>
      </c>
      <c r="AB67" s="496">
        <f>IF(ISBLANK(Z9),"",Z67/$Z$38)</f>
        <v>0.36774193548387096</v>
      </c>
      <c r="AC67" s="165">
        <f>IF(ISBLANK(AP9),"",SUM(AP9:AP13))</f>
        <v>15.1</v>
      </c>
      <c r="AD67" s="492">
        <f>IF(ISBLANK(AP9),"",AC67/SUM(AS96:AS100))</f>
        <v>0.84112856556190507</v>
      </c>
      <c r="AE67" s="197">
        <f>IF(ISBLANK(AP9),"",AC67/$AP$38)</f>
        <v>0.10442600276625173</v>
      </c>
      <c r="AF67" s="50"/>
      <c r="AG67" s="780" t="s">
        <v>178</v>
      </c>
      <c r="AH67" s="780"/>
      <c r="AI67" s="780"/>
      <c r="AJ67" s="780"/>
      <c r="AK67" s="84"/>
      <c r="AM67" s="71"/>
      <c r="AN67" s="5">
        <f t="array" ref="AN67">SUM(IF(AP4:AP34&gt;0.25*AT91:AT121,1,0))</f>
        <v>20</v>
      </c>
      <c r="AO67" s="229"/>
      <c r="AP67" s="784"/>
      <c r="AQ67" s="784"/>
      <c r="AR67" s="6"/>
      <c r="AT67" s="187">
        <f>M53-AT70</f>
        <v>8</v>
      </c>
      <c r="AU67" s="187"/>
      <c r="AV67" s="571"/>
      <c r="AW67" s="571"/>
      <c r="AX67" s="361">
        <v>19</v>
      </c>
      <c r="AY67" s="23">
        <f t="shared" si="20"/>
        <v>8.25</v>
      </c>
      <c r="AZ67" s="50"/>
      <c r="BA67" s="26">
        <f t="shared" si="22"/>
        <v>-3.2512307692307707</v>
      </c>
      <c r="BB67" s="25">
        <f t="shared" si="21"/>
        <v>0.45000000000000018</v>
      </c>
      <c r="BC67" s="25">
        <f>IF(ISBLANK(G22),"",(AVERAGE($AY$49:AY67)))</f>
        <v>14.623684210526317</v>
      </c>
      <c r="BD67" s="13">
        <f t="shared" si="23"/>
        <v>2.2138299595141735</v>
      </c>
      <c r="BE67" s="6"/>
      <c r="BF67" s="556">
        <v>0.32222222222222224</v>
      </c>
      <c r="BG67" s="556">
        <v>0.64861111111111114</v>
      </c>
      <c r="BH67" s="556">
        <v>0.62083333333333335</v>
      </c>
      <c r="BI67" s="556">
        <v>0.34236111111111112</v>
      </c>
      <c r="BJ67" s="556">
        <v>0.67013888888888884</v>
      </c>
      <c r="BK67" s="18"/>
      <c r="BL67" s="78"/>
    </row>
    <row r="68" spans="1:64" ht="12.75" customHeight="1" x14ac:dyDescent="0.2">
      <c r="A68" s="67"/>
      <c r="B68" s="731" t="s">
        <v>4</v>
      </c>
      <c r="C68" s="732"/>
      <c r="D68" s="732"/>
      <c r="E68" s="582">
        <f>IF(ISBLANK(H5),"",AVERAGE(F48:F66))</f>
        <v>0.35442529372578468</v>
      </c>
      <c r="F68" s="576">
        <f>IF(ISBLANK(H5),"",ABS(E68))</f>
        <v>0.35442529372578468</v>
      </c>
      <c r="H68" s="729" t="s">
        <v>30</v>
      </c>
      <c r="I68" s="730"/>
      <c r="J68" s="191"/>
      <c r="K68" s="100">
        <f>IF(ISBLANK(F14),"",AVERAGE(F14:F18))</f>
        <v>10.84</v>
      </c>
      <c r="L68" s="100">
        <f>IF(ISBLANK(G14),"",AVERAGE(G14:G18))</f>
        <v>16.84</v>
      </c>
      <c r="M68" s="100">
        <f>IF(ISBLANK(H14),"",AVERAGE(H14:H18))</f>
        <v>13.860000000000003</v>
      </c>
      <c r="N68" s="100">
        <f>IF(ISBLANK(G14),"",AVERAGE(I14:I18))</f>
        <v>6</v>
      </c>
      <c r="O68" s="191"/>
      <c r="P68" s="100">
        <f>IF(ISBLANK(F14),"",K68-AVERAGE(F101:F105))</f>
        <v>1.6849999999999934</v>
      </c>
      <c r="Q68" s="100">
        <f>IF(ISBLANK(G14),"",L68-AVERAGE(G101:G105))</f>
        <v>1.7416666666666814</v>
      </c>
      <c r="R68" s="100">
        <f>IF(ISBLANK(H14),"",M68-AVERAGE(H101:H105))</f>
        <v>1.7333333333333414</v>
      </c>
      <c r="S68" s="100">
        <f>IF(ISBLANK(G14),"",N68-AVERAGE(I101:I105))</f>
        <v>5.6666666666687959E-2</v>
      </c>
      <c r="T68" s="166"/>
      <c r="U68" s="342">
        <f>IF(ISBLANK(M14),"",AVERAGE(M14:M18))</f>
        <v>75.599999999999994</v>
      </c>
      <c r="V68" s="342">
        <f>IF(ISBLANK(P14),"",AVERAGE(R14:R18))</f>
        <v>1025</v>
      </c>
      <c r="W68" s="345">
        <f>IF(ISBLANK(U14),"",AVERAGE(U14:U18))</f>
        <v>4.2</v>
      </c>
      <c r="X68" s="100">
        <f>IF(ISBLANK(AI14),"",AVERAGE(AI14:AI18))</f>
        <v>9.4599999999999991</v>
      </c>
      <c r="Y68" s="192"/>
      <c r="Z68" s="100">
        <f>IF(ISBLANK(Z14),"",SUM(Z14:Z18))</f>
        <v>0</v>
      </c>
      <c r="AA68" s="492">
        <f>IF(ISBLANK(Z14),"",Z68/($Z$39/$E$34*5))</f>
        <v>0</v>
      </c>
      <c r="AB68" s="496">
        <f>IF(ISBLANK(Z14),"",Z68/$Z$38)</f>
        <v>0</v>
      </c>
      <c r="AC68" s="165">
        <f>IF(ISBLANK(AP14),"",SUM(AP14:AP18))</f>
        <v>21.6</v>
      </c>
      <c r="AD68" s="492">
        <f>IF(ISBLANK(AP14),"",AC68/SUM(AS101:AS105))</f>
        <v>1.2410356117243957</v>
      </c>
      <c r="AE68" s="197">
        <f>IF(ISBLANK(AP14),"",AC68/$AP$38)</f>
        <v>0.14937759336099588</v>
      </c>
      <c r="AF68" s="50"/>
      <c r="AH68" s="781">
        <f>SUM(AY91:AY121)</f>
        <v>17</v>
      </c>
      <c r="AI68" s="781"/>
      <c r="AJ68" s="93">
        <f>IF(M53=0,"",AH68/M53)</f>
        <v>0.54838709677419351</v>
      </c>
      <c r="AK68" s="6"/>
      <c r="AM68" s="136"/>
      <c r="AO68" s="228"/>
      <c r="AP68" s="784"/>
      <c r="AQ68" s="784"/>
      <c r="AR68" s="6"/>
      <c r="AT68" s="4"/>
      <c r="AU68" s="4"/>
      <c r="AV68" s="571"/>
      <c r="AW68" s="571"/>
      <c r="AX68" s="361">
        <v>20</v>
      </c>
      <c r="AY68" s="23">
        <f t="shared" si="20"/>
        <v>7.35</v>
      </c>
      <c r="AZ68" s="50"/>
      <c r="BA68" s="26">
        <f t="shared" si="22"/>
        <v>-4.0024615384615405</v>
      </c>
      <c r="BB68" s="25">
        <f t="shared" si="21"/>
        <v>0.44999999999999929</v>
      </c>
      <c r="BC68" s="25">
        <f>IF(ISBLANK(G23),"",(AVERAGE($AY$49:AY68)))</f>
        <v>14.260000000000002</v>
      </c>
      <c r="BD68" s="13">
        <f t="shared" si="23"/>
        <v>1.9030153846153901</v>
      </c>
      <c r="BE68" s="6"/>
      <c r="BF68" s="556">
        <v>0.2673611111111111</v>
      </c>
      <c r="BG68" s="556">
        <v>0.62013888888888891</v>
      </c>
      <c r="BH68" s="556">
        <v>0.63611111111111118</v>
      </c>
      <c r="BI68" s="556">
        <v>0.28194444444444444</v>
      </c>
      <c r="BJ68" s="556">
        <v>0.52569444444444446</v>
      </c>
      <c r="BK68" s="54"/>
      <c r="BL68" s="78"/>
    </row>
    <row r="69" spans="1:64" ht="12.75" x14ac:dyDescent="0.2">
      <c r="A69" s="67"/>
      <c r="B69" s="731" t="s">
        <v>34</v>
      </c>
      <c r="C69" s="732"/>
      <c r="D69" s="732"/>
      <c r="E69" s="583">
        <f>AN100+AN97</f>
        <v>5</v>
      </c>
      <c r="F69" s="85" t="s">
        <v>90</v>
      </c>
      <c r="H69" s="729" t="s">
        <v>31</v>
      </c>
      <c r="I69" s="730"/>
      <c r="J69" s="191"/>
      <c r="K69" s="100">
        <f>IF(ISBLANK(F19),"",AVERAGE(F19:F23))</f>
        <v>5.48</v>
      </c>
      <c r="L69" s="100">
        <f>IF(ISBLANK(G19),"",AVERAGE(G19:G23))</f>
        <v>13.960000000000003</v>
      </c>
      <c r="M69" s="100">
        <f>IF(ISBLANK(H19),"",AVERAGE(H19:H23))</f>
        <v>9.58</v>
      </c>
      <c r="N69" s="100">
        <f>IF(ISBLANK(G19),"",AVERAGE(I19:I23))</f>
        <v>8.48</v>
      </c>
      <c r="O69" s="191"/>
      <c r="P69" s="100">
        <f>IF(ISBLANK(F19),"",K69-AVERAGE(F106:F110))</f>
        <v>-3.2810000000000041</v>
      </c>
      <c r="Q69" s="100">
        <f>IF(ISBLANK(G19),"",L69-AVERAGE(G106:G110))</f>
        <v>-0.51487692307691368</v>
      </c>
      <c r="R69" s="100">
        <f>IF(ISBLANK(H19),"",M69-AVERAGE(H106:H110))</f>
        <v>-2.0379384615384613</v>
      </c>
      <c r="S69" s="100">
        <f>IF(ISBLANK(G19),"",N69-AVERAGE(I106:I110))</f>
        <v>2.7661230769230878</v>
      </c>
      <c r="T69" s="166"/>
      <c r="U69" s="342">
        <f>IF(ISBLANK(M19),"",AVERAGE(M19:M23))</f>
        <v>73.400000000000006</v>
      </c>
      <c r="V69" s="342">
        <f>IF(ISBLANK(P19),"",AVERAGE(R19:R23))</f>
        <v>1018.3</v>
      </c>
      <c r="W69" s="345">
        <f>IF(ISBLANK(U19),"",AVERAGE(U19:U23))</f>
        <v>4.9000000000000004</v>
      </c>
      <c r="X69" s="100">
        <f>IF(ISBLANK(AI19),"",AVERAGE(AI19:AI23))</f>
        <v>4.8199999999999994</v>
      </c>
      <c r="Y69" s="192"/>
      <c r="Z69" s="100">
        <f>IF(ISBLANK(Z19),"",SUM(Z19:Z23))</f>
        <v>3.3</v>
      </c>
      <c r="AA69" s="492">
        <f>IF(ISBLANK(Z19),"",Z69/($Z$39/$E$34*5))</f>
        <v>0.29652173913043478</v>
      </c>
      <c r="AB69" s="496">
        <f>IF(ISBLANK(Z19),"",Z69/$Z$38)</f>
        <v>0.21290322580645157</v>
      </c>
      <c r="AC69" s="165">
        <f>IF(ISBLANK(AP19),"",SUM(AP19:AP23))</f>
        <v>31.5</v>
      </c>
      <c r="AD69" s="492">
        <f>IF(ISBLANK(AP19),"",AC69/SUM(AS106:AS110))</f>
        <v>1.8676354238809261</v>
      </c>
      <c r="AE69" s="197">
        <f>IF(ISBLANK(AP19),"",AC69/$AP$38)</f>
        <v>0.21784232365145229</v>
      </c>
      <c r="AF69" s="50"/>
      <c r="AK69" s="6"/>
      <c r="AM69" s="136"/>
      <c r="AN69" s="183" t="s">
        <v>255</v>
      </c>
      <c r="AO69" s="228"/>
      <c r="AP69" s="767" t="s">
        <v>195</v>
      </c>
      <c r="AQ69" s="767"/>
      <c r="AR69" s="6"/>
      <c r="AT69" s="189" t="s">
        <v>85</v>
      </c>
      <c r="AU69" s="189"/>
      <c r="AV69" s="603"/>
      <c r="AW69" s="571"/>
      <c r="AX69" s="361">
        <v>21</v>
      </c>
      <c r="AY69" s="23">
        <f t="shared" si="20"/>
        <v>10.149999999999999</v>
      </c>
      <c r="AZ69" s="50"/>
      <c r="BA69" s="26">
        <f t="shared" si="22"/>
        <v>-1.0536923076923106</v>
      </c>
      <c r="BB69" s="25">
        <f t="shared" si="21"/>
        <v>-0.25000000000000178</v>
      </c>
      <c r="BC69" s="25">
        <f>IF(ISBLANK(G24),"",(AVERAGE($AY$49:AY69)))</f>
        <v>14.064285714285715</v>
      </c>
      <c r="BD69" s="13">
        <f t="shared" si="23"/>
        <v>1.7622197802197848</v>
      </c>
      <c r="BE69" s="6"/>
      <c r="BF69" s="556" t="s">
        <v>444</v>
      </c>
      <c r="BG69" s="556">
        <v>0.61527777777777781</v>
      </c>
      <c r="BH69" s="556">
        <v>0.63055555555555554</v>
      </c>
      <c r="BI69" s="556">
        <v>0.18333333333333335</v>
      </c>
      <c r="BJ69" s="556">
        <v>0.80347222222222225</v>
      </c>
      <c r="BK69" s="54"/>
      <c r="BL69" s="78"/>
    </row>
    <row r="70" spans="1:64" ht="12.75" x14ac:dyDescent="0.2">
      <c r="A70" s="67"/>
      <c r="B70" s="160"/>
      <c r="C70" s="161"/>
      <c r="D70" s="161"/>
      <c r="E70" s="158"/>
      <c r="F70" s="120"/>
      <c r="H70" s="729" t="s">
        <v>32</v>
      </c>
      <c r="I70" s="730"/>
      <c r="J70" s="191"/>
      <c r="K70" s="100">
        <f>IF(ISBLANK(F24),"",AVERAGE(F24:F28))</f>
        <v>8.9199999999999982</v>
      </c>
      <c r="L70" s="100">
        <f>IF(ISBLANK(G24),"",AVERAGE(G24:G28))</f>
        <v>15.979999999999999</v>
      </c>
      <c r="M70" s="100">
        <f>IF(ISBLANK(H24),"",AVERAGE(H24:H28))</f>
        <v>12.52</v>
      </c>
      <c r="N70" s="100">
        <f>IF(ISBLANK(G24),"",AVERAGE(I24:I28))</f>
        <v>7.06</v>
      </c>
      <c r="O70" s="191"/>
      <c r="P70" s="100">
        <f>IF(ISBLANK(F24),"",K70-AVERAGE(F111:F115))</f>
        <v>0.79999999999999538</v>
      </c>
      <c r="Q70" s="100">
        <f>IF(ISBLANK(G24),"",L70-AVERAGE(G111:G115))</f>
        <v>2.2876923076923052</v>
      </c>
      <c r="R70" s="100">
        <f>IF(ISBLANK(H24),"",M70-AVERAGE(H111:H115))</f>
        <v>1.6138461538461488</v>
      </c>
      <c r="S70" s="100">
        <f>IF(ISBLANK(G24),"",N70-AVERAGE(I111:I115))</f>
        <v>1.4876923076923081</v>
      </c>
      <c r="T70" s="166"/>
      <c r="U70" s="342">
        <f>IF(ISBLANK(M24),"",AVERAGE(M24:M28))</f>
        <v>71</v>
      </c>
      <c r="V70" s="342">
        <f>IF(ISBLANK(P24),"",AVERAGE(R24:R28))</f>
        <v>1008</v>
      </c>
      <c r="W70" s="345">
        <f>IF(ISBLANK(U24),"",AVERAGE(U24:U28))</f>
        <v>5.42</v>
      </c>
      <c r="X70" s="100">
        <f>IF(ISBLANK(AI24),"",AVERAGE(AI24:AI28))</f>
        <v>7.26</v>
      </c>
      <c r="Y70" s="192"/>
      <c r="Z70" s="100">
        <f>IF(ISBLANK(Z24),"",SUM(Z24:Z28))</f>
        <v>2.5</v>
      </c>
      <c r="AA70" s="492">
        <f>IF(ISBLANK(Z24),"",Z70/($Z$39/$E$34*5))</f>
        <v>0.22463768115942029</v>
      </c>
      <c r="AB70" s="496">
        <f>IF(ISBLANK(Z24),"",Z70/$Z$38)</f>
        <v>0.16129032258064513</v>
      </c>
      <c r="AC70" s="165">
        <f>IF(ISBLANK(AP24),"",SUM(AP24:AP28))</f>
        <v>31.5</v>
      </c>
      <c r="AD70" s="492">
        <f>IF(ISBLANK(AP24),"",AC70/SUM(AS111:AS115))</f>
        <v>1.9278875235360975</v>
      </c>
      <c r="AE70" s="197">
        <f>IF(ISBLANK(AP24),"",AC70/$AP$38)</f>
        <v>0.21784232365145229</v>
      </c>
      <c r="AF70" s="50"/>
      <c r="AK70" s="6"/>
      <c r="AM70" s="149"/>
      <c r="AN70" s="5">
        <f>M53-AN67</f>
        <v>11</v>
      </c>
      <c r="AO70" s="88"/>
      <c r="AP70" s="767"/>
      <c r="AQ70" s="767"/>
      <c r="AR70" s="6"/>
      <c r="AT70" s="5">
        <f>M53-SUM(BI91:BI121)</f>
        <v>23</v>
      </c>
      <c r="AU70" s="5"/>
      <c r="AV70" s="571"/>
      <c r="AW70" s="571"/>
      <c r="AX70" s="361">
        <v>22</v>
      </c>
      <c r="AY70" s="23">
        <f t="shared" si="20"/>
        <v>10.8</v>
      </c>
      <c r="AZ70" s="50"/>
      <c r="BA70" s="26">
        <f t="shared" si="22"/>
        <v>-0.25492307692308014</v>
      </c>
      <c r="BB70" s="25">
        <f t="shared" si="21"/>
        <v>-0.19999999999999929</v>
      </c>
      <c r="BC70" s="25">
        <f>IF(ISBLANK(G25),"",(AVERAGE($AY$49:AY70)))</f>
        <v>13.915909090909093</v>
      </c>
      <c r="BD70" s="13">
        <f t="shared" si="23"/>
        <v>1.6705314685314709</v>
      </c>
      <c r="BE70" s="6"/>
      <c r="BF70" s="556">
        <v>0.32777777777777778</v>
      </c>
      <c r="BG70" s="556">
        <v>0.59027777777777779</v>
      </c>
      <c r="BH70" s="556">
        <v>0.58958333333333335</v>
      </c>
      <c r="BI70" s="556" t="s">
        <v>233</v>
      </c>
      <c r="BJ70" s="556">
        <v>0.68958333333333333</v>
      </c>
      <c r="BK70" s="54"/>
      <c r="BL70" s="78"/>
    </row>
    <row r="71" spans="1:64" ht="13.5" customHeight="1" thickBot="1" x14ac:dyDescent="0.25">
      <c r="A71" s="67"/>
      <c r="B71" s="748" t="s">
        <v>7</v>
      </c>
      <c r="C71" s="749"/>
      <c r="D71" s="749"/>
      <c r="E71" s="221" t="s">
        <v>15</v>
      </c>
      <c r="F71" s="120"/>
      <c r="G71" s="575" t="s">
        <v>340</v>
      </c>
      <c r="H71" s="750" t="s">
        <v>43</v>
      </c>
      <c r="I71" s="751"/>
      <c r="J71" s="200"/>
      <c r="K71" s="201">
        <f>IF(ISBLANK(F29),"",AVERAGE(F29:F34))</f>
        <v>11.366666666666667</v>
      </c>
      <c r="L71" s="201">
        <f>IF(ISBLANK(G29),"",AVERAGE(G29:G34))</f>
        <v>14.783333333333333</v>
      </c>
      <c r="M71" s="201">
        <f>IF(ISBLANK(H29),"",AVERAGE(H29:H34))</f>
        <v>13.100000000000001</v>
      </c>
      <c r="N71" s="201">
        <f>IF(ISBLANK(G29),"",AVERAGE(I29:I34))</f>
        <v>3.4166666666666674</v>
      </c>
      <c r="O71" s="200"/>
      <c r="P71" s="201">
        <f>IF(ISBLANK(F29),"",K71-AVERAGE(F116:F121))</f>
        <v>3.9946666666666637</v>
      </c>
      <c r="Q71" s="201">
        <f>IF(ISBLANK(G29),"",L71-AVERAGE(G116:G121))</f>
        <v>1.9794871794871725</v>
      </c>
      <c r="R71" s="201">
        <f>IF(ISBLANK(H29),"",M71-AVERAGE(H116:H121))</f>
        <v>3.0120769230769202</v>
      </c>
      <c r="S71" s="201">
        <f>IF(ISBLANK(G29),"",N71-AVERAGE(I116:I121))</f>
        <v>-2.0151794871794881</v>
      </c>
      <c r="T71" s="202"/>
      <c r="U71" s="344">
        <f>IF(ISBLANK(M29),"",AVERAGE(M29:M34))</f>
        <v>84.5</v>
      </c>
      <c r="V71" s="344">
        <f>IF(ISBLANK(P29),"",AVERAGE(R29:R34))</f>
        <v>1013.9166666666666</v>
      </c>
      <c r="W71" s="347">
        <f>IF(ISBLANK(U29),"",AVERAGE(U29:U34))</f>
        <v>4.5333333333333332</v>
      </c>
      <c r="X71" s="201">
        <f>IF(ISBLANK(AI29),"",AVERAGE(AI29:AI34))</f>
        <v>10.466666666666669</v>
      </c>
      <c r="Y71" s="203"/>
      <c r="Z71" s="201">
        <f>IF(ISBLANK(Z29),"",SUM(Z29:Z34))</f>
        <v>3.9000000000000004</v>
      </c>
      <c r="AA71" s="494">
        <f>IF(ISBLANK(Z29),"",Z71/($Z$39/$E$34*6))</f>
        <v>0.29202898550724643</v>
      </c>
      <c r="AB71" s="498">
        <f>IF(ISBLANK(Z29),"",Z71/$Z$38)</f>
        <v>0.25161290322580643</v>
      </c>
      <c r="AC71" s="255">
        <f>IF(ISBLANK(AP29),"",SUM(AP29:AP34))</f>
        <v>13.7</v>
      </c>
      <c r="AD71" s="494">
        <f>IF(ISBLANK(AP29),"",AC71/SUM(AS116:AS121))</f>
        <v>0.72363840706779703</v>
      </c>
      <c r="AE71" s="256">
        <f>IF(ISBLANK(AP29),"",AC71/$AP$38)</f>
        <v>9.4744121715076068E-2</v>
      </c>
      <c r="AF71" s="50"/>
      <c r="AG71" s="739" t="s">
        <v>125</v>
      </c>
      <c r="AH71" s="739"/>
      <c r="AI71" s="739"/>
      <c r="AJ71" s="739"/>
      <c r="AK71" s="315"/>
      <c r="AL71" s="306"/>
      <c r="AM71" s="136"/>
      <c r="AO71" s="88"/>
      <c r="AP71" s="767"/>
      <c r="AQ71" s="767"/>
      <c r="AR71" s="6"/>
      <c r="AT71" s="52"/>
      <c r="AU71" s="52"/>
      <c r="AV71" s="571"/>
      <c r="AW71" s="571"/>
      <c r="AX71" s="361">
        <v>23</v>
      </c>
      <c r="AY71" s="23">
        <f t="shared" si="20"/>
        <v>14.05</v>
      </c>
      <c r="AZ71" s="50"/>
      <c r="BA71" s="26">
        <f t="shared" si="22"/>
        <v>3.1438461538461526</v>
      </c>
      <c r="BB71" s="25">
        <f t="shared" si="21"/>
        <v>5.0000000000000711E-2</v>
      </c>
      <c r="BC71" s="25">
        <f>IF(ISBLANK(G26),"",(AVERAGE($AY$49:AY71)))</f>
        <v>13.921739130434785</v>
      </c>
      <c r="BD71" s="13">
        <f t="shared" si="23"/>
        <v>1.7345886287625438</v>
      </c>
      <c r="BE71" s="6"/>
      <c r="BF71" s="556">
        <v>6.1111111111111116E-2</v>
      </c>
      <c r="BG71" s="556">
        <v>0.5708333333333333</v>
      </c>
      <c r="BH71" s="556">
        <v>0.64722222222222225</v>
      </c>
      <c r="BI71" s="556">
        <v>0.33611111111111108</v>
      </c>
      <c r="BJ71" s="556">
        <v>0.53125</v>
      </c>
      <c r="BK71" s="54"/>
      <c r="BL71" s="78"/>
    </row>
    <row r="72" spans="1:64" ht="12.75" customHeight="1" x14ac:dyDescent="0.2">
      <c r="A72" s="67"/>
      <c r="B72" s="742" t="s">
        <v>33</v>
      </c>
      <c r="C72" s="743"/>
      <c r="D72" s="744"/>
      <c r="E72" s="89">
        <f>IF(Z38=0,"",CORREL(Z4:Z34,R4:R34))</f>
        <v>-0.57032018480434132</v>
      </c>
      <c r="F72" s="576">
        <f>IF(Z38=0,"",ABS(E72))</f>
        <v>0.57032018480434132</v>
      </c>
      <c r="G72" s="574">
        <f>IF(Z38=0,"",IF(AQ86&lt;0.5,"n/a",CORREL(Y4:Y34,R4:R34)))</f>
        <v>-0.63095950802357559</v>
      </c>
      <c r="H72" s="102"/>
      <c r="I72" s="21"/>
      <c r="J72" s="20"/>
      <c r="K72" s="21"/>
      <c r="O72" s="20"/>
      <c r="Q72" s="122"/>
      <c r="S72" s="100"/>
      <c r="T72" s="166"/>
      <c r="W72" s="24"/>
      <c r="X72" s="24"/>
      <c r="Y72" s="192"/>
      <c r="Z72" s="24"/>
      <c r="AA72" s="24"/>
      <c r="AB72" s="24"/>
      <c r="AC72" s="24"/>
      <c r="AF72" s="6"/>
      <c r="AH72" s="713">
        <f t="array" ref="AH72">MAX(FREQUENCY(IF(BH91:BH121=1,ROW(91:121)),IF(BH91:BH121&lt;&gt;1,ROW(91:121))))</f>
        <v>5</v>
      </c>
      <c r="AI72" s="713"/>
      <c r="AJ72" s="4"/>
      <c r="AK72" s="68"/>
      <c r="AL72" s="474"/>
      <c r="AM72" s="136"/>
      <c r="AN72" s="185" t="s">
        <v>123</v>
      </c>
      <c r="AO72" s="409"/>
      <c r="AP72" s="767"/>
      <c r="AQ72" s="767"/>
      <c r="AR72" s="6"/>
      <c r="AT72" s="307" t="s">
        <v>87</v>
      </c>
      <c r="AU72" s="307"/>
      <c r="AV72" s="571"/>
      <c r="AW72" s="571"/>
      <c r="AX72" s="361">
        <v>24</v>
      </c>
      <c r="AY72" s="23">
        <f t="shared" si="20"/>
        <v>13.85</v>
      </c>
      <c r="AZ72" s="50"/>
      <c r="BA72" s="26">
        <f t="shared" si="22"/>
        <v>3.0926153846153803</v>
      </c>
      <c r="BB72" s="25">
        <f t="shared" si="21"/>
        <v>0.15000000000000036</v>
      </c>
      <c r="BC72" s="25">
        <f>IF(ISBLANK(G27),"",(AVERAGE($AY$49:AY72)))</f>
        <v>13.918750000000003</v>
      </c>
      <c r="BD72" s="13">
        <f t="shared" si="23"/>
        <v>1.7911730769230783</v>
      </c>
      <c r="BE72" s="6"/>
      <c r="BF72" s="556">
        <v>0.33333333333333331</v>
      </c>
      <c r="BG72" s="556">
        <v>0.6020833333333333</v>
      </c>
      <c r="BH72" s="556">
        <v>0.63749999999999996</v>
      </c>
      <c r="BI72" s="556" t="s">
        <v>233</v>
      </c>
      <c r="BJ72" s="556">
        <v>0.54652777777777783</v>
      </c>
      <c r="BK72" s="54"/>
      <c r="BL72" s="78"/>
    </row>
    <row r="73" spans="1:64" ht="12.75" customHeight="1" x14ac:dyDescent="0.2">
      <c r="A73" s="67"/>
      <c r="B73" s="742" t="s">
        <v>61</v>
      </c>
      <c r="C73" s="743"/>
      <c r="D73" s="744"/>
      <c r="E73" s="89">
        <f>IF(Z38=0,"",CORREL(Z4:Z34,H4:H34))</f>
        <v>-0.16416004012919136</v>
      </c>
      <c r="F73" s="576">
        <f>IF(Z38=0,"",ABS(E73))</f>
        <v>0.16416004012919136</v>
      </c>
      <c r="H73" s="102"/>
      <c r="J73" s="20"/>
      <c r="K73" s="231"/>
      <c r="L73" s="4" t="s">
        <v>352</v>
      </c>
      <c r="M73" s="4" t="s">
        <v>10</v>
      </c>
      <c r="N73" s="122"/>
      <c r="O73" s="20"/>
      <c r="Q73" s="753" t="s">
        <v>103</v>
      </c>
      <c r="R73" s="754"/>
      <c r="S73" s="754"/>
      <c r="T73" s="754"/>
      <c r="U73" s="754"/>
      <c r="V73" s="754"/>
      <c r="W73" s="754"/>
      <c r="X73" s="754"/>
      <c r="Y73" s="754"/>
      <c r="Z73" s="754"/>
      <c r="AA73" s="754"/>
      <c r="AB73" s="755"/>
      <c r="AC73" s="303"/>
      <c r="AD73" s="800" t="s">
        <v>270</v>
      </c>
      <c r="AE73" s="800"/>
      <c r="AF73" s="6"/>
      <c r="AG73" s="650"/>
      <c r="AH73" s="650"/>
      <c r="AI73" s="650"/>
      <c r="AJ73" s="650"/>
      <c r="AK73" s="6"/>
      <c r="AL73" s="477"/>
      <c r="AM73" s="136"/>
      <c r="AN73" s="138">
        <f>IF(M53=0,"",AN67/M53)</f>
        <v>0.64516129032258063</v>
      </c>
      <c r="AO73" s="409"/>
      <c r="AP73" s="783" t="s">
        <v>269</v>
      </c>
      <c r="AQ73" s="661"/>
      <c r="AR73" s="6"/>
      <c r="AT73" s="587">
        <f>IF(AT67=0,"",AT67/M53)</f>
        <v>0.25806451612903225</v>
      </c>
      <c r="AU73" s="587"/>
      <c r="AV73" s="571"/>
      <c r="AW73" s="571"/>
      <c r="AX73" s="361">
        <v>25</v>
      </c>
      <c r="AY73" s="23">
        <f t="shared" si="20"/>
        <v>13.4</v>
      </c>
      <c r="AZ73" s="50"/>
      <c r="BA73" s="26">
        <f t="shared" si="22"/>
        <v>2.7913846153846116</v>
      </c>
      <c r="BB73" s="25">
        <f t="shared" si="21"/>
        <v>-9.9999999999999645E-2</v>
      </c>
      <c r="BC73" s="25">
        <f>IF(ISBLANK(G28),"",(AVERAGE($AY$49:AY73)))</f>
        <v>13.898000000000001</v>
      </c>
      <c r="BD73" s="13">
        <f t="shared" si="23"/>
        <v>1.8311815384615402</v>
      </c>
      <c r="BE73" s="6"/>
      <c r="BF73" s="556">
        <v>0.34027777777777773</v>
      </c>
      <c r="BG73" s="556">
        <v>0.57013888888888886</v>
      </c>
      <c r="BH73" s="556">
        <v>0.59652777777777777</v>
      </c>
      <c r="BI73" s="556">
        <v>9.930555555555555E-2</v>
      </c>
      <c r="BJ73" s="556">
        <v>0.61111111111111105</v>
      </c>
      <c r="BK73" s="54"/>
      <c r="BL73" s="78"/>
    </row>
    <row r="74" spans="1:64" ht="12.75" customHeight="1" x14ac:dyDescent="0.2">
      <c r="A74" s="67"/>
      <c r="B74" s="742" t="s">
        <v>60</v>
      </c>
      <c r="C74" s="743"/>
      <c r="D74" s="744"/>
      <c r="E74" s="89">
        <f>IF(Z38=0,"",CORREL(Z4:Z34,G4:G34))</f>
        <v>-0.18218148839237688</v>
      </c>
      <c r="F74" s="576">
        <f>IF(Z38=0,"",ABS(E74))</f>
        <v>0.18218148839237688</v>
      </c>
      <c r="G74" s="236"/>
      <c r="H74" s="747" t="s">
        <v>2</v>
      </c>
      <c r="I74" s="237" t="s">
        <v>203</v>
      </c>
      <c r="J74" s="245"/>
      <c r="K74" s="106">
        <f>F39</f>
        <v>8.8000000000000007</v>
      </c>
      <c r="L74" s="108" t="str">
        <f>IF(ISBLANK(F4),"",(IF(M54=0,"n/a",(E34*K74-M53*F38)/M54)))</f>
        <v>n/a</v>
      </c>
      <c r="M74" s="106" t="str">
        <f>IF(ISBLANK(F4),"",IF(M54&gt;0,L74-F39,"n/a"))</f>
        <v>n/a</v>
      </c>
      <c r="N74" s="246" t="s">
        <v>142</v>
      </c>
      <c r="O74" s="67"/>
      <c r="Q74" s="733" t="s">
        <v>731</v>
      </c>
      <c r="R74" s="734"/>
      <c r="S74" s="734"/>
      <c r="T74" s="734"/>
      <c r="U74" s="734"/>
      <c r="V74" s="734"/>
      <c r="W74" s="734"/>
      <c r="X74" s="734"/>
      <c r="Y74" s="734"/>
      <c r="Z74" s="734"/>
      <c r="AA74" s="734"/>
      <c r="AB74" s="735"/>
      <c r="AC74" s="437"/>
      <c r="AD74" s="1" t="s">
        <v>238</v>
      </c>
      <c r="AE74" s="1" t="s">
        <v>244</v>
      </c>
      <c r="AF74" s="6"/>
      <c r="AG74" s="780" t="s">
        <v>130</v>
      </c>
      <c r="AH74" s="780"/>
      <c r="AI74" s="780"/>
      <c r="AJ74" s="780"/>
      <c r="AK74" s="316"/>
      <c r="AL74" s="477"/>
      <c r="AM74" s="136"/>
      <c r="AO74" s="88"/>
      <c r="AP74" s="661"/>
      <c r="AQ74" s="661"/>
      <c r="AR74" s="6"/>
      <c r="AV74" s="571"/>
      <c r="AW74" s="571"/>
      <c r="AX74" s="361">
        <v>26</v>
      </c>
      <c r="AY74" s="23">
        <f t="shared" si="20"/>
        <v>10.3</v>
      </c>
      <c r="AZ74" s="50"/>
      <c r="BA74" s="26">
        <f t="shared" si="22"/>
        <v>-0.15984615384615752</v>
      </c>
      <c r="BB74" s="25">
        <f t="shared" si="21"/>
        <v>0.20000000000000107</v>
      </c>
      <c r="BC74" s="25">
        <f>IF(ISBLANK(G29),"",(AVERAGE($AY$49:AY74)))</f>
        <v>13.759615384615387</v>
      </c>
      <c r="BD74" s="13">
        <f t="shared" si="23"/>
        <v>1.7546035502958599</v>
      </c>
      <c r="BE74" s="6"/>
      <c r="BF74" s="556">
        <v>0.30486111111111108</v>
      </c>
      <c r="BG74" s="556">
        <v>0.6875</v>
      </c>
      <c r="BH74" s="556">
        <v>0.73611111111111116</v>
      </c>
      <c r="BI74" s="556" t="s">
        <v>233</v>
      </c>
      <c r="BJ74" s="556">
        <v>0.58958333333333335</v>
      </c>
      <c r="BK74" s="54"/>
      <c r="BL74" s="78"/>
    </row>
    <row r="75" spans="1:64" ht="12.75" customHeight="1" x14ac:dyDescent="0.2">
      <c r="A75" s="67"/>
      <c r="B75" s="742" t="s">
        <v>64</v>
      </c>
      <c r="C75" s="743"/>
      <c r="D75" s="744"/>
      <c r="E75" s="89">
        <f>IF(Z38=0,"",CORREL(Z4:Z34,I4:I34))</f>
        <v>-0.16677967590832191</v>
      </c>
      <c r="F75" s="576">
        <f>IF(Z38=0,"",ABS(E75))</f>
        <v>0.16677967590832191</v>
      </c>
      <c r="G75" s="236"/>
      <c r="H75" s="746"/>
      <c r="I75" s="238" t="s">
        <v>149</v>
      </c>
      <c r="J75" s="191"/>
      <c r="K75" s="249">
        <f>F39</f>
        <v>8.8000000000000007</v>
      </c>
      <c r="L75" s="91">
        <f>IF(ISBLANK(F4),"",(M54*K75+M53*F38)/E34)</f>
        <v>10.512903225806452</v>
      </c>
      <c r="M75" s="232">
        <f>IF(ISBLANK(F4),"",L75-F39)</f>
        <v>1.7129032258064516</v>
      </c>
      <c r="N75" s="248" t="s">
        <v>148</v>
      </c>
      <c r="O75" s="67"/>
      <c r="Q75" s="736"/>
      <c r="R75" s="737"/>
      <c r="S75" s="737"/>
      <c r="T75" s="737"/>
      <c r="U75" s="737"/>
      <c r="V75" s="737"/>
      <c r="W75" s="737"/>
      <c r="X75" s="737"/>
      <c r="Y75" s="737"/>
      <c r="Z75" s="737"/>
      <c r="AA75" s="737"/>
      <c r="AB75" s="738"/>
      <c r="AC75" s="437"/>
      <c r="AD75" s="1" t="s">
        <v>240</v>
      </c>
      <c r="AE75" s="1" t="s">
        <v>245</v>
      </c>
      <c r="AF75" s="6"/>
      <c r="AH75" s="781">
        <f t="array" ref="AH75">MAX(FREQUENCY(IF(AY91:AY121=1,ROW(91:121)),IF(AY91:AY121&lt;&gt;1,ROW(91:121))))</f>
        <v>9</v>
      </c>
      <c r="AI75" s="781"/>
      <c r="AJ75" s="5"/>
      <c r="AK75" s="84"/>
      <c r="AL75" s="5"/>
      <c r="AM75" s="136"/>
      <c r="AN75" s="184" t="s">
        <v>293</v>
      </c>
      <c r="AO75" s="88"/>
      <c r="AP75" s="661"/>
      <c r="AQ75" s="661"/>
      <c r="AR75" s="6"/>
      <c r="AT75" s="589" t="s">
        <v>84</v>
      </c>
      <c r="AU75" s="589"/>
      <c r="AV75" s="571"/>
      <c r="AW75" s="571"/>
      <c r="AX75" s="361">
        <v>27</v>
      </c>
      <c r="AY75" s="23">
        <f t="shared" si="20"/>
        <v>12.399999999999999</v>
      </c>
      <c r="AZ75" s="50"/>
      <c r="BA75" s="26">
        <f t="shared" si="22"/>
        <v>2.0889230769230718</v>
      </c>
      <c r="BB75" s="25">
        <f t="shared" si="21"/>
        <v>9.9999999999997868E-2</v>
      </c>
      <c r="BC75" s="25">
        <f>IF(ISBLANK(G30),"",(AVERAGE($AY$49:AY75)))</f>
        <v>13.709259259259261</v>
      </c>
      <c r="BD75" s="13">
        <f t="shared" si="23"/>
        <v>1.7669857549857575</v>
      </c>
      <c r="BE75" s="6"/>
      <c r="BF75" s="556" t="s">
        <v>355</v>
      </c>
      <c r="BG75" s="556">
        <v>0.59375</v>
      </c>
      <c r="BH75" s="556">
        <v>0.51041666666666663</v>
      </c>
      <c r="BI75" s="556" t="s">
        <v>233</v>
      </c>
      <c r="BJ75" s="556">
        <v>0.51180555555555551</v>
      </c>
      <c r="BK75" s="54"/>
      <c r="BL75" s="78"/>
    </row>
    <row r="76" spans="1:64" ht="12.75" customHeight="1" x14ac:dyDescent="0.2">
      <c r="A76" s="67"/>
      <c r="B76" s="742" t="s">
        <v>62</v>
      </c>
      <c r="C76" s="743"/>
      <c r="D76" s="744"/>
      <c r="E76" s="89">
        <f>IF(Z38=0,"",CORREL(Z4:Z34,M4:M34))</f>
        <v>-3.3720703231424967E-2</v>
      </c>
      <c r="F76" s="576">
        <f>IF(Z38=0,"",ABS(E76))</f>
        <v>3.3720703231424967E-2</v>
      </c>
      <c r="G76" s="236"/>
      <c r="H76" s="745" t="s">
        <v>3</v>
      </c>
      <c r="I76" s="237" t="s">
        <v>203</v>
      </c>
      <c r="J76" s="191"/>
      <c r="K76" s="90">
        <f>G39</f>
        <v>14.6</v>
      </c>
      <c r="L76" s="38" t="str">
        <f>IF(ISBLANK(G4),"",IF(M54&gt;0,(E34*K76-G38*M53)/M54,"n/a"))</f>
        <v>n/a</v>
      </c>
      <c r="M76" s="90" t="str">
        <f>IF(ISBLANK(G4),"",IF(M54&gt;0,L76-G39,"n/a"))</f>
        <v>n/a</v>
      </c>
      <c r="N76" s="247" t="s">
        <v>142</v>
      </c>
      <c r="O76" s="67"/>
      <c r="Q76" s="814" t="s">
        <v>732</v>
      </c>
      <c r="R76" s="815"/>
      <c r="S76" s="815"/>
      <c r="T76" s="815"/>
      <c r="U76" s="815"/>
      <c r="V76" s="815"/>
      <c r="W76" s="815"/>
      <c r="X76" s="815"/>
      <c r="Y76" s="815"/>
      <c r="Z76" s="815"/>
      <c r="AA76" s="815"/>
      <c r="AB76" s="816"/>
      <c r="AC76" s="437"/>
      <c r="AD76" s="1" t="s">
        <v>241</v>
      </c>
      <c r="AE76" s="1" t="s">
        <v>246</v>
      </c>
      <c r="AF76" s="6"/>
      <c r="AK76" s="6"/>
      <c r="AM76" s="136"/>
      <c r="AN76" s="5">
        <f>COUNTIF(AP4:AP34, "0")</f>
        <v>1</v>
      </c>
      <c r="AO76" s="88"/>
      <c r="AP76" s="859" t="s">
        <v>272</v>
      </c>
      <c r="AQ76" s="859"/>
      <c r="AR76" s="6"/>
      <c r="AT76" s="188">
        <f>AN94</f>
        <v>4</v>
      </c>
      <c r="AU76" s="188"/>
      <c r="AV76" s="571"/>
      <c r="AW76" s="571"/>
      <c r="AX76" s="361">
        <v>28</v>
      </c>
      <c r="AY76" s="23">
        <f t="shared" si="20"/>
        <v>11.75</v>
      </c>
      <c r="AZ76" s="50"/>
      <c r="BA76" s="26">
        <f t="shared" si="22"/>
        <v>1.5876923076923046</v>
      </c>
      <c r="BB76" s="25">
        <f t="shared" si="21"/>
        <v>-0.65000000000000036</v>
      </c>
      <c r="BC76" s="25">
        <f>IF(ISBLANK(G31),"",(AVERAGE($AY$49:AY76)))</f>
        <v>13.639285714285716</v>
      </c>
      <c r="BD76" s="13">
        <f t="shared" si="23"/>
        <v>1.7605824175824187</v>
      </c>
      <c r="BE76" s="6"/>
      <c r="BF76" s="556">
        <v>0.3611111111111111</v>
      </c>
      <c r="BG76" s="556">
        <v>0.62291666666666667</v>
      </c>
      <c r="BH76" s="556">
        <v>0.62222222222222223</v>
      </c>
      <c r="BI76" s="556">
        <v>6.5972222222222224E-2</v>
      </c>
      <c r="BJ76" s="556">
        <v>0.42430555555555555</v>
      </c>
      <c r="BK76" s="54"/>
      <c r="BL76" s="78"/>
    </row>
    <row r="77" spans="1:64" ht="12.75" customHeight="1" x14ac:dyDescent="0.2">
      <c r="A77" s="67"/>
      <c r="B77" s="742" t="s">
        <v>95</v>
      </c>
      <c r="C77" s="743"/>
      <c r="D77" s="744"/>
      <c r="E77" s="89">
        <f>IF(Z38=0,"",CORREL(Z4:Z34,L4:L34))</f>
        <v>0.18182001246167115</v>
      </c>
      <c r="F77" s="576">
        <f>IF(Z38=0,"",ABS(E77))</f>
        <v>0.18182001246167115</v>
      </c>
      <c r="G77" s="236"/>
      <c r="H77" s="746"/>
      <c r="I77" s="238" t="s">
        <v>149</v>
      </c>
      <c r="J77" s="191"/>
      <c r="K77" s="249">
        <f>G39</f>
        <v>14.6</v>
      </c>
      <c r="L77" s="91">
        <f>IF(ISBLANK(G4),"",(M54*K77+M53*G38)/E34)</f>
        <v>16.964516129032258</v>
      </c>
      <c r="M77" s="233">
        <f>IF(ISBLANK(G4),"",L77-G39)</f>
        <v>2.3645161290322587</v>
      </c>
      <c r="N77" s="248" t="s">
        <v>148</v>
      </c>
      <c r="O77" s="67"/>
      <c r="Q77" s="814" t="s">
        <v>733</v>
      </c>
      <c r="R77" s="815"/>
      <c r="S77" s="815"/>
      <c r="T77" s="815"/>
      <c r="U77" s="815"/>
      <c r="V77" s="815"/>
      <c r="W77" s="815"/>
      <c r="X77" s="815"/>
      <c r="Y77" s="815"/>
      <c r="Z77" s="815"/>
      <c r="AA77" s="815"/>
      <c r="AB77" s="816"/>
      <c r="AC77" s="437"/>
      <c r="AD77" s="1" t="s">
        <v>242</v>
      </c>
      <c r="AE77" s="1" t="s">
        <v>247</v>
      </c>
      <c r="AF77" s="6"/>
      <c r="AK77" s="6"/>
      <c r="AM77" s="136"/>
      <c r="AN77" s="105"/>
      <c r="AO77" s="410"/>
      <c r="AP77" s="859"/>
      <c r="AQ77" s="859"/>
      <c r="AR77" s="6"/>
      <c r="AT77" s="21"/>
      <c r="AU77" s="21"/>
      <c r="AV77" s="571"/>
      <c r="AW77" s="571"/>
      <c r="AX77" s="361">
        <v>29</v>
      </c>
      <c r="AY77" s="23">
        <f t="shared" si="20"/>
        <v>14.05</v>
      </c>
      <c r="AZ77" s="50"/>
      <c r="BA77" s="26">
        <f t="shared" si="22"/>
        <v>4.0364615384615332</v>
      </c>
      <c r="BB77" s="25">
        <f t="shared" si="21"/>
        <v>0.35000000000000142</v>
      </c>
      <c r="BC77" s="25">
        <f>IF(ISBLANK(G32),"",(AVERAGE($AY$49:AY77)))</f>
        <v>13.65344827586207</v>
      </c>
      <c r="BD77" s="13">
        <f t="shared" si="23"/>
        <v>1.83906100795756</v>
      </c>
      <c r="BE77" s="6"/>
      <c r="BF77" s="556">
        <v>0.36180555555555555</v>
      </c>
      <c r="BG77" s="556">
        <v>0.64166666666666672</v>
      </c>
      <c r="BH77" s="556">
        <v>0.56597222222222221</v>
      </c>
      <c r="BI77" s="556">
        <v>0.27638888888888885</v>
      </c>
      <c r="BJ77" s="556">
        <v>0.7416666666666667</v>
      </c>
      <c r="BK77" s="54"/>
      <c r="BL77" s="78"/>
    </row>
    <row r="78" spans="1:64" ht="12.75" customHeight="1" x14ac:dyDescent="0.2">
      <c r="A78" s="67"/>
      <c r="B78" s="742" t="s">
        <v>63</v>
      </c>
      <c r="C78" s="743"/>
      <c r="D78" s="744"/>
      <c r="E78" s="89">
        <f>IF(Z38=0,"",CORREL(Z4:Z34,N4:N34))</f>
        <v>0.15688252028858685</v>
      </c>
      <c r="F78" s="576">
        <f>IF(Z38=0,"",ABS(E78))</f>
        <v>0.15688252028858685</v>
      </c>
      <c r="G78" s="236"/>
      <c r="H78" s="745" t="s">
        <v>4</v>
      </c>
      <c r="I78" s="237" t="s">
        <v>203</v>
      </c>
      <c r="J78" s="191"/>
      <c r="K78" s="90">
        <f>AY81</f>
        <v>11.7</v>
      </c>
      <c r="L78" s="38" t="str">
        <f>IF(ISBLANK(F4),"",IF(M54&gt;0,(E34*K78-AY80*M53)/M54,"n/a"))</f>
        <v>n/a</v>
      </c>
      <c r="M78" s="90" t="str">
        <f>IF(ISBLANK(F4),"",IF(M54&gt;0,L78-AY81,"n/a"))</f>
        <v>n/a</v>
      </c>
      <c r="N78" s="247" t="s">
        <v>142</v>
      </c>
      <c r="O78" s="67"/>
      <c r="Q78" s="768" t="s">
        <v>734</v>
      </c>
      <c r="R78" s="769"/>
      <c r="S78" s="769"/>
      <c r="T78" s="769"/>
      <c r="U78" s="769"/>
      <c r="V78" s="769"/>
      <c r="W78" s="769"/>
      <c r="X78" s="769"/>
      <c r="Y78" s="769"/>
      <c r="Z78" s="769"/>
      <c r="AA78" s="769"/>
      <c r="AB78" s="770"/>
      <c r="AC78" s="437"/>
      <c r="AD78" s="1" t="s">
        <v>243</v>
      </c>
      <c r="AE78" s="1" t="s">
        <v>248</v>
      </c>
      <c r="AF78" s="6"/>
      <c r="AG78" s="804" t="s">
        <v>273</v>
      </c>
      <c r="AH78" s="804"/>
      <c r="AI78" s="804"/>
      <c r="AJ78" s="804"/>
      <c r="AK78" s="317"/>
      <c r="AL78" s="308"/>
      <c r="AM78" s="136"/>
      <c r="AN78" s="230" t="s">
        <v>175</v>
      </c>
      <c r="AO78" s="88"/>
      <c r="AP78" s="859"/>
      <c r="AQ78" s="859"/>
      <c r="AR78" s="6"/>
      <c r="AT78" s="189" t="s">
        <v>83</v>
      </c>
      <c r="AU78" s="189"/>
      <c r="AV78" s="603"/>
      <c r="AW78" s="571"/>
      <c r="AX78" s="361">
        <v>30</v>
      </c>
      <c r="AY78" s="23">
        <f t="shared" si="20"/>
        <v>15.200000000000001</v>
      </c>
      <c r="AZ78" s="50"/>
      <c r="BA78" s="26">
        <f t="shared" si="22"/>
        <v>5.3352307692307654</v>
      </c>
      <c r="BB78" s="38">
        <f t="shared" si="21"/>
        <v>1.7763568394002505E-15</v>
      </c>
      <c r="BC78" s="38">
        <f>IF(ISBLANK(G33),"",(AVERAGE($AY$49:AY78)))</f>
        <v>13.705000000000002</v>
      </c>
      <c r="BD78" s="13">
        <f t="shared" si="23"/>
        <v>1.9556000000000013</v>
      </c>
      <c r="BE78" s="6"/>
      <c r="BF78" s="556" t="s">
        <v>737</v>
      </c>
      <c r="BG78" s="556">
        <v>0.4777777777777778</v>
      </c>
      <c r="BH78" s="556">
        <v>0.50208333333333333</v>
      </c>
      <c r="BI78" s="556" t="s">
        <v>233</v>
      </c>
      <c r="BJ78" s="556">
        <v>9.0277777777777787E-3</v>
      </c>
      <c r="BK78" s="54"/>
      <c r="BL78" s="78"/>
    </row>
    <row r="79" spans="1:64" ht="12.75" customHeight="1" x14ac:dyDescent="0.2">
      <c r="A79" s="67"/>
      <c r="B79" s="742" t="s">
        <v>76</v>
      </c>
      <c r="C79" s="743"/>
      <c r="D79" s="744"/>
      <c r="E79" s="89">
        <f>IF(Z38=0,"",CORREL(Z4:Z34,F4:F34))</f>
        <v>-3.5712990737019799E-2</v>
      </c>
      <c r="F79" s="576">
        <f>IF(Z38=0,"",ABS(E79))</f>
        <v>3.5712990737019799E-2</v>
      </c>
      <c r="G79" s="236"/>
      <c r="H79" s="746"/>
      <c r="I79" s="238" t="s">
        <v>149</v>
      </c>
      <c r="J79" s="191"/>
      <c r="K79" s="250">
        <f>AVERAGE(K75,K77)</f>
        <v>11.7</v>
      </c>
      <c r="L79" s="38">
        <f>IF(ISBLANK(F4),"",(M54*K79+M53*AY80)/E34)</f>
        <v>13.738709677419354</v>
      </c>
      <c r="M79" s="234">
        <f>IF(ISBLANK(F4),"",L79-AY81)</f>
        <v>2.0387096774193552</v>
      </c>
      <c r="N79" s="248" t="s">
        <v>148</v>
      </c>
      <c r="O79" s="67"/>
      <c r="Q79" s="814" t="s">
        <v>735</v>
      </c>
      <c r="R79" s="815"/>
      <c r="S79" s="815"/>
      <c r="T79" s="815"/>
      <c r="U79" s="815"/>
      <c r="V79" s="815"/>
      <c r="W79" s="815"/>
      <c r="X79" s="815"/>
      <c r="Y79" s="815"/>
      <c r="Z79" s="815"/>
      <c r="AA79" s="815"/>
      <c r="AB79" s="816"/>
      <c r="AC79" s="437"/>
      <c r="AD79" s="1" t="s">
        <v>239</v>
      </c>
      <c r="AE79" s="1" t="s">
        <v>249</v>
      </c>
      <c r="AF79" s="6"/>
      <c r="AH79" s="778"/>
      <c r="AI79" s="778"/>
      <c r="AJ79" s="52"/>
      <c r="AK79" s="318"/>
      <c r="AL79" s="309"/>
      <c r="AM79" s="136"/>
      <c r="AN79" s="4">
        <f t="array" ref="AN79">MAX(FREQUENCY(IF(AV91:AV121=1,ROW(91:121)),IF(AV91:AV121&lt;&gt;1,ROW(91:121))))</f>
        <v>13</v>
      </c>
      <c r="AO79" s="88"/>
      <c r="AP79" s="803" t="s">
        <v>278</v>
      </c>
      <c r="AQ79" s="661"/>
      <c r="AR79" s="6"/>
      <c r="AT79" s="5">
        <f>AN95</f>
        <v>8</v>
      </c>
      <c r="AU79" s="5"/>
      <c r="AV79" s="5"/>
      <c r="AX79" s="386">
        <v>31</v>
      </c>
      <c r="AY79" s="387">
        <f t="shared" si="20"/>
        <v>14.75</v>
      </c>
      <c r="AZ79" s="388"/>
      <c r="BA79" s="101">
        <f t="shared" si="22"/>
        <v>5.033999999999998</v>
      </c>
      <c r="BB79" s="91">
        <f t="shared" si="21"/>
        <v>-0.15000000000000036</v>
      </c>
      <c r="BC79" s="91">
        <f>IF(ISBLANK(G34),"",(AVERAGE($AY$49:AY79)))</f>
        <v>13.738709677419356</v>
      </c>
      <c r="BD79" s="241">
        <f t="shared" si="23"/>
        <v>2.054903225806453</v>
      </c>
      <c r="BE79" s="243"/>
      <c r="BF79" s="560">
        <v>0.25</v>
      </c>
      <c r="BG79" s="560">
        <v>0.51180555555555551</v>
      </c>
      <c r="BH79" s="560">
        <v>0.63749999999999996</v>
      </c>
      <c r="BI79" s="560">
        <v>0.16666666666666666</v>
      </c>
      <c r="BJ79" s="560">
        <v>0.50902777777777775</v>
      </c>
      <c r="BK79" s="58"/>
      <c r="BL79" s="78"/>
    </row>
    <row r="80" spans="1:64" ht="12.75" customHeight="1" x14ac:dyDescent="0.2">
      <c r="A80" s="67"/>
      <c r="B80" s="742" t="s">
        <v>75</v>
      </c>
      <c r="C80" s="743"/>
      <c r="D80" s="744"/>
      <c r="E80" s="89">
        <f>IF(Z38=0,"",CORREL(Z4:Z34,K4:K34))</f>
        <v>-7.5698145584765994E-2</v>
      </c>
      <c r="F80" s="576">
        <f>IF(Z38=0,"",ABS(E80))</f>
        <v>7.5698145584765994E-2</v>
      </c>
      <c r="G80" s="236"/>
      <c r="H80" s="745" t="s">
        <v>5</v>
      </c>
      <c r="I80" s="237" t="s">
        <v>203</v>
      </c>
      <c r="J80" s="191"/>
      <c r="K80" s="106">
        <f>K76-K74</f>
        <v>5.7999999999999989</v>
      </c>
      <c r="L80" s="108" t="str">
        <f>IF(ISBLANK(F4),"",IF(M54&gt;0,(E34*K80-I38*M53)/M54,"n/a"))</f>
        <v>n/a</v>
      </c>
      <c r="M80" s="90" t="str">
        <f>IF(ISBLANK(F4),"",IF(M54&gt;0,L80-I39,"n/a"))</f>
        <v>n/a</v>
      </c>
      <c r="N80" s="247" t="s">
        <v>142</v>
      </c>
      <c r="O80" s="67"/>
      <c r="Q80" s="814"/>
      <c r="R80" s="815"/>
      <c r="S80" s="815"/>
      <c r="T80" s="815"/>
      <c r="U80" s="815"/>
      <c r="V80" s="815"/>
      <c r="W80" s="815"/>
      <c r="X80" s="815"/>
      <c r="Y80" s="815"/>
      <c r="Z80" s="815"/>
      <c r="AA80" s="815"/>
      <c r="AB80" s="816"/>
      <c r="AC80" s="437"/>
      <c r="AD80" s="1" t="s">
        <v>251</v>
      </c>
      <c r="AE80" s="1" t="s">
        <v>250</v>
      </c>
      <c r="AF80" s="6"/>
      <c r="AK80" s="319"/>
      <c r="AL80" s="99"/>
      <c r="AM80" s="136"/>
      <c r="AO80" s="88"/>
      <c r="AP80" s="661"/>
      <c r="AQ80" s="661"/>
      <c r="AR80" s="6"/>
      <c r="AS80" s="4"/>
      <c r="AT80" s="4"/>
      <c r="AU80" s="4"/>
      <c r="AV80" s="4"/>
      <c r="AX80" s="11" t="s">
        <v>4</v>
      </c>
      <c r="AY80" s="57">
        <f>IF(ISBLANK(G4),"",AVERAGE(F4:G34))</f>
        <v>13.738709677419354</v>
      </c>
      <c r="AZ80" s="362"/>
      <c r="BB80" s="7">
        <f>IF(ISBLANK(H4),"",AVERAGE(BB49:BB79))</f>
        <v>0.10322580645161331</v>
      </c>
      <c r="BC80" s="114">
        <f>IF(ISBLANK(G4),"",(AVERAGE($AY$49:AY79)))</f>
        <v>13.738709677419356</v>
      </c>
      <c r="BD80" s="585">
        <f>IF(ISBLANK(H4),"",BC80-D120)</f>
        <v>2.0387096774193569</v>
      </c>
      <c r="BE80" s="6"/>
      <c r="BF80" s="341">
        <f>IF(ISBLANK(BF50),"",AVERAGE(BF49:BF79))</f>
        <v>0.2731398809523809</v>
      </c>
      <c r="BG80" s="340">
        <f>IF(ISBLANK(BG49),"",AVERAGE(BG49:BG79))</f>
        <v>0.61895833333333317</v>
      </c>
      <c r="BH80" s="339">
        <f>IF(ISBLANK(BH50),"",AVERAGE(BH49:BH79))</f>
        <v>0.63888888888888895</v>
      </c>
      <c r="BI80" s="338">
        <f>IF(ISBLANK(BI49),"",AVERAGE(BI49:BI79))</f>
        <v>0.29748677248677247</v>
      </c>
      <c r="BJ80" s="337">
        <f>IF(ISBLANK(BJ49),"",AVERAGE(BJ49:BJ79))</f>
        <v>0.52694892473118282</v>
      </c>
      <c r="BK80" s="19"/>
      <c r="BL80" s="78"/>
    </row>
    <row r="81" spans="1:64" ht="12.75" customHeight="1" thickBot="1" x14ac:dyDescent="0.25">
      <c r="A81" s="67"/>
      <c r="B81" s="740"/>
      <c r="C81" s="741"/>
      <c r="D81" s="741"/>
      <c r="E81" s="159"/>
      <c r="F81" s="25"/>
      <c r="G81" s="236"/>
      <c r="H81" s="752"/>
      <c r="I81" s="281" t="s">
        <v>149</v>
      </c>
      <c r="J81" s="191"/>
      <c r="K81" s="252">
        <f>K77-K75</f>
        <v>5.7999999999999989</v>
      </c>
      <c r="L81" s="167">
        <f>IF(ISBLANK(F4),"",(M54*K81+M53*I38)/E34)</f>
        <v>6.4516129032258069</v>
      </c>
      <c r="M81" s="235">
        <f>IF(ISBLANK(F4),"",L81-I39)</f>
        <v>0.651612903225808</v>
      </c>
      <c r="N81" s="279" t="s">
        <v>148</v>
      </c>
      <c r="O81" s="67"/>
      <c r="Q81" s="814"/>
      <c r="R81" s="815"/>
      <c r="S81" s="815"/>
      <c r="T81" s="815"/>
      <c r="U81" s="815"/>
      <c r="V81" s="815"/>
      <c r="W81" s="815"/>
      <c r="X81" s="815"/>
      <c r="Y81" s="815"/>
      <c r="Z81" s="815"/>
      <c r="AA81" s="815"/>
      <c r="AB81" s="816"/>
      <c r="AC81" s="437"/>
      <c r="AD81" s="1" t="s">
        <v>258</v>
      </c>
      <c r="AE81" s="1" t="s">
        <v>265</v>
      </c>
      <c r="AF81" s="6"/>
      <c r="AG81" s="779" t="s">
        <v>275</v>
      </c>
      <c r="AH81" s="779"/>
      <c r="AI81" s="779"/>
      <c r="AJ81" s="779"/>
      <c r="AK81" s="222"/>
      <c r="AM81" s="136"/>
      <c r="AN81" s="183" t="s">
        <v>176</v>
      </c>
      <c r="AO81" s="411"/>
      <c r="AP81" s="661"/>
      <c r="AQ81" s="661"/>
      <c r="AR81" s="6"/>
      <c r="AT81" s="588" t="s">
        <v>194</v>
      </c>
      <c r="AU81" s="588"/>
      <c r="AX81" s="4" t="s">
        <v>9</v>
      </c>
      <c r="AY81" s="379">
        <f>AVERAGE(F39:G39)</f>
        <v>11.7</v>
      </c>
      <c r="AZ81" s="363"/>
      <c r="BB81" s="713" t="s">
        <v>173</v>
      </c>
      <c r="BC81" s="713"/>
      <c r="BE81" s="6"/>
      <c r="BK81" s="67"/>
      <c r="BL81" s="78"/>
    </row>
    <row r="82" spans="1:64" ht="12.75" customHeight="1" x14ac:dyDescent="0.2">
      <c r="A82" s="67"/>
      <c r="B82" s="764" t="s">
        <v>4</v>
      </c>
      <c r="C82" s="765"/>
      <c r="D82" s="765"/>
      <c r="E82" s="218">
        <f>IF(Z38=0,"",AVERAGE(F72:F80))</f>
        <v>0.17414175128196671</v>
      </c>
      <c r="F82" s="25"/>
      <c r="G82" s="236"/>
      <c r="H82" s="766" t="s">
        <v>13</v>
      </c>
      <c r="I82" s="237" t="s">
        <v>203</v>
      </c>
      <c r="J82" s="191"/>
      <c r="K82" s="164">
        <f>R39</f>
        <v>1013.25</v>
      </c>
      <c r="L82" s="168" t="str">
        <f>IF(ISBLANK(P4),"",IF(M54&gt;0,(E34*K82-R38*M53)/M54,"n/a"))</f>
        <v>n/a</v>
      </c>
      <c r="M82" s="164" t="str">
        <f>IF(ISBLANK(P4),"",IF(M54&gt;0,L82-R39,"n/a"))</f>
        <v>n/a</v>
      </c>
      <c r="N82" s="247" t="s">
        <v>142</v>
      </c>
      <c r="O82" s="67"/>
      <c r="Q82" s="814"/>
      <c r="R82" s="815"/>
      <c r="S82" s="815"/>
      <c r="T82" s="815"/>
      <c r="U82" s="815"/>
      <c r="V82" s="815"/>
      <c r="W82" s="815"/>
      <c r="X82" s="815"/>
      <c r="Y82" s="815"/>
      <c r="Z82" s="815"/>
      <c r="AA82" s="815"/>
      <c r="AB82" s="816"/>
      <c r="AC82" s="436"/>
      <c r="AD82" s="1" t="s">
        <v>8</v>
      </c>
      <c r="AE82" s="1" t="s">
        <v>260</v>
      </c>
      <c r="AF82" s="6"/>
      <c r="AH82" s="636"/>
      <c r="AI82" s="636"/>
      <c r="AJ82" s="52"/>
      <c r="AK82" s="320"/>
      <c r="AL82" s="307"/>
      <c r="AM82" s="136"/>
      <c r="AN82" s="332">
        <f t="array" ref="AN82">MAX(FREQUENCY(IF(AV91:AV121=0,ROW(91:121)),IF(AV91:AV121&lt;&gt;0,ROW(91:121))))</f>
        <v>3</v>
      </c>
      <c r="AO82" s="412"/>
      <c r="AP82" s="822" t="s">
        <v>526</v>
      </c>
      <c r="AQ82" s="823"/>
      <c r="AR82" s="6"/>
      <c r="AT82" s="138">
        <f>IF(AN48=0,"n/a",AN48/AT67)</f>
        <v>0.875</v>
      </c>
      <c r="AU82" s="138"/>
      <c r="AX82" s="4" t="s">
        <v>10</v>
      </c>
      <c r="AY82" s="57">
        <f>IF(ISBLANK(G4),"",AY80-AY81)</f>
        <v>2.0387096774193552</v>
      </c>
      <c r="AZ82" s="311"/>
      <c r="BA82" s="148" t="s">
        <v>158</v>
      </c>
      <c r="BB82" s="275" t="s">
        <v>145</v>
      </c>
      <c r="BC82" s="276" t="s">
        <v>146</v>
      </c>
      <c r="BE82" s="6"/>
      <c r="BF82" s="431">
        <f>MAX(BF49:BF79)-MIN(BF49:BF79)</f>
        <v>0.30069444444444443</v>
      </c>
      <c r="BG82" s="431">
        <f>MAX(BG49:BG79)-MIN(BG49:BG79)</f>
        <v>0.2312499999999999</v>
      </c>
      <c r="BH82" s="431">
        <f>MAX(BH49:BH79)-MIN(BH49:BH79)</f>
        <v>0.27777777777777768</v>
      </c>
      <c r="BI82" s="431">
        <f>MAX(BI49:BI79)-MIN(BI49:BI79)</f>
        <v>0.90416666666666667</v>
      </c>
      <c r="BJ82" s="431">
        <f>MAX(BJ49:BJ79)-MIN(BJ49:BJ79)</f>
        <v>0.82152777777777786</v>
      </c>
      <c r="BK82" s="67"/>
      <c r="BL82" s="78"/>
    </row>
    <row r="83" spans="1:64" ht="12.75" customHeight="1" thickBot="1" x14ac:dyDescent="0.25">
      <c r="A83" s="67"/>
      <c r="B83" s="756" t="s">
        <v>34</v>
      </c>
      <c r="C83" s="757"/>
      <c r="D83" s="757"/>
      <c r="E83" s="219">
        <f>AN93+AN98</f>
        <v>1</v>
      </c>
      <c r="F83" s="85" t="s">
        <v>91</v>
      </c>
      <c r="G83" s="236"/>
      <c r="H83" s="746"/>
      <c r="I83" s="238" t="s">
        <v>149</v>
      </c>
      <c r="J83" s="242"/>
      <c r="K83" s="251">
        <f>K82</f>
        <v>1013.25</v>
      </c>
      <c r="L83" s="119">
        <f>IF(ISBLANK(P4),"",SUM(M54*K83+M53*R38)/E34)</f>
        <v>1016.9193548387096</v>
      </c>
      <c r="M83" s="169">
        <f>IF(ISBLANK(P4),"",L83-R39)</f>
        <v>3.6693548387096371</v>
      </c>
      <c r="N83" s="248" t="s">
        <v>148</v>
      </c>
      <c r="O83" s="67"/>
      <c r="Q83" s="836"/>
      <c r="R83" s="837"/>
      <c r="S83" s="837"/>
      <c r="T83" s="837"/>
      <c r="U83" s="837"/>
      <c r="V83" s="837"/>
      <c r="W83" s="837"/>
      <c r="X83" s="837"/>
      <c r="Y83" s="837"/>
      <c r="Z83" s="837"/>
      <c r="AA83" s="837"/>
      <c r="AB83" s="838"/>
      <c r="AC83" s="436"/>
      <c r="AD83" s="1" t="s">
        <v>264</v>
      </c>
      <c r="AE83" s="1" t="s">
        <v>259</v>
      </c>
      <c r="AF83" s="6"/>
      <c r="AK83" s="312"/>
      <c r="AM83" s="136"/>
      <c r="AO83" s="88"/>
      <c r="AP83" s="823"/>
      <c r="AQ83" s="823"/>
      <c r="AR83" s="67"/>
      <c r="AZ83" s="6"/>
      <c r="BA83" s="25">
        <f>E91/3</f>
        <v>1.9333333333333329</v>
      </c>
      <c r="BB83" s="274">
        <f>AY81-BA83</f>
        <v>9.7666666666666657</v>
      </c>
      <c r="BC83" s="273">
        <f>AY81+BA83</f>
        <v>13.633333333333333</v>
      </c>
      <c r="BE83" s="6"/>
      <c r="BF83" s="334">
        <f>IF(ISBLANK(BF50),"",STDEV(BF49:BF79))</f>
        <v>8.8608953004069346E-2</v>
      </c>
      <c r="BG83" s="334">
        <f>IF(ISBLANK(BG50),"",STDEV(BG49:BG79))</f>
        <v>5.5869012136737756E-2</v>
      </c>
      <c r="BH83" s="334">
        <f>IF(ISBLANK(BH50),"",STDEV(BH49:BH79))</f>
        <v>6.1933128845228461E-2</v>
      </c>
      <c r="BI83" s="334">
        <f>IF(ISBLANK(BI51),"",STDEV(BI49:BI79))</f>
        <v>0.18598662350244469</v>
      </c>
      <c r="BJ83" s="334">
        <f>IF(ISBLANK(BJ50),"",STDEV(BJ49:BJ79))</f>
        <v>0.19546149517363531</v>
      </c>
      <c r="BK83" s="67"/>
      <c r="BL83" s="78"/>
    </row>
    <row r="84" spans="1:64" s="107" customFormat="1" ht="12.75" x14ac:dyDescent="0.2">
      <c r="A84" s="240"/>
      <c r="C84" s="239"/>
      <c r="F84" s="117"/>
      <c r="H84" s="241"/>
      <c r="J84" s="242"/>
      <c r="O84" s="242"/>
      <c r="T84" s="243"/>
      <c r="Y84" s="243"/>
      <c r="AF84" s="243"/>
      <c r="AI84" s="117"/>
      <c r="AJ84" s="117"/>
      <c r="AK84" s="240"/>
      <c r="AL84" s="117"/>
      <c r="AM84" s="240"/>
      <c r="AO84" s="413"/>
      <c r="AP84" s="799"/>
      <c r="AQ84" s="799"/>
      <c r="AR84" s="240"/>
      <c r="AV84" s="117"/>
      <c r="AY84" s="117"/>
      <c r="AZ84" s="240"/>
      <c r="BA84" s="330">
        <f>MIN(AY49:AY79)</f>
        <v>7.35</v>
      </c>
      <c r="BB84" s="330">
        <f>MAX(AY49:AY79)</f>
        <v>20.75</v>
      </c>
      <c r="BE84" s="243"/>
      <c r="BF84" s="771" t="s">
        <v>191</v>
      </c>
      <c r="BG84" s="771"/>
      <c r="BH84" s="771"/>
      <c r="BI84" s="771"/>
      <c r="BJ84" s="771"/>
      <c r="BK84" s="240"/>
      <c r="BL84" s="244"/>
    </row>
    <row r="85" spans="1:64" s="172" customFormat="1" ht="12" x14ac:dyDescent="0.2">
      <c r="A85" s="171"/>
      <c r="C85" s="173">
        <f>MIN(C4:C34)</f>
        <v>11.4</v>
      </c>
      <c r="E85" s="174" t="s">
        <v>70</v>
      </c>
      <c r="F85" s="173">
        <f>MIN(F4:F34)</f>
        <v>3.3</v>
      </c>
      <c r="G85" s="173">
        <f>MIN(G4:G34)</f>
        <v>11.4</v>
      </c>
      <c r="H85" s="173">
        <f>MIN(H4:H34)</f>
        <v>6.9</v>
      </c>
      <c r="I85" s="173">
        <f>MIN(I4:I34)</f>
        <v>2.6</v>
      </c>
      <c r="J85" s="175"/>
      <c r="K85" s="176">
        <f>MIN(K4:K34)</f>
        <v>35</v>
      </c>
      <c r="L85" s="176">
        <f>MIN(L4:L34)</f>
        <v>77</v>
      </c>
      <c r="M85" s="176">
        <f>MIN(M4:M34)</f>
        <v>59</v>
      </c>
      <c r="N85" s="176">
        <f>MIN(N4:N34)</f>
        <v>11</v>
      </c>
      <c r="O85" s="177"/>
      <c r="P85" s="176">
        <f>MIN(P4:P34)</f>
        <v>992</v>
      </c>
      <c r="Q85" s="176">
        <f>MIN(Q4:Q34)</f>
        <v>1000</v>
      </c>
      <c r="R85" s="173">
        <f>MIN(R4:R34)</f>
        <v>996</v>
      </c>
      <c r="S85" s="176">
        <f>MIN(S4:S34)</f>
        <v>2</v>
      </c>
      <c r="T85" s="171"/>
      <c r="U85" s="173">
        <f t="shared" ref="U85:AC85" si="24">MIN(U4:U34)</f>
        <v>1.2</v>
      </c>
      <c r="V85" s="173">
        <f t="shared" si="24"/>
        <v>6.7</v>
      </c>
      <c r="W85" s="173">
        <f t="shared" si="24"/>
        <v>9.8000000000000007</v>
      </c>
      <c r="X85" s="173">
        <f t="shared" si="24"/>
        <v>0</v>
      </c>
      <c r="Y85" s="175">
        <f t="shared" si="24"/>
        <v>0</v>
      </c>
      <c r="Z85" s="173">
        <f t="shared" si="24"/>
        <v>0</v>
      </c>
      <c r="AA85" s="173">
        <f t="shared" si="24"/>
        <v>0.5</v>
      </c>
      <c r="AB85" s="173">
        <f t="shared" si="24"/>
        <v>0.5</v>
      </c>
      <c r="AC85" s="422">
        <f t="shared" si="24"/>
        <v>6.4516129032258064E-3</v>
      </c>
      <c r="AD85" s="173">
        <f>MIN(AE4:AE34)</f>
        <v>1.8</v>
      </c>
      <c r="AE85" s="173">
        <f>MIN(AD4:AD34)</f>
        <v>0.26666666666666666</v>
      </c>
      <c r="AF85" s="175">
        <f>MIN(AF4:AF4)</f>
        <v>0</v>
      </c>
      <c r="AG85" s="173">
        <f>MIN(AG4:AG34)</f>
        <v>-0.5</v>
      </c>
      <c r="AH85" s="173">
        <f>MIN(AH4:AH34)</f>
        <v>4.2</v>
      </c>
      <c r="AI85" s="173">
        <f>MIN(AI4:AI34)</f>
        <v>1.7</v>
      </c>
      <c r="AJ85" s="173">
        <f>MIN(AJ4:AJ34)</f>
        <v>2</v>
      </c>
      <c r="AK85" s="175"/>
      <c r="AL85" s="173"/>
      <c r="AM85" s="175"/>
      <c r="AO85" s="414"/>
      <c r="AP85" s="173">
        <f>MIN(AP4:AP34)</f>
        <v>0</v>
      </c>
      <c r="AQ85" s="173">
        <f>MIN(AQ4:AQ34)</f>
        <v>0</v>
      </c>
      <c r="AR85" s="175"/>
      <c r="AS85" s="173">
        <f t="shared" ref="AS85:AZ85" si="25">MIN(AS8:AS34)</f>
        <v>10.232142857142859</v>
      </c>
      <c r="AT85" s="173">
        <f t="shared" si="25"/>
        <v>16.964516129032258</v>
      </c>
      <c r="AU85" s="173">
        <f t="shared" si="25"/>
        <v>13.532142857142857</v>
      </c>
      <c r="AV85" s="173">
        <f t="shared" si="25"/>
        <v>6.4461538461538446</v>
      </c>
      <c r="AW85" s="173">
        <f t="shared" si="25"/>
        <v>68</v>
      </c>
      <c r="AX85" s="176">
        <f t="shared" si="25"/>
        <v>1016.8148148148148</v>
      </c>
      <c r="AY85" s="173">
        <f t="shared" si="25"/>
        <v>5.04</v>
      </c>
      <c r="AZ85" s="175">
        <f t="shared" si="25"/>
        <v>0</v>
      </c>
      <c r="BA85" s="173">
        <f>MIN(BA4:BA34)</f>
        <v>-5.6420000000000075</v>
      </c>
      <c r="BB85" s="173">
        <f>MIN(BB4:BB34)</f>
        <v>-2.7769230769230777</v>
      </c>
      <c r="BC85" s="173">
        <f>MIN(BC4:BC34)</f>
        <v>-4.0024615384615405</v>
      </c>
      <c r="BD85" s="173">
        <f>MIN(BD4:BD34)</f>
        <v>-3.4813333333333212</v>
      </c>
      <c r="BE85" s="175">
        <f t="shared" ref="BE85:BJ85" si="26">MIN(BE8:BE34)</f>
        <v>0</v>
      </c>
      <c r="BF85" s="173">
        <f t="shared" si="26"/>
        <v>1.0680454545454516</v>
      </c>
      <c r="BG85" s="173">
        <f t="shared" si="26"/>
        <v>2.2098434065934107</v>
      </c>
      <c r="BH85" s="173">
        <f t="shared" si="26"/>
        <v>0.21082051282053094</v>
      </c>
      <c r="BI85" s="422">
        <f t="shared" si="26"/>
        <v>8.9855072463768115E-3</v>
      </c>
      <c r="BJ85" s="422">
        <f t="shared" si="26"/>
        <v>1.0497008202066627</v>
      </c>
      <c r="BK85" s="177"/>
      <c r="BL85" s="178"/>
    </row>
    <row r="86" spans="1:64" s="172" customFormat="1" ht="12" x14ac:dyDescent="0.2">
      <c r="A86" s="171"/>
      <c r="B86" s="173">
        <f>MAX(B4:B34)</f>
        <v>16.2</v>
      </c>
      <c r="E86" s="174" t="s">
        <v>71</v>
      </c>
      <c r="F86" s="173">
        <f>MAX(F4:F34)</f>
        <v>16.2</v>
      </c>
      <c r="G86" s="173">
        <f>MAX(G4:G34)</f>
        <v>27.1</v>
      </c>
      <c r="H86" s="173">
        <f>MAX(H4:H34)</f>
        <v>19.899999999999999</v>
      </c>
      <c r="I86" s="173">
        <f>MAX(I4:I34)</f>
        <v>14.8</v>
      </c>
      <c r="J86" s="175"/>
      <c r="K86" s="176">
        <f>MAX(K4:K34)</f>
        <v>81</v>
      </c>
      <c r="L86" s="176">
        <f>MAX(L4:L34)</f>
        <v>96</v>
      </c>
      <c r="M86" s="176">
        <f>MAX(M4:M34)</f>
        <v>88</v>
      </c>
      <c r="N86" s="176">
        <f>MAX(N4:N34)</f>
        <v>57</v>
      </c>
      <c r="O86" s="177"/>
      <c r="P86" s="176">
        <f t="shared" ref="P86:AC86" si="27">MAX(P4:P34)</f>
        <v>1028</v>
      </c>
      <c r="Q86" s="176">
        <f t="shared" si="27"/>
        <v>1033</v>
      </c>
      <c r="R86" s="173">
        <f t="shared" si="27"/>
        <v>1030.5</v>
      </c>
      <c r="S86" s="176">
        <f t="shared" si="27"/>
        <v>13</v>
      </c>
      <c r="T86" s="177">
        <f t="shared" si="27"/>
        <v>0</v>
      </c>
      <c r="U86" s="173">
        <f t="shared" si="27"/>
        <v>10.8</v>
      </c>
      <c r="V86" s="173">
        <f t="shared" si="27"/>
        <v>21.5</v>
      </c>
      <c r="W86" s="173">
        <f t="shared" si="27"/>
        <v>37.700000000000003</v>
      </c>
      <c r="X86" s="173">
        <f t="shared" si="27"/>
        <v>0</v>
      </c>
      <c r="Y86" s="175">
        <f t="shared" si="27"/>
        <v>2</v>
      </c>
      <c r="Z86" s="173">
        <f t="shared" si="27"/>
        <v>3.6</v>
      </c>
      <c r="AA86" s="173">
        <f t="shared" si="27"/>
        <v>2.7</v>
      </c>
      <c r="AB86" s="173">
        <f t="shared" si="27"/>
        <v>1.7</v>
      </c>
      <c r="AC86" s="422">
        <f t="shared" si="27"/>
        <v>0.23225806451612901</v>
      </c>
      <c r="AD86" s="173">
        <f>MAX(AE4:AE34)</f>
        <v>50</v>
      </c>
      <c r="AE86" s="173">
        <f>MAX(AD4:AD34)</f>
        <v>3.4</v>
      </c>
      <c r="AF86" s="175">
        <f>MAX(AF4:AF4)</f>
        <v>0</v>
      </c>
      <c r="AG86" s="173">
        <f>MAX(AG4:AG34)</f>
        <v>12.4</v>
      </c>
      <c r="AH86" s="173">
        <f>MAX(AH4:AH34)</f>
        <v>16.399999999999999</v>
      </c>
      <c r="AI86" s="173">
        <f>MAX(AI4:AI34)</f>
        <v>13.9</v>
      </c>
      <c r="AJ86" s="173">
        <f>MAX(AJ4:AJ34)</f>
        <v>13.3</v>
      </c>
      <c r="AK86" s="175"/>
      <c r="AL86" s="173"/>
      <c r="AM86" s="175"/>
      <c r="AO86" s="415"/>
      <c r="AP86" s="176">
        <f>MAX(AP4:AP34)</f>
        <v>10.4</v>
      </c>
      <c r="AQ86" s="173">
        <f>MAX(AQ4:AQ34)</f>
        <v>5</v>
      </c>
      <c r="AR86" s="177"/>
      <c r="AS86" s="173">
        <f t="shared" ref="AS86:AZ86" si="28">MAX(AS8:AS34)</f>
        <v>14.379999999999999</v>
      </c>
      <c r="AT86" s="173">
        <f t="shared" si="28"/>
        <v>23.360000000000003</v>
      </c>
      <c r="AU86" s="173">
        <f t="shared" si="28"/>
        <v>18.619999999999997</v>
      </c>
      <c r="AV86" s="173">
        <f t="shared" si="28"/>
        <v>8.98</v>
      </c>
      <c r="AW86" s="173">
        <f t="shared" si="28"/>
        <v>74.774193548387103</v>
      </c>
      <c r="AX86" s="176">
        <f t="shared" si="28"/>
        <v>1020.78125</v>
      </c>
      <c r="AY86" s="173">
        <f t="shared" si="28"/>
        <v>6.4818181818181815</v>
      </c>
      <c r="AZ86" s="175">
        <f t="shared" si="28"/>
        <v>0</v>
      </c>
      <c r="BA86" s="173">
        <f>MAX(BA4:BA34)</f>
        <v>6.631999999999997</v>
      </c>
      <c r="BB86" s="173">
        <f>MAX(BB4:BB34)</f>
        <v>10.565666666666676</v>
      </c>
      <c r="BC86" s="173">
        <f>MAX(BC4:BC34)</f>
        <v>7.669999999999999</v>
      </c>
      <c r="BD86" s="173">
        <f>MAX(BD4:BD34)</f>
        <v>8.3213333333333459</v>
      </c>
      <c r="BE86" s="175">
        <f t="shared" ref="BE86:BJ86" si="29">MAX(BE8:BE34)</f>
        <v>0</v>
      </c>
      <c r="BF86" s="173">
        <f t="shared" si="29"/>
        <v>4.5149999999999952</v>
      </c>
      <c r="BG86" s="173">
        <f t="shared" si="29"/>
        <v>7.0650000000000084</v>
      </c>
      <c r="BH86" s="173">
        <f t="shared" si="29"/>
        <v>2.5500000000000131</v>
      </c>
      <c r="BI86" s="422">
        <f t="shared" si="29"/>
        <v>0.28953301127214176</v>
      </c>
      <c r="BJ86" s="422">
        <f t="shared" si="29"/>
        <v>1.725371706597961</v>
      </c>
      <c r="BK86" s="177"/>
      <c r="BL86" s="178"/>
    </row>
    <row r="87" spans="1:64" ht="10.5" customHeight="1" x14ac:dyDescent="0.2">
      <c r="A87" s="67"/>
      <c r="B87" s="21"/>
      <c r="C87" s="140"/>
      <c r="D87" s="146"/>
      <c r="E87" s="4"/>
      <c r="F87" s="21"/>
      <c r="H87" s="13"/>
      <c r="J87" s="20"/>
      <c r="K87" s="21"/>
      <c r="L87" s="21"/>
      <c r="M87" s="21"/>
      <c r="N87" s="22"/>
      <c r="O87" s="20"/>
      <c r="P87" s="21"/>
      <c r="Q87" s="21"/>
      <c r="R87" s="21"/>
      <c r="S87" s="21"/>
      <c r="T87" s="67"/>
      <c r="U87" s="21"/>
      <c r="V87" s="21"/>
      <c r="W87" s="21"/>
      <c r="X87" s="21"/>
      <c r="Y87" s="67"/>
      <c r="Z87" s="21"/>
      <c r="AA87" s="21"/>
      <c r="AB87" s="21"/>
      <c r="AC87" s="21"/>
      <c r="AD87" s="21"/>
      <c r="AE87" s="21"/>
      <c r="AF87" s="67"/>
      <c r="AG87" s="21"/>
      <c r="AH87" s="21"/>
      <c r="AI87" s="21"/>
      <c r="AJ87" s="21"/>
      <c r="AK87" s="67"/>
      <c r="AL87" s="21"/>
      <c r="AM87" s="67"/>
      <c r="AO87" s="88"/>
      <c r="AR87" s="6"/>
      <c r="AS87" s="21"/>
      <c r="AT87" s="22"/>
      <c r="AU87" s="21"/>
      <c r="AV87" s="21"/>
      <c r="AW87" s="21"/>
      <c r="AX87" s="21"/>
      <c r="AZ87" s="6"/>
      <c r="BA87" s="25"/>
      <c r="BB87" s="21"/>
      <c r="BC87" s="21"/>
      <c r="BD87" s="21"/>
      <c r="BE87" s="67"/>
      <c r="BF87" s="21"/>
      <c r="BG87" s="21"/>
      <c r="BH87" s="21"/>
      <c r="BI87" s="21"/>
      <c r="BJ87" s="21"/>
      <c r="BK87" s="67"/>
      <c r="BL87" s="95"/>
    </row>
    <row r="88" spans="1:64" s="327" customFormat="1" ht="10.5" customHeight="1" x14ac:dyDescent="0.2">
      <c r="C88" s="328"/>
    </row>
    <row r="89" spans="1:64" s="327" customFormat="1" ht="1.5" customHeight="1" x14ac:dyDescent="0.2">
      <c r="C89" s="328"/>
    </row>
    <row r="90" spans="1:64" s="331" customFormat="1" ht="11.25" x14ac:dyDescent="0.2">
      <c r="A90" s="331" t="s">
        <v>167</v>
      </c>
      <c r="B90" s="148" t="s">
        <v>2</v>
      </c>
      <c r="C90" s="148" t="s">
        <v>3</v>
      </c>
      <c r="D90" s="148" t="s">
        <v>4</v>
      </c>
      <c r="E90" s="147" t="s">
        <v>5</v>
      </c>
      <c r="F90" s="331" t="s">
        <v>332</v>
      </c>
      <c r="G90" s="331" t="s">
        <v>333</v>
      </c>
      <c r="H90" s="331" t="s">
        <v>348</v>
      </c>
      <c r="I90" s="331" t="s">
        <v>347</v>
      </c>
      <c r="K90" s="331" t="s">
        <v>167</v>
      </c>
      <c r="L90" s="331" t="s">
        <v>167</v>
      </c>
      <c r="M90" s="147" t="s">
        <v>184</v>
      </c>
      <c r="N90" s="331" t="s">
        <v>167</v>
      </c>
      <c r="O90" s="331" t="s">
        <v>167</v>
      </c>
      <c r="P90" s="331" t="s">
        <v>167</v>
      </c>
      <c r="Q90" s="331" t="s">
        <v>167</v>
      </c>
      <c r="S90" s="331" t="s">
        <v>167</v>
      </c>
      <c r="U90" s="331" t="s">
        <v>204</v>
      </c>
      <c r="V90" s="331" t="s">
        <v>346</v>
      </c>
      <c r="W90" s="786" t="s">
        <v>229</v>
      </c>
      <c r="X90" s="786"/>
      <c r="Y90" s="331" t="s">
        <v>167</v>
      </c>
      <c r="Z90" s="147" t="s">
        <v>144</v>
      </c>
      <c r="AA90" s="147" t="s">
        <v>185</v>
      </c>
      <c r="AB90" s="147" t="s">
        <v>236</v>
      </c>
      <c r="AC90" s="147" t="s">
        <v>237</v>
      </c>
      <c r="AD90" s="331" t="s">
        <v>167</v>
      </c>
      <c r="AE90" s="278" t="s">
        <v>345</v>
      </c>
      <c r="AF90" s="331" t="s">
        <v>344</v>
      </c>
      <c r="AG90" s="147" t="s">
        <v>155</v>
      </c>
      <c r="AH90" s="147" t="s">
        <v>183</v>
      </c>
      <c r="AI90" s="331" t="s">
        <v>328</v>
      </c>
      <c r="AJ90" s="147" t="s">
        <v>117</v>
      </c>
      <c r="AK90" s="331" t="s">
        <v>167</v>
      </c>
      <c r="AL90" s="147" t="s">
        <v>118</v>
      </c>
      <c r="AM90" s="331" t="s">
        <v>329</v>
      </c>
      <c r="AN90" s="331" t="s">
        <v>168</v>
      </c>
      <c r="AO90" s="331" t="s">
        <v>329</v>
      </c>
      <c r="AQ90" s="147"/>
      <c r="AR90" s="331" t="s">
        <v>329</v>
      </c>
      <c r="AS90" s="331" t="s">
        <v>256</v>
      </c>
      <c r="AT90" s="331" t="s">
        <v>253</v>
      </c>
      <c r="AU90" s="331" t="s">
        <v>346</v>
      </c>
      <c r="AV90" s="147" t="s">
        <v>196</v>
      </c>
      <c r="AW90" s="147" t="s">
        <v>145</v>
      </c>
      <c r="AX90" s="147" t="s">
        <v>146</v>
      </c>
      <c r="AY90" s="147" t="s">
        <v>400</v>
      </c>
      <c r="AZ90" s="147" t="s">
        <v>124</v>
      </c>
      <c r="BA90" s="147" t="s">
        <v>145</v>
      </c>
      <c r="BB90" s="147" t="s">
        <v>146</v>
      </c>
      <c r="BC90" s="331" t="s">
        <v>330</v>
      </c>
      <c r="BD90" s="331" t="s">
        <v>331</v>
      </c>
      <c r="BE90" s="147" t="s">
        <v>327</v>
      </c>
      <c r="BF90" s="331" t="s">
        <v>167</v>
      </c>
      <c r="BG90" s="147" t="s">
        <v>163</v>
      </c>
      <c r="BH90" s="147" t="s">
        <v>399</v>
      </c>
      <c r="BI90" s="147" t="s">
        <v>401</v>
      </c>
      <c r="BJ90" s="147" t="s">
        <v>119</v>
      </c>
      <c r="BK90" s="331" t="s">
        <v>327</v>
      </c>
    </row>
    <row r="91" spans="1:64" ht="12.75" x14ac:dyDescent="0.2">
      <c r="A91" s="8">
        <f t="shared" ref="A91:A121" si="30">IF(ISBLANK(K4),NA(),N4)</f>
        <v>54</v>
      </c>
      <c r="B91" s="125">
        <f t="shared" ref="B91:B121" si="31">$F$39</f>
        <v>8.8000000000000007</v>
      </c>
      <c r="C91" s="125">
        <f t="shared" ref="C91:C121" si="32">$G$39</f>
        <v>14.6</v>
      </c>
      <c r="D91" s="125">
        <f>AVERAGE(B91:C91)</f>
        <v>11.7</v>
      </c>
      <c r="E91" s="125">
        <f t="shared" ref="E91:E121" si="33">C91-B91</f>
        <v>5.7999999999999989</v>
      </c>
      <c r="F91" s="7">
        <v>10.007000000000003</v>
      </c>
      <c r="G91" s="7">
        <v>16.534333333333326</v>
      </c>
      <c r="H91" s="7">
        <f>AVERAGE(F91:G91)</f>
        <v>13.270666666666664</v>
      </c>
      <c r="I91" s="7">
        <f>G91-F91</f>
        <v>6.5273333333333223</v>
      </c>
      <c r="K91" s="7">
        <f t="shared" ref="K91:K121" si="34">IF(ISBLANK(G4),NA(),I4)</f>
        <v>14.8</v>
      </c>
      <c r="L91" s="7">
        <f t="shared" ref="L91:L121" si="35">IF(ISBLANK(G4),NA(),AY49)</f>
        <v>19.700000000000003</v>
      </c>
      <c r="M91" s="370">
        <f t="shared" ref="M91:M121" si="36">IF(ISBLANK(U4),NA(),AY4)</f>
        <v>1.2</v>
      </c>
      <c r="N91" s="1">
        <f t="shared" ref="N91:N121" si="37">IF(ISBLANK(F4),NA(),BJ91)</f>
        <v>0</v>
      </c>
      <c r="O91" s="7">
        <f t="shared" ref="O91:O121" si="38">IF(ISBLANK(M4),NA(),AW4)</f>
        <v>68</v>
      </c>
      <c r="P91" s="7">
        <f t="shared" ref="P91:P121" si="39">IF(ISBLANK(F4),NA(),AS4)</f>
        <v>12.3</v>
      </c>
      <c r="Q91" s="7">
        <f t="shared" ref="Q91:Q121" si="40">IF(ISBLANK(G4),NA(),AT4)</f>
        <v>27.1</v>
      </c>
      <c r="R91" s="7">
        <f t="shared" ref="R91:R121" si="41">IF(ISBLANK(H4),NA(),AU4)</f>
        <v>19.3</v>
      </c>
      <c r="S91" s="7">
        <f t="shared" ref="S91:S121" si="42">IF(ISBLANK(G4),NA(),AV4)</f>
        <v>14.8</v>
      </c>
      <c r="T91" s="1">
        <v>32</v>
      </c>
      <c r="U91" s="333">
        <f t="shared" ref="U91:U121" si="43">$Z$39/$E$34</f>
        <v>2.225806451612903</v>
      </c>
      <c r="V91" s="4">
        <v>1</v>
      </c>
      <c r="W91" s="7">
        <f t="shared" ref="W91:W121" si="44">0.273*V91</f>
        <v>0.27300000000000002</v>
      </c>
      <c r="X91" s="7">
        <f t="shared" ref="X91:X121" si="45">0.273*T91</f>
        <v>8.7360000000000007</v>
      </c>
      <c r="Y91" s="8">
        <f t="shared" ref="Y91:Y121" si="46">IF(ISBLANK(Q4),NA(),S4)</f>
        <v>2</v>
      </c>
      <c r="Z91" s="7">
        <f>IF(ISBLANK(Z4),NA(),SUM($Z$4:Z4))</f>
        <v>0</v>
      </c>
      <c r="AA91" s="7">
        <f>$AB$48*E4</f>
        <v>2.225806451612903</v>
      </c>
      <c r="AB91" s="26">
        <f>IF(ISBLANK(Z4),"",SUM($Z$4:Z4))</f>
        <v>0</v>
      </c>
      <c r="AC91" s="115">
        <f>IF(ISBLANK(Z4),NA(),AB91/AA91)</f>
        <v>0</v>
      </c>
      <c r="AD91" s="8">
        <f t="shared" ref="AD91:AD121" si="47">IF(ISBLANK(P4),NA(),AX4)</f>
        <v>1025</v>
      </c>
      <c r="AE91" s="610">
        <f t="shared" ref="AE91:AE121" si="48">IF(ISNA(AG91),"",AG91/AH91)</f>
        <v>2.7498628216177816</v>
      </c>
      <c r="AF91" s="524">
        <f t="shared" ref="AF91:AF121" si="49">IF(ISTEXT(BI49),NA(),IF(ISBLANK(BI49),NA(),BI49))</f>
        <v>0.3527777777777778</v>
      </c>
      <c r="AG91" s="22">
        <f>IF(ISBLANK(AP4),NA(),SUM($AP$4:AP4))</f>
        <v>10.3</v>
      </c>
      <c r="AH91" s="7">
        <f>SUM($AS$91:AS91)</f>
        <v>3.7456413894640646</v>
      </c>
      <c r="AI91" s="115">
        <f t="shared" ref="AI91:AI121" si="50">IF(ISBLANK(AP4),NA(),AG91/AH91)</f>
        <v>2.7498628216177816</v>
      </c>
      <c r="AJ91" s="124">
        <f t="shared" ref="AJ91:AJ121" si="51">IF(ISBLANK(F4),"",IF(Z4&gt;0.1,1,0))</f>
        <v>0</v>
      </c>
      <c r="AK91" s="8">
        <f t="shared" ref="AK91:AK121" si="52">IF(ISBLANK(P4),NA(),R4)</f>
        <v>1025</v>
      </c>
      <c r="AL91" s="124">
        <f t="shared" ref="AL91:AL121" si="53">IF(ISBLANK(Z4),"",IF(Z4&gt;0.9,1,0))</f>
        <v>0</v>
      </c>
      <c r="AM91" s="524">
        <f t="shared" ref="AM91:AM121" si="54">IF(ISTEXT(BH49),NA(),IF(ISBLANK(BH49),NA(),BH49))</f>
        <v>0.68194444444444446</v>
      </c>
      <c r="AN91" s="109">
        <f xml:space="preserve"> SUM(COUNTIF(AN4:AN34,"-"),COUNTIF(AN4:AN34,"*yy*"))</f>
        <v>20</v>
      </c>
      <c r="AO91" s="524">
        <f t="shared" ref="AO91:AO121" si="55">IF(ISTEXT(BG49),NA(),IF(ISBLANK(BG49),NA(),BG49))</f>
        <v>0.62083333333333335</v>
      </c>
      <c r="AR91" s="524">
        <f t="shared" ref="AR91:AR121" si="56">IF(ISTEXT(BF49),NA(),IF(ISBLANK(BF49),NA(),BF49))</f>
        <v>0.29791666666666666</v>
      </c>
      <c r="AS91" s="7">
        <f t="shared" ref="AS91:AS121" si="57">AT91/($AT$123/$AP$39)</f>
        <v>3.7456413894640646</v>
      </c>
      <c r="AT91" s="7">
        <v>10.432246516604982</v>
      </c>
      <c r="AU91" s="4">
        <v>1</v>
      </c>
      <c r="AV91" s="127">
        <f t="shared" ref="AV91:AV121" si="58">IF(ISBLANK(AP4),"",IF(AP4&gt;0.25*AT91,1,0))</f>
        <v>1</v>
      </c>
      <c r="AW91" s="124">
        <f>IF(ISBLANK(F4),"",IF(AY49&lt;BC91,1,0))</f>
        <v>0</v>
      </c>
      <c r="AX91" s="124">
        <f>IF(ISBLANK(G4),"",IF(AY49&gt;BD91,1,0))</f>
        <v>1</v>
      </c>
      <c r="AY91" s="124">
        <f t="shared" ref="AY91:AY121" si="59">IF(ISBLANK(F4),"",IF(P4&gt;1013,1,0))</f>
        <v>1</v>
      </c>
      <c r="AZ91" s="125">
        <f t="shared" ref="AZ91:AZ121" si="60">$U$39</f>
        <v>4.0889999999999995</v>
      </c>
      <c r="BA91" s="125">
        <f t="shared" ref="BA91:BA121" si="61">$BB$83</f>
        <v>9.7666666666666657</v>
      </c>
      <c r="BB91" s="125">
        <f t="shared" ref="BB91:BB121" si="62">$BC$83</f>
        <v>13.633333333333333</v>
      </c>
      <c r="BC91" s="7">
        <v>11.094888888888889</v>
      </c>
      <c r="BD91" s="7">
        <v>15.446444444444438</v>
      </c>
      <c r="BE91" s="124"/>
      <c r="BF91" s="8">
        <f t="shared" ref="BF91:BF121" si="63">IF(ISBLANK(M4),NA(),M4)</f>
        <v>68</v>
      </c>
      <c r="BG91" s="21">
        <f t="shared" ref="BG91:BG121" si="64">IF(ISBLANK(H4),NA(),H4)</f>
        <v>19.3</v>
      </c>
      <c r="BH91" s="124">
        <f t="shared" ref="BH91:BH121" si="65">IF(ISBLANK(F4),"",IF(Q4&lt;1013,1,0))</f>
        <v>0</v>
      </c>
      <c r="BI91" s="124">
        <f>IF(ISBLANK(L4),"",IF(AQ4&gt;0.4,1,0))</f>
        <v>0</v>
      </c>
      <c r="BJ91" s="144">
        <f t="shared" ref="BJ91:BJ121" si="66">IF(ISBLANK(Z4),"",Z4/3)</f>
        <v>0</v>
      </c>
      <c r="BL91" s="99">
        <v>1</v>
      </c>
    </row>
    <row r="92" spans="1:64" ht="12.75" x14ac:dyDescent="0.2">
      <c r="A92" s="8">
        <f t="shared" si="30"/>
        <v>57</v>
      </c>
      <c r="B92" s="125">
        <f t="shared" si="31"/>
        <v>8.8000000000000007</v>
      </c>
      <c r="C92" s="125">
        <f t="shared" si="32"/>
        <v>14.6</v>
      </c>
      <c r="D92" s="125">
        <f t="shared" ref="D92:D121" si="67">AVERAGE(B92:C92)</f>
        <v>11.7</v>
      </c>
      <c r="E92" s="125">
        <f t="shared" si="33"/>
        <v>5.7999999999999989</v>
      </c>
      <c r="F92" s="7">
        <v>9.9360000000000035</v>
      </c>
      <c r="G92" s="7">
        <v>16.414666666666658</v>
      </c>
      <c r="H92" s="7">
        <f t="shared" ref="H92:H121" si="68">AVERAGE(F92:G92)</f>
        <v>13.175333333333331</v>
      </c>
      <c r="I92" s="7">
        <f t="shared" ref="I92:I121" si="69">G92-F92</f>
        <v>6.4786666666666548</v>
      </c>
      <c r="K92" s="7">
        <f t="shared" si="34"/>
        <v>14.8</v>
      </c>
      <c r="L92" s="7">
        <f t="shared" si="35"/>
        <v>19.200000000000003</v>
      </c>
      <c r="M92" s="370">
        <f t="shared" si="36"/>
        <v>2.1</v>
      </c>
      <c r="N92" s="1">
        <f t="shared" si="37"/>
        <v>0</v>
      </c>
      <c r="O92" s="7">
        <f t="shared" si="38"/>
        <v>65.5</v>
      </c>
      <c r="P92" s="7">
        <f t="shared" si="39"/>
        <v>12.05</v>
      </c>
      <c r="Q92" s="7">
        <f t="shared" si="40"/>
        <v>26.85</v>
      </c>
      <c r="R92" s="7">
        <f t="shared" si="41"/>
        <v>19.350000000000001</v>
      </c>
      <c r="S92" s="7">
        <f t="shared" si="42"/>
        <v>14.8</v>
      </c>
      <c r="T92" s="1">
        <v>33</v>
      </c>
      <c r="U92" s="333">
        <f t="shared" si="43"/>
        <v>2.225806451612903</v>
      </c>
      <c r="V92" s="4">
        <v>2</v>
      </c>
      <c r="W92" s="7">
        <f t="shared" si="44"/>
        <v>0.54600000000000004</v>
      </c>
      <c r="X92" s="7">
        <f t="shared" si="45"/>
        <v>9.0090000000000003</v>
      </c>
      <c r="Y92" s="8">
        <f t="shared" si="46"/>
        <v>3</v>
      </c>
      <c r="Z92" s="7">
        <f>IF(ISBLANK(Z5),NA(),SUM($Z$4:Z5))</f>
        <v>0</v>
      </c>
      <c r="AA92" s="7">
        <f t="shared" ref="AA92:AA121" si="70">$AB$48*E5</f>
        <v>4.4516129032258061</v>
      </c>
      <c r="AB92" s="26">
        <f>IF(ISBLANK(Z5),"",SUM($Z$4:Z5))</f>
        <v>0</v>
      </c>
      <c r="AC92" s="115">
        <f t="shared" ref="AC92:AC121" si="71">IF(ISBLANK(Z5),NA(),AB92/AA92)</f>
        <v>0</v>
      </c>
      <c r="AD92" s="8">
        <f t="shared" si="47"/>
        <v>1024.25</v>
      </c>
      <c r="AE92" s="610">
        <f t="shared" si="48"/>
        <v>2.7714580525000652</v>
      </c>
      <c r="AF92" s="524">
        <f t="shared" si="49"/>
        <v>0.35347222222222219</v>
      </c>
      <c r="AG92" s="22">
        <f>IF(ISBLANK(AP5),NA(),SUM($AP$4:AP5))</f>
        <v>20.700000000000003</v>
      </c>
      <c r="AH92" s="7">
        <f>SUM($AS$91:AS92)</f>
        <v>7.468992713538289</v>
      </c>
      <c r="AI92" s="115">
        <f t="shared" si="50"/>
        <v>2.7714580525000652</v>
      </c>
      <c r="AJ92" s="124">
        <f t="shared" si="51"/>
        <v>0</v>
      </c>
      <c r="AK92" s="8">
        <f t="shared" si="52"/>
        <v>1023.5</v>
      </c>
      <c r="AL92" s="124">
        <f t="shared" si="53"/>
        <v>0</v>
      </c>
      <c r="AM92" s="524">
        <f t="shared" si="54"/>
        <v>0.68472222222222223</v>
      </c>
      <c r="AN92" s="45">
        <f t="array" ref="AN92">MAX(FREQUENCY(IF(AJ91:AJ121=0,ROW(91:121)),IF(AJ91:AJ121&lt;&gt;0,ROW(91:121))))</f>
        <v>8</v>
      </c>
      <c r="AO92" s="524">
        <f t="shared" si="55"/>
        <v>0.62986111111111109</v>
      </c>
      <c r="AP92" s="59" t="s">
        <v>113</v>
      </c>
      <c r="AQ92" s="447">
        <v>2.3E-2</v>
      </c>
      <c r="AR92" s="524">
        <f t="shared" si="56"/>
        <v>0.29791666666666666</v>
      </c>
      <c r="AS92" s="7">
        <f t="shared" si="57"/>
        <v>3.7233513240742244</v>
      </c>
      <c r="AT92" s="7">
        <v>10.3701649041815</v>
      </c>
      <c r="AU92" s="4">
        <v>2</v>
      </c>
      <c r="AV92" s="127">
        <f t="shared" si="58"/>
        <v>1</v>
      </c>
      <c r="AW92" s="124">
        <f t="shared" ref="AW92:AW121" si="72">IF(ISBLANK(F5),"",IF(AY50&lt;BC92,1,0))</f>
        <v>0</v>
      </c>
      <c r="AX92" s="124">
        <f t="shared" ref="AX92:AX121" si="73">IF(ISBLANK(G5),"",IF(AY50&gt;BD92,1,0))</f>
        <v>1</v>
      </c>
      <c r="AY92" s="124">
        <f t="shared" si="59"/>
        <v>1</v>
      </c>
      <c r="AZ92" s="125">
        <f t="shared" si="60"/>
        <v>4.0889999999999995</v>
      </c>
      <c r="BA92" s="125">
        <f t="shared" si="61"/>
        <v>9.7666666666666657</v>
      </c>
      <c r="BB92" s="125">
        <f t="shared" si="62"/>
        <v>13.633333333333333</v>
      </c>
      <c r="BC92" s="7">
        <v>11.01577777777778</v>
      </c>
      <c r="BD92" s="7">
        <v>15.334888888888882</v>
      </c>
      <c r="BE92" s="124"/>
      <c r="BF92" s="8">
        <f t="shared" si="63"/>
        <v>63</v>
      </c>
      <c r="BG92" s="21">
        <f t="shared" si="64"/>
        <v>19.399999999999999</v>
      </c>
      <c r="BH92" s="124">
        <f t="shared" si="65"/>
        <v>0</v>
      </c>
      <c r="BI92" s="124">
        <f t="shared" ref="BI92:BI121" si="74">IF(ISBLANK(L5),"",IF(AQ5&gt;0.4,1,0))</f>
        <v>0</v>
      </c>
      <c r="BJ92" s="144">
        <f t="shared" si="66"/>
        <v>0</v>
      </c>
      <c r="BL92" s="99">
        <v>2</v>
      </c>
    </row>
    <row r="93" spans="1:64" ht="12.75" x14ac:dyDescent="0.2">
      <c r="A93" s="8">
        <f t="shared" si="30"/>
        <v>43</v>
      </c>
      <c r="B93" s="125">
        <f t="shared" si="31"/>
        <v>8.8000000000000007</v>
      </c>
      <c r="C93" s="125">
        <f t="shared" si="32"/>
        <v>14.6</v>
      </c>
      <c r="D93" s="125">
        <f t="shared" si="67"/>
        <v>11.7</v>
      </c>
      <c r="E93" s="125">
        <f t="shared" si="33"/>
        <v>5.7999999999999989</v>
      </c>
      <c r="F93" s="7">
        <v>9.8650000000000002</v>
      </c>
      <c r="G93" s="7">
        <v>16.295000000000002</v>
      </c>
      <c r="H93" s="7">
        <f t="shared" si="68"/>
        <v>13.080000000000002</v>
      </c>
      <c r="I93" s="7">
        <f t="shared" si="69"/>
        <v>6.4300000000000015</v>
      </c>
      <c r="K93" s="7">
        <f t="shared" si="34"/>
        <v>9.1</v>
      </c>
      <c r="L93" s="7">
        <f t="shared" si="35"/>
        <v>20.75</v>
      </c>
      <c r="M93" s="370">
        <f t="shared" si="36"/>
        <v>3.5</v>
      </c>
      <c r="N93" s="1">
        <f t="shared" si="37"/>
        <v>0</v>
      </c>
      <c r="O93" s="7">
        <f t="shared" si="38"/>
        <v>63.333333333333336</v>
      </c>
      <c r="P93" s="7">
        <f t="shared" si="39"/>
        <v>13.433333333333332</v>
      </c>
      <c r="Q93" s="7">
        <f t="shared" si="40"/>
        <v>26.333333333333332</v>
      </c>
      <c r="R93" s="7">
        <f t="shared" si="41"/>
        <v>19.533333333333335</v>
      </c>
      <c r="S93" s="7">
        <f t="shared" si="42"/>
        <v>12.9</v>
      </c>
      <c r="T93" s="1">
        <v>34</v>
      </c>
      <c r="U93" s="333">
        <f t="shared" si="43"/>
        <v>2.225806451612903</v>
      </c>
      <c r="V93" s="4">
        <v>3</v>
      </c>
      <c r="W93" s="7">
        <f t="shared" si="44"/>
        <v>0.81900000000000006</v>
      </c>
      <c r="X93" s="7">
        <f t="shared" si="45"/>
        <v>9.282</v>
      </c>
      <c r="Y93" s="8">
        <f t="shared" si="46"/>
        <v>6</v>
      </c>
      <c r="Z93" s="7">
        <f>IF(ISBLANK(Z6),NA(),SUM($Z$4:Z6))</f>
        <v>0</v>
      </c>
      <c r="AA93" s="7">
        <f t="shared" si="70"/>
        <v>6.6774193548387091</v>
      </c>
      <c r="AB93" s="26">
        <f>IF(ISBLANK(Z6),"",SUM($Z$4:Z6))</f>
        <v>0</v>
      </c>
      <c r="AC93" s="115">
        <f t="shared" si="71"/>
        <v>0</v>
      </c>
      <c r="AD93" s="8">
        <f t="shared" si="47"/>
        <v>1022.5</v>
      </c>
      <c r="AE93" s="610">
        <f t="shared" si="48"/>
        <v>2.6141252245208246</v>
      </c>
      <c r="AF93" s="524" t="e">
        <f t="shared" si="49"/>
        <v>#N/A</v>
      </c>
      <c r="AG93" s="22">
        <f>IF(ISBLANK(AP6),NA(),SUM($AP$4:AP6))</f>
        <v>29.200000000000003</v>
      </c>
      <c r="AH93" s="7">
        <f>SUM($AS$91:AS93)</f>
        <v>11.170084633322197</v>
      </c>
      <c r="AI93" s="115">
        <f t="shared" si="50"/>
        <v>2.6141252245208246</v>
      </c>
      <c r="AJ93" s="124">
        <f t="shared" si="51"/>
        <v>0</v>
      </c>
      <c r="AK93" s="8">
        <f t="shared" si="52"/>
        <v>1019</v>
      </c>
      <c r="AL93" s="124">
        <f t="shared" si="53"/>
        <v>0</v>
      </c>
      <c r="AM93" s="524">
        <f t="shared" si="54"/>
        <v>0.6645833333333333</v>
      </c>
      <c r="AN93" s="150">
        <f>COUNTIF(E72:E80, "&lt;-0.5")</f>
        <v>1</v>
      </c>
      <c r="AO93" s="524">
        <f t="shared" si="55"/>
        <v>0.63680555555555551</v>
      </c>
      <c r="AP93" s="59" t="s">
        <v>206</v>
      </c>
      <c r="AQ93" s="447">
        <v>1.7000000000000001E-2</v>
      </c>
      <c r="AR93" s="524">
        <f t="shared" si="56"/>
        <v>0.31527777777777777</v>
      </c>
      <c r="AS93" s="7">
        <f t="shared" si="57"/>
        <v>3.7010919197839076</v>
      </c>
      <c r="AT93" s="7">
        <v>10.308168688120201</v>
      </c>
      <c r="AU93" s="4">
        <v>3</v>
      </c>
      <c r="AV93" s="127">
        <f t="shared" si="58"/>
        <v>1</v>
      </c>
      <c r="AW93" s="124">
        <f t="shared" si="72"/>
        <v>0</v>
      </c>
      <c r="AX93" s="124">
        <f t="shared" si="73"/>
        <v>1</v>
      </c>
      <c r="AY93" s="124">
        <f t="shared" si="59"/>
        <v>1</v>
      </c>
      <c r="AZ93" s="125">
        <f t="shared" si="60"/>
        <v>4.0889999999999995</v>
      </c>
      <c r="BA93" s="125">
        <f t="shared" si="61"/>
        <v>9.7666666666666657</v>
      </c>
      <c r="BB93" s="125">
        <f t="shared" si="62"/>
        <v>13.633333333333333</v>
      </c>
      <c r="BC93" s="7">
        <v>10.936666666666669</v>
      </c>
      <c r="BD93" s="7">
        <v>15.223333333333327</v>
      </c>
      <c r="BE93" s="124"/>
      <c r="BF93" s="8">
        <f t="shared" si="63"/>
        <v>59</v>
      </c>
      <c r="BG93" s="21">
        <f t="shared" si="64"/>
        <v>19.899999999999999</v>
      </c>
      <c r="BH93" s="124">
        <f t="shared" si="65"/>
        <v>0</v>
      </c>
      <c r="BI93" s="124">
        <f t="shared" si="74"/>
        <v>0</v>
      </c>
      <c r="BJ93" s="144">
        <f t="shared" si="66"/>
        <v>0</v>
      </c>
      <c r="BL93" s="99">
        <v>3</v>
      </c>
    </row>
    <row r="94" spans="1:64" ht="12.75" x14ac:dyDescent="0.2">
      <c r="A94" s="8">
        <f t="shared" si="30"/>
        <v>16</v>
      </c>
      <c r="B94" s="125">
        <f t="shared" si="31"/>
        <v>8.8000000000000007</v>
      </c>
      <c r="C94" s="125">
        <f t="shared" si="32"/>
        <v>14.6</v>
      </c>
      <c r="D94" s="125">
        <f t="shared" si="67"/>
        <v>11.7</v>
      </c>
      <c r="E94" s="125">
        <f t="shared" si="33"/>
        <v>5.7999999999999989</v>
      </c>
      <c r="F94" s="7">
        <v>9.794000000000004</v>
      </c>
      <c r="G94" s="7">
        <v>16.175333333333324</v>
      </c>
      <c r="H94" s="7">
        <f t="shared" si="68"/>
        <v>12.984666666666664</v>
      </c>
      <c r="I94" s="7">
        <f t="shared" si="69"/>
        <v>6.3813333333333198</v>
      </c>
      <c r="K94" s="7">
        <f t="shared" si="34"/>
        <v>2.9</v>
      </c>
      <c r="L94" s="7">
        <f t="shared" si="35"/>
        <v>17.25</v>
      </c>
      <c r="M94" s="370">
        <f t="shared" si="36"/>
        <v>4.2249999999999996</v>
      </c>
      <c r="N94" s="1">
        <f t="shared" si="37"/>
        <v>0</v>
      </c>
      <c r="O94" s="7">
        <f t="shared" si="38"/>
        <v>66.25</v>
      </c>
      <c r="P94" s="7">
        <f t="shared" si="39"/>
        <v>14.024999999999999</v>
      </c>
      <c r="Q94" s="7">
        <f t="shared" si="40"/>
        <v>24.425000000000001</v>
      </c>
      <c r="R94" s="7">
        <f t="shared" si="41"/>
        <v>18.95</v>
      </c>
      <c r="S94" s="7">
        <f t="shared" si="42"/>
        <v>10.4</v>
      </c>
      <c r="T94" s="1">
        <v>35</v>
      </c>
      <c r="U94" s="333">
        <f t="shared" si="43"/>
        <v>2.225806451612903</v>
      </c>
      <c r="V94" s="4">
        <v>4</v>
      </c>
      <c r="W94" s="7">
        <f t="shared" si="44"/>
        <v>1.0920000000000001</v>
      </c>
      <c r="X94" s="7">
        <f t="shared" si="45"/>
        <v>9.5550000000000015</v>
      </c>
      <c r="Y94" s="8">
        <f t="shared" si="46"/>
        <v>3</v>
      </c>
      <c r="Z94" s="7">
        <f>IF(ISBLANK(Z7),NA(),SUM($Z$4:Z7))</f>
        <v>0</v>
      </c>
      <c r="AA94" s="7">
        <f t="shared" si="70"/>
        <v>8.9032258064516121</v>
      </c>
      <c r="AB94" s="26">
        <f>IF(ISBLANK(Z7),"",SUM($Z$4:Z7))</f>
        <v>0</v>
      </c>
      <c r="AC94" s="115">
        <f t="shared" si="71"/>
        <v>0</v>
      </c>
      <c r="AD94" s="8">
        <f t="shared" si="47"/>
        <v>1021.75</v>
      </c>
      <c r="AE94" s="610">
        <f t="shared" si="48"/>
        <v>2.0338137212127139</v>
      </c>
      <c r="AF94" s="524" t="e">
        <f t="shared" si="49"/>
        <v>#N/A</v>
      </c>
      <c r="AG94" s="22">
        <f>IF(ISBLANK(AP7),NA(),SUM($AP$4:AP7))</f>
        <v>30.200000000000003</v>
      </c>
      <c r="AH94" s="7">
        <f>SUM($AS$91:AS94)</f>
        <v>14.848950857698252</v>
      </c>
      <c r="AI94" s="115">
        <f t="shared" si="50"/>
        <v>2.0338137212127139</v>
      </c>
      <c r="AJ94" s="124">
        <f t="shared" si="51"/>
        <v>0</v>
      </c>
      <c r="AK94" s="8">
        <f t="shared" si="52"/>
        <v>1019.5</v>
      </c>
      <c r="AL94" s="124">
        <f t="shared" si="53"/>
        <v>0</v>
      </c>
      <c r="AM94" s="524">
        <f t="shared" si="54"/>
        <v>0.64722222222222225</v>
      </c>
      <c r="AN94" s="141">
        <f t="array" ref="AN94">MAX(FREQUENCY(IF(BI91:BI121=1,ROW(91:121)),IF(BI91:BI121&lt;&gt;1,ROW(91:121))))</f>
        <v>4</v>
      </c>
      <c r="AO94" s="524">
        <f t="shared" si="55"/>
        <v>0.66736111111111107</v>
      </c>
      <c r="AP94" s="449" t="s">
        <v>105</v>
      </c>
      <c r="AQ94" s="448">
        <v>1.9E-2</v>
      </c>
      <c r="AR94" s="524">
        <f t="shared" si="56"/>
        <v>0.31736111111111115</v>
      </c>
      <c r="AS94" s="7">
        <f t="shared" si="57"/>
        <v>3.6788662243760548</v>
      </c>
      <c r="AT94" s="7">
        <v>10.246266357013466</v>
      </c>
      <c r="AU94" s="4">
        <v>4</v>
      </c>
      <c r="AV94" s="127">
        <f t="shared" si="58"/>
        <v>0</v>
      </c>
      <c r="AW94" s="124">
        <f t="shared" si="72"/>
        <v>0</v>
      </c>
      <c r="AX94" s="124">
        <f t="shared" si="73"/>
        <v>1</v>
      </c>
      <c r="AY94" s="124">
        <f t="shared" si="59"/>
        <v>1</v>
      </c>
      <c r="AZ94" s="125">
        <f t="shared" si="60"/>
        <v>4.0889999999999995</v>
      </c>
      <c r="BA94" s="125">
        <f t="shared" si="61"/>
        <v>9.7666666666666657</v>
      </c>
      <c r="BB94" s="125">
        <f t="shared" si="62"/>
        <v>13.633333333333333</v>
      </c>
      <c r="BC94" s="7">
        <v>10.857555555555557</v>
      </c>
      <c r="BD94" s="7">
        <v>15.111777777777771</v>
      </c>
      <c r="BE94" s="124"/>
      <c r="BF94" s="8">
        <f t="shared" si="63"/>
        <v>75</v>
      </c>
      <c r="BG94" s="21">
        <f t="shared" si="64"/>
        <v>17.2</v>
      </c>
      <c r="BH94" s="124">
        <f t="shared" si="65"/>
        <v>0</v>
      </c>
      <c r="BI94" s="124">
        <f t="shared" si="74"/>
        <v>0</v>
      </c>
      <c r="BJ94" s="144">
        <f t="shared" si="66"/>
        <v>0</v>
      </c>
      <c r="BL94" s="99">
        <v>4</v>
      </c>
    </row>
    <row r="95" spans="1:64" ht="12.75" x14ac:dyDescent="0.2">
      <c r="A95" s="8">
        <f t="shared" si="30"/>
        <v>24</v>
      </c>
      <c r="B95" s="125">
        <f t="shared" si="31"/>
        <v>8.8000000000000007</v>
      </c>
      <c r="C95" s="125">
        <f t="shared" si="32"/>
        <v>14.6</v>
      </c>
      <c r="D95" s="125">
        <f t="shared" si="67"/>
        <v>11.7</v>
      </c>
      <c r="E95" s="125">
        <f t="shared" si="33"/>
        <v>5.7999999999999989</v>
      </c>
      <c r="F95" s="7">
        <v>9.7230000000000043</v>
      </c>
      <c r="G95" s="7">
        <v>16.055666666666657</v>
      </c>
      <c r="H95" s="7">
        <f t="shared" si="68"/>
        <v>12.88933333333333</v>
      </c>
      <c r="I95" s="7">
        <f t="shared" si="69"/>
        <v>6.3326666666666522</v>
      </c>
      <c r="K95" s="7">
        <f t="shared" si="34"/>
        <v>3.3</v>
      </c>
      <c r="L95" s="7">
        <f t="shared" si="35"/>
        <v>17.450000000000003</v>
      </c>
      <c r="M95" s="370">
        <f t="shared" si="36"/>
        <v>5.04</v>
      </c>
      <c r="N95" s="1">
        <f t="shared" si="37"/>
        <v>3.3333333333333333E-2</v>
      </c>
      <c r="O95" s="7">
        <f t="shared" si="38"/>
        <v>68.599999999999994</v>
      </c>
      <c r="P95" s="7">
        <f t="shared" si="39"/>
        <v>14.379999999999999</v>
      </c>
      <c r="Q95" s="7">
        <f t="shared" si="40"/>
        <v>23.360000000000003</v>
      </c>
      <c r="R95" s="7">
        <f t="shared" si="41"/>
        <v>18.619999999999997</v>
      </c>
      <c r="S95" s="7">
        <f t="shared" si="42"/>
        <v>8.98</v>
      </c>
      <c r="T95" s="1">
        <v>36</v>
      </c>
      <c r="U95" s="333">
        <f t="shared" si="43"/>
        <v>2.225806451612903</v>
      </c>
      <c r="V95" s="4">
        <v>5</v>
      </c>
      <c r="W95" s="7">
        <f t="shared" si="44"/>
        <v>1.3650000000000002</v>
      </c>
      <c r="X95" s="7">
        <f t="shared" si="45"/>
        <v>9.8280000000000012</v>
      </c>
      <c r="Y95" s="8">
        <f t="shared" si="46"/>
        <v>10</v>
      </c>
      <c r="Z95" s="7">
        <f>IF(ISBLANK(Z8),NA(),SUM($Z$4:Z8))</f>
        <v>0.1</v>
      </c>
      <c r="AA95" s="7">
        <f t="shared" si="70"/>
        <v>11.129032258064516</v>
      </c>
      <c r="AB95" s="26">
        <f>IF(ISBLANK(Z8),"",SUM($Z$4:Z8))</f>
        <v>0.1</v>
      </c>
      <c r="AC95" s="115">
        <f t="shared" si="71"/>
        <v>8.9855072463768115E-3</v>
      </c>
      <c r="AD95" s="8">
        <f t="shared" si="47"/>
        <v>1020.4</v>
      </c>
      <c r="AE95" s="610">
        <f t="shared" si="48"/>
        <v>1.6859735664152489</v>
      </c>
      <c r="AF95" s="524">
        <f t="shared" si="49"/>
        <v>0.29652777777777778</v>
      </c>
      <c r="AG95" s="22">
        <f>IF(ISBLANK(AP8),NA(),SUM($AP$4:AP8))</f>
        <v>31.200000000000003</v>
      </c>
      <c r="AH95" s="7">
        <f>SUM($AS$91:AS95)</f>
        <v>18.505628214763814</v>
      </c>
      <c r="AI95" s="115">
        <f t="shared" si="50"/>
        <v>1.6859735664152489</v>
      </c>
      <c r="AJ95" s="124">
        <f t="shared" si="51"/>
        <v>0</v>
      </c>
      <c r="AK95" s="8">
        <f t="shared" si="52"/>
        <v>1015</v>
      </c>
      <c r="AL95" s="124">
        <f t="shared" si="53"/>
        <v>0</v>
      </c>
      <c r="AM95" s="524">
        <f t="shared" si="54"/>
        <v>0.54236111111111118</v>
      </c>
      <c r="AN95" s="141">
        <f t="array" ref="AN95">MAX(FREQUENCY(IF(BI91:BI121=0,ROW(91:121)),IF(BI91:BI121&lt;&gt;0,ROW(91:121))))</f>
        <v>8</v>
      </c>
      <c r="AO95" s="524">
        <f t="shared" si="55"/>
        <v>0.54513888888888895</v>
      </c>
      <c r="AP95" s="449" t="s">
        <v>207</v>
      </c>
      <c r="AQ95" s="448">
        <v>3.3000000000000002E-2</v>
      </c>
      <c r="AR95" s="524">
        <f t="shared" si="56"/>
        <v>6.6666666666666666E-2</v>
      </c>
      <c r="AS95" s="7">
        <f t="shared" si="57"/>
        <v>3.6566773570655626</v>
      </c>
      <c r="AT95" s="7">
        <v>10.184466598403789</v>
      </c>
      <c r="AU95" s="4">
        <v>5</v>
      </c>
      <c r="AV95" s="127">
        <f t="shared" si="58"/>
        <v>0</v>
      </c>
      <c r="AW95" s="124">
        <f t="shared" si="72"/>
        <v>0</v>
      </c>
      <c r="AX95" s="124">
        <f t="shared" si="73"/>
        <v>1</v>
      </c>
      <c r="AY95" s="124">
        <f t="shared" si="59"/>
        <v>0</v>
      </c>
      <c r="AZ95" s="125">
        <f t="shared" si="60"/>
        <v>4.0889999999999995</v>
      </c>
      <c r="BA95" s="125">
        <f t="shared" si="61"/>
        <v>9.7666666666666657</v>
      </c>
      <c r="BB95" s="125">
        <f t="shared" si="62"/>
        <v>13.633333333333333</v>
      </c>
      <c r="BC95" s="7">
        <v>10.778444444444446</v>
      </c>
      <c r="BD95" s="7">
        <v>15.000222222222213</v>
      </c>
      <c r="BE95" s="124"/>
      <c r="BF95" s="8">
        <f t="shared" si="63"/>
        <v>78</v>
      </c>
      <c r="BG95" s="21">
        <f t="shared" si="64"/>
        <v>17.3</v>
      </c>
      <c r="BH95" s="124">
        <f t="shared" si="65"/>
        <v>0</v>
      </c>
      <c r="BI95" s="124">
        <f t="shared" si="74"/>
        <v>0</v>
      </c>
      <c r="BJ95" s="144">
        <f t="shared" si="66"/>
        <v>3.3333333333333333E-2</v>
      </c>
      <c r="BL95" s="99">
        <v>5</v>
      </c>
    </row>
    <row r="96" spans="1:64" ht="12.75" x14ac:dyDescent="0.2">
      <c r="A96" s="8">
        <f t="shared" si="30"/>
        <v>49</v>
      </c>
      <c r="B96" s="125">
        <f t="shared" si="31"/>
        <v>8.8000000000000007</v>
      </c>
      <c r="C96" s="125">
        <f t="shared" si="32"/>
        <v>14.6</v>
      </c>
      <c r="D96" s="125">
        <f t="shared" si="67"/>
        <v>11.7</v>
      </c>
      <c r="E96" s="125">
        <f t="shared" si="33"/>
        <v>5.7999999999999989</v>
      </c>
      <c r="F96" s="7">
        <v>9.6520000000000046</v>
      </c>
      <c r="G96" s="7">
        <v>15.935999999999989</v>
      </c>
      <c r="H96" s="7">
        <f t="shared" si="68"/>
        <v>12.793999999999997</v>
      </c>
      <c r="I96" s="7">
        <f t="shared" si="69"/>
        <v>6.2839999999999847</v>
      </c>
      <c r="K96" s="7">
        <f t="shared" si="34"/>
        <v>6.6</v>
      </c>
      <c r="L96" s="7">
        <f t="shared" si="35"/>
        <v>14</v>
      </c>
      <c r="M96" s="370">
        <f t="shared" si="36"/>
        <v>5.666666666666667</v>
      </c>
      <c r="N96" s="1">
        <f t="shared" si="37"/>
        <v>1.2</v>
      </c>
      <c r="O96" s="7">
        <f t="shared" si="38"/>
        <v>68</v>
      </c>
      <c r="P96" s="7">
        <f t="shared" si="39"/>
        <v>13.766666666666666</v>
      </c>
      <c r="Q96" s="7">
        <f t="shared" si="40"/>
        <v>22.350000000000005</v>
      </c>
      <c r="R96" s="7">
        <f t="shared" si="41"/>
        <v>17.75</v>
      </c>
      <c r="S96" s="7">
        <f t="shared" si="42"/>
        <v>8.5833333333333339</v>
      </c>
      <c r="T96" s="1">
        <v>37</v>
      </c>
      <c r="U96" s="333">
        <f t="shared" si="43"/>
        <v>2.225806451612903</v>
      </c>
      <c r="V96" s="4">
        <v>6</v>
      </c>
      <c r="W96" s="7">
        <f t="shared" si="44"/>
        <v>1.6380000000000001</v>
      </c>
      <c r="X96" s="7">
        <f t="shared" si="45"/>
        <v>10.101000000000001</v>
      </c>
      <c r="Y96" s="8">
        <f t="shared" si="46"/>
        <v>4</v>
      </c>
      <c r="Z96" s="7">
        <f>IF(ISBLANK(Z9),NA(),SUM($Z$4:Z9))</f>
        <v>3.7</v>
      </c>
      <c r="AA96" s="7">
        <f t="shared" si="70"/>
        <v>13.354838709677418</v>
      </c>
      <c r="AB96" s="26">
        <f>IF(ISBLANK(Z9),"",SUM($Z$4:Z9))</f>
        <v>3.7</v>
      </c>
      <c r="AC96" s="115">
        <f t="shared" si="71"/>
        <v>0.27705314009661841</v>
      </c>
      <c r="AD96" s="8">
        <f t="shared" si="47"/>
        <v>1018.5</v>
      </c>
      <c r="AE96" s="610">
        <f t="shared" si="48"/>
        <v>1.725371706597961</v>
      </c>
      <c r="AF96" s="524">
        <f t="shared" si="49"/>
        <v>0.11874999999999999</v>
      </c>
      <c r="AG96" s="22">
        <f>IF(ISBLANK(AP9),NA(),SUM($AP$4:AP9))</f>
        <v>38.200000000000003</v>
      </c>
      <c r="AH96" s="7">
        <f>SUM($AS$91:AS96)</f>
        <v>22.14015672908053</v>
      </c>
      <c r="AI96" s="115">
        <f t="shared" si="50"/>
        <v>1.725371706597961</v>
      </c>
      <c r="AJ96" s="124">
        <f t="shared" si="51"/>
        <v>1</v>
      </c>
      <c r="AK96" s="8">
        <f t="shared" si="52"/>
        <v>1009</v>
      </c>
      <c r="AL96" s="124">
        <f t="shared" si="53"/>
        <v>1</v>
      </c>
      <c r="AM96" s="524">
        <f t="shared" si="54"/>
        <v>0.65208333333333335</v>
      </c>
      <c r="AN96" s="124">
        <f>COUNTIF(AU50:AU60, "&lt;-0.5")</f>
        <v>1</v>
      </c>
      <c r="AO96" s="524">
        <f t="shared" si="55"/>
        <v>0.64583333333333337</v>
      </c>
      <c r="AP96" s="449" t="s">
        <v>106</v>
      </c>
      <c r="AQ96" s="448">
        <v>3.9E-2</v>
      </c>
      <c r="AR96" s="524">
        <f t="shared" si="56"/>
        <v>0.34722222222222227</v>
      </c>
      <c r="AS96" s="7">
        <f t="shared" si="57"/>
        <v>3.6345285143167163</v>
      </c>
      <c r="AT96" s="7">
        <v>10.122778314986315</v>
      </c>
      <c r="AU96" s="4">
        <v>6</v>
      </c>
      <c r="AV96" s="127">
        <f t="shared" si="58"/>
        <v>1</v>
      </c>
      <c r="AW96" s="124">
        <f t="shared" si="72"/>
        <v>0</v>
      </c>
      <c r="AX96" s="124">
        <f t="shared" si="73"/>
        <v>0</v>
      </c>
      <c r="AY96" s="124">
        <f t="shared" si="59"/>
        <v>0</v>
      </c>
      <c r="AZ96" s="125">
        <f t="shared" si="60"/>
        <v>4.0889999999999995</v>
      </c>
      <c r="BA96" s="125">
        <f t="shared" si="61"/>
        <v>9.7666666666666657</v>
      </c>
      <c r="BB96" s="125">
        <f t="shared" si="62"/>
        <v>13.633333333333333</v>
      </c>
      <c r="BC96" s="7">
        <v>10.699333333333335</v>
      </c>
      <c r="BD96" s="7">
        <v>14.888666666666659</v>
      </c>
      <c r="BE96" s="124"/>
      <c r="BF96" s="8">
        <f t="shared" si="63"/>
        <v>65</v>
      </c>
      <c r="BG96" s="21">
        <f t="shared" si="64"/>
        <v>13.4</v>
      </c>
      <c r="BH96" s="124">
        <f t="shared" si="65"/>
        <v>1</v>
      </c>
      <c r="BI96" s="124">
        <f t="shared" si="74"/>
        <v>1</v>
      </c>
      <c r="BJ96" s="144">
        <f t="shared" si="66"/>
        <v>1.2</v>
      </c>
      <c r="BL96" s="99">
        <v>6</v>
      </c>
    </row>
    <row r="97" spans="1:64" ht="12.75" x14ac:dyDescent="0.2">
      <c r="A97" s="8">
        <f t="shared" si="30"/>
        <v>25</v>
      </c>
      <c r="B97" s="125">
        <f t="shared" si="31"/>
        <v>8.8000000000000007</v>
      </c>
      <c r="C97" s="125">
        <f t="shared" si="32"/>
        <v>14.6</v>
      </c>
      <c r="D97" s="125">
        <f t="shared" si="67"/>
        <v>11.7</v>
      </c>
      <c r="E97" s="125">
        <f t="shared" si="33"/>
        <v>5.7999999999999989</v>
      </c>
      <c r="F97" s="7">
        <v>9.5810000000000048</v>
      </c>
      <c r="G97" s="7">
        <v>15.816333333333322</v>
      </c>
      <c r="H97" s="7">
        <f t="shared" si="68"/>
        <v>12.698666666666664</v>
      </c>
      <c r="I97" s="7">
        <f t="shared" si="69"/>
        <v>6.2353333333333172</v>
      </c>
      <c r="K97" s="7">
        <f t="shared" si="34"/>
        <v>6</v>
      </c>
      <c r="L97" s="7">
        <f t="shared" si="35"/>
        <v>12.1</v>
      </c>
      <c r="M97" s="370">
        <f t="shared" si="36"/>
        <v>5.7</v>
      </c>
      <c r="N97" s="1">
        <f t="shared" si="37"/>
        <v>3.3333333333333333E-2</v>
      </c>
      <c r="O97" s="7">
        <f t="shared" si="38"/>
        <v>68.142857142857139</v>
      </c>
      <c r="P97" s="7">
        <f t="shared" si="39"/>
        <v>13.099999999999998</v>
      </c>
      <c r="Q97" s="7">
        <f t="shared" si="40"/>
        <v>21.314285714285717</v>
      </c>
      <c r="R97" s="7">
        <f t="shared" si="41"/>
        <v>16.885714285714286</v>
      </c>
      <c r="S97" s="7">
        <f t="shared" si="42"/>
        <v>8.2142857142857135</v>
      </c>
      <c r="T97" s="1">
        <v>38</v>
      </c>
      <c r="U97" s="333">
        <f t="shared" si="43"/>
        <v>2.225806451612903</v>
      </c>
      <c r="V97" s="4">
        <v>7</v>
      </c>
      <c r="W97" s="7">
        <f t="shared" si="44"/>
        <v>1.911</v>
      </c>
      <c r="X97" s="7">
        <f t="shared" si="45"/>
        <v>10.374000000000001</v>
      </c>
      <c r="Y97" s="8">
        <f t="shared" si="46"/>
        <v>11</v>
      </c>
      <c r="Z97" s="7">
        <f>IF(ISBLANK(Z10),NA(),SUM($Z$4:Z10))</f>
        <v>3.8000000000000003</v>
      </c>
      <c r="AA97" s="7">
        <f t="shared" si="70"/>
        <v>15.58064516129032</v>
      </c>
      <c r="AB97" s="26">
        <f>IF(ISBLANK(Z10),"",SUM($Z$4:Z10))</f>
        <v>3.8000000000000003</v>
      </c>
      <c r="AC97" s="115">
        <f t="shared" si="71"/>
        <v>0.2438923395445135</v>
      </c>
      <c r="AD97" s="8">
        <f t="shared" si="47"/>
        <v>1018.2142857142857</v>
      </c>
      <c r="AE97" s="610">
        <f t="shared" si="48"/>
        <v>1.5804241930977572</v>
      </c>
      <c r="AF97" s="524" t="e">
        <f t="shared" si="49"/>
        <v>#N/A</v>
      </c>
      <c r="AG97" s="22">
        <f>IF(ISBLANK(AP10),NA(),SUM($AP$4:AP10))</f>
        <v>40.700000000000003</v>
      </c>
      <c r="AH97" s="7">
        <f>SUM($AS$91:AS97)</f>
        <v>25.752579704708751</v>
      </c>
      <c r="AI97" s="115">
        <f t="shared" si="50"/>
        <v>1.5804241930977572</v>
      </c>
      <c r="AJ97" s="124">
        <f t="shared" si="51"/>
        <v>0</v>
      </c>
      <c r="AK97" s="8">
        <f t="shared" si="52"/>
        <v>1016.5</v>
      </c>
      <c r="AL97" s="124">
        <f t="shared" si="53"/>
        <v>0</v>
      </c>
      <c r="AM97" s="524">
        <f t="shared" si="54"/>
        <v>0.70694444444444438</v>
      </c>
      <c r="AN97" s="150">
        <f>COUNTIF(E48:E66,"&gt;0.5")</f>
        <v>3</v>
      </c>
      <c r="AO97" s="524">
        <f t="shared" si="55"/>
        <v>0.65416666666666667</v>
      </c>
      <c r="AP97" s="449" t="s">
        <v>208</v>
      </c>
      <c r="AQ97" s="448">
        <v>4.2999999999999997E-2</v>
      </c>
      <c r="AR97" s="524">
        <f t="shared" si="56"/>
        <v>0.25069444444444444</v>
      </c>
      <c r="AS97" s="7">
        <f t="shared" si="57"/>
        <v>3.6124229756282218</v>
      </c>
      <c r="AT97" s="7">
        <v>10.061210640721129</v>
      </c>
      <c r="AU97" s="4">
        <v>7</v>
      </c>
      <c r="AV97" s="127">
        <f t="shared" si="58"/>
        <v>0</v>
      </c>
      <c r="AW97" s="124">
        <f t="shared" si="72"/>
        <v>0</v>
      </c>
      <c r="AX97" s="124">
        <f t="shared" si="73"/>
        <v>0</v>
      </c>
      <c r="AY97" s="124">
        <f t="shared" si="59"/>
        <v>0</v>
      </c>
      <c r="AZ97" s="125">
        <f t="shared" si="60"/>
        <v>4.0889999999999995</v>
      </c>
      <c r="BA97" s="125">
        <f t="shared" si="61"/>
        <v>9.7666666666666657</v>
      </c>
      <c r="BB97" s="125">
        <f t="shared" si="62"/>
        <v>13.633333333333333</v>
      </c>
      <c r="BC97" s="7">
        <v>10.620222222222225</v>
      </c>
      <c r="BD97" s="7">
        <v>14.777111111111104</v>
      </c>
      <c r="BE97" s="124"/>
      <c r="BF97" s="8">
        <f t="shared" si="63"/>
        <v>69</v>
      </c>
      <c r="BG97" s="21">
        <f t="shared" si="64"/>
        <v>11.7</v>
      </c>
      <c r="BH97" s="124">
        <f t="shared" si="65"/>
        <v>0</v>
      </c>
      <c r="BI97" s="124">
        <f t="shared" si="74"/>
        <v>0</v>
      </c>
      <c r="BJ97" s="144">
        <f t="shared" si="66"/>
        <v>3.3333333333333333E-2</v>
      </c>
      <c r="BL97" s="99">
        <v>7</v>
      </c>
    </row>
    <row r="98" spans="1:64" ht="12.75" x14ac:dyDescent="0.2">
      <c r="A98" s="8">
        <f t="shared" si="30"/>
        <v>14</v>
      </c>
      <c r="B98" s="125">
        <f t="shared" si="31"/>
        <v>8.8000000000000007</v>
      </c>
      <c r="C98" s="125">
        <f t="shared" si="32"/>
        <v>14.6</v>
      </c>
      <c r="D98" s="125">
        <f t="shared" si="67"/>
        <v>11.7</v>
      </c>
      <c r="E98" s="125">
        <f t="shared" si="33"/>
        <v>5.7999999999999989</v>
      </c>
      <c r="F98" s="7">
        <v>9.51</v>
      </c>
      <c r="G98" s="7">
        <v>15.696666666666655</v>
      </c>
      <c r="H98" s="7">
        <f t="shared" si="68"/>
        <v>12.603333333333328</v>
      </c>
      <c r="I98" s="7">
        <f t="shared" si="69"/>
        <v>6.186666666666655</v>
      </c>
      <c r="K98" s="7">
        <f t="shared" si="34"/>
        <v>5.3</v>
      </c>
      <c r="L98" s="7">
        <f t="shared" si="35"/>
        <v>12.25</v>
      </c>
      <c r="M98" s="370">
        <f t="shared" si="36"/>
        <v>5.6499999999999995</v>
      </c>
      <c r="N98" s="1">
        <f t="shared" si="37"/>
        <v>3.3333333333333333E-2</v>
      </c>
      <c r="O98" s="7">
        <f t="shared" si="38"/>
        <v>69</v>
      </c>
      <c r="P98" s="7">
        <f t="shared" si="39"/>
        <v>12.662499999999998</v>
      </c>
      <c r="Q98" s="7">
        <f t="shared" si="40"/>
        <v>20.512500000000003</v>
      </c>
      <c r="R98" s="7">
        <f t="shared" si="41"/>
        <v>16.287500000000001</v>
      </c>
      <c r="S98" s="7">
        <f t="shared" si="42"/>
        <v>7.85</v>
      </c>
      <c r="T98" s="1">
        <v>39</v>
      </c>
      <c r="U98" s="333">
        <f t="shared" si="43"/>
        <v>2.225806451612903</v>
      </c>
      <c r="V98" s="4">
        <v>8</v>
      </c>
      <c r="W98" s="7">
        <f t="shared" si="44"/>
        <v>2.1840000000000002</v>
      </c>
      <c r="X98" s="7">
        <f t="shared" si="45"/>
        <v>10.647</v>
      </c>
      <c r="Y98" s="8">
        <f t="shared" si="46"/>
        <v>3</v>
      </c>
      <c r="Z98" s="7">
        <f>IF(ISBLANK(Z11),NA(),SUM($Z$4:Z11))</f>
        <v>3.9000000000000004</v>
      </c>
      <c r="AA98" s="7">
        <f t="shared" si="70"/>
        <v>17.806451612903224</v>
      </c>
      <c r="AB98" s="26">
        <f>IF(ISBLANK(Z11),"",SUM($Z$4:Z11))</f>
        <v>3.9000000000000004</v>
      </c>
      <c r="AC98" s="115">
        <f t="shared" si="71"/>
        <v>0.21902173913043482</v>
      </c>
      <c r="AD98" s="8">
        <f t="shared" si="47"/>
        <v>1018.625</v>
      </c>
      <c r="AE98" s="610">
        <f t="shared" si="48"/>
        <v>1.3904535365858082</v>
      </c>
      <c r="AF98" s="524" t="e">
        <f t="shared" si="49"/>
        <v>#N/A</v>
      </c>
      <c r="AG98" s="22">
        <f>IF(ISBLANK(AP11),NA(),SUM($AP$4:AP11))</f>
        <v>40.800000000000004</v>
      </c>
      <c r="AH98" s="7">
        <f>SUM($AS$91:AS98)</f>
        <v>29.342943813989244</v>
      </c>
      <c r="AI98" s="115">
        <f t="shared" si="50"/>
        <v>1.3904535365858082</v>
      </c>
      <c r="AJ98" s="124">
        <f t="shared" si="51"/>
        <v>0</v>
      </c>
      <c r="AK98" s="8">
        <f t="shared" si="52"/>
        <v>1021.5</v>
      </c>
      <c r="AL98" s="124">
        <f t="shared" si="53"/>
        <v>0</v>
      </c>
      <c r="AM98" s="524">
        <f t="shared" si="54"/>
        <v>0.53472222222222221</v>
      </c>
      <c r="AN98" s="150">
        <f>COUNTIF(E72:E80, "&gt;0.5")</f>
        <v>0</v>
      </c>
      <c r="AO98" s="524" t="e">
        <f t="shared" si="55"/>
        <v>#N/A</v>
      </c>
      <c r="AP98" s="449" t="s">
        <v>112</v>
      </c>
      <c r="AQ98" s="448">
        <v>4.3999999999999997E-2</v>
      </c>
      <c r="AR98" s="524">
        <f t="shared" si="56"/>
        <v>6.805555555555555E-2</v>
      </c>
      <c r="AS98" s="7">
        <f t="shared" si="57"/>
        <v>3.5903641092804928</v>
      </c>
      <c r="AT98" s="7">
        <v>9.999772956840431</v>
      </c>
      <c r="AU98" s="4">
        <v>8</v>
      </c>
      <c r="AV98" s="127">
        <f t="shared" si="58"/>
        <v>0</v>
      </c>
      <c r="AW98" s="124">
        <f t="shared" si="72"/>
        <v>0</v>
      </c>
      <c r="AX98" s="124">
        <f t="shared" si="73"/>
        <v>0</v>
      </c>
      <c r="AY98" s="124">
        <f t="shared" si="59"/>
        <v>1</v>
      </c>
      <c r="AZ98" s="125">
        <f t="shared" si="60"/>
        <v>4.0889999999999995</v>
      </c>
      <c r="BA98" s="125">
        <f t="shared" si="61"/>
        <v>9.7666666666666657</v>
      </c>
      <c r="BB98" s="125">
        <f t="shared" si="62"/>
        <v>13.633333333333333</v>
      </c>
      <c r="BC98" s="7">
        <v>10.541111111111114</v>
      </c>
      <c r="BD98" s="7">
        <v>14.665555555555546</v>
      </c>
      <c r="BE98" s="124"/>
      <c r="BF98" s="8">
        <f t="shared" si="63"/>
        <v>75</v>
      </c>
      <c r="BG98" s="21">
        <f t="shared" si="64"/>
        <v>12.1</v>
      </c>
      <c r="BH98" s="124">
        <f t="shared" si="65"/>
        <v>0</v>
      </c>
      <c r="BI98" s="124">
        <f t="shared" si="74"/>
        <v>1</v>
      </c>
      <c r="BJ98" s="144">
        <f t="shared" si="66"/>
        <v>3.3333333333333333E-2</v>
      </c>
      <c r="BL98" s="99">
        <v>8</v>
      </c>
    </row>
    <row r="99" spans="1:64" ht="12.75" x14ac:dyDescent="0.2">
      <c r="A99" s="8">
        <f t="shared" si="30"/>
        <v>22</v>
      </c>
      <c r="B99" s="125">
        <f t="shared" si="31"/>
        <v>8.8000000000000007</v>
      </c>
      <c r="C99" s="125">
        <f t="shared" si="32"/>
        <v>14.6</v>
      </c>
      <c r="D99" s="125">
        <f t="shared" si="67"/>
        <v>11.7</v>
      </c>
      <c r="E99" s="125">
        <f t="shared" si="33"/>
        <v>5.7999999999999989</v>
      </c>
      <c r="F99" s="7">
        <v>9.4390000000000054</v>
      </c>
      <c r="G99" s="7">
        <v>15.576999999999988</v>
      </c>
      <c r="H99" s="7">
        <f t="shared" si="68"/>
        <v>12.507999999999996</v>
      </c>
      <c r="I99" s="7">
        <f t="shared" si="69"/>
        <v>6.1379999999999821</v>
      </c>
      <c r="K99" s="7">
        <f t="shared" si="34"/>
        <v>5.3</v>
      </c>
      <c r="L99" s="7">
        <f t="shared" si="35"/>
        <v>17.05</v>
      </c>
      <c r="M99" s="370">
        <f t="shared" si="36"/>
        <v>5.822222222222222</v>
      </c>
      <c r="N99" s="1">
        <f t="shared" si="37"/>
        <v>0.6333333333333333</v>
      </c>
      <c r="O99" s="7">
        <f t="shared" si="38"/>
        <v>70.666666666666671</v>
      </c>
      <c r="P99" s="7">
        <f t="shared" si="39"/>
        <v>12.855555555555554</v>
      </c>
      <c r="Q99" s="7">
        <f t="shared" si="40"/>
        <v>20.422222222222224</v>
      </c>
      <c r="R99" s="7">
        <f t="shared" si="41"/>
        <v>16.344444444444449</v>
      </c>
      <c r="S99" s="7">
        <f t="shared" si="42"/>
        <v>7.5666666666666664</v>
      </c>
      <c r="T99" s="1">
        <v>40</v>
      </c>
      <c r="U99" s="333">
        <f t="shared" si="43"/>
        <v>2.225806451612903</v>
      </c>
      <c r="V99" s="4">
        <v>9</v>
      </c>
      <c r="W99" s="7">
        <f t="shared" si="44"/>
        <v>2.4570000000000003</v>
      </c>
      <c r="X99" s="7">
        <f t="shared" si="45"/>
        <v>10.920000000000002</v>
      </c>
      <c r="Y99" s="8">
        <f t="shared" si="46"/>
        <v>4</v>
      </c>
      <c r="Z99" s="7">
        <f>IF(ISBLANK(Z12),NA(),SUM($Z$4:Z12))</f>
        <v>5.8000000000000007</v>
      </c>
      <c r="AA99" s="7">
        <f t="shared" si="70"/>
        <v>20.032258064516128</v>
      </c>
      <c r="AB99" s="26">
        <f>IF(ISBLANK(Z12),"",SUM($Z$4:Z12))</f>
        <v>5.8000000000000007</v>
      </c>
      <c r="AC99" s="115">
        <f t="shared" si="71"/>
        <v>0.28953301127214176</v>
      </c>
      <c r="AD99" s="8">
        <f t="shared" si="47"/>
        <v>1018.5555555555555</v>
      </c>
      <c r="AE99" s="610">
        <f t="shared" si="48"/>
        <v>1.3004652216940373</v>
      </c>
      <c r="AF99" s="524">
        <f t="shared" si="49"/>
        <v>0.3527777777777778</v>
      </c>
      <c r="AG99" s="22">
        <f>IF(ISBLANK(AP12),NA(),SUM($AP$4:AP12))</f>
        <v>42.800000000000004</v>
      </c>
      <c r="AH99" s="7">
        <f>SUM($AS$91:AS99)</f>
        <v>32.911299192028402</v>
      </c>
      <c r="AI99" s="115">
        <f t="shared" si="50"/>
        <v>1.3004652216940373</v>
      </c>
      <c r="AJ99" s="124">
        <f t="shared" si="51"/>
        <v>1</v>
      </c>
      <c r="AK99" s="8">
        <f t="shared" si="52"/>
        <v>1018</v>
      </c>
      <c r="AL99" s="124">
        <f t="shared" si="53"/>
        <v>1</v>
      </c>
      <c r="AM99" s="524">
        <f t="shared" si="54"/>
        <v>0.69861111111111107</v>
      </c>
      <c r="AN99" s="7">
        <f>I39/3</f>
        <v>1.9333333333333329</v>
      </c>
      <c r="AO99" s="524">
        <f t="shared" si="55"/>
        <v>0.68125000000000002</v>
      </c>
      <c r="AP99" s="449" t="s">
        <v>209</v>
      </c>
      <c r="AQ99" s="448">
        <v>4.7E-2</v>
      </c>
      <c r="AR99" s="524">
        <f t="shared" si="56"/>
        <v>0.1451388888888889</v>
      </c>
      <c r="AS99" s="7">
        <f t="shared" si="57"/>
        <v>3.5683553780391608</v>
      </c>
      <c r="AT99" s="7">
        <v>9.9384749077337773</v>
      </c>
      <c r="AU99" s="4">
        <v>9</v>
      </c>
      <c r="AV99" s="127">
        <f t="shared" si="58"/>
        <v>0</v>
      </c>
      <c r="AW99" s="124">
        <f t="shared" si="72"/>
        <v>0</v>
      </c>
      <c r="AX99" s="124">
        <f t="shared" si="73"/>
        <v>1</v>
      </c>
      <c r="AY99" s="124">
        <f t="shared" si="59"/>
        <v>1</v>
      </c>
      <c r="AZ99" s="125">
        <f t="shared" si="60"/>
        <v>4.0889999999999995</v>
      </c>
      <c r="BA99" s="125">
        <f t="shared" si="61"/>
        <v>9.7666666666666657</v>
      </c>
      <c r="BB99" s="125">
        <f t="shared" si="62"/>
        <v>13.633333333333333</v>
      </c>
      <c r="BC99" s="7">
        <v>10.462000000000002</v>
      </c>
      <c r="BD99" s="7">
        <v>14.55399999999999</v>
      </c>
      <c r="BE99" s="124"/>
      <c r="BF99" s="8">
        <f t="shared" si="63"/>
        <v>84</v>
      </c>
      <c r="BG99" s="21">
        <f t="shared" si="64"/>
        <v>16.8</v>
      </c>
      <c r="BH99" s="124">
        <f t="shared" si="65"/>
        <v>0</v>
      </c>
      <c r="BI99" s="124">
        <f t="shared" si="74"/>
        <v>1</v>
      </c>
      <c r="BJ99" s="144">
        <f t="shared" si="66"/>
        <v>0.6333333333333333</v>
      </c>
      <c r="BL99" s="99">
        <v>9</v>
      </c>
    </row>
    <row r="100" spans="1:64" ht="12.75" x14ac:dyDescent="0.2">
      <c r="A100" s="8">
        <f t="shared" si="30"/>
        <v>22</v>
      </c>
      <c r="B100" s="125">
        <f t="shared" si="31"/>
        <v>8.8000000000000007</v>
      </c>
      <c r="C100" s="125">
        <f t="shared" si="32"/>
        <v>14.6</v>
      </c>
      <c r="D100" s="125">
        <f t="shared" si="67"/>
        <v>11.7</v>
      </c>
      <c r="E100" s="125">
        <f t="shared" si="33"/>
        <v>5.7999999999999989</v>
      </c>
      <c r="F100" s="7">
        <v>9.3680000000000057</v>
      </c>
      <c r="G100" s="7">
        <v>15.45733333333332</v>
      </c>
      <c r="H100" s="7">
        <f t="shared" si="68"/>
        <v>12.412666666666663</v>
      </c>
      <c r="I100" s="7">
        <f t="shared" si="69"/>
        <v>6.0893333333333146</v>
      </c>
      <c r="K100" s="7">
        <f t="shared" si="34"/>
        <v>3.7</v>
      </c>
      <c r="L100" s="7">
        <f t="shared" si="35"/>
        <v>17.649999999999999</v>
      </c>
      <c r="M100" s="370">
        <f t="shared" si="36"/>
        <v>6.32</v>
      </c>
      <c r="N100" s="1">
        <f t="shared" si="37"/>
        <v>0</v>
      </c>
      <c r="O100" s="7">
        <f t="shared" si="38"/>
        <v>71.099999999999994</v>
      </c>
      <c r="P100" s="7">
        <f t="shared" si="39"/>
        <v>13.15</v>
      </c>
      <c r="Q100" s="7">
        <f t="shared" si="40"/>
        <v>20.330000000000002</v>
      </c>
      <c r="R100" s="7">
        <f t="shared" si="41"/>
        <v>16.43</v>
      </c>
      <c r="S100" s="7">
        <f t="shared" si="42"/>
        <v>7.18</v>
      </c>
      <c r="T100" s="1">
        <v>41</v>
      </c>
      <c r="U100" s="333">
        <f t="shared" si="43"/>
        <v>2.225806451612903</v>
      </c>
      <c r="V100" s="4">
        <v>10</v>
      </c>
      <c r="W100" s="7">
        <f t="shared" si="44"/>
        <v>2.7300000000000004</v>
      </c>
      <c r="X100" s="7">
        <f t="shared" si="45"/>
        <v>11.193000000000001</v>
      </c>
      <c r="Y100" s="8">
        <f t="shared" si="46"/>
        <v>3</v>
      </c>
      <c r="Z100" s="7">
        <f>IF(ISBLANK(Z13),NA(),SUM($Z$4:Z13))</f>
        <v>5.8000000000000007</v>
      </c>
      <c r="AA100" s="7">
        <f t="shared" si="70"/>
        <v>22.258064516129032</v>
      </c>
      <c r="AB100" s="26">
        <f>IF(ISBLANK(Z13),"",SUM($Z$4:Z13))</f>
        <v>5.8000000000000007</v>
      </c>
      <c r="AC100" s="115">
        <f t="shared" si="71"/>
        <v>0.26057971014492759</v>
      </c>
      <c r="AD100" s="8">
        <f t="shared" si="47"/>
        <v>1018.45</v>
      </c>
      <c r="AE100" s="610">
        <f t="shared" si="48"/>
        <v>1.269964934381528</v>
      </c>
      <c r="AF100" s="524">
        <f t="shared" si="49"/>
        <v>6.458333333333334E-2</v>
      </c>
      <c r="AG100" s="22">
        <f>IF(ISBLANK(AP13),NA(),SUM($AP$4:AP13))</f>
        <v>46.300000000000004</v>
      </c>
      <c r="AH100" s="7">
        <f>SUM($AS$91:AS100)</f>
        <v>36.457699536836479</v>
      </c>
      <c r="AI100" s="115">
        <f t="shared" si="50"/>
        <v>1.269964934381528</v>
      </c>
      <c r="AJ100" s="124">
        <f t="shared" si="51"/>
        <v>0</v>
      </c>
      <c r="AK100" s="8">
        <f t="shared" si="52"/>
        <v>1017.5</v>
      </c>
      <c r="AL100" s="124">
        <f t="shared" si="53"/>
        <v>0</v>
      </c>
      <c r="AM100" s="524">
        <f t="shared" si="54"/>
        <v>0.62361111111111112</v>
      </c>
      <c r="AN100" s="150">
        <f>COUNTIF(E48:E66,"&lt;-0.5")</f>
        <v>2</v>
      </c>
      <c r="AO100" s="524">
        <f t="shared" si="55"/>
        <v>0.60555555555555551</v>
      </c>
      <c r="AP100" s="449" t="s">
        <v>111</v>
      </c>
      <c r="AQ100" s="448">
        <v>9.4E-2</v>
      </c>
      <c r="AR100" s="524">
        <f t="shared" si="56"/>
        <v>0.3125</v>
      </c>
      <c r="AS100" s="7">
        <f t="shared" si="57"/>
        <v>3.5464003448080805</v>
      </c>
      <c r="AT100" s="7">
        <v>9.8773264166926591</v>
      </c>
      <c r="AU100" s="4">
        <v>10</v>
      </c>
      <c r="AV100" s="127">
        <f t="shared" si="58"/>
        <v>1</v>
      </c>
      <c r="AW100" s="124">
        <f t="shared" si="72"/>
        <v>0</v>
      </c>
      <c r="AX100" s="124">
        <f t="shared" si="73"/>
        <v>1</v>
      </c>
      <c r="AY100" s="124">
        <f t="shared" si="59"/>
        <v>1</v>
      </c>
      <c r="AZ100" s="125">
        <f t="shared" si="60"/>
        <v>4.0889999999999995</v>
      </c>
      <c r="BA100" s="125">
        <f t="shared" si="61"/>
        <v>9.7666666666666657</v>
      </c>
      <c r="BB100" s="125">
        <f t="shared" si="62"/>
        <v>13.633333333333333</v>
      </c>
      <c r="BC100" s="7">
        <v>10.382888888888891</v>
      </c>
      <c r="BD100" s="7">
        <v>14.442444444444435</v>
      </c>
      <c r="BE100" s="124"/>
      <c r="BF100" s="8">
        <f t="shared" si="63"/>
        <v>75</v>
      </c>
      <c r="BG100" s="21">
        <f t="shared" si="64"/>
        <v>17.2</v>
      </c>
      <c r="BH100" s="124">
        <f t="shared" si="65"/>
        <v>0</v>
      </c>
      <c r="BI100" s="124">
        <f t="shared" si="74"/>
        <v>0</v>
      </c>
      <c r="BJ100" s="144">
        <f t="shared" si="66"/>
        <v>0</v>
      </c>
      <c r="BL100" s="99">
        <v>10</v>
      </c>
    </row>
    <row r="101" spans="1:64" ht="12.75" x14ac:dyDescent="0.2">
      <c r="A101" s="8">
        <f t="shared" si="30"/>
        <v>12</v>
      </c>
      <c r="B101" s="125">
        <f t="shared" si="31"/>
        <v>8.8000000000000007</v>
      </c>
      <c r="C101" s="125">
        <f t="shared" si="32"/>
        <v>14.6</v>
      </c>
      <c r="D101" s="125">
        <f t="shared" si="67"/>
        <v>11.7</v>
      </c>
      <c r="E101" s="125">
        <f t="shared" si="33"/>
        <v>5.7999999999999989</v>
      </c>
      <c r="F101" s="7">
        <v>9.2970000000000059</v>
      </c>
      <c r="G101" s="7">
        <v>15.337666666666653</v>
      </c>
      <c r="H101" s="7">
        <f t="shared" si="68"/>
        <v>12.31733333333333</v>
      </c>
      <c r="I101" s="7">
        <f t="shared" si="69"/>
        <v>6.0406666666666471</v>
      </c>
      <c r="K101" s="7">
        <f t="shared" si="34"/>
        <v>3.1</v>
      </c>
      <c r="L101" s="7">
        <f t="shared" si="35"/>
        <v>16.850000000000001</v>
      </c>
      <c r="M101" s="370">
        <f t="shared" si="36"/>
        <v>6.4818181818181815</v>
      </c>
      <c r="N101" s="1">
        <f t="shared" si="37"/>
        <v>0</v>
      </c>
      <c r="O101" s="7">
        <f t="shared" si="38"/>
        <v>71.545454545454547</v>
      </c>
      <c r="P101" s="7">
        <f t="shared" si="39"/>
        <v>13.345454545454546</v>
      </c>
      <c r="Q101" s="7">
        <f t="shared" si="40"/>
        <v>20.154545454545456</v>
      </c>
      <c r="R101" s="7">
        <f t="shared" si="41"/>
        <v>16.463636363636365</v>
      </c>
      <c r="S101" s="7">
        <f t="shared" si="42"/>
        <v>6.8090909090909086</v>
      </c>
      <c r="T101" s="1">
        <v>42</v>
      </c>
      <c r="U101" s="333">
        <f t="shared" si="43"/>
        <v>2.225806451612903</v>
      </c>
      <c r="V101" s="4">
        <v>11</v>
      </c>
      <c r="W101" s="7">
        <f t="shared" si="44"/>
        <v>3.0030000000000001</v>
      </c>
      <c r="X101" s="7">
        <f t="shared" si="45"/>
        <v>11.466000000000001</v>
      </c>
      <c r="Y101" s="8">
        <f t="shared" si="46"/>
        <v>4</v>
      </c>
      <c r="Z101" s="7">
        <f>IF(ISBLANK(Z14),NA(),SUM($Z$4:Z14))</f>
        <v>5.8000000000000007</v>
      </c>
      <c r="AA101" s="7">
        <f t="shared" si="70"/>
        <v>24.483870967741932</v>
      </c>
      <c r="AB101" s="26">
        <f>IF(ISBLANK(Z14),"",SUM($Z$4:Z14))</f>
        <v>5.8000000000000007</v>
      </c>
      <c r="AC101" s="115">
        <f t="shared" si="71"/>
        <v>0.23689064558629783</v>
      </c>
      <c r="AD101" s="8">
        <f t="shared" si="47"/>
        <v>1018.5</v>
      </c>
      <c r="AE101" s="610">
        <f t="shared" si="48"/>
        <v>1.1955319455113544</v>
      </c>
      <c r="AF101" s="524" t="e">
        <f t="shared" si="49"/>
        <v>#N/A</v>
      </c>
      <c r="AG101" s="22">
        <f>IF(ISBLANK(AP14),NA(),SUM($AP$4:AP14))</f>
        <v>47.800000000000004</v>
      </c>
      <c r="AH101" s="7">
        <f>SUM($AS$91:AS101)</f>
        <v>39.982202215060781</v>
      </c>
      <c r="AI101" s="115">
        <f t="shared" si="50"/>
        <v>1.1955319455113544</v>
      </c>
      <c r="AJ101" s="124">
        <f t="shared" si="51"/>
        <v>0</v>
      </c>
      <c r="AK101" s="8">
        <f t="shared" si="52"/>
        <v>1019</v>
      </c>
      <c r="AL101" s="124">
        <f t="shared" si="53"/>
        <v>0</v>
      </c>
      <c r="AM101" s="524">
        <f t="shared" si="54"/>
        <v>0.6645833333333333</v>
      </c>
      <c r="AN101" s="124">
        <f>COUNTIF(AU50:AU60, "&gt;0.5")</f>
        <v>2</v>
      </c>
      <c r="AO101" s="524">
        <f t="shared" si="55"/>
        <v>0.67708333333333337</v>
      </c>
      <c r="AP101" s="449" t="s">
        <v>210</v>
      </c>
      <c r="AQ101" s="450">
        <v>0.128</v>
      </c>
      <c r="AR101" s="524">
        <f t="shared" si="56"/>
        <v>0.21875</v>
      </c>
      <c r="AS101" s="7">
        <f t="shared" si="57"/>
        <v>3.5245026782243047</v>
      </c>
      <c r="AT101" s="7">
        <v>9.8163377014934561</v>
      </c>
      <c r="AU101" s="4">
        <v>11</v>
      </c>
      <c r="AV101" s="127">
        <f t="shared" si="58"/>
        <v>0</v>
      </c>
      <c r="AW101" s="124">
        <f t="shared" si="72"/>
        <v>0</v>
      </c>
      <c r="AX101" s="124">
        <f t="shared" si="73"/>
        <v>1</v>
      </c>
      <c r="AY101" s="124">
        <f t="shared" si="59"/>
        <v>1</v>
      </c>
      <c r="AZ101" s="125">
        <f t="shared" si="60"/>
        <v>4.0889999999999995</v>
      </c>
      <c r="BA101" s="125">
        <f t="shared" si="61"/>
        <v>9.7666666666666657</v>
      </c>
      <c r="BB101" s="125">
        <f t="shared" si="62"/>
        <v>13.633333333333333</v>
      </c>
      <c r="BC101" s="7">
        <v>10.303777777777782</v>
      </c>
      <c r="BD101" s="7">
        <v>14.330888888888879</v>
      </c>
      <c r="BE101" s="124"/>
      <c r="BF101" s="8">
        <f t="shared" si="63"/>
        <v>76</v>
      </c>
      <c r="BG101" s="21">
        <f t="shared" si="64"/>
        <v>16.8</v>
      </c>
      <c r="BH101" s="124">
        <f t="shared" si="65"/>
        <v>0</v>
      </c>
      <c r="BI101" s="124">
        <f t="shared" si="74"/>
        <v>0</v>
      </c>
      <c r="BJ101" s="144">
        <f t="shared" si="66"/>
        <v>0</v>
      </c>
      <c r="BL101" s="99">
        <v>11</v>
      </c>
    </row>
    <row r="102" spans="1:64" ht="12.75" x14ac:dyDescent="0.2">
      <c r="A102" s="8">
        <f t="shared" si="30"/>
        <v>18</v>
      </c>
      <c r="B102" s="125">
        <f t="shared" si="31"/>
        <v>8.8000000000000007</v>
      </c>
      <c r="C102" s="125">
        <f t="shared" si="32"/>
        <v>14.6</v>
      </c>
      <c r="D102" s="125">
        <f t="shared" si="67"/>
        <v>11.7</v>
      </c>
      <c r="E102" s="125">
        <f t="shared" si="33"/>
        <v>5.7999999999999989</v>
      </c>
      <c r="F102" s="7">
        <v>9.2260000000000062</v>
      </c>
      <c r="G102" s="7">
        <v>15.217999999999986</v>
      </c>
      <c r="H102" s="7">
        <f t="shared" si="68"/>
        <v>12.221999999999996</v>
      </c>
      <c r="I102" s="7">
        <f t="shared" si="69"/>
        <v>5.9919999999999796</v>
      </c>
      <c r="K102" s="7">
        <f t="shared" si="34"/>
        <v>4.0999999999999996</v>
      </c>
      <c r="L102" s="7">
        <f t="shared" si="35"/>
        <v>16.75</v>
      </c>
      <c r="M102" s="370">
        <f t="shared" si="36"/>
        <v>6.3500000000000005</v>
      </c>
      <c r="N102" s="1">
        <f t="shared" si="37"/>
        <v>0</v>
      </c>
      <c r="O102" s="7">
        <f t="shared" si="38"/>
        <v>72.166666666666671</v>
      </c>
      <c r="P102" s="7">
        <f t="shared" si="39"/>
        <v>13.458333333333334</v>
      </c>
      <c r="Q102" s="7">
        <f t="shared" si="40"/>
        <v>20.041666666666668</v>
      </c>
      <c r="R102" s="7">
        <f t="shared" si="41"/>
        <v>16.450000000000003</v>
      </c>
      <c r="S102" s="7">
        <f t="shared" si="42"/>
        <v>6.5833333333333321</v>
      </c>
      <c r="T102" s="1">
        <v>43</v>
      </c>
      <c r="U102" s="333">
        <f t="shared" si="43"/>
        <v>2.225806451612903</v>
      </c>
      <c r="V102" s="4">
        <v>12</v>
      </c>
      <c r="W102" s="7">
        <f t="shared" si="44"/>
        <v>3.2760000000000002</v>
      </c>
      <c r="X102" s="7">
        <f t="shared" si="45"/>
        <v>11.739000000000001</v>
      </c>
      <c r="Y102" s="8">
        <f t="shared" si="46"/>
        <v>5</v>
      </c>
      <c r="Z102" s="7">
        <f>IF(ISBLANK(Z15),NA(),SUM($Z$4:Z15))</f>
        <v>5.8000000000000007</v>
      </c>
      <c r="AA102" s="7">
        <f t="shared" si="70"/>
        <v>26.709677419354836</v>
      </c>
      <c r="AB102" s="26">
        <f>IF(ISBLANK(Z15),"",SUM($Z$4:Z15))</f>
        <v>5.8000000000000007</v>
      </c>
      <c r="AC102" s="115">
        <f t="shared" si="71"/>
        <v>0.21714975845410633</v>
      </c>
      <c r="AD102" s="8">
        <f t="shared" si="47"/>
        <v>1018.75</v>
      </c>
      <c r="AE102" s="610">
        <f t="shared" si="48"/>
        <v>1.1222294518895779</v>
      </c>
      <c r="AF102" s="524">
        <f t="shared" si="49"/>
        <v>0.96875</v>
      </c>
      <c r="AG102" s="22">
        <f>IF(ISBLANK(AP15),NA(),SUM($AP$4:AP15))</f>
        <v>48.800000000000004</v>
      </c>
      <c r="AH102" s="7">
        <f>SUM($AS$91:AS102)</f>
        <v>43.484868373247515</v>
      </c>
      <c r="AI102" s="115">
        <f t="shared" si="50"/>
        <v>1.1222294518895779</v>
      </c>
      <c r="AJ102" s="124">
        <f t="shared" si="51"/>
        <v>0</v>
      </c>
      <c r="AK102" s="8">
        <f t="shared" si="52"/>
        <v>1021.5</v>
      </c>
      <c r="AL102" s="124">
        <f t="shared" si="53"/>
        <v>0</v>
      </c>
      <c r="AM102" s="524">
        <f t="shared" si="54"/>
        <v>0.68888888888888899</v>
      </c>
      <c r="AN102" s="141">
        <f t="array" ref="AN102">MAX(FREQUENCY(IF(AJ91:AJ121=1,ROW(91:121)),IF(AJ91:AJ121&lt;&gt;1,ROW(91:121))))</f>
        <v>4</v>
      </c>
      <c r="AO102" s="524">
        <f t="shared" si="55"/>
        <v>0.6791666666666667</v>
      </c>
      <c r="AP102" s="451" t="s">
        <v>110</v>
      </c>
      <c r="AQ102" s="450">
        <v>0.13600000000000001</v>
      </c>
      <c r="AR102" s="524">
        <f t="shared" si="56"/>
        <v>0.34722222222222227</v>
      </c>
      <c r="AS102" s="7">
        <f t="shared" si="57"/>
        <v>3.5026661581867327</v>
      </c>
      <c r="AT102" s="7">
        <v>9.7555192897956591</v>
      </c>
      <c r="AU102" s="4">
        <v>12</v>
      </c>
      <c r="AV102" s="127">
        <f t="shared" si="58"/>
        <v>0</v>
      </c>
      <c r="AW102" s="124">
        <f t="shared" si="72"/>
        <v>0</v>
      </c>
      <c r="AX102" s="124">
        <f t="shared" si="73"/>
        <v>1</v>
      </c>
      <c r="AY102" s="124">
        <f t="shared" si="59"/>
        <v>1</v>
      </c>
      <c r="AZ102" s="125">
        <f t="shared" si="60"/>
        <v>4.0889999999999995</v>
      </c>
      <c r="BA102" s="125">
        <f t="shared" si="61"/>
        <v>9.7666666666666657</v>
      </c>
      <c r="BB102" s="125">
        <f t="shared" si="62"/>
        <v>13.633333333333333</v>
      </c>
      <c r="BC102" s="7">
        <v>10.224666666666669</v>
      </c>
      <c r="BD102" s="7">
        <v>14.219333333333322</v>
      </c>
      <c r="BE102" s="124"/>
      <c r="BF102" s="8">
        <f t="shared" si="63"/>
        <v>79</v>
      </c>
      <c r="BG102" s="21">
        <f t="shared" si="64"/>
        <v>16.3</v>
      </c>
      <c r="BH102" s="124">
        <f t="shared" si="65"/>
        <v>0</v>
      </c>
      <c r="BI102" s="124">
        <f t="shared" si="74"/>
        <v>0</v>
      </c>
      <c r="BJ102" s="144">
        <f t="shared" si="66"/>
        <v>0</v>
      </c>
      <c r="BL102" s="99">
        <v>12</v>
      </c>
    </row>
    <row r="103" spans="1:64" ht="12.75" x14ac:dyDescent="0.2">
      <c r="A103" s="8">
        <f t="shared" si="30"/>
        <v>17</v>
      </c>
      <c r="B103" s="125">
        <f t="shared" si="31"/>
        <v>8.8000000000000007</v>
      </c>
      <c r="C103" s="125">
        <f t="shared" si="32"/>
        <v>14.6</v>
      </c>
      <c r="D103" s="125">
        <f t="shared" si="67"/>
        <v>11.7</v>
      </c>
      <c r="E103" s="125">
        <f t="shared" si="33"/>
        <v>5.7999999999999989</v>
      </c>
      <c r="F103" s="7">
        <v>9.1550000000000065</v>
      </c>
      <c r="G103" s="7">
        <v>15.098333333333319</v>
      </c>
      <c r="H103" s="7">
        <f t="shared" si="68"/>
        <v>12.126666666666662</v>
      </c>
      <c r="I103" s="7">
        <f t="shared" si="69"/>
        <v>5.943333333333312</v>
      </c>
      <c r="K103" s="7">
        <f t="shared" si="34"/>
        <v>4.8</v>
      </c>
      <c r="L103" s="7">
        <f t="shared" si="35"/>
        <v>13.5</v>
      </c>
      <c r="M103" s="370">
        <f t="shared" si="36"/>
        <v>6.1076923076923082</v>
      </c>
      <c r="N103" s="1">
        <f t="shared" si="37"/>
        <v>0</v>
      </c>
      <c r="O103" s="7">
        <f t="shared" si="38"/>
        <v>73.07692307692308</v>
      </c>
      <c r="P103" s="7">
        <f t="shared" si="39"/>
        <v>13.276923076923076</v>
      </c>
      <c r="Q103" s="7">
        <f t="shared" si="40"/>
        <v>19.723076923076924</v>
      </c>
      <c r="R103" s="7">
        <f t="shared" si="41"/>
        <v>16.284615384615389</v>
      </c>
      <c r="S103" s="7">
        <f t="shared" si="42"/>
        <v>6.4461538461538446</v>
      </c>
      <c r="T103" s="1">
        <v>44</v>
      </c>
      <c r="U103" s="333">
        <f t="shared" si="43"/>
        <v>2.225806451612903</v>
      </c>
      <c r="V103" s="4">
        <v>13</v>
      </c>
      <c r="W103" s="7">
        <f t="shared" si="44"/>
        <v>3.5490000000000004</v>
      </c>
      <c r="X103" s="7">
        <f t="shared" si="45"/>
        <v>12.012</v>
      </c>
      <c r="Y103" s="8">
        <f t="shared" si="46"/>
        <v>7</v>
      </c>
      <c r="Z103" s="7">
        <f>IF(ISBLANK(Z16),NA(),SUM($Z$4:Z16))</f>
        <v>5.8000000000000007</v>
      </c>
      <c r="AA103" s="7">
        <f t="shared" si="70"/>
        <v>28.93548387096774</v>
      </c>
      <c r="AB103" s="26">
        <f>IF(ISBLANK(Z16),"",SUM($Z$4:Z16))</f>
        <v>5.8000000000000007</v>
      </c>
      <c r="AC103" s="115">
        <f t="shared" si="71"/>
        <v>0.20044593088071352</v>
      </c>
      <c r="AD103" s="8">
        <f t="shared" si="47"/>
        <v>1019.5</v>
      </c>
      <c r="AE103" s="610">
        <f t="shared" si="48"/>
        <v>1.0497008202066627</v>
      </c>
      <c r="AF103" s="524">
        <f t="shared" si="49"/>
        <v>0.3527777777777778</v>
      </c>
      <c r="AG103" s="22">
        <f>IF(ISBLANK(AP16),NA(),SUM($AP$4:AP16))</f>
        <v>49.300000000000004</v>
      </c>
      <c r="AH103" s="7">
        <f>SUM($AS$91:AS103)</f>
        <v>46.96576305455676</v>
      </c>
      <c r="AI103" s="115">
        <f t="shared" si="50"/>
        <v>1.0497008202066627</v>
      </c>
      <c r="AJ103" s="124">
        <f t="shared" si="51"/>
        <v>0</v>
      </c>
      <c r="AK103" s="8">
        <f t="shared" si="52"/>
        <v>1028.5</v>
      </c>
      <c r="AL103" s="124">
        <f t="shared" si="53"/>
        <v>0</v>
      </c>
      <c r="AM103" s="524">
        <f t="shared" si="54"/>
        <v>0.77986111111111101</v>
      </c>
      <c r="AN103" s="7">
        <f>I39/-3</f>
        <v>-1.9333333333333329</v>
      </c>
      <c r="AO103" s="524">
        <f t="shared" si="55"/>
        <v>0.67708333333333337</v>
      </c>
      <c r="AP103" s="451" t="s">
        <v>211</v>
      </c>
      <c r="AQ103" s="450">
        <v>0.16600000000000001</v>
      </c>
      <c r="AR103" s="524">
        <f t="shared" si="56"/>
        <v>0.34027777777777773</v>
      </c>
      <c r="AS103" s="7">
        <f t="shared" si="57"/>
        <v>3.4808946813092412</v>
      </c>
      <c r="AT103" s="7">
        <v>9.6948820343297655</v>
      </c>
      <c r="AU103" s="4">
        <v>13</v>
      </c>
      <c r="AV103" s="127">
        <f t="shared" si="58"/>
        <v>0</v>
      </c>
      <c r="AW103" s="124">
        <f t="shared" si="72"/>
        <v>0</v>
      </c>
      <c r="AX103" s="124">
        <f t="shared" si="73"/>
        <v>0</v>
      </c>
      <c r="AY103" s="124">
        <f t="shared" si="59"/>
        <v>1</v>
      </c>
      <c r="AZ103" s="125">
        <f t="shared" si="60"/>
        <v>4.0889999999999995</v>
      </c>
      <c r="BA103" s="125">
        <f t="shared" si="61"/>
        <v>9.7666666666666657</v>
      </c>
      <c r="BB103" s="125">
        <f t="shared" si="62"/>
        <v>13.633333333333333</v>
      </c>
      <c r="BC103" s="7">
        <v>10.145555555555557</v>
      </c>
      <c r="BD103" s="7">
        <v>14.107777777777766</v>
      </c>
      <c r="BE103" s="124"/>
      <c r="BF103" s="8">
        <f t="shared" si="63"/>
        <v>84</v>
      </c>
      <c r="BG103" s="21">
        <f t="shared" si="64"/>
        <v>14.3</v>
      </c>
      <c r="BH103" s="124">
        <f t="shared" si="65"/>
        <v>0</v>
      </c>
      <c r="BI103" s="124">
        <f t="shared" si="74"/>
        <v>0</v>
      </c>
      <c r="BJ103" s="144">
        <f t="shared" si="66"/>
        <v>0</v>
      </c>
      <c r="BL103" s="99">
        <v>13</v>
      </c>
    </row>
    <row r="104" spans="1:64" ht="12.75" x14ac:dyDescent="0.2">
      <c r="A104" s="8">
        <f t="shared" si="30"/>
        <v>39</v>
      </c>
      <c r="B104" s="125">
        <f t="shared" si="31"/>
        <v>8.8000000000000007</v>
      </c>
      <c r="C104" s="125">
        <f t="shared" si="32"/>
        <v>14.6</v>
      </c>
      <c r="D104" s="125">
        <f t="shared" si="67"/>
        <v>11.7</v>
      </c>
      <c r="E104" s="125">
        <f t="shared" si="33"/>
        <v>5.7999999999999989</v>
      </c>
      <c r="F104" s="7">
        <v>9.0840000000000067</v>
      </c>
      <c r="G104" s="7">
        <v>14.978666666666651</v>
      </c>
      <c r="H104" s="7">
        <f t="shared" si="68"/>
        <v>12.031333333333329</v>
      </c>
      <c r="I104" s="7">
        <f t="shared" si="69"/>
        <v>5.8946666666666445</v>
      </c>
      <c r="K104" s="7">
        <f t="shared" si="34"/>
        <v>7.6</v>
      </c>
      <c r="L104" s="7">
        <f t="shared" si="35"/>
        <v>11.3</v>
      </c>
      <c r="M104" s="370">
        <f t="shared" si="36"/>
        <v>5.9</v>
      </c>
      <c r="N104" s="1">
        <f t="shared" si="37"/>
        <v>0</v>
      </c>
      <c r="O104" s="7">
        <f t="shared" si="38"/>
        <v>72.642857142857139</v>
      </c>
      <c r="P104" s="7">
        <f t="shared" si="39"/>
        <v>12.864285714285714</v>
      </c>
      <c r="Q104" s="7">
        <f t="shared" si="40"/>
        <v>19.392857142857146</v>
      </c>
      <c r="R104" s="7">
        <f t="shared" si="41"/>
        <v>15.957142857142859</v>
      </c>
      <c r="S104" s="7">
        <f t="shared" si="42"/>
        <v>6.5285714285714267</v>
      </c>
      <c r="T104" s="1">
        <v>45</v>
      </c>
      <c r="U104" s="333">
        <f t="shared" si="43"/>
        <v>2.225806451612903</v>
      </c>
      <c r="V104" s="4">
        <v>14</v>
      </c>
      <c r="W104" s="7">
        <f t="shared" si="44"/>
        <v>3.8220000000000001</v>
      </c>
      <c r="X104" s="7">
        <f t="shared" si="45"/>
        <v>12.285</v>
      </c>
      <c r="Y104" s="8">
        <f t="shared" si="46"/>
        <v>5</v>
      </c>
      <c r="Z104" s="7">
        <f>IF(ISBLANK(Z17),NA(),SUM($Z$4:Z17))</f>
        <v>5.8000000000000007</v>
      </c>
      <c r="AA104" s="7">
        <f t="shared" si="70"/>
        <v>31.161290322580641</v>
      </c>
      <c r="AB104" s="26">
        <f>IF(ISBLANK(Z17),"",SUM($Z$4:Z17))</f>
        <v>5.8000000000000007</v>
      </c>
      <c r="AC104" s="115">
        <f t="shared" si="71"/>
        <v>0.186128364389234</v>
      </c>
      <c r="AD104" s="8">
        <f t="shared" si="47"/>
        <v>1020.2857142857143</v>
      </c>
      <c r="AE104" s="610">
        <f t="shared" si="48"/>
        <v>1.1561735578950461</v>
      </c>
      <c r="AF104" s="524">
        <f t="shared" si="49"/>
        <v>0.25416666666666665</v>
      </c>
      <c r="AG104" s="22">
        <f>IF(ISBLANK(AP17),NA(),SUM($AP$4:AP17))</f>
        <v>58.300000000000004</v>
      </c>
      <c r="AH104" s="7">
        <f>SUM($AS$91:AS104)</f>
        <v>50.424955320844923</v>
      </c>
      <c r="AI104" s="115">
        <f t="shared" si="50"/>
        <v>1.1561735578950461</v>
      </c>
      <c r="AJ104" s="124">
        <f t="shared" si="51"/>
        <v>0</v>
      </c>
      <c r="AK104" s="8">
        <f t="shared" si="52"/>
        <v>1030.5</v>
      </c>
      <c r="AL104" s="124">
        <f t="shared" si="53"/>
        <v>0</v>
      </c>
      <c r="AM104" s="524">
        <f t="shared" si="54"/>
        <v>0.65277777777777779</v>
      </c>
      <c r="AN104" s="25">
        <f>AP39/E34</f>
        <v>3.4193548387096775</v>
      </c>
      <c r="AO104" s="524">
        <f t="shared" si="55"/>
        <v>0.62638888888888888</v>
      </c>
      <c r="AP104" s="451" t="s">
        <v>114</v>
      </c>
      <c r="AQ104" s="452">
        <v>0.10299999999999999</v>
      </c>
      <c r="AR104" s="524">
        <f t="shared" si="56"/>
        <v>0.22916666666666666</v>
      </c>
      <c r="AS104" s="7">
        <f t="shared" si="57"/>
        <v>3.4591922662881625</v>
      </c>
      <c r="AT104" s="7">
        <v>9.634437127846617</v>
      </c>
      <c r="AU104" s="4">
        <v>14</v>
      </c>
      <c r="AV104" s="127">
        <f t="shared" si="58"/>
        <v>1</v>
      </c>
      <c r="AW104" s="124">
        <f t="shared" si="72"/>
        <v>0</v>
      </c>
      <c r="AX104" s="124">
        <f t="shared" si="73"/>
        <v>0</v>
      </c>
      <c r="AY104" s="124">
        <f t="shared" si="59"/>
        <v>1</v>
      </c>
      <c r="AZ104" s="125">
        <f t="shared" si="60"/>
        <v>4.0889999999999995</v>
      </c>
      <c r="BA104" s="125">
        <f t="shared" si="61"/>
        <v>9.7666666666666657</v>
      </c>
      <c r="BB104" s="125">
        <f t="shared" si="62"/>
        <v>13.633333333333333</v>
      </c>
      <c r="BC104" s="7">
        <v>10.066444444444448</v>
      </c>
      <c r="BD104" s="7">
        <v>13.99622222222221</v>
      </c>
      <c r="BE104" s="124"/>
      <c r="BF104" s="8">
        <f t="shared" si="63"/>
        <v>67</v>
      </c>
      <c r="BG104" s="21">
        <f t="shared" si="64"/>
        <v>11.7</v>
      </c>
      <c r="BH104" s="124">
        <f t="shared" si="65"/>
        <v>0</v>
      </c>
      <c r="BI104" s="124">
        <f t="shared" si="74"/>
        <v>0</v>
      </c>
      <c r="BJ104" s="144">
        <f t="shared" si="66"/>
        <v>0</v>
      </c>
      <c r="BL104" s="99">
        <v>14</v>
      </c>
    </row>
    <row r="105" spans="1:64" ht="12.75" x14ac:dyDescent="0.2">
      <c r="A105" s="8">
        <f t="shared" si="30"/>
        <v>43</v>
      </c>
      <c r="B105" s="125">
        <f t="shared" si="31"/>
        <v>8.8000000000000007</v>
      </c>
      <c r="C105" s="125">
        <f t="shared" si="32"/>
        <v>14.6</v>
      </c>
      <c r="D105" s="125">
        <f t="shared" si="67"/>
        <v>11.7</v>
      </c>
      <c r="E105" s="125">
        <f t="shared" si="33"/>
        <v>5.7999999999999989</v>
      </c>
      <c r="F105" s="7">
        <v>9.013000000000007</v>
      </c>
      <c r="G105" s="7">
        <v>14.858999999999984</v>
      </c>
      <c r="H105" s="7">
        <f t="shared" si="68"/>
        <v>11.935999999999996</v>
      </c>
      <c r="I105" s="7">
        <f t="shared" si="69"/>
        <v>5.845999999999977</v>
      </c>
      <c r="K105" s="7">
        <f t="shared" si="34"/>
        <v>10.4</v>
      </c>
      <c r="L105" s="7">
        <f t="shared" si="35"/>
        <v>10.8</v>
      </c>
      <c r="M105" s="370">
        <f t="shared" si="36"/>
        <v>5.6133333333333333</v>
      </c>
      <c r="N105" s="1">
        <f t="shared" si="37"/>
        <v>0</v>
      </c>
      <c r="O105" s="7">
        <f t="shared" si="38"/>
        <v>72.599999999999994</v>
      </c>
      <c r="P105" s="7">
        <f t="shared" si="39"/>
        <v>12.379999999999999</v>
      </c>
      <c r="Q105" s="7">
        <f t="shared" si="40"/>
        <v>19.166666666666671</v>
      </c>
      <c r="R105" s="7">
        <f t="shared" si="41"/>
        <v>15.573333333333334</v>
      </c>
      <c r="S105" s="7">
        <f t="shared" si="42"/>
        <v>6.7866666666666653</v>
      </c>
      <c r="T105" s="1">
        <v>46</v>
      </c>
      <c r="U105" s="333">
        <f t="shared" si="43"/>
        <v>2.225806451612903</v>
      </c>
      <c r="V105" s="4">
        <v>15</v>
      </c>
      <c r="W105" s="7">
        <f t="shared" si="44"/>
        <v>4.0950000000000006</v>
      </c>
      <c r="X105" s="7">
        <f t="shared" si="45"/>
        <v>12.558000000000002</v>
      </c>
      <c r="Y105" s="8">
        <f t="shared" si="46"/>
        <v>5</v>
      </c>
      <c r="Z105" s="7">
        <f>IF(ISBLANK(Z18),NA(),SUM($Z$4:Z18))</f>
        <v>5.8000000000000007</v>
      </c>
      <c r="AA105" s="7">
        <f t="shared" si="70"/>
        <v>33.387096774193544</v>
      </c>
      <c r="AB105" s="26">
        <f>IF(ISBLANK(Z18),"",SUM($Z$4:Z18))</f>
        <v>5.8000000000000007</v>
      </c>
      <c r="AC105" s="115">
        <f t="shared" si="71"/>
        <v>0.17371980676328508</v>
      </c>
      <c r="AD105" s="8">
        <f t="shared" si="47"/>
        <v>1020.6333333333333</v>
      </c>
      <c r="AE105" s="610">
        <f t="shared" si="48"/>
        <v>1.2606168824291313</v>
      </c>
      <c r="AF105" s="524">
        <f t="shared" si="49"/>
        <v>0.35972222222222222</v>
      </c>
      <c r="AG105" s="22">
        <f>IF(ISBLANK(AP18),NA(),SUM($AP$4:AP18))</f>
        <v>67.900000000000006</v>
      </c>
      <c r="AH105" s="7">
        <f>SUM($AS$91:AS105)</f>
        <v>53.862518380017946</v>
      </c>
      <c r="AI105" s="115">
        <f t="shared" si="50"/>
        <v>1.2606168824291313</v>
      </c>
      <c r="AJ105" s="124">
        <f t="shared" si="51"/>
        <v>0</v>
      </c>
      <c r="AK105" s="8">
        <f t="shared" si="52"/>
        <v>1025.5</v>
      </c>
      <c r="AL105" s="124">
        <f t="shared" si="53"/>
        <v>0</v>
      </c>
      <c r="AM105" s="524">
        <f t="shared" si="54"/>
        <v>0.68333333333333324</v>
      </c>
      <c r="AN105" s="1">
        <f t="array" ref="AN105">MAX(IF(F4:F34=$F$85,E4:E34,0))</f>
        <v>20</v>
      </c>
      <c r="AO105" s="524">
        <f t="shared" si="55"/>
        <v>0.67013888888888884</v>
      </c>
      <c r="AP105" s="451" t="s">
        <v>212</v>
      </c>
      <c r="AQ105" s="450">
        <v>5.6000000000000001E-2</v>
      </c>
      <c r="AR105" s="524">
        <f t="shared" si="56"/>
        <v>0.32291666666666669</v>
      </c>
      <c r="AS105" s="7">
        <f t="shared" si="57"/>
        <v>3.4375630591730229</v>
      </c>
      <c r="AT105" s="7">
        <v>9.5741961177972996</v>
      </c>
      <c r="AU105" s="4">
        <v>15</v>
      </c>
      <c r="AV105" s="127">
        <f t="shared" si="58"/>
        <v>1</v>
      </c>
      <c r="AW105" s="124">
        <f t="shared" si="72"/>
        <v>0</v>
      </c>
      <c r="AX105" s="124">
        <f t="shared" si="73"/>
        <v>0</v>
      </c>
      <c r="AY105" s="124">
        <f t="shared" si="59"/>
        <v>1</v>
      </c>
      <c r="AZ105" s="125">
        <f t="shared" si="60"/>
        <v>4.0889999999999995</v>
      </c>
      <c r="BA105" s="125">
        <f t="shared" si="61"/>
        <v>9.7666666666666657</v>
      </c>
      <c r="BB105" s="125">
        <f t="shared" si="62"/>
        <v>13.633333333333333</v>
      </c>
      <c r="BC105" s="7">
        <v>9.9873333333333374</v>
      </c>
      <c r="BD105" s="7">
        <v>13.884666666666655</v>
      </c>
      <c r="BE105" s="124"/>
      <c r="BF105" s="8">
        <f t="shared" si="63"/>
        <v>72</v>
      </c>
      <c r="BG105" s="21">
        <f t="shared" si="64"/>
        <v>10.199999999999999</v>
      </c>
      <c r="BH105" s="124">
        <f t="shared" si="65"/>
        <v>0</v>
      </c>
      <c r="BI105" s="124">
        <f t="shared" si="74"/>
        <v>0</v>
      </c>
      <c r="BJ105" s="144">
        <f t="shared" si="66"/>
        <v>0</v>
      </c>
      <c r="BL105" s="99">
        <v>15</v>
      </c>
    </row>
    <row r="106" spans="1:64" ht="12.75" x14ac:dyDescent="0.2">
      <c r="A106" s="8">
        <f t="shared" si="30"/>
        <v>23</v>
      </c>
      <c r="B106" s="125">
        <f t="shared" si="31"/>
        <v>8.8000000000000007</v>
      </c>
      <c r="C106" s="125">
        <f t="shared" si="32"/>
        <v>14.6</v>
      </c>
      <c r="D106" s="125">
        <f t="shared" si="67"/>
        <v>11.7</v>
      </c>
      <c r="E106" s="125">
        <f t="shared" si="33"/>
        <v>5.7999999999999989</v>
      </c>
      <c r="F106" s="7">
        <v>8.9420000000000073</v>
      </c>
      <c r="G106" s="7">
        <v>14.739333333333317</v>
      </c>
      <c r="H106" s="7">
        <f t="shared" si="68"/>
        <v>11.840666666666662</v>
      </c>
      <c r="I106" s="7">
        <f t="shared" si="69"/>
        <v>5.7973333333333095</v>
      </c>
      <c r="K106" s="7">
        <f t="shared" si="34"/>
        <v>12.6</v>
      </c>
      <c r="L106" s="7">
        <f t="shared" si="35"/>
        <v>9.6</v>
      </c>
      <c r="M106" s="370">
        <f t="shared" si="36"/>
        <v>5.3937499999999998</v>
      </c>
      <c r="N106" s="1">
        <f t="shared" si="37"/>
        <v>0</v>
      </c>
      <c r="O106" s="7">
        <f t="shared" si="38"/>
        <v>73.25</v>
      </c>
      <c r="P106" s="7">
        <f t="shared" si="39"/>
        <v>11.8125</v>
      </c>
      <c r="Q106" s="7">
        <f t="shared" si="40"/>
        <v>18.962500000000002</v>
      </c>
      <c r="R106" s="7">
        <f t="shared" si="41"/>
        <v>15.218750000000002</v>
      </c>
      <c r="S106" s="7">
        <f t="shared" si="42"/>
        <v>7.1499999999999986</v>
      </c>
      <c r="T106" s="1">
        <v>47</v>
      </c>
      <c r="U106" s="333">
        <f t="shared" si="43"/>
        <v>2.225806451612903</v>
      </c>
      <c r="V106" s="4">
        <v>16</v>
      </c>
      <c r="W106" s="7">
        <f t="shared" si="44"/>
        <v>4.3680000000000003</v>
      </c>
      <c r="X106" s="7">
        <f t="shared" si="45"/>
        <v>12.831000000000001</v>
      </c>
      <c r="Y106" s="8">
        <f t="shared" si="46"/>
        <v>2</v>
      </c>
      <c r="Z106" s="7">
        <f>IF(ISBLANK(Z19),NA(),SUM($Z$4:Z19))</f>
        <v>5.8000000000000007</v>
      </c>
      <c r="AA106" s="7">
        <f t="shared" si="70"/>
        <v>35.612903225806448</v>
      </c>
      <c r="AB106" s="26">
        <f>IF(ISBLANK(Z19),"",SUM($Z$4:Z19))</f>
        <v>5.8000000000000007</v>
      </c>
      <c r="AC106" s="115">
        <f t="shared" si="71"/>
        <v>0.16286231884057975</v>
      </c>
      <c r="AD106" s="8">
        <f t="shared" si="47"/>
        <v>1020.78125</v>
      </c>
      <c r="AE106" s="610">
        <f t="shared" si="48"/>
        <v>1.2727281995228226</v>
      </c>
      <c r="AF106" s="524">
        <f t="shared" si="49"/>
        <v>0.37847222222222227</v>
      </c>
      <c r="AG106" s="22">
        <f>IF(ISBLANK(AP19),NA(),SUM($AP$4:AP19))</f>
        <v>72.900000000000006</v>
      </c>
      <c r="AH106" s="7">
        <f>SUM($AS$91:AS106)</f>
        <v>57.278529718546366</v>
      </c>
      <c r="AI106" s="115">
        <f t="shared" si="50"/>
        <v>1.2727281995228226</v>
      </c>
      <c r="AJ106" s="124">
        <f t="shared" si="51"/>
        <v>0</v>
      </c>
      <c r="AK106" s="8">
        <f t="shared" si="52"/>
        <v>1023</v>
      </c>
      <c r="AL106" s="124">
        <f t="shared" si="53"/>
        <v>0</v>
      </c>
      <c r="AM106" s="524">
        <f t="shared" si="54"/>
        <v>0.67569444444444438</v>
      </c>
      <c r="AN106" s="1">
        <f t="array" ref="AN106">MAX(IF(G4:G34=$G$86,E4:E34,0))</f>
        <v>1</v>
      </c>
      <c r="AO106" s="524">
        <f t="shared" si="55"/>
        <v>0.7090277777777777</v>
      </c>
      <c r="AP106" s="451" t="s">
        <v>128</v>
      </c>
      <c r="AQ106" s="450">
        <v>2.3E-2</v>
      </c>
      <c r="AR106" s="524">
        <f t="shared" si="56"/>
        <v>0.3</v>
      </c>
      <c r="AS106" s="7">
        <f t="shared" si="57"/>
        <v>3.4160113385284192</v>
      </c>
      <c r="AT106" s="7">
        <v>9.5141709207098444</v>
      </c>
      <c r="AU106" s="4">
        <v>16</v>
      </c>
      <c r="AV106" s="127">
        <f t="shared" si="58"/>
        <v>1</v>
      </c>
      <c r="AW106" s="124">
        <f t="shared" si="72"/>
        <v>1</v>
      </c>
      <c r="AX106" s="124">
        <f t="shared" si="73"/>
        <v>0</v>
      </c>
      <c r="AY106" s="124">
        <f t="shared" si="59"/>
        <v>1</v>
      </c>
      <c r="AZ106" s="125">
        <f t="shared" si="60"/>
        <v>4.0889999999999995</v>
      </c>
      <c r="BA106" s="125">
        <f t="shared" si="61"/>
        <v>9.7666666666666657</v>
      </c>
      <c r="BB106" s="125">
        <f t="shared" si="62"/>
        <v>13.633333333333333</v>
      </c>
      <c r="BC106" s="7">
        <v>9.9082222222222249</v>
      </c>
      <c r="BD106" s="7">
        <v>13.773111111111099</v>
      </c>
      <c r="BE106" s="124"/>
      <c r="BF106" s="8">
        <f t="shared" si="63"/>
        <v>83</v>
      </c>
      <c r="BG106" s="21">
        <f t="shared" si="64"/>
        <v>9.9</v>
      </c>
      <c r="BH106" s="124">
        <f t="shared" si="65"/>
        <v>0</v>
      </c>
      <c r="BI106" s="124">
        <f t="shared" si="74"/>
        <v>0</v>
      </c>
      <c r="BJ106" s="144">
        <f t="shared" si="66"/>
        <v>0</v>
      </c>
      <c r="BL106" s="99">
        <v>16</v>
      </c>
    </row>
    <row r="107" spans="1:64" ht="12.75" x14ac:dyDescent="0.2">
      <c r="A107" s="8">
        <f t="shared" si="30"/>
        <v>30</v>
      </c>
      <c r="B107" s="125">
        <f t="shared" si="31"/>
        <v>8.8000000000000007</v>
      </c>
      <c r="C107" s="125">
        <f t="shared" si="32"/>
        <v>14.6</v>
      </c>
      <c r="D107" s="125">
        <f t="shared" si="67"/>
        <v>11.7</v>
      </c>
      <c r="E107" s="125">
        <f t="shared" si="33"/>
        <v>5.7999999999999989</v>
      </c>
      <c r="F107" s="7">
        <v>8.8710000000000075</v>
      </c>
      <c r="G107" s="7">
        <v>14.619666666666649</v>
      </c>
      <c r="H107" s="7">
        <f t="shared" si="68"/>
        <v>11.745333333333328</v>
      </c>
      <c r="I107" s="7">
        <f t="shared" si="69"/>
        <v>5.7486666666666419</v>
      </c>
      <c r="K107" s="7">
        <f t="shared" si="34"/>
        <v>8.3000000000000007</v>
      </c>
      <c r="L107" s="7">
        <f t="shared" si="35"/>
        <v>12.15</v>
      </c>
      <c r="M107" s="370">
        <f t="shared" si="36"/>
        <v>5.4882352941176471</v>
      </c>
      <c r="N107" s="1">
        <f t="shared" si="37"/>
        <v>0</v>
      </c>
      <c r="O107" s="7">
        <f t="shared" si="38"/>
        <v>73.529411764705884</v>
      </c>
      <c r="P107" s="7">
        <f t="shared" si="39"/>
        <v>11.588235294117647</v>
      </c>
      <c r="Q107" s="7">
        <f t="shared" si="40"/>
        <v>18.805882352941179</v>
      </c>
      <c r="R107" s="7">
        <f t="shared" si="41"/>
        <v>15.076470588235296</v>
      </c>
      <c r="S107" s="7">
        <f t="shared" si="42"/>
        <v>7.2176470588235278</v>
      </c>
      <c r="T107" s="1">
        <v>48</v>
      </c>
      <c r="U107" s="333">
        <f t="shared" si="43"/>
        <v>2.225806451612903</v>
      </c>
      <c r="V107" s="4">
        <v>17</v>
      </c>
      <c r="W107" s="7">
        <f t="shared" si="44"/>
        <v>4.641</v>
      </c>
      <c r="X107" s="7">
        <f t="shared" si="45"/>
        <v>13.104000000000001</v>
      </c>
      <c r="Y107" s="8">
        <f t="shared" si="46"/>
        <v>13</v>
      </c>
      <c r="Z107" s="7">
        <f>IF(ISBLANK(Z20),NA(),SUM($Z$4:Z20))</f>
        <v>5.8000000000000007</v>
      </c>
      <c r="AA107" s="7">
        <f t="shared" si="70"/>
        <v>37.838709677419352</v>
      </c>
      <c r="AB107" s="26">
        <f>IF(ISBLANK(Z20),"",SUM($Z$4:Z20))</f>
        <v>5.8000000000000007</v>
      </c>
      <c r="AC107" s="115">
        <f t="shared" si="71"/>
        <v>0.15328218243819269</v>
      </c>
      <c r="AD107" s="8">
        <f t="shared" si="47"/>
        <v>1020.4705882352941</v>
      </c>
      <c r="AE107" s="610">
        <f t="shared" si="48"/>
        <v>1.2674486131920741</v>
      </c>
      <c r="AF107" s="524">
        <f t="shared" si="49"/>
        <v>0.35347222222222219</v>
      </c>
      <c r="AG107" s="22">
        <f>IF(ISBLANK(AP20),NA(),SUM($AP$4:AP20))</f>
        <v>76.900000000000006</v>
      </c>
      <c r="AH107" s="7">
        <f>SUM($AS$91:AS107)</f>
        <v>60.673071239020153</v>
      </c>
      <c r="AI107" s="115">
        <f t="shared" si="50"/>
        <v>1.2674486131920741</v>
      </c>
      <c r="AJ107" s="124">
        <f t="shared" si="51"/>
        <v>0</v>
      </c>
      <c r="AK107" s="8">
        <f t="shared" si="52"/>
        <v>1015.5</v>
      </c>
      <c r="AL107" s="124">
        <f t="shared" si="53"/>
        <v>0</v>
      </c>
      <c r="AM107" s="524">
        <f t="shared" si="54"/>
        <v>0.64583333333333337</v>
      </c>
      <c r="AN107" s="7">
        <f>C85-G39</f>
        <v>-3.1999999999999993</v>
      </c>
      <c r="AO107" s="524">
        <f t="shared" si="55"/>
        <v>0.55555555555555558</v>
      </c>
      <c r="AP107" s="449" t="s">
        <v>213</v>
      </c>
      <c r="AQ107" s="448">
        <v>2.9000000000000001E-2</v>
      </c>
      <c r="AR107" s="524">
        <f t="shared" si="56"/>
        <v>0.31874999999999998</v>
      </c>
      <c r="AS107" s="7">
        <f t="shared" si="57"/>
        <v>3.3945415204737897</v>
      </c>
      <c r="AT107" s="7">
        <v>9.4543738362258445</v>
      </c>
      <c r="AU107" s="4">
        <v>17</v>
      </c>
      <c r="AV107" s="127">
        <f t="shared" si="58"/>
        <v>1</v>
      </c>
      <c r="AW107" s="124">
        <f t="shared" si="72"/>
        <v>0</v>
      </c>
      <c r="AX107" s="124">
        <f t="shared" si="73"/>
        <v>0</v>
      </c>
      <c r="AY107" s="124">
        <f t="shared" si="59"/>
        <v>0</v>
      </c>
      <c r="AZ107" s="125">
        <f t="shared" si="60"/>
        <v>4.0889999999999995</v>
      </c>
      <c r="BA107" s="125">
        <f t="shared" si="61"/>
        <v>9.7666666666666657</v>
      </c>
      <c r="BB107" s="125">
        <f t="shared" si="62"/>
        <v>13.633333333333333</v>
      </c>
      <c r="BC107" s="7">
        <v>9.8291111111111142</v>
      </c>
      <c r="BD107" s="7">
        <v>13.661555555555541</v>
      </c>
      <c r="BE107" s="124"/>
      <c r="BF107" s="8">
        <f t="shared" si="63"/>
        <v>78</v>
      </c>
      <c r="BG107" s="21">
        <f t="shared" si="64"/>
        <v>12.8</v>
      </c>
      <c r="BH107" s="124">
        <f t="shared" si="65"/>
        <v>0</v>
      </c>
      <c r="BI107" s="124">
        <f t="shared" si="74"/>
        <v>0</v>
      </c>
      <c r="BJ107" s="144">
        <f t="shared" si="66"/>
        <v>0</v>
      </c>
      <c r="BL107" s="99">
        <v>17</v>
      </c>
    </row>
    <row r="108" spans="1:64" ht="12.75" x14ac:dyDescent="0.2">
      <c r="A108" s="8">
        <f t="shared" si="30"/>
        <v>45</v>
      </c>
      <c r="B108" s="125">
        <f t="shared" si="31"/>
        <v>8.8000000000000007</v>
      </c>
      <c r="C108" s="125">
        <f t="shared" si="32"/>
        <v>14.6</v>
      </c>
      <c r="D108" s="125">
        <f t="shared" si="67"/>
        <v>11.7</v>
      </c>
      <c r="E108" s="125">
        <f t="shared" si="33"/>
        <v>5.7999999999999989</v>
      </c>
      <c r="F108" s="7">
        <v>8.8000000000000007</v>
      </c>
      <c r="G108" s="7">
        <v>14.5</v>
      </c>
      <c r="H108" s="7">
        <f t="shared" si="68"/>
        <v>11.65</v>
      </c>
      <c r="I108" s="7">
        <f t="shared" si="69"/>
        <v>5.6999999999999993</v>
      </c>
      <c r="K108" s="7">
        <f t="shared" si="34"/>
        <v>6.5</v>
      </c>
      <c r="L108" s="7">
        <f t="shared" si="35"/>
        <v>11.25</v>
      </c>
      <c r="M108" s="370">
        <f t="shared" si="36"/>
        <v>5.583333333333333</v>
      </c>
      <c r="N108" s="1">
        <f t="shared" si="37"/>
        <v>1.0999999999999999</v>
      </c>
      <c r="O108" s="7">
        <f t="shared" si="38"/>
        <v>73.111111111111114</v>
      </c>
      <c r="P108" s="7">
        <f t="shared" si="39"/>
        <v>11.388888888888889</v>
      </c>
      <c r="Q108" s="7">
        <f t="shared" si="40"/>
        <v>18.56666666666667</v>
      </c>
      <c r="R108" s="7">
        <f t="shared" si="41"/>
        <v>14.822222222222223</v>
      </c>
      <c r="S108" s="7">
        <f t="shared" si="42"/>
        <v>7.1777777777777771</v>
      </c>
      <c r="T108" s="1">
        <v>49</v>
      </c>
      <c r="U108" s="333">
        <f t="shared" si="43"/>
        <v>2.225806451612903</v>
      </c>
      <c r="V108" s="4">
        <v>18</v>
      </c>
      <c r="W108" s="7">
        <f t="shared" si="44"/>
        <v>4.9140000000000006</v>
      </c>
      <c r="X108" s="7">
        <f t="shared" si="45"/>
        <v>13.377000000000001</v>
      </c>
      <c r="Y108" s="8">
        <f t="shared" si="46"/>
        <v>6</v>
      </c>
      <c r="Z108" s="7">
        <f>IF(ISBLANK(Z21),NA(),SUM($Z$4:Z21))</f>
        <v>9.1000000000000014</v>
      </c>
      <c r="AA108" s="7">
        <f t="shared" si="70"/>
        <v>40.064516129032256</v>
      </c>
      <c r="AB108" s="26">
        <f>IF(ISBLANK(Z21),"",SUM($Z$4:Z21))</f>
        <v>9.1000000000000014</v>
      </c>
      <c r="AC108" s="115">
        <f t="shared" si="71"/>
        <v>0.22713365539452501</v>
      </c>
      <c r="AD108" s="8">
        <f t="shared" si="47"/>
        <v>1019.8333333333334</v>
      </c>
      <c r="AE108" s="610">
        <f t="shared" si="48"/>
        <v>1.3256049699085692</v>
      </c>
      <c r="AF108" s="524">
        <f t="shared" si="49"/>
        <v>0.28888888888888892</v>
      </c>
      <c r="AG108" s="22">
        <f>IF(ISBLANK(AP21),NA(),SUM($AP$4:AP21))</f>
        <v>84.9</v>
      </c>
      <c r="AH108" s="7">
        <f>SUM($AS$91:AS108)</f>
        <v>64.046229402606869</v>
      </c>
      <c r="AI108" s="115">
        <f t="shared" si="50"/>
        <v>1.3256049699085692</v>
      </c>
      <c r="AJ108" s="124">
        <f t="shared" si="51"/>
        <v>1</v>
      </c>
      <c r="AK108" s="8">
        <f t="shared" si="52"/>
        <v>1009</v>
      </c>
      <c r="AL108" s="124">
        <f t="shared" si="53"/>
        <v>1</v>
      </c>
      <c r="AM108" s="524">
        <f t="shared" si="54"/>
        <v>0.64513888888888882</v>
      </c>
      <c r="AN108" s="124">
        <f t="array" ref="AN108">SUM(IF(Z4:Z34&gt;10,1,0))</f>
        <v>0</v>
      </c>
      <c r="AO108" s="524">
        <f t="shared" si="55"/>
        <v>0.53472222222222221</v>
      </c>
      <c r="AP108" s="303"/>
      <c r="AQ108" s="303"/>
      <c r="AR108" s="524">
        <f t="shared" si="56"/>
        <v>0.22222222222222221</v>
      </c>
      <c r="AS108" s="7">
        <f t="shared" si="57"/>
        <v>3.3731581635867212</v>
      </c>
      <c r="AT108" s="7">
        <v>9.3948175607569961</v>
      </c>
      <c r="AU108" s="4">
        <v>18</v>
      </c>
      <c r="AV108" s="127">
        <f t="shared" si="58"/>
        <v>1</v>
      </c>
      <c r="AW108" s="124">
        <f t="shared" si="72"/>
        <v>0</v>
      </c>
      <c r="AX108" s="124">
        <f t="shared" si="73"/>
        <v>0</v>
      </c>
      <c r="AY108" s="124">
        <f t="shared" si="59"/>
        <v>0</v>
      </c>
      <c r="AZ108" s="125">
        <f t="shared" si="60"/>
        <v>4.0889999999999995</v>
      </c>
      <c r="BA108" s="125">
        <f t="shared" si="61"/>
        <v>9.7666666666666657</v>
      </c>
      <c r="BB108" s="125">
        <f t="shared" si="62"/>
        <v>13.633333333333333</v>
      </c>
      <c r="BC108" s="7">
        <v>9.75</v>
      </c>
      <c r="BD108" s="7">
        <v>13.55</v>
      </c>
      <c r="BE108" s="124"/>
      <c r="BF108" s="8">
        <f t="shared" si="63"/>
        <v>66</v>
      </c>
      <c r="BG108" s="21">
        <f t="shared" si="64"/>
        <v>10.5</v>
      </c>
      <c r="BH108" s="124">
        <f t="shared" si="65"/>
        <v>1</v>
      </c>
      <c r="BI108" s="124">
        <f t="shared" si="74"/>
        <v>1</v>
      </c>
      <c r="BJ108" s="144">
        <f t="shared" si="66"/>
        <v>1.0999999999999999</v>
      </c>
      <c r="BL108" s="99">
        <v>18</v>
      </c>
    </row>
    <row r="109" spans="1:64" ht="12.75" x14ac:dyDescent="0.2">
      <c r="A109" s="8">
        <f t="shared" si="30"/>
        <v>40</v>
      </c>
      <c r="B109" s="125">
        <f t="shared" si="31"/>
        <v>8.8000000000000007</v>
      </c>
      <c r="C109" s="125">
        <f t="shared" si="32"/>
        <v>14.6</v>
      </c>
      <c r="D109" s="125">
        <f t="shared" si="67"/>
        <v>11.7</v>
      </c>
      <c r="E109" s="125">
        <f t="shared" si="33"/>
        <v>5.7999999999999989</v>
      </c>
      <c r="F109" s="7">
        <v>8.6640000000000015</v>
      </c>
      <c r="G109" s="7">
        <v>14.338461538461539</v>
      </c>
      <c r="H109" s="7">
        <f t="shared" si="68"/>
        <v>11.501230769230769</v>
      </c>
      <c r="I109" s="7">
        <f t="shared" si="69"/>
        <v>5.6744615384615376</v>
      </c>
      <c r="K109" s="7">
        <f t="shared" si="34"/>
        <v>6.9</v>
      </c>
      <c r="L109" s="7">
        <f t="shared" si="35"/>
        <v>8.25</v>
      </c>
      <c r="M109" s="370">
        <f t="shared" si="36"/>
        <v>5.5315789473684207</v>
      </c>
      <c r="N109" s="1">
        <f t="shared" si="37"/>
        <v>0</v>
      </c>
      <c r="O109" s="7">
        <f t="shared" si="38"/>
        <v>72.94736842105263</v>
      </c>
      <c r="P109" s="7">
        <f t="shared" si="39"/>
        <v>11.042105263157895</v>
      </c>
      <c r="Q109" s="7">
        <f t="shared" si="40"/>
        <v>18.205263157894738</v>
      </c>
      <c r="R109" s="7">
        <f t="shared" si="41"/>
        <v>14.45263157894737</v>
      </c>
      <c r="S109" s="7">
        <f t="shared" si="42"/>
        <v>7.1631578947368419</v>
      </c>
      <c r="T109" s="1">
        <v>50</v>
      </c>
      <c r="U109" s="333">
        <f t="shared" si="43"/>
        <v>2.225806451612903</v>
      </c>
      <c r="V109" s="4">
        <v>19</v>
      </c>
      <c r="W109" s="7">
        <f t="shared" si="44"/>
        <v>5.1870000000000003</v>
      </c>
      <c r="X109" s="7">
        <f t="shared" si="45"/>
        <v>13.65</v>
      </c>
      <c r="Y109" s="8">
        <f t="shared" si="46"/>
        <v>12</v>
      </c>
      <c r="Z109" s="7">
        <f>IF(ISBLANK(Z22),NA(),SUM($Z$4:Z22))</f>
        <v>9.1000000000000014</v>
      </c>
      <c r="AA109" s="7">
        <f t="shared" si="70"/>
        <v>42.29032258064516</v>
      </c>
      <c r="AB109" s="26">
        <f>IF(ISBLANK(Z22),"",SUM($Z$4:Z22))</f>
        <v>9.1000000000000014</v>
      </c>
      <c r="AC109" s="115">
        <f t="shared" si="71"/>
        <v>0.2151792524790237</v>
      </c>
      <c r="AD109" s="8">
        <f t="shared" si="47"/>
        <v>1019.7368421052631</v>
      </c>
      <c r="AE109" s="610">
        <f t="shared" si="48"/>
        <v>1.3635400152920183</v>
      </c>
      <c r="AF109" s="524">
        <f t="shared" si="49"/>
        <v>0.34236111111111112</v>
      </c>
      <c r="AG109" s="22">
        <f>IF(ISBLANK(AP22),NA(),SUM($AP$4:AP22))</f>
        <v>91.9</v>
      </c>
      <c r="AH109" s="7">
        <f>SUM($AS$91:AS109)</f>
        <v>67.398095376261125</v>
      </c>
      <c r="AI109" s="115">
        <f t="shared" si="50"/>
        <v>1.3635400152920183</v>
      </c>
      <c r="AJ109" s="124">
        <f t="shared" si="51"/>
        <v>0</v>
      </c>
      <c r="AK109" s="8">
        <f t="shared" si="52"/>
        <v>1018</v>
      </c>
      <c r="AL109" s="124">
        <f t="shared" si="53"/>
        <v>0</v>
      </c>
      <c r="AM109" s="524">
        <f t="shared" si="54"/>
        <v>0.62083333333333335</v>
      </c>
      <c r="AO109" s="524">
        <f t="shared" si="55"/>
        <v>0.64861111111111114</v>
      </c>
      <c r="AP109" s="423" t="s">
        <v>129</v>
      </c>
      <c r="AQ109" s="453">
        <f>MAX(AQ92:AQ107)</f>
        <v>0.16600000000000001</v>
      </c>
      <c r="AR109" s="524">
        <f t="shared" si="56"/>
        <v>0.32222222222222224</v>
      </c>
      <c r="AS109" s="7">
        <f t="shared" si="57"/>
        <v>3.3518659736542564</v>
      </c>
      <c r="AT109" s="7">
        <v>9.335515200718298</v>
      </c>
      <c r="AU109" s="4">
        <v>19</v>
      </c>
      <c r="AV109" s="127">
        <f t="shared" si="58"/>
        <v>1</v>
      </c>
      <c r="AW109" s="124">
        <f t="shared" si="72"/>
        <v>1</v>
      </c>
      <c r="AX109" s="124">
        <f t="shared" si="73"/>
        <v>0</v>
      </c>
      <c r="AY109" s="124">
        <f t="shared" si="59"/>
        <v>0</v>
      </c>
      <c r="AZ109" s="125">
        <f t="shared" si="60"/>
        <v>4.0889999999999995</v>
      </c>
      <c r="BA109" s="125">
        <f t="shared" si="61"/>
        <v>9.7666666666666657</v>
      </c>
      <c r="BB109" s="125">
        <f t="shared" si="62"/>
        <v>13.633333333333333</v>
      </c>
      <c r="BC109" s="7">
        <v>9.6097435897435908</v>
      </c>
      <c r="BD109" s="7">
        <v>13.392717948717948</v>
      </c>
      <c r="BE109" s="124"/>
      <c r="BF109" s="8">
        <f t="shared" si="63"/>
        <v>70</v>
      </c>
      <c r="BG109" s="21">
        <f t="shared" si="64"/>
        <v>7.8</v>
      </c>
      <c r="BH109" s="124">
        <f t="shared" si="65"/>
        <v>0</v>
      </c>
      <c r="BI109" s="124">
        <f t="shared" si="74"/>
        <v>0</v>
      </c>
      <c r="BJ109" s="144">
        <f t="shared" si="66"/>
        <v>0</v>
      </c>
      <c r="BL109" s="99">
        <v>19</v>
      </c>
    </row>
    <row r="110" spans="1:64" ht="12.75" x14ac:dyDescent="0.2">
      <c r="A110" s="8">
        <f t="shared" si="30"/>
        <v>34</v>
      </c>
      <c r="B110" s="125">
        <f t="shared" si="31"/>
        <v>8.8000000000000007</v>
      </c>
      <c r="C110" s="125">
        <f t="shared" si="32"/>
        <v>14.6</v>
      </c>
      <c r="D110" s="125">
        <f t="shared" si="67"/>
        <v>11.7</v>
      </c>
      <c r="E110" s="125">
        <f t="shared" si="33"/>
        <v>5.7999999999999989</v>
      </c>
      <c r="F110" s="7">
        <v>8.5280000000000022</v>
      </c>
      <c r="G110" s="7">
        <v>14.176923076923078</v>
      </c>
      <c r="H110" s="7">
        <f t="shared" si="68"/>
        <v>11.35246153846154</v>
      </c>
      <c r="I110" s="7">
        <f t="shared" si="69"/>
        <v>5.6489230769230758</v>
      </c>
      <c r="K110" s="7">
        <f t="shared" si="34"/>
        <v>8.1</v>
      </c>
      <c r="L110" s="7">
        <f t="shared" si="35"/>
        <v>7.35</v>
      </c>
      <c r="M110" s="370">
        <f t="shared" si="36"/>
        <v>5.4349999999999996</v>
      </c>
      <c r="N110" s="1">
        <f t="shared" si="37"/>
        <v>0</v>
      </c>
      <c r="O110" s="7">
        <f t="shared" si="38"/>
        <v>72.8</v>
      </c>
      <c r="P110" s="7">
        <f t="shared" si="39"/>
        <v>10.655000000000001</v>
      </c>
      <c r="Q110" s="7">
        <f t="shared" si="40"/>
        <v>17.865000000000002</v>
      </c>
      <c r="R110" s="7">
        <f t="shared" si="41"/>
        <v>14.074999999999999</v>
      </c>
      <c r="S110" s="7">
        <f t="shared" si="42"/>
        <v>7.2099999999999991</v>
      </c>
      <c r="T110" s="1">
        <v>51</v>
      </c>
      <c r="U110" s="333">
        <f t="shared" si="43"/>
        <v>2.225806451612903</v>
      </c>
      <c r="V110" s="4">
        <v>20</v>
      </c>
      <c r="W110" s="7">
        <f t="shared" si="44"/>
        <v>5.4600000000000009</v>
      </c>
      <c r="X110" s="7">
        <f t="shared" si="45"/>
        <v>13.923000000000002</v>
      </c>
      <c r="Y110" s="8">
        <f t="shared" si="46"/>
        <v>4</v>
      </c>
      <c r="Z110" s="7">
        <f>IF(ISBLANK(Z23),NA(),SUM($Z$4:Z23))</f>
        <v>9.1000000000000014</v>
      </c>
      <c r="AA110" s="7">
        <f t="shared" si="70"/>
        <v>44.516129032258064</v>
      </c>
      <c r="AB110" s="26">
        <f>IF(ISBLANK(Z23),"",SUM($Z$4:Z23))</f>
        <v>9.1000000000000014</v>
      </c>
      <c r="AC110" s="115">
        <f t="shared" si="71"/>
        <v>0.20442028985507249</v>
      </c>
      <c r="AD110" s="8">
        <f t="shared" si="47"/>
        <v>1020.05</v>
      </c>
      <c r="AE110" s="610">
        <f t="shared" si="48"/>
        <v>1.4053688020805435</v>
      </c>
      <c r="AF110" s="524">
        <f t="shared" si="49"/>
        <v>0.28194444444444444</v>
      </c>
      <c r="AG110" s="22">
        <f>IF(ISBLANK(AP23),NA(),SUM($AP$4:AP23))</f>
        <v>99.4</v>
      </c>
      <c r="AH110" s="7">
        <f>SUM($AS$91:AS110)</f>
        <v>70.728765184516504</v>
      </c>
      <c r="AI110" s="115">
        <f t="shared" si="50"/>
        <v>1.4053688020805435</v>
      </c>
      <c r="AJ110" s="124">
        <f t="shared" si="51"/>
        <v>0</v>
      </c>
      <c r="AK110" s="8">
        <f t="shared" si="52"/>
        <v>1026</v>
      </c>
      <c r="AL110" s="124">
        <f t="shared" si="53"/>
        <v>0</v>
      </c>
      <c r="AM110" s="524">
        <f t="shared" si="54"/>
        <v>0.63611111111111118</v>
      </c>
      <c r="AO110" s="524">
        <f t="shared" si="55"/>
        <v>0.62013888888888891</v>
      </c>
      <c r="AR110" s="524">
        <f t="shared" si="56"/>
        <v>0.2673611111111111</v>
      </c>
      <c r="AS110" s="7">
        <f t="shared" si="57"/>
        <v>3.3306698082553829</v>
      </c>
      <c r="AT110" s="7">
        <v>9.2764802852910577</v>
      </c>
      <c r="AU110" s="4">
        <v>20</v>
      </c>
      <c r="AV110" s="127">
        <f t="shared" si="58"/>
        <v>1</v>
      </c>
      <c r="AW110" s="124">
        <f t="shared" si="72"/>
        <v>1</v>
      </c>
      <c r="AX110" s="124">
        <f t="shared" si="73"/>
        <v>0</v>
      </c>
      <c r="AY110" s="124">
        <f t="shared" si="59"/>
        <v>1</v>
      </c>
      <c r="AZ110" s="125">
        <f t="shared" si="60"/>
        <v>4.0889999999999995</v>
      </c>
      <c r="BA110" s="125">
        <f t="shared" si="61"/>
        <v>9.7666666666666657</v>
      </c>
      <c r="BB110" s="125">
        <f t="shared" si="62"/>
        <v>13.633333333333333</v>
      </c>
      <c r="BC110" s="7">
        <v>9.4694871794871815</v>
      </c>
      <c r="BD110" s="7">
        <v>13.235435897435899</v>
      </c>
      <c r="BE110" s="124"/>
      <c r="BF110" s="8">
        <f t="shared" si="63"/>
        <v>70</v>
      </c>
      <c r="BG110" s="21">
        <f t="shared" si="64"/>
        <v>6.9</v>
      </c>
      <c r="BH110" s="124">
        <f t="shared" si="65"/>
        <v>0</v>
      </c>
      <c r="BI110" s="124">
        <f t="shared" si="74"/>
        <v>0</v>
      </c>
      <c r="BJ110" s="144">
        <f t="shared" si="66"/>
        <v>0</v>
      </c>
      <c r="BL110" s="99">
        <v>20</v>
      </c>
    </row>
    <row r="111" spans="1:64" ht="12.75" x14ac:dyDescent="0.2">
      <c r="A111" s="8">
        <f t="shared" si="30"/>
        <v>26</v>
      </c>
      <c r="B111" s="125">
        <f t="shared" si="31"/>
        <v>8.8000000000000007</v>
      </c>
      <c r="C111" s="125">
        <f t="shared" si="32"/>
        <v>14.6</v>
      </c>
      <c r="D111" s="125">
        <f t="shared" si="67"/>
        <v>11.7</v>
      </c>
      <c r="E111" s="125">
        <f t="shared" si="33"/>
        <v>5.7999999999999989</v>
      </c>
      <c r="F111" s="7">
        <v>8.392000000000003</v>
      </c>
      <c r="G111" s="7">
        <v>14.015384615384617</v>
      </c>
      <c r="H111" s="7">
        <f t="shared" si="68"/>
        <v>11.203692307692311</v>
      </c>
      <c r="I111" s="7">
        <f t="shared" si="69"/>
        <v>5.6233846153846141</v>
      </c>
      <c r="K111" s="7">
        <f t="shared" si="34"/>
        <v>9.1</v>
      </c>
      <c r="L111" s="7">
        <f t="shared" si="35"/>
        <v>10.149999999999999</v>
      </c>
      <c r="M111" s="370">
        <f t="shared" si="36"/>
        <v>5.4047619047619042</v>
      </c>
      <c r="N111" s="1">
        <f t="shared" si="37"/>
        <v>0</v>
      </c>
      <c r="O111" s="7">
        <f t="shared" si="38"/>
        <v>72.61904761904762</v>
      </c>
      <c r="P111" s="7">
        <f t="shared" si="39"/>
        <v>10.414285714285715</v>
      </c>
      <c r="Q111" s="7">
        <f t="shared" si="40"/>
        <v>17.714285714285715</v>
      </c>
      <c r="R111" s="7">
        <f t="shared" si="41"/>
        <v>13.899999999999999</v>
      </c>
      <c r="S111" s="7">
        <f t="shared" si="42"/>
        <v>7.2999999999999989</v>
      </c>
      <c r="T111" s="1">
        <v>52</v>
      </c>
      <c r="U111" s="333">
        <f t="shared" si="43"/>
        <v>2.225806451612903</v>
      </c>
      <c r="V111" s="4">
        <v>21</v>
      </c>
      <c r="W111" s="7">
        <f t="shared" si="44"/>
        <v>5.7330000000000005</v>
      </c>
      <c r="X111" s="7">
        <f t="shared" si="45"/>
        <v>14.196000000000002</v>
      </c>
      <c r="Y111" s="8">
        <f t="shared" si="46"/>
        <v>5</v>
      </c>
      <c r="Z111" s="7">
        <f>IF(ISBLANK(Z24),NA(),SUM($Z$4:Z24))</f>
        <v>9.1000000000000014</v>
      </c>
      <c r="AA111" s="7">
        <f t="shared" si="70"/>
        <v>46.741935483870961</v>
      </c>
      <c r="AB111" s="26">
        <f>IF(ISBLANK(Z24),"",SUM($Z$4:Z24))</f>
        <v>9.1000000000000014</v>
      </c>
      <c r="AC111" s="115">
        <f t="shared" si="71"/>
        <v>0.19468599033816431</v>
      </c>
      <c r="AD111" s="8">
        <f t="shared" si="47"/>
        <v>1020.2619047619048</v>
      </c>
      <c r="AE111" s="610">
        <f t="shared" si="48"/>
        <v>1.4235867550680628</v>
      </c>
      <c r="AF111" s="524">
        <f t="shared" si="49"/>
        <v>0.18333333333333335</v>
      </c>
      <c r="AG111" s="22">
        <f>IF(ISBLANK(AP24),NA(),SUM($AP$4:AP24))</f>
        <v>105.4</v>
      </c>
      <c r="AH111" s="7">
        <f>SUM($AS$91:AS111)</f>
        <v>74.038339865673137</v>
      </c>
      <c r="AI111" s="115">
        <f t="shared" si="50"/>
        <v>1.4235867550680628</v>
      </c>
      <c r="AJ111" s="124">
        <f t="shared" si="51"/>
        <v>0</v>
      </c>
      <c r="AK111" s="8">
        <f t="shared" si="52"/>
        <v>1024.5</v>
      </c>
      <c r="AL111" s="124">
        <f t="shared" si="53"/>
        <v>0</v>
      </c>
      <c r="AM111" s="524">
        <f t="shared" si="54"/>
        <v>0.63055555555555554</v>
      </c>
      <c r="AO111" s="524">
        <f t="shared" si="55"/>
        <v>0.61527777777777781</v>
      </c>
      <c r="AP111" s="1" t="s">
        <v>34</v>
      </c>
      <c r="AQ111" s="377">
        <f>SUM(AQ92:AQ107)</f>
        <v>1</v>
      </c>
      <c r="AR111" s="524" t="e">
        <f t="shared" si="56"/>
        <v>#N/A</v>
      </c>
      <c r="AS111" s="7">
        <f t="shared" si="57"/>
        <v>3.3095746811566307</v>
      </c>
      <c r="AT111" s="7">
        <v>9.2177267786653783</v>
      </c>
      <c r="AU111" s="4">
        <v>21</v>
      </c>
      <c r="AV111" s="127">
        <f t="shared" si="58"/>
        <v>1</v>
      </c>
      <c r="AW111" s="124">
        <f t="shared" si="72"/>
        <v>0</v>
      </c>
      <c r="AX111" s="124">
        <f t="shared" si="73"/>
        <v>0</v>
      </c>
      <c r="AY111" s="124">
        <f t="shared" si="59"/>
        <v>1</v>
      </c>
      <c r="AZ111" s="125">
        <f t="shared" si="60"/>
        <v>4.0889999999999995</v>
      </c>
      <c r="BA111" s="125">
        <f t="shared" si="61"/>
        <v>9.7666666666666657</v>
      </c>
      <c r="BB111" s="125">
        <f t="shared" si="62"/>
        <v>13.633333333333333</v>
      </c>
      <c r="BC111" s="7">
        <v>9.3292307692307723</v>
      </c>
      <c r="BD111" s="7">
        <v>13.07815384615385</v>
      </c>
      <c r="BE111" s="124"/>
      <c r="BF111" s="8">
        <f t="shared" si="63"/>
        <v>69</v>
      </c>
      <c r="BG111" s="21">
        <f t="shared" si="64"/>
        <v>10.4</v>
      </c>
      <c r="BH111" s="124">
        <f t="shared" si="65"/>
        <v>0</v>
      </c>
      <c r="BI111" s="124">
        <f t="shared" si="74"/>
        <v>0</v>
      </c>
      <c r="BJ111" s="144">
        <f t="shared" si="66"/>
        <v>0</v>
      </c>
      <c r="BL111" s="99">
        <v>21</v>
      </c>
    </row>
    <row r="112" spans="1:64" ht="12.75" x14ac:dyDescent="0.2">
      <c r="A112" s="8">
        <f t="shared" si="30"/>
        <v>30</v>
      </c>
      <c r="B112" s="125">
        <f t="shared" si="31"/>
        <v>8.8000000000000007</v>
      </c>
      <c r="C112" s="125">
        <f t="shared" si="32"/>
        <v>14.6</v>
      </c>
      <c r="D112" s="125">
        <f t="shared" si="67"/>
        <v>11.7</v>
      </c>
      <c r="E112" s="125">
        <f t="shared" si="33"/>
        <v>5.7999999999999989</v>
      </c>
      <c r="F112" s="7">
        <v>8.2560000000000038</v>
      </c>
      <c r="G112" s="7">
        <v>13.853846153846156</v>
      </c>
      <c r="H112" s="7">
        <f t="shared" si="68"/>
        <v>11.05492307692308</v>
      </c>
      <c r="I112" s="7">
        <f t="shared" si="69"/>
        <v>5.5978461538461524</v>
      </c>
      <c r="K112" s="7">
        <f t="shared" si="34"/>
        <v>5.8</v>
      </c>
      <c r="L112" s="7">
        <f t="shared" si="35"/>
        <v>10.8</v>
      </c>
      <c r="M112" s="370">
        <f t="shared" si="36"/>
        <v>5.3818181818181818</v>
      </c>
      <c r="N112" s="1">
        <f t="shared" si="37"/>
        <v>0</v>
      </c>
      <c r="O112" s="7">
        <f t="shared" si="38"/>
        <v>72.227272727272734</v>
      </c>
      <c r="P112" s="7">
        <f t="shared" si="39"/>
        <v>10.3</v>
      </c>
      <c r="Q112" s="7">
        <f t="shared" si="40"/>
        <v>17.531818181818181</v>
      </c>
      <c r="R112" s="7">
        <f t="shared" si="41"/>
        <v>13.768181818181818</v>
      </c>
      <c r="S112" s="7">
        <f t="shared" si="42"/>
        <v>7.2318181818181815</v>
      </c>
      <c r="T112" s="1">
        <v>53</v>
      </c>
      <c r="U112" s="333">
        <f t="shared" si="43"/>
        <v>2.225806451612903</v>
      </c>
      <c r="V112" s="4">
        <v>22</v>
      </c>
      <c r="W112" s="7">
        <f t="shared" si="44"/>
        <v>6.0060000000000002</v>
      </c>
      <c r="X112" s="7">
        <f t="shared" si="45"/>
        <v>14.469000000000001</v>
      </c>
      <c r="Y112" s="8">
        <f t="shared" si="46"/>
        <v>11</v>
      </c>
      <c r="Z112" s="7">
        <f>IF(ISBLANK(Z25),NA(),SUM($Z$4:Z25))</f>
        <v>9.1000000000000014</v>
      </c>
      <c r="AA112" s="7">
        <f t="shared" si="70"/>
        <v>48.967741935483865</v>
      </c>
      <c r="AB112" s="26">
        <f>IF(ISBLANK(Z25),"",SUM($Z$4:Z25))</f>
        <v>9.1000000000000014</v>
      </c>
      <c r="AC112" s="115">
        <f t="shared" si="71"/>
        <v>0.18583662714097501</v>
      </c>
      <c r="AD112" s="8">
        <f t="shared" si="47"/>
        <v>1020.0454545454545</v>
      </c>
      <c r="AE112" s="610">
        <f t="shared" si="48"/>
        <v>1.479432927983884</v>
      </c>
      <c r="AF112" s="524" t="e">
        <f t="shared" si="49"/>
        <v>#N/A</v>
      </c>
      <c r="AG112" s="22">
        <f>IF(ISBLANK(AP25),NA(),SUM($AP$4:AP25))</f>
        <v>114.4</v>
      </c>
      <c r="AH112" s="7">
        <f>SUM($AS$91:AS112)</f>
        <v>77.326925632174522</v>
      </c>
      <c r="AI112" s="115">
        <f t="shared" si="50"/>
        <v>1.479432927983884</v>
      </c>
      <c r="AJ112" s="124">
        <f t="shared" si="51"/>
        <v>0</v>
      </c>
      <c r="AK112" s="8">
        <f t="shared" si="52"/>
        <v>1015.5</v>
      </c>
      <c r="AL112" s="124">
        <f t="shared" si="53"/>
        <v>0</v>
      </c>
      <c r="AM112" s="524">
        <f t="shared" si="54"/>
        <v>0.58958333333333335</v>
      </c>
      <c r="AO112" s="524">
        <f t="shared" si="55"/>
        <v>0.59027777777777779</v>
      </c>
      <c r="AR112" s="524">
        <f t="shared" si="56"/>
        <v>0.32777777777777778</v>
      </c>
      <c r="AS112" s="7">
        <f t="shared" si="57"/>
        <v>3.2885857665013916</v>
      </c>
      <c r="AT112" s="7">
        <v>9.1592690917081203</v>
      </c>
      <c r="AU112" s="4">
        <v>22</v>
      </c>
      <c r="AV112" s="127">
        <f t="shared" si="58"/>
        <v>1</v>
      </c>
      <c r="AW112" s="124">
        <f t="shared" si="72"/>
        <v>0</v>
      </c>
      <c r="AX112" s="124">
        <f t="shared" si="73"/>
        <v>0</v>
      </c>
      <c r="AY112" s="124">
        <f t="shared" si="59"/>
        <v>0</v>
      </c>
      <c r="AZ112" s="125">
        <f t="shared" si="60"/>
        <v>4.0889999999999995</v>
      </c>
      <c r="BA112" s="125">
        <f t="shared" si="61"/>
        <v>9.7666666666666657</v>
      </c>
      <c r="BB112" s="125">
        <f t="shared" si="62"/>
        <v>13.633333333333333</v>
      </c>
      <c r="BC112" s="7">
        <v>9.1889743589743631</v>
      </c>
      <c r="BD112" s="7">
        <v>12.920871794871797</v>
      </c>
      <c r="BE112" s="124"/>
      <c r="BF112" s="8">
        <f t="shared" si="63"/>
        <v>64</v>
      </c>
      <c r="BG112" s="21">
        <f t="shared" si="64"/>
        <v>11</v>
      </c>
      <c r="BH112" s="124">
        <f t="shared" si="65"/>
        <v>0</v>
      </c>
      <c r="BI112" s="124">
        <f t="shared" si="74"/>
        <v>0</v>
      </c>
      <c r="BJ112" s="144">
        <f t="shared" si="66"/>
        <v>0</v>
      </c>
      <c r="BL112" s="99">
        <v>22</v>
      </c>
    </row>
    <row r="113" spans="1:64" ht="12.75" x14ac:dyDescent="0.2">
      <c r="A113" s="8">
        <f t="shared" si="30"/>
        <v>45</v>
      </c>
      <c r="B113" s="125">
        <f t="shared" si="31"/>
        <v>8.8000000000000007</v>
      </c>
      <c r="C113" s="125">
        <f t="shared" si="32"/>
        <v>14.6</v>
      </c>
      <c r="D113" s="125">
        <f t="shared" si="67"/>
        <v>11.7</v>
      </c>
      <c r="E113" s="125">
        <f t="shared" si="33"/>
        <v>5.7999999999999989</v>
      </c>
      <c r="F113" s="7">
        <v>8.1199999999999992</v>
      </c>
      <c r="G113" s="7">
        <v>13.692307692307695</v>
      </c>
      <c r="H113" s="7">
        <f t="shared" si="68"/>
        <v>10.906153846153847</v>
      </c>
      <c r="I113" s="7">
        <f t="shared" si="69"/>
        <v>5.572307692307696</v>
      </c>
      <c r="K113" s="7">
        <f t="shared" si="34"/>
        <v>9.3000000000000007</v>
      </c>
      <c r="L113" s="7">
        <f t="shared" si="35"/>
        <v>14.05</v>
      </c>
      <c r="M113" s="370">
        <f t="shared" si="36"/>
        <v>5.3956521739130432</v>
      </c>
      <c r="N113" s="1">
        <f t="shared" si="37"/>
        <v>0</v>
      </c>
      <c r="O113" s="7">
        <f t="shared" si="38"/>
        <v>72.217391304347828</v>
      </c>
      <c r="P113" s="7">
        <f t="shared" si="39"/>
        <v>10.260869565217392</v>
      </c>
      <c r="Q113" s="7">
        <f t="shared" si="40"/>
        <v>17.582608695652173</v>
      </c>
      <c r="R113" s="7">
        <f t="shared" si="41"/>
        <v>13.778260869565216</v>
      </c>
      <c r="S113" s="7">
        <f t="shared" si="42"/>
        <v>7.321739130434783</v>
      </c>
      <c r="T113" s="1">
        <v>54</v>
      </c>
      <c r="U113" s="333">
        <f t="shared" si="43"/>
        <v>2.225806451612903</v>
      </c>
      <c r="V113" s="4">
        <v>23</v>
      </c>
      <c r="W113" s="7">
        <f t="shared" si="44"/>
        <v>6.2790000000000008</v>
      </c>
      <c r="X113" s="7">
        <f t="shared" si="45"/>
        <v>14.742000000000001</v>
      </c>
      <c r="Y113" s="8">
        <f t="shared" si="46"/>
        <v>7</v>
      </c>
      <c r="Z113" s="7">
        <f>IF(ISBLANK(Z26),NA(),SUM($Z$4:Z26))</f>
        <v>9.1000000000000014</v>
      </c>
      <c r="AA113" s="7">
        <f t="shared" si="70"/>
        <v>51.193548387096769</v>
      </c>
      <c r="AB113" s="26">
        <f>IF(ISBLANK(Z26),"",SUM($Z$4:Z26))</f>
        <v>9.1000000000000014</v>
      </c>
      <c r="AC113" s="115">
        <f t="shared" si="71"/>
        <v>0.17775677378701957</v>
      </c>
      <c r="AD113" s="8">
        <f t="shared" si="47"/>
        <v>1019.4565217391304</v>
      </c>
      <c r="AE113" s="610">
        <f t="shared" si="48"/>
        <v>1.5125076434634952</v>
      </c>
      <c r="AF113" s="524">
        <f t="shared" si="49"/>
        <v>0.33611111111111108</v>
      </c>
      <c r="AG113" s="22">
        <f>IF(ISBLANK(AP26),NA(),SUM($AP$4:AP26))</f>
        <v>121.9</v>
      </c>
      <c r="AH113" s="7">
        <f>SUM($AS$91:AS113)</f>
        <v>80.594634034946679</v>
      </c>
      <c r="AI113" s="115">
        <f t="shared" si="50"/>
        <v>1.5125076434634952</v>
      </c>
      <c r="AJ113" s="124">
        <f t="shared" si="51"/>
        <v>0</v>
      </c>
      <c r="AK113" s="8">
        <f t="shared" si="52"/>
        <v>1006.5</v>
      </c>
      <c r="AL113" s="124">
        <f t="shared" si="53"/>
        <v>0</v>
      </c>
      <c r="AM113" s="524">
        <f t="shared" si="54"/>
        <v>0.64722222222222225</v>
      </c>
      <c r="AO113" s="524">
        <f t="shared" si="55"/>
        <v>0.5708333333333333</v>
      </c>
      <c r="AR113" s="524">
        <f t="shared" si="56"/>
        <v>6.1111111111111116E-2</v>
      </c>
      <c r="AS113" s="7">
        <f t="shared" si="57"/>
        <v>3.267708402772159</v>
      </c>
      <c r="AT113" s="7">
        <v>9.1011220929984162</v>
      </c>
      <c r="AU113" s="4">
        <v>23</v>
      </c>
      <c r="AV113" s="127">
        <f t="shared" si="58"/>
        <v>1</v>
      </c>
      <c r="AW113" s="124">
        <f t="shared" si="72"/>
        <v>0</v>
      </c>
      <c r="AX113" s="124">
        <f t="shared" si="73"/>
        <v>1</v>
      </c>
      <c r="AY113" s="124">
        <f t="shared" si="59"/>
        <v>0</v>
      </c>
      <c r="AZ113" s="125">
        <f t="shared" si="60"/>
        <v>4.0889999999999995</v>
      </c>
      <c r="BA113" s="125">
        <f t="shared" si="61"/>
        <v>9.7666666666666657</v>
      </c>
      <c r="BB113" s="125">
        <f t="shared" si="62"/>
        <v>13.633333333333333</v>
      </c>
      <c r="BC113" s="7">
        <v>9.0487179487179521</v>
      </c>
      <c r="BD113" s="7">
        <v>12.763589743589746</v>
      </c>
      <c r="BE113" s="124"/>
      <c r="BF113" s="8">
        <f t="shared" si="63"/>
        <v>72</v>
      </c>
      <c r="BG113" s="21">
        <f t="shared" si="64"/>
        <v>14</v>
      </c>
      <c r="BH113" s="124">
        <f t="shared" si="65"/>
        <v>1</v>
      </c>
      <c r="BI113" s="124">
        <f t="shared" si="74"/>
        <v>0</v>
      </c>
      <c r="BJ113" s="144">
        <f t="shared" si="66"/>
        <v>0</v>
      </c>
      <c r="BL113" s="99">
        <v>23</v>
      </c>
    </row>
    <row r="114" spans="1:64" ht="12.75" x14ac:dyDescent="0.2">
      <c r="A114" s="8">
        <f t="shared" si="30"/>
        <v>30</v>
      </c>
      <c r="B114" s="125">
        <f t="shared" si="31"/>
        <v>8.8000000000000007</v>
      </c>
      <c r="C114" s="125">
        <f t="shared" si="32"/>
        <v>14.6</v>
      </c>
      <c r="D114" s="125">
        <f t="shared" si="67"/>
        <v>11.7</v>
      </c>
      <c r="E114" s="125">
        <f t="shared" si="33"/>
        <v>5.7999999999999989</v>
      </c>
      <c r="F114" s="7">
        <v>7.9840000000000044</v>
      </c>
      <c r="G114" s="7">
        <v>13.530769230769234</v>
      </c>
      <c r="H114" s="7">
        <f t="shared" si="68"/>
        <v>10.75738461538462</v>
      </c>
      <c r="I114" s="7">
        <f t="shared" si="69"/>
        <v>5.5467692307692298</v>
      </c>
      <c r="K114" s="7">
        <f t="shared" si="34"/>
        <v>5.3</v>
      </c>
      <c r="L114" s="7">
        <f t="shared" si="35"/>
        <v>13.85</v>
      </c>
      <c r="M114" s="370">
        <f t="shared" si="36"/>
        <v>5.4416666666666664</v>
      </c>
      <c r="N114" s="1">
        <f t="shared" si="37"/>
        <v>0.26666666666666666</v>
      </c>
      <c r="O114" s="7">
        <f t="shared" si="38"/>
        <v>72.208333333333329</v>
      </c>
      <c r="P114" s="7">
        <f t="shared" si="39"/>
        <v>10.3</v>
      </c>
      <c r="Q114" s="7">
        <f t="shared" si="40"/>
        <v>17.537499999999998</v>
      </c>
      <c r="R114" s="7">
        <f t="shared" si="41"/>
        <v>13.774999999999999</v>
      </c>
      <c r="S114" s="7">
        <f t="shared" si="42"/>
        <v>7.2375000000000007</v>
      </c>
      <c r="T114" s="1">
        <v>55</v>
      </c>
      <c r="U114" s="333">
        <f t="shared" si="43"/>
        <v>2.225806451612903</v>
      </c>
      <c r="V114" s="4">
        <v>24</v>
      </c>
      <c r="W114" s="7">
        <f t="shared" si="44"/>
        <v>6.5520000000000005</v>
      </c>
      <c r="X114" s="7">
        <f t="shared" si="45"/>
        <v>15.015000000000001</v>
      </c>
      <c r="Y114" s="8">
        <f t="shared" si="46"/>
        <v>9</v>
      </c>
      <c r="Z114" s="7">
        <f>IF(ISBLANK(Z27),NA(),SUM($Z$4:Z27))</f>
        <v>9.9000000000000021</v>
      </c>
      <c r="AA114" s="7">
        <f t="shared" si="70"/>
        <v>53.419354838709673</v>
      </c>
      <c r="AB114" s="26">
        <f>IF(ISBLANK(Z27),"",SUM($Z$4:Z27))</f>
        <v>9.9000000000000021</v>
      </c>
      <c r="AC114" s="115">
        <f t="shared" si="71"/>
        <v>0.18532608695652181</v>
      </c>
      <c r="AD114" s="8">
        <f t="shared" si="47"/>
        <v>1018.5416666666666</v>
      </c>
      <c r="AE114" s="610">
        <f t="shared" si="48"/>
        <v>1.5135687659262087</v>
      </c>
      <c r="AF114" s="524" t="e">
        <f t="shared" si="49"/>
        <v>#N/A</v>
      </c>
      <c r="AG114" s="22">
        <f>IF(ISBLANK(AP27),NA(),SUM($AP$4:AP27))</f>
        <v>126.9</v>
      </c>
      <c r="AH114" s="7">
        <f>SUM($AS$91:AS114)</f>
        <v>83.841582131450238</v>
      </c>
      <c r="AI114" s="115">
        <f t="shared" si="50"/>
        <v>1.5135687659262087</v>
      </c>
      <c r="AJ114" s="124">
        <f t="shared" si="51"/>
        <v>1</v>
      </c>
      <c r="AK114" s="8">
        <f t="shared" si="52"/>
        <v>997.5</v>
      </c>
      <c r="AL114" s="124">
        <f t="shared" si="53"/>
        <v>0</v>
      </c>
      <c r="AM114" s="524">
        <f t="shared" si="54"/>
        <v>0.63749999999999996</v>
      </c>
      <c r="AO114" s="524">
        <f t="shared" si="55"/>
        <v>0.6020833333333333</v>
      </c>
      <c r="AR114" s="524">
        <f t="shared" si="56"/>
        <v>0.33333333333333331</v>
      </c>
      <c r="AS114" s="7">
        <f t="shared" si="57"/>
        <v>3.2469480965035591</v>
      </c>
      <c r="AT114" s="7">
        <v>9.0433011191690866</v>
      </c>
      <c r="AU114" s="4">
        <v>24</v>
      </c>
      <c r="AV114" s="127">
        <f t="shared" si="58"/>
        <v>1</v>
      </c>
      <c r="AW114" s="124">
        <f t="shared" si="72"/>
        <v>0</v>
      </c>
      <c r="AX114" s="124">
        <f t="shared" si="73"/>
        <v>1</v>
      </c>
      <c r="AY114" s="124">
        <f t="shared" si="59"/>
        <v>0</v>
      </c>
      <c r="AZ114" s="125">
        <f t="shared" si="60"/>
        <v>4.0889999999999995</v>
      </c>
      <c r="BA114" s="125">
        <f t="shared" si="61"/>
        <v>9.7666666666666657</v>
      </c>
      <c r="BB114" s="125">
        <f t="shared" si="62"/>
        <v>13.633333333333333</v>
      </c>
      <c r="BC114" s="7">
        <v>8.9084615384615429</v>
      </c>
      <c r="BD114" s="7">
        <v>12.606307692307697</v>
      </c>
      <c r="BE114" s="124"/>
      <c r="BF114" s="8">
        <f t="shared" si="63"/>
        <v>72</v>
      </c>
      <c r="BG114" s="21">
        <f t="shared" si="64"/>
        <v>13.7</v>
      </c>
      <c r="BH114" s="124">
        <f t="shared" si="65"/>
        <v>1</v>
      </c>
      <c r="BI114" s="124">
        <f t="shared" si="74"/>
        <v>1</v>
      </c>
      <c r="BJ114" s="144">
        <f t="shared" si="66"/>
        <v>0.26666666666666666</v>
      </c>
      <c r="BL114" s="99">
        <v>24</v>
      </c>
    </row>
    <row r="115" spans="1:64" ht="12.75" x14ac:dyDescent="0.2">
      <c r="A115" s="8">
        <f t="shared" si="30"/>
        <v>34</v>
      </c>
      <c r="B115" s="125">
        <f t="shared" si="31"/>
        <v>8.8000000000000007</v>
      </c>
      <c r="C115" s="125">
        <f t="shared" si="32"/>
        <v>14.6</v>
      </c>
      <c r="D115" s="125">
        <f t="shared" si="67"/>
        <v>11.7</v>
      </c>
      <c r="E115" s="125">
        <f t="shared" si="33"/>
        <v>5.7999999999999989</v>
      </c>
      <c r="F115" s="7">
        <v>7.8480000000000043</v>
      </c>
      <c r="G115" s="7">
        <v>13.369230769230773</v>
      </c>
      <c r="H115" s="7">
        <f t="shared" si="68"/>
        <v>10.608615384615389</v>
      </c>
      <c r="I115" s="7">
        <f t="shared" si="69"/>
        <v>5.5212307692307689</v>
      </c>
      <c r="K115" s="7">
        <f t="shared" si="34"/>
        <v>5.8</v>
      </c>
      <c r="L115" s="7">
        <f t="shared" si="35"/>
        <v>13.4</v>
      </c>
      <c r="M115" s="370">
        <f t="shared" si="36"/>
        <v>5.4319999999999995</v>
      </c>
      <c r="N115" s="1">
        <f t="shared" si="37"/>
        <v>0.56666666666666665</v>
      </c>
      <c r="O115" s="7">
        <f t="shared" si="38"/>
        <v>72.44</v>
      </c>
      <c r="P115" s="7">
        <f t="shared" si="39"/>
        <v>10.308000000000002</v>
      </c>
      <c r="Q115" s="7">
        <f t="shared" si="40"/>
        <v>17.488</v>
      </c>
      <c r="R115" s="7">
        <f t="shared" si="41"/>
        <v>13.763999999999999</v>
      </c>
      <c r="S115" s="7">
        <f t="shared" si="42"/>
        <v>7.1800000000000015</v>
      </c>
      <c r="T115" s="1">
        <v>56</v>
      </c>
      <c r="U115" s="333">
        <f t="shared" si="43"/>
        <v>2.225806451612903</v>
      </c>
      <c r="V115" s="4">
        <v>25</v>
      </c>
      <c r="W115" s="7">
        <f t="shared" si="44"/>
        <v>6.8250000000000002</v>
      </c>
      <c r="X115" s="7">
        <f t="shared" si="45"/>
        <v>15.288</v>
      </c>
      <c r="Y115" s="8">
        <f t="shared" si="46"/>
        <v>8</v>
      </c>
      <c r="Z115" s="7">
        <f>IF(ISBLANK(Z28),NA(),SUM($Z$4:Z28))</f>
        <v>11.600000000000001</v>
      </c>
      <c r="AA115" s="7">
        <f t="shared" si="70"/>
        <v>55.645161290322577</v>
      </c>
      <c r="AB115" s="26">
        <f>IF(ISBLANK(Z28),"",SUM($Z$4:Z28))</f>
        <v>11.600000000000001</v>
      </c>
      <c r="AC115" s="115">
        <f t="shared" si="71"/>
        <v>0.20846376811594208</v>
      </c>
      <c r="AD115" s="8">
        <f t="shared" si="47"/>
        <v>1017.64</v>
      </c>
      <c r="AE115" s="610">
        <f t="shared" si="48"/>
        <v>1.5034244657260145</v>
      </c>
      <c r="AF115" s="524">
        <f t="shared" si="49"/>
        <v>9.930555555555555E-2</v>
      </c>
      <c r="AG115" s="22">
        <f>IF(ISBLANK(AP28),NA(),SUM($AP$4:AP28))</f>
        <v>130.9</v>
      </c>
      <c r="AH115" s="7">
        <f>SUM($AS$91:AS115)</f>
        <v>87.067892657172806</v>
      </c>
      <c r="AI115" s="115">
        <f t="shared" si="50"/>
        <v>1.5034244657260145</v>
      </c>
      <c r="AJ115" s="124">
        <f t="shared" si="51"/>
        <v>1</v>
      </c>
      <c r="AK115" s="8">
        <f t="shared" si="52"/>
        <v>996</v>
      </c>
      <c r="AL115" s="124">
        <f t="shared" si="53"/>
        <v>1</v>
      </c>
      <c r="AM115" s="524">
        <f t="shared" si="54"/>
        <v>0.59652777777777777</v>
      </c>
      <c r="AO115" s="524">
        <f t="shared" si="55"/>
        <v>0.57013888888888886</v>
      </c>
      <c r="AR115" s="524">
        <f t="shared" si="56"/>
        <v>0.34027777777777773</v>
      </c>
      <c r="AS115" s="7">
        <f t="shared" si="57"/>
        <v>3.2263105257225733</v>
      </c>
      <c r="AT115" s="7">
        <v>8.9858219844882488</v>
      </c>
      <c r="AU115" s="4">
        <v>25</v>
      </c>
      <c r="AV115" s="127">
        <f t="shared" si="58"/>
        <v>1</v>
      </c>
      <c r="AW115" s="124">
        <f t="shared" si="72"/>
        <v>0</v>
      </c>
      <c r="AX115" s="124">
        <f t="shared" si="73"/>
        <v>1</v>
      </c>
      <c r="AY115" s="124">
        <f t="shared" si="59"/>
        <v>0</v>
      </c>
      <c r="AZ115" s="125">
        <f t="shared" si="60"/>
        <v>4.0889999999999995</v>
      </c>
      <c r="BA115" s="125">
        <f t="shared" si="61"/>
        <v>9.7666666666666657</v>
      </c>
      <c r="BB115" s="125">
        <f t="shared" si="62"/>
        <v>13.633333333333333</v>
      </c>
      <c r="BC115" s="7">
        <v>8.7682051282051319</v>
      </c>
      <c r="BD115" s="7">
        <v>12.449025641025646</v>
      </c>
      <c r="BF115" s="8">
        <f t="shared" si="63"/>
        <v>78</v>
      </c>
      <c r="BG115" s="21">
        <f t="shared" si="64"/>
        <v>13.5</v>
      </c>
      <c r="BH115" s="124">
        <f t="shared" si="65"/>
        <v>1</v>
      </c>
      <c r="BI115" s="124">
        <f t="shared" si="74"/>
        <v>1</v>
      </c>
      <c r="BJ115" s="144">
        <f t="shared" si="66"/>
        <v>0.56666666666666665</v>
      </c>
      <c r="BL115" s="99">
        <v>25</v>
      </c>
    </row>
    <row r="116" spans="1:64" ht="12.75" x14ac:dyDescent="0.2">
      <c r="A116" s="8">
        <f t="shared" si="30"/>
        <v>18</v>
      </c>
      <c r="B116" s="125">
        <f t="shared" si="31"/>
        <v>8.8000000000000007</v>
      </c>
      <c r="C116" s="125">
        <f t="shared" si="32"/>
        <v>14.6</v>
      </c>
      <c r="D116" s="125">
        <f t="shared" si="67"/>
        <v>11.7</v>
      </c>
      <c r="E116" s="125">
        <f t="shared" si="33"/>
        <v>5.7999999999999989</v>
      </c>
      <c r="F116" s="7">
        <v>7.7120000000000042</v>
      </c>
      <c r="G116" s="7">
        <v>13.207692307692312</v>
      </c>
      <c r="H116" s="7">
        <f t="shared" si="68"/>
        <v>10.459846153846158</v>
      </c>
      <c r="I116" s="7">
        <f t="shared" si="69"/>
        <v>5.4956923076923081</v>
      </c>
      <c r="K116" s="7">
        <f t="shared" si="34"/>
        <v>3</v>
      </c>
      <c r="L116" s="7">
        <f t="shared" si="35"/>
        <v>10.3</v>
      </c>
      <c r="M116" s="370">
        <f t="shared" si="36"/>
        <v>5.3846153846153832</v>
      </c>
      <c r="N116" s="1">
        <f t="shared" si="37"/>
        <v>1.0333333333333334</v>
      </c>
      <c r="O116" s="7">
        <f t="shared" si="38"/>
        <v>72.84615384615384</v>
      </c>
      <c r="P116" s="7">
        <f t="shared" si="39"/>
        <v>10.250000000000002</v>
      </c>
      <c r="Q116" s="7">
        <f t="shared" si="40"/>
        <v>17.26923076923077</v>
      </c>
      <c r="R116" s="7">
        <f t="shared" si="41"/>
        <v>13.623076923076923</v>
      </c>
      <c r="S116" s="7">
        <f t="shared" si="42"/>
        <v>7.0192307692307701</v>
      </c>
      <c r="T116" s="1">
        <v>57</v>
      </c>
      <c r="U116" s="333">
        <f t="shared" si="43"/>
        <v>2.225806451612903</v>
      </c>
      <c r="V116" s="4">
        <v>26</v>
      </c>
      <c r="W116" s="7">
        <f t="shared" si="44"/>
        <v>7.0980000000000008</v>
      </c>
      <c r="X116" s="7">
        <f t="shared" si="45"/>
        <v>15.561000000000002</v>
      </c>
      <c r="Y116" s="8">
        <f t="shared" si="46"/>
        <v>8</v>
      </c>
      <c r="Z116" s="7">
        <f>IF(ISBLANK(Z29),NA(),SUM($Z$4:Z29))</f>
        <v>14.700000000000001</v>
      </c>
      <c r="AA116" s="7">
        <f t="shared" si="70"/>
        <v>57.87096774193548</v>
      </c>
      <c r="AB116" s="26">
        <f>IF(ISBLANK(Z29),"",SUM($Z$4:Z29))</f>
        <v>14.700000000000001</v>
      </c>
      <c r="AC116" s="115">
        <f t="shared" si="71"/>
        <v>0.25401337792642142</v>
      </c>
      <c r="AD116" s="8">
        <f t="shared" si="47"/>
        <v>1017.1153846153846</v>
      </c>
      <c r="AE116" s="610">
        <f t="shared" si="48"/>
        <v>1.483267093323503</v>
      </c>
      <c r="AF116" s="524" t="e">
        <f t="shared" si="49"/>
        <v>#N/A</v>
      </c>
      <c r="AG116" s="22">
        <f>IF(ISBLANK(AP29),NA(),SUM($AP$4:AP29))</f>
        <v>133.9</v>
      </c>
      <c r="AH116" s="7">
        <f>SUM($AS$91:AS116)</f>
        <v>90.273694200263762</v>
      </c>
      <c r="AI116" s="115">
        <f t="shared" si="50"/>
        <v>1.483267093323503</v>
      </c>
      <c r="AJ116" s="124">
        <f t="shared" si="51"/>
        <v>1</v>
      </c>
      <c r="AK116" s="8">
        <f t="shared" si="52"/>
        <v>1004</v>
      </c>
      <c r="AL116" s="124">
        <f t="shared" si="53"/>
        <v>1</v>
      </c>
      <c r="AM116" s="524">
        <f t="shared" si="54"/>
        <v>0.73611111111111116</v>
      </c>
      <c r="AO116" s="524">
        <f t="shared" si="55"/>
        <v>0.6875</v>
      </c>
      <c r="AR116" s="524">
        <f t="shared" si="56"/>
        <v>0.30486111111111108</v>
      </c>
      <c r="AS116" s="7">
        <f t="shared" si="57"/>
        <v>3.205801543090955</v>
      </c>
      <c r="AT116" s="7">
        <v>8.9287009896114746</v>
      </c>
      <c r="AU116" s="4">
        <v>26</v>
      </c>
      <c r="AV116" s="127">
        <f t="shared" si="58"/>
        <v>1</v>
      </c>
      <c r="AW116" s="124">
        <f t="shared" si="72"/>
        <v>0</v>
      </c>
      <c r="AX116" s="124">
        <f t="shared" si="73"/>
        <v>0</v>
      </c>
      <c r="AY116" s="124">
        <f t="shared" si="59"/>
        <v>0</v>
      </c>
      <c r="AZ116" s="125">
        <f t="shared" si="60"/>
        <v>4.0889999999999995</v>
      </c>
      <c r="BA116" s="125">
        <f t="shared" si="61"/>
        <v>9.7666666666666657</v>
      </c>
      <c r="BB116" s="125">
        <f t="shared" si="62"/>
        <v>13.633333333333333</v>
      </c>
      <c r="BC116" s="7">
        <v>8.6279487179487226</v>
      </c>
      <c r="BD116" s="7">
        <v>12.291743589743593</v>
      </c>
      <c r="BF116" s="8">
        <f t="shared" si="63"/>
        <v>83</v>
      </c>
      <c r="BG116" s="21">
        <f t="shared" si="64"/>
        <v>10.1</v>
      </c>
      <c r="BH116" s="124">
        <f t="shared" si="65"/>
        <v>1</v>
      </c>
      <c r="BI116" s="124">
        <f t="shared" si="74"/>
        <v>1</v>
      </c>
      <c r="BJ116" s="144">
        <f t="shared" si="66"/>
        <v>1.0333333333333334</v>
      </c>
      <c r="BL116" s="99">
        <v>26</v>
      </c>
    </row>
    <row r="117" spans="1:64" ht="12.75" x14ac:dyDescent="0.2">
      <c r="A117" s="8">
        <f t="shared" si="30"/>
        <v>11</v>
      </c>
      <c r="B117" s="125">
        <f t="shared" si="31"/>
        <v>8.8000000000000007</v>
      </c>
      <c r="C117" s="125">
        <f t="shared" si="32"/>
        <v>14.6</v>
      </c>
      <c r="D117" s="125">
        <f t="shared" si="67"/>
        <v>11.7</v>
      </c>
      <c r="E117" s="125">
        <f t="shared" si="33"/>
        <v>5.7999999999999989</v>
      </c>
      <c r="F117" s="7">
        <v>7.5760000000000041</v>
      </c>
      <c r="G117" s="7">
        <v>13.046153846153851</v>
      </c>
      <c r="H117" s="7">
        <f t="shared" si="68"/>
        <v>10.311076923076929</v>
      </c>
      <c r="I117" s="7">
        <f t="shared" si="69"/>
        <v>5.4701538461538473</v>
      </c>
      <c r="K117" s="7">
        <f t="shared" si="34"/>
        <v>2.6</v>
      </c>
      <c r="L117" s="7">
        <f t="shared" si="35"/>
        <v>12.399999999999999</v>
      </c>
      <c r="M117" s="370">
        <f t="shared" si="36"/>
        <v>5.2888888888888879</v>
      </c>
      <c r="N117" s="1">
        <f t="shared" si="37"/>
        <v>0.26666666666666666</v>
      </c>
      <c r="O117" s="7">
        <f t="shared" si="38"/>
        <v>73.370370370370367</v>
      </c>
      <c r="P117" s="7">
        <f t="shared" si="39"/>
        <v>10.281481481481485</v>
      </c>
      <c r="Q117" s="7">
        <f t="shared" si="40"/>
        <v>17.137037037037036</v>
      </c>
      <c r="R117" s="7">
        <f t="shared" si="41"/>
        <v>13.574074074074074</v>
      </c>
      <c r="S117" s="7">
        <f t="shared" si="42"/>
        <v>6.8555555555555561</v>
      </c>
      <c r="T117" s="1">
        <v>58</v>
      </c>
      <c r="U117" s="333">
        <f t="shared" si="43"/>
        <v>2.225806451612903</v>
      </c>
      <c r="V117" s="4">
        <v>27</v>
      </c>
      <c r="W117" s="7">
        <f t="shared" si="44"/>
        <v>7.3710000000000004</v>
      </c>
      <c r="X117" s="7">
        <f t="shared" si="45"/>
        <v>15.834000000000001</v>
      </c>
      <c r="Y117" s="8">
        <f t="shared" si="46"/>
        <v>6</v>
      </c>
      <c r="Z117" s="7">
        <f>IF(ISBLANK(Z30),NA(),SUM($Z$4:Z30))</f>
        <v>15.500000000000002</v>
      </c>
      <c r="AA117" s="7">
        <f t="shared" si="70"/>
        <v>60.096774193548384</v>
      </c>
      <c r="AB117" s="26">
        <f>IF(ISBLANK(Z30),"",SUM($Z$4:Z30))</f>
        <v>15.500000000000002</v>
      </c>
      <c r="AC117" s="115">
        <f t="shared" si="71"/>
        <v>0.25791733762748259</v>
      </c>
      <c r="AD117" s="8">
        <f t="shared" si="47"/>
        <v>1016.8148148148148</v>
      </c>
      <c r="AE117" s="610">
        <f t="shared" si="48"/>
        <v>1.4327119496129286</v>
      </c>
      <c r="AF117" s="524" t="e">
        <f t="shared" si="49"/>
        <v>#N/A</v>
      </c>
      <c r="AG117" s="22">
        <f>IF(ISBLANK(AP30),NA(),SUM($AP$4:AP30))</f>
        <v>133.9</v>
      </c>
      <c r="AH117" s="7">
        <f>SUM($AS$91:AS117)</f>
        <v>93.459121378987149</v>
      </c>
      <c r="AI117" s="115">
        <f t="shared" si="50"/>
        <v>1.4327119496129286</v>
      </c>
      <c r="AJ117" s="124">
        <f t="shared" si="51"/>
        <v>1</v>
      </c>
      <c r="AK117" s="8">
        <f t="shared" si="52"/>
        <v>1009</v>
      </c>
      <c r="AL117" s="124">
        <f t="shared" si="53"/>
        <v>0</v>
      </c>
      <c r="AM117" s="524">
        <f t="shared" si="54"/>
        <v>0.51041666666666663</v>
      </c>
      <c r="AO117" s="524">
        <f t="shared" si="55"/>
        <v>0.59375</v>
      </c>
      <c r="AR117" s="524" t="e">
        <f t="shared" si="56"/>
        <v>#N/A</v>
      </c>
      <c r="AS117" s="7">
        <f t="shared" si="57"/>
        <v>3.1854271787233848</v>
      </c>
      <c r="AT117" s="7">
        <v>8.8719549294308333</v>
      </c>
      <c r="AU117" s="4">
        <v>27</v>
      </c>
      <c r="AV117" s="127">
        <f t="shared" si="58"/>
        <v>0</v>
      </c>
      <c r="AW117" s="124">
        <f t="shared" si="72"/>
        <v>0</v>
      </c>
      <c r="AX117" s="124">
        <f t="shared" si="73"/>
        <v>1</v>
      </c>
      <c r="AY117" s="124">
        <f t="shared" si="59"/>
        <v>0</v>
      </c>
      <c r="AZ117" s="125">
        <f t="shared" si="60"/>
        <v>4.0889999999999995</v>
      </c>
      <c r="BA117" s="125">
        <f t="shared" si="61"/>
        <v>9.7666666666666657</v>
      </c>
      <c r="BB117" s="125">
        <f t="shared" si="62"/>
        <v>13.633333333333333</v>
      </c>
      <c r="BC117" s="7">
        <v>8.4876923076923134</v>
      </c>
      <c r="BD117" s="7">
        <v>12.134461538461544</v>
      </c>
      <c r="BF117" s="8">
        <f t="shared" si="63"/>
        <v>87</v>
      </c>
      <c r="BG117" s="21">
        <f t="shared" si="64"/>
        <v>12.3</v>
      </c>
      <c r="BH117" s="124">
        <f t="shared" si="65"/>
        <v>1</v>
      </c>
      <c r="BI117" s="124">
        <f t="shared" si="74"/>
        <v>1</v>
      </c>
      <c r="BJ117" s="144">
        <f t="shared" si="66"/>
        <v>0.26666666666666666</v>
      </c>
      <c r="BL117" s="99">
        <v>27</v>
      </c>
    </row>
    <row r="118" spans="1:64" ht="12.75" x14ac:dyDescent="0.2">
      <c r="A118" s="8">
        <f t="shared" si="30"/>
        <v>28</v>
      </c>
      <c r="B118" s="125">
        <f t="shared" si="31"/>
        <v>8.8000000000000007</v>
      </c>
      <c r="C118" s="125">
        <f t="shared" si="32"/>
        <v>14.6</v>
      </c>
      <c r="D118" s="125">
        <f t="shared" si="67"/>
        <v>11.7</v>
      </c>
      <c r="E118" s="125">
        <f t="shared" si="33"/>
        <v>5.7999999999999989</v>
      </c>
      <c r="F118" s="7">
        <v>7.44</v>
      </c>
      <c r="G118" s="7">
        <v>12.88461538461539</v>
      </c>
      <c r="H118" s="7">
        <f t="shared" si="68"/>
        <v>10.162307692307696</v>
      </c>
      <c r="I118" s="7">
        <f t="shared" si="69"/>
        <v>5.44461538461539</v>
      </c>
      <c r="K118" s="7">
        <f t="shared" si="34"/>
        <v>5.7</v>
      </c>
      <c r="L118" s="7">
        <f t="shared" si="35"/>
        <v>11.75</v>
      </c>
      <c r="M118" s="370">
        <f t="shared" si="36"/>
        <v>5.1857142857142851</v>
      </c>
      <c r="N118" s="1">
        <f t="shared" si="37"/>
        <v>0</v>
      </c>
      <c r="O118" s="7">
        <f t="shared" si="38"/>
        <v>73.75</v>
      </c>
      <c r="P118" s="7">
        <f t="shared" si="39"/>
        <v>10.232142857142859</v>
      </c>
      <c r="Q118" s="7">
        <f t="shared" si="40"/>
        <v>17.046428571428571</v>
      </c>
      <c r="R118" s="7">
        <f t="shared" si="41"/>
        <v>13.532142857142857</v>
      </c>
      <c r="S118" s="7">
        <f t="shared" si="42"/>
        <v>6.8142857142857149</v>
      </c>
      <c r="T118" s="1">
        <v>59</v>
      </c>
      <c r="U118" s="333">
        <f t="shared" si="43"/>
        <v>2.225806451612903</v>
      </c>
      <c r="V118" s="4">
        <v>28</v>
      </c>
      <c r="W118" s="7">
        <f t="shared" si="44"/>
        <v>7.6440000000000001</v>
      </c>
      <c r="X118" s="7">
        <f t="shared" si="45"/>
        <v>16.107000000000003</v>
      </c>
      <c r="Y118" s="8">
        <f t="shared" si="46"/>
        <v>11</v>
      </c>
      <c r="Z118" s="7">
        <f>IF(ISBLANK(Z31),NA(),SUM($Z$4:Z31))</f>
        <v>15.500000000000002</v>
      </c>
      <c r="AA118" s="7">
        <f t="shared" si="70"/>
        <v>62.322580645161281</v>
      </c>
      <c r="AB118" s="26">
        <f>IF(ISBLANK(Z31),"",SUM($Z$4:Z31))</f>
        <v>15.500000000000002</v>
      </c>
      <c r="AC118" s="115">
        <f t="shared" si="71"/>
        <v>0.24870600414078681</v>
      </c>
      <c r="AD118" s="8">
        <f t="shared" si="47"/>
        <v>1016.875</v>
      </c>
      <c r="AE118" s="610">
        <f t="shared" si="48"/>
        <v>1.4530504042233581</v>
      </c>
      <c r="AF118" s="524">
        <f t="shared" si="49"/>
        <v>6.5972222222222224E-2</v>
      </c>
      <c r="AG118" s="22">
        <f>IF(ISBLANK(AP31),NA(),SUM($AP$4:AP31))</f>
        <v>140.4</v>
      </c>
      <c r="AH118" s="7">
        <f>SUM($AS$91:AS118)</f>
        <v>96.624315021640626</v>
      </c>
      <c r="AI118" s="115">
        <f t="shared" si="50"/>
        <v>1.4530504042233581</v>
      </c>
      <c r="AJ118" s="124">
        <f t="shared" si="51"/>
        <v>0</v>
      </c>
      <c r="AK118" s="8">
        <f t="shared" si="52"/>
        <v>1018.5</v>
      </c>
      <c r="AL118" s="124">
        <f t="shared" si="53"/>
        <v>0</v>
      </c>
      <c r="AM118" s="524">
        <f t="shared" si="54"/>
        <v>0.62222222222222223</v>
      </c>
      <c r="AO118" s="524">
        <f t="shared" si="55"/>
        <v>0.62291666666666667</v>
      </c>
      <c r="AR118" s="524">
        <f t="shared" si="56"/>
        <v>0.3611111111111111</v>
      </c>
      <c r="AS118" s="7">
        <f t="shared" si="57"/>
        <v>3.1651936426534832</v>
      </c>
      <c r="AT118" s="7">
        <v>8.8156010999431604</v>
      </c>
      <c r="AU118" s="4">
        <v>28</v>
      </c>
      <c r="AV118" s="127">
        <f t="shared" si="58"/>
        <v>1</v>
      </c>
      <c r="AW118" s="124">
        <f t="shared" si="72"/>
        <v>0</v>
      </c>
      <c r="AX118" s="124">
        <f t="shared" si="73"/>
        <v>0</v>
      </c>
      <c r="AY118" s="124">
        <f t="shared" si="59"/>
        <v>0</v>
      </c>
      <c r="AZ118" s="125">
        <f t="shared" si="60"/>
        <v>4.0889999999999995</v>
      </c>
      <c r="BA118" s="125">
        <f t="shared" si="61"/>
        <v>9.7666666666666657</v>
      </c>
      <c r="BB118" s="125">
        <f t="shared" si="62"/>
        <v>13.633333333333333</v>
      </c>
      <c r="BC118" s="7">
        <v>8.3474358974359024</v>
      </c>
      <c r="BD118" s="7">
        <v>11.977179487179493</v>
      </c>
      <c r="BF118" s="8">
        <f t="shared" si="63"/>
        <v>84</v>
      </c>
      <c r="BG118" s="21">
        <f t="shared" si="64"/>
        <v>12.4</v>
      </c>
      <c r="BH118" s="124">
        <f t="shared" si="65"/>
        <v>0</v>
      </c>
      <c r="BI118" s="124">
        <f t="shared" si="74"/>
        <v>0</v>
      </c>
      <c r="BJ118" s="144">
        <f t="shared" si="66"/>
        <v>0</v>
      </c>
      <c r="BL118" s="99">
        <v>28</v>
      </c>
    </row>
    <row r="119" spans="1:64" ht="12.75" x14ac:dyDescent="0.2">
      <c r="A119" s="8">
        <f t="shared" si="30"/>
        <v>30</v>
      </c>
      <c r="B119" s="125">
        <f t="shared" si="31"/>
        <v>8.8000000000000007</v>
      </c>
      <c r="C119" s="125">
        <f t="shared" si="32"/>
        <v>14.6</v>
      </c>
      <c r="D119" s="125">
        <f t="shared" si="67"/>
        <v>11.7</v>
      </c>
      <c r="E119" s="125">
        <f t="shared" si="33"/>
        <v>5.7999999999999989</v>
      </c>
      <c r="F119" s="7">
        <v>7.3040000000000038</v>
      </c>
      <c r="G119" s="7">
        <v>12.723076923076929</v>
      </c>
      <c r="H119" s="7">
        <f t="shared" si="68"/>
        <v>10.013538461538467</v>
      </c>
      <c r="I119" s="7">
        <f t="shared" si="69"/>
        <v>5.4190769230769256</v>
      </c>
      <c r="K119" s="7">
        <f t="shared" si="34"/>
        <v>3.3</v>
      </c>
      <c r="L119" s="7">
        <f t="shared" si="35"/>
        <v>14.05</v>
      </c>
      <c r="M119" s="370">
        <f t="shared" si="36"/>
        <v>5.2068965517241379</v>
      </c>
      <c r="N119" s="1">
        <f t="shared" si="37"/>
        <v>0</v>
      </c>
      <c r="O119" s="7">
        <f t="shared" si="38"/>
        <v>74</v>
      </c>
      <c r="P119" s="7">
        <f t="shared" si="39"/>
        <v>10.306896551724138</v>
      </c>
      <c r="Q119" s="7">
        <f t="shared" si="40"/>
        <v>17</v>
      </c>
      <c r="R119" s="7">
        <f t="shared" si="41"/>
        <v>13.537931034482757</v>
      </c>
      <c r="S119" s="7">
        <f t="shared" si="42"/>
        <v>6.6931034482758625</v>
      </c>
      <c r="T119" s="1">
        <v>60</v>
      </c>
      <c r="U119" s="333">
        <f t="shared" si="43"/>
        <v>2.225806451612903</v>
      </c>
      <c r="V119" s="4">
        <v>29</v>
      </c>
      <c r="W119" s="7">
        <f t="shared" si="44"/>
        <v>7.9170000000000007</v>
      </c>
      <c r="X119" s="7">
        <f t="shared" si="45"/>
        <v>16.380000000000003</v>
      </c>
      <c r="Y119" s="8">
        <f t="shared" si="46"/>
        <v>6</v>
      </c>
      <c r="Z119" s="7">
        <f>IF(ISBLANK(Z32),NA(),SUM($Z$4:Z32))</f>
        <v>15.500000000000002</v>
      </c>
      <c r="AA119" s="7">
        <f t="shared" si="70"/>
        <v>64.548387096774192</v>
      </c>
      <c r="AB119" s="26">
        <f>IF(ISBLANK(Z32),"",SUM($Z$4:Z32))</f>
        <v>15.500000000000002</v>
      </c>
      <c r="AC119" s="115">
        <f t="shared" si="71"/>
        <v>0.24012993503248378</v>
      </c>
      <c r="AD119" s="8">
        <f t="shared" si="47"/>
        <v>1017.0172413793103</v>
      </c>
      <c r="AE119" s="610">
        <f t="shared" si="48"/>
        <v>1.4423256806806435</v>
      </c>
      <c r="AF119" s="524">
        <f t="shared" si="49"/>
        <v>0.27638888888888885</v>
      </c>
      <c r="AG119" s="22">
        <f>IF(ISBLANK(AP32),NA(),SUM($AP$4:AP32))</f>
        <v>143.9</v>
      </c>
      <c r="AH119" s="7">
        <f>SUM($AS$91:AS119)</f>
        <v>99.769422348559033</v>
      </c>
      <c r="AI119" s="115">
        <f t="shared" si="50"/>
        <v>1.4423256806806435</v>
      </c>
      <c r="AJ119" s="124">
        <f t="shared" si="51"/>
        <v>0</v>
      </c>
      <c r="AK119" s="8">
        <f t="shared" si="52"/>
        <v>1021</v>
      </c>
      <c r="AL119" s="124">
        <f t="shared" si="53"/>
        <v>0</v>
      </c>
      <c r="AM119" s="524">
        <f t="shared" si="54"/>
        <v>0.56597222222222221</v>
      </c>
      <c r="AO119" s="524">
        <f t="shared" si="55"/>
        <v>0.64166666666666672</v>
      </c>
      <c r="AR119" s="524">
        <f t="shared" si="56"/>
        <v>0.36180555555555555</v>
      </c>
      <c r="AS119" s="7">
        <f t="shared" si="57"/>
        <v>3.1451073269184024</v>
      </c>
      <c r="AT119" s="7">
        <v>8.7596573040559864</v>
      </c>
      <c r="AU119" s="4">
        <v>29</v>
      </c>
      <c r="AV119" s="127">
        <f t="shared" si="58"/>
        <v>1</v>
      </c>
      <c r="AW119" s="124">
        <f t="shared" si="72"/>
        <v>0</v>
      </c>
      <c r="AX119" s="124">
        <f t="shared" si="73"/>
        <v>1</v>
      </c>
      <c r="AY119" s="124">
        <f t="shared" si="59"/>
        <v>1</v>
      </c>
      <c r="AZ119" s="125">
        <f t="shared" si="60"/>
        <v>4.0889999999999995</v>
      </c>
      <c r="BA119" s="125">
        <f t="shared" si="61"/>
        <v>9.7666666666666657</v>
      </c>
      <c r="BB119" s="125">
        <f t="shared" si="62"/>
        <v>13.633333333333333</v>
      </c>
      <c r="BC119" s="7">
        <v>8.2071794871794914</v>
      </c>
      <c r="BD119" s="7">
        <v>11.819897435897442</v>
      </c>
      <c r="BF119" s="8">
        <f t="shared" si="63"/>
        <v>81</v>
      </c>
      <c r="BG119" s="21">
        <f t="shared" si="64"/>
        <v>13.7</v>
      </c>
      <c r="BH119" s="124">
        <f t="shared" si="65"/>
        <v>0</v>
      </c>
      <c r="BI119" s="124">
        <f t="shared" si="74"/>
        <v>0</v>
      </c>
      <c r="BJ119" s="144">
        <f t="shared" si="66"/>
        <v>0</v>
      </c>
      <c r="BL119" s="99">
        <v>29</v>
      </c>
    </row>
    <row r="120" spans="1:64" ht="12.75" x14ac:dyDescent="0.2">
      <c r="A120" s="8">
        <f t="shared" si="30"/>
        <v>11</v>
      </c>
      <c r="B120" s="125">
        <f t="shared" si="31"/>
        <v>8.8000000000000007</v>
      </c>
      <c r="C120" s="125">
        <f t="shared" si="32"/>
        <v>14.6</v>
      </c>
      <c r="D120" s="125">
        <f t="shared" si="67"/>
        <v>11.7</v>
      </c>
      <c r="E120" s="125">
        <f t="shared" si="33"/>
        <v>5.7999999999999989</v>
      </c>
      <c r="F120" s="7">
        <v>7.1680000000000037</v>
      </c>
      <c r="G120" s="7">
        <v>12.561538461538468</v>
      </c>
      <c r="H120" s="7">
        <f t="shared" si="68"/>
        <v>9.8647692307692356</v>
      </c>
      <c r="I120" s="7">
        <f t="shared" si="69"/>
        <v>5.3935384615384647</v>
      </c>
      <c r="K120" s="7">
        <f t="shared" si="34"/>
        <v>2.8</v>
      </c>
      <c r="L120" s="7">
        <f t="shared" si="35"/>
        <v>15.200000000000001</v>
      </c>
      <c r="M120" s="370">
        <f t="shared" si="36"/>
        <v>5.2433333333333341</v>
      </c>
      <c r="N120" s="1">
        <f t="shared" si="37"/>
        <v>0</v>
      </c>
      <c r="O120" s="7">
        <f t="shared" si="38"/>
        <v>74.466666666666669</v>
      </c>
      <c r="P120" s="7">
        <f t="shared" si="39"/>
        <v>10.423333333333336</v>
      </c>
      <c r="Q120" s="7">
        <f t="shared" si="40"/>
        <v>16.986666666666668</v>
      </c>
      <c r="R120" s="7">
        <f t="shared" si="41"/>
        <v>13.593333333333332</v>
      </c>
      <c r="S120" s="7">
        <f t="shared" si="42"/>
        <v>6.5633333333333344</v>
      </c>
      <c r="T120" s="1">
        <v>61</v>
      </c>
      <c r="U120" s="333">
        <f t="shared" si="43"/>
        <v>2.225806451612903</v>
      </c>
      <c r="V120" s="4">
        <v>30</v>
      </c>
      <c r="W120" s="7">
        <f t="shared" si="44"/>
        <v>8.1900000000000013</v>
      </c>
      <c r="X120" s="7">
        <f t="shared" si="45"/>
        <v>16.653000000000002</v>
      </c>
      <c r="Y120" s="8">
        <f t="shared" si="46"/>
        <v>2</v>
      </c>
      <c r="Z120" s="7">
        <f>IF(ISBLANK(Z33),NA(),SUM($Z$4:Z33))</f>
        <v>15.500000000000002</v>
      </c>
      <c r="AA120" s="7">
        <f t="shared" si="70"/>
        <v>66.774193548387089</v>
      </c>
      <c r="AB120" s="26">
        <f>IF(ISBLANK(Z33),"",SUM($Z$4:Z33))</f>
        <v>15.500000000000002</v>
      </c>
      <c r="AC120" s="115">
        <f t="shared" si="71"/>
        <v>0.23212560386473435</v>
      </c>
      <c r="AD120" s="8">
        <f t="shared" si="47"/>
        <v>1017.05</v>
      </c>
      <c r="AE120" s="610">
        <f t="shared" si="48"/>
        <v>1.4033778642562478</v>
      </c>
      <c r="AF120" s="524" t="e">
        <f t="shared" si="49"/>
        <v>#N/A</v>
      </c>
      <c r="AG120" s="22">
        <f>IF(ISBLANK(AP33),NA(),SUM($AP$4:AP33))</f>
        <v>144.4</v>
      </c>
      <c r="AH120" s="7">
        <f>SUM($AS$91:AS120)</f>
        <v>102.89459715579032</v>
      </c>
      <c r="AI120" s="115">
        <f t="shared" si="50"/>
        <v>1.4033778642562478</v>
      </c>
      <c r="AJ120" s="124">
        <f t="shared" si="51"/>
        <v>0</v>
      </c>
      <c r="AK120" s="8">
        <f t="shared" si="52"/>
        <v>1018</v>
      </c>
      <c r="AL120" s="124">
        <f t="shared" si="53"/>
        <v>0</v>
      </c>
      <c r="AM120" s="524">
        <f t="shared" si="54"/>
        <v>0.50208333333333333</v>
      </c>
      <c r="AO120" s="524">
        <f t="shared" si="55"/>
        <v>0.4777777777777778</v>
      </c>
      <c r="AR120" s="524" t="e">
        <f t="shared" si="56"/>
        <v>#N/A</v>
      </c>
      <c r="AS120" s="7">
        <f t="shared" si="57"/>
        <v>3.125174807231291</v>
      </c>
      <c r="AT120" s="7">
        <v>8.7041418562456503</v>
      </c>
      <c r="AU120" s="4">
        <v>30</v>
      </c>
      <c r="AV120" s="127">
        <f t="shared" si="58"/>
        <v>0</v>
      </c>
      <c r="AW120" s="124">
        <f t="shared" si="72"/>
        <v>0</v>
      </c>
      <c r="AX120" s="124">
        <f t="shared" si="73"/>
        <v>1</v>
      </c>
      <c r="AY120" s="124">
        <f t="shared" si="59"/>
        <v>1</v>
      </c>
      <c r="AZ120" s="125">
        <f t="shared" si="60"/>
        <v>4.0889999999999995</v>
      </c>
      <c r="BA120" s="125">
        <f t="shared" si="61"/>
        <v>9.7666666666666657</v>
      </c>
      <c r="BB120" s="125">
        <f t="shared" si="62"/>
        <v>13.633333333333333</v>
      </c>
      <c r="BC120" s="7">
        <v>8.0669230769230804</v>
      </c>
      <c r="BD120" s="7">
        <v>11.662615384615391</v>
      </c>
      <c r="BF120" s="8">
        <f t="shared" si="63"/>
        <v>88</v>
      </c>
      <c r="BG120" s="21">
        <f t="shared" si="64"/>
        <v>15.2</v>
      </c>
      <c r="BH120" s="124">
        <f t="shared" si="65"/>
        <v>0</v>
      </c>
      <c r="BI120" s="124">
        <f t="shared" si="74"/>
        <v>0</v>
      </c>
      <c r="BJ120" s="144">
        <f t="shared" si="66"/>
        <v>0</v>
      </c>
      <c r="BL120" s="99">
        <v>30</v>
      </c>
    </row>
    <row r="121" spans="1:64" ht="12.75" customHeight="1" x14ac:dyDescent="0.2">
      <c r="A121" s="8">
        <f t="shared" si="30"/>
        <v>21</v>
      </c>
      <c r="B121" s="125">
        <f t="shared" si="31"/>
        <v>8.8000000000000007</v>
      </c>
      <c r="C121" s="125">
        <f t="shared" si="32"/>
        <v>14.6</v>
      </c>
      <c r="D121" s="125">
        <f t="shared" si="67"/>
        <v>11.7</v>
      </c>
      <c r="E121" s="125">
        <f t="shared" si="33"/>
        <v>5.7999999999999989</v>
      </c>
      <c r="F121" s="7">
        <v>7.0320000000000036</v>
      </c>
      <c r="G121" s="7">
        <v>12.4</v>
      </c>
      <c r="H121" s="7">
        <f t="shared" si="68"/>
        <v>9.7160000000000011</v>
      </c>
      <c r="I121" s="7">
        <f t="shared" si="69"/>
        <v>5.3679999999999968</v>
      </c>
      <c r="K121" s="7">
        <f t="shared" si="34"/>
        <v>3.1</v>
      </c>
      <c r="L121" s="7">
        <f t="shared" si="35"/>
        <v>14.75</v>
      </c>
      <c r="M121" s="370">
        <f t="shared" si="36"/>
        <v>5.258064516129032</v>
      </c>
      <c r="N121" s="1">
        <f t="shared" si="37"/>
        <v>0</v>
      </c>
      <c r="O121" s="7">
        <f t="shared" si="38"/>
        <v>74.774193548387103</v>
      </c>
      <c r="P121" s="7">
        <f t="shared" si="39"/>
        <v>10.512903225806452</v>
      </c>
      <c r="Q121" s="7">
        <f t="shared" si="40"/>
        <v>16.964516129032258</v>
      </c>
      <c r="R121" s="7">
        <f t="shared" si="41"/>
        <v>13.63548387096774</v>
      </c>
      <c r="S121" s="7">
        <f t="shared" si="42"/>
        <v>6.4516129032258069</v>
      </c>
      <c r="T121" s="1">
        <v>62</v>
      </c>
      <c r="U121" s="333">
        <f t="shared" si="43"/>
        <v>2.225806451612903</v>
      </c>
      <c r="V121" s="4">
        <v>31</v>
      </c>
      <c r="W121" s="7">
        <f t="shared" si="44"/>
        <v>8.463000000000001</v>
      </c>
      <c r="X121" s="7">
        <f t="shared" si="45"/>
        <v>16.926000000000002</v>
      </c>
      <c r="Y121" s="8">
        <f t="shared" si="46"/>
        <v>10</v>
      </c>
      <c r="Z121" s="7">
        <f>IF(ISBLANK(Z34),NA(),SUM($Z$4:Z34))</f>
        <v>15.500000000000002</v>
      </c>
      <c r="AA121" s="7">
        <f t="shared" si="70"/>
        <v>69</v>
      </c>
      <c r="AB121" s="26">
        <f>IF(ISBLANK(Z6),"",SUM($Z$4:Z34))</f>
        <v>15.500000000000002</v>
      </c>
      <c r="AC121" s="115">
        <f t="shared" si="71"/>
        <v>0.22463768115942032</v>
      </c>
      <c r="AD121" s="8">
        <f t="shared" si="47"/>
        <v>1016.9193548387096</v>
      </c>
      <c r="AE121" s="610">
        <f t="shared" si="48"/>
        <v>1.3641509433962267</v>
      </c>
      <c r="AF121" s="524">
        <f t="shared" si="49"/>
        <v>0.16666666666666666</v>
      </c>
      <c r="AG121" s="22">
        <f>IF(ISBLANK(AP34),NA(),SUM($AP$4:AP34))</f>
        <v>144.6</v>
      </c>
      <c r="AH121" s="7">
        <f>SUM($AS$91:AS121)</f>
        <v>105.99999999999997</v>
      </c>
      <c r="AI121" s="115">
        <f t="shared" si="50"/>
        <v>1.3641509433962267</v>
      </c>
      <c r="AJ121" s="124">
        <f t="shared" si="51"/>
        <v>0</v>
      </c>
      <c r="AK121" s="8">
        <f t="shared" si="52"/>
        <v>1013</v>
      </c>
      <c r="AL121" s="124">
        <f t="shared" si="53"/>
        <v>0</v>
      </c>
      <c r="AM121" s="524">
        <f t="shared" si="54"/>
        <v>0.63749999999999996</v>
      </c>
      <c r="AO121" s="524">
        <f t="shared" si="55"/>
        <v>0.51180555555555551</v>
      </c>
      <c r="AR121" s="524">
        <f t="shared" si="56"/>
        <v>0.25</v>
      </c>
      <c r="AS121" s="7">
        <f t="shared" si="57"/>
        <v>3.1054028442096548</v>
      </c>
      <c r="AT121" s="7">
        <v>8.6490735859784795</v>
      </c>
      <c r="AU121" s="4">
        <v>31</v>
      </c>
      <c r="AV121" s="127">
        <f t="shared" si="58"/>
        <v>0</v>
      </c>
      <c r="AW121" s="124">
        <f t="shared" si="72"/>
        <v>0</v>
      </c>
      <c r="AX121" s="124">
        <f t="shared" si="73"/>
        <v>1</v>
      </c>
      <c r="AY121" s="124">
        <f t="shared" si="59"/>
        <v>0</v>
      </c>
      <c r="AZ121" s="125">
        <f t="shared" si="60"/>
        <v>4.0889999999999995</v>
      </c>
      <c r="BA121" s="125">
        <f t="shared" si="61"/>
        <v>9.7666666666666657</v>
      </c>
      <c r="BB121" s="125">
        <f t="shared" si="62"/>
        <v>13.633333333333333</v>
      </c>
      <c r="BC121" s="7">
        <v>7.9266666666666694</v>
      </c>
      <c r="BD121" s="7">
        <v>11.505333333333333</v>
      </c>
      <c r="BF121" s="8">
        <f t="shared" si="63"/>
        <v>84</v>
      </c>
      <c r="BG121" s="21">
        <f t="shared" si="64"/>
        <v>14.9</v>
      </c>
      <c r="BH121" s="124">
        <f t="shared" si="65"/>
        <v>0</v>
      </c>
      <c r="BI121" s="124">
        <f t="shared" si="74"/>
        <v>0</v>
      </c>
      <c r="BJ121" s="144">
        <f t="shared" si="66"/>
        <v>0</v>
      </c>
      <c r="BL121" s="99"/>
    </row>
    <row r="122" spans="1:64" ht="6" customHeight="1" x14ac:dyDescent="0.2">
      <c r="C122" s="1"/>
      <c r="D122" s="125"/>
      <c r="E122" s="125"/>
      <c r="F122" s="125"/>
      <c r="G122" s="125"/>
      <c r="H122" s="21"/>
      <c r="I122" s="7"/>
      <c r="K122" s="7"/>
      <c r="M122" s="8"/>
      <c r="N122" s="8"/>
      <c r="P122" s="125"/>
      <c r="R122" s="8"/>
      <c r="S122" s="8"/>
      <c r="U122" s="333"/>
      <c r="V122" s="4"/>
      <c r="W122" s="7"/>
      <c r="Z122" s="7"/>
      <c r="AA122" s="7"/>
      <c r="AB122" s="127"/>
      <c r="AC122" s="7"/>
      <c r="AD122" s="115"/>
      <c r="AE122" s="115"/>
      <c r="AG122" s="22"/>
      <c r="AH122" s="8"/>
      <c r="AI122" s="115"/>
      <c r="AJ122" s="124"/>
      <c r="AK122" s="67"/>
      <c r="AL122" s="124"/>
      <c r="AQ122" s="7"/>
      <c r="AS122" s="7"/>
      <c r="AT122" s="7"/>
      <c r="AU122" s="8"/>
      <c r="AV122" s="127"/>
      <c r="AW122" s="124"/>
      <c r="AX122" s="124"/>
      <c r="AY122" s="124"/>
      <c r="AZ122" s="127"/>
      <c r="BA122" s="125"/>
      <c r="BG122" s="127"/>
      <c r="BH122" s="124"/>
      <c r="BI122" s="124"/>
      <c r="BJ122" s="144"/>
      <c r="BL122" s="99"/>
    </row>
    <row r="123" spans="1:64" ht="12.75" x14ac:dyDescent="0.2">
      <c r="C123" s="1"/>
      <c r="R123" s="8"/>
      <c r="S123" s="8"/>
      <c r="V123" s="11" t="s">
        <v>4</v>
      </c>
      <c r="W123" s="7">
        <f>IF(Z38&lt;1,"",AVERAGE(AB4:AB33))</f>
        <v>0.94285714285714284</v>
      </c>
      <c r="X123" s="7">
        <f>MAX(AB4:AB34)</f>
        <v>1.7</v>
      </c>
      <c r="AH123" s="115">
        <f>MIN(AE95:AE121)</f>
        <v>1.0497008202066627</v>
      </c>
      <c r="AI123" s="115">
        <f>MAX(AE95:AE121)</f>
        <v>1.725371706597961</v>
      </c>
      <c r="AJ123" s="117"/>
      <c r="AK123" s="240"/>
      <c r="AL123" s="117"/>
      <c r="AS123" s="7">
        <f>SUM(AS91:AS121)</f>
        <v>105.99999999999997</v>
      </c>
      <c r="AT123" s="7">
        <f>SUM(AT91:AT121)</f>
        <v>295.22797720855789</v>
      </c>
      <c r="AV123" s="124"/>
      <c r="AW123" s="124"/>
      <c r="AX123" s="124"/>
      <c r="AY123" s="124"/>
      <c r="AZ123" s="124"/>
      <c r="BA123" s="124"/>
      <c r="BE123" s="124"/>
      <c r="BG123" s="7"/>
      <c r="BH123" s="124"/>
      <c r="BL123" s="4"/>
    </row>
    <row r="124" spans="1:64" s="95" customFormat="1" ht="18.75" customHeight="1" x14ac:dyDescent="0.2">
      <c r="C124" s="116"/>
      <c r="R124" s="325"/>
      <c r="S124" s="325"/>
      <c r="AY124" s="326"/>
      <c r="AZ124" s="326"/>
      <c r="BA124" s="326"/>
      <c r="BB124" s="326"/>
      <c r="BC124" s="326"/>
      <c r="BD124" s="326"/>
      <c r="BE124" s="326"/>
      <c r="BF124" s="326"/>
      <c r="BH124" s="326"/>
      <c r="BL124" s="81"/>
    </row>
    <row r="125" spans="1:64" ht="12.75" hidden="1" x14ac:dyDescent="0.2">
      <c r="AY125" s="124"/>
      <c r="AZ125" s="124"/>
      <c r="BA125" s="124"/>
      <c r="BB125" s="124"/>
      <c r="BC125" s="124"/>
      <c r="BD125" s="124"/>
      <c r="BE125" s="124"/>
      <c r="BF125" s="124"/>
      <c r="BG125" s="124"/>
      <c r="BH125" s="124"/>
    </row>
    <row r="126" spans="1:64" ht="12.75" hidden="1" x14ac:dyDescent="0.2">
      <c r="AY126" s="124"/>
      <c r="AZ126" s="124"/>
      <c r="BA126" s="124"/>
      <c r="BB126" s="124"/>
      <c r="BC126" s="124"/>
      <c r="BD126" s="124"/>
      <c r="BE126" s="124"/>
      <c r="BF126" s="124"/>
      <c r="BG126" s="124"/>
      <c r="BH126" s="124"/>
    </row>
    <row r="127" spans="1:64" ht="12.75" hidden="1" x14ac:dyDescent="0.2">
      <c r="AY127" s="124"/>
      <c r="AZ127" s="124"/>
      <c r="BA127" s="124"/>
      <c r="BB127" s="124"/>
      <c r="BC127" s="124"/>
      <c r="BD127" s="124"/>
      <c r="BE127" s="124"/>
      <c r="BF127" s="124"/>
      <c r="BG127" s="124"/>
      <c r="BH127" s="124"/>
    </row>
    <row r="128" spans="1:64" ht="12.75" hidden="1" x14ac:dyDescent="0.2">
      <c r="AY128" s="124"/>
      <c r="AZ128" s="124"/>
      <c r="BA128" s="124"/>
      <c r="BB128" s="124"/>
      <c r="BC128" s="124"/>
      <c r="BD128" s="124"/>
      <c r="BE128" s="124"/>
      <c r="BF128" s="124"/>
      <c r="BG128" s="124"/>
      <c r="BH128" s="124"/>
    </row>
    <row r="129" spans="13:60" ht="12.75" hidden="1" x14ac:dyDescent="0.2">
      <c r="AY129" s="124"/>
      <c r="AZ129" s="124"/>
      <c r="BA129" s="124"/>
      <c r="BB129" s="124"/>
      <c r="BC129" s="124"/>
      <c r="BD129" s="124"/>
      <c r="BE129" s="124"/>
      <c r="BF129" s="124"/>
      <c r="BG129" s="124"/>
      <c r="BH129" s="124"/>
    </row>
    <row r="130" spans="13:60" ht="12.75" hidden="1" x14ac:dyDescent="0.2"/>
    <row r="131" spans="13:60" ht="12.75" hidden="1" x14ac:dyDescent="0.2"/>
    <row r="132" spans="13:60" ht="12.75" hidden="1" x14ac:dyDescent="0.2"/>
    <row r="133" spans="13:60" ht="12.75" hidden="1" x14ac:dyDescent="0.2"/>
    <row r="134" spans="13:60" ht="12.75" hidden="1" x14ac:dyDescent="0.2">
      <c r="M134" s="10"/>
    </row>
  </sheetData>
  <sheetCalcPr fullCalcOnLoad="1"/>
  <mergeCells count="173">
    <mergeCell ref="AP82:AQ84"/>
    <mergeCell ref="AP63:AQ68"/>
    <mergeCell ref="H51:I51"/>
    <mergeCell ref="AH65:AI65"/>
    <mergeCell ref="AH68:AI68"/>
    <mergeCell ref="H62:I62"/>
    <mergeCell ref="AG52:AJ52"/>
    <mergeCell ref="AH53:AI53"/>
    <mergeCell ref="Q53:R53"/>
    <mergeCell ref="H64:I64"/>
    <mergeCell ref="W90:X90"/>
    <mergeCell ref="W57:W58"/>
    <mergeCell ref="AA50:AA51"/>
    <mergeCell ref="Z52:Z53"/>
    <mergeCell ref="Q77:AB77"/>
    <mergeCell ref="Q81:AB81"/>
    <mergeCell ref="Q74:AB75"/>
    <mergeCell ref="Z57:AB57"/>
    <mergeCell ref="X57:X58"/>
    <mergeCell ref="V57:V58"/>
    <mergeCell ref="AS62:AT62"/>
    <mergeCell ref="AG56:AJ56"/>
    <mergeCell ref="AC57:AE57"/>
    <mergeCell ref="AH57:AI57"/>
    <mergeCell ref="AG59:AJ59"/>
    <mergeCell ref="AG58:AJ58"/>
    <mergeCell ref="BF84:BJ84"/>
    <mergeCell ref="BB81:BC81"/>
    <mergeCell ref="AP1:AP2"/>
    <mergeCell ref="AS1:AY1"/>
    <mergeCell ref="AS56:AT56"/>
    <mergeCell ref="AS46:AX46"/>
    <mergeCell ref="AY47:BD47"/>
    <mergeCell ref="AP79:AQ81"/>
    <mergeCell ref="AS58:AT58"/>
    <mergeCell ref="BF46:BJ46"/>
    <mergeCell ref="BF47:BJ47"/>
    <mergeCell ref="B82:D82"/>
    <mergeCell ref="H82:H83"/>
    <mergeCell ref="AH82:AI82"/>
    <mergeCell ref="B83:D83"/>
    <mergeCell ref="Q83:AB83"/>
    <mergeCell ref="Q82:AB82"/>
    <mergeCell ref="B79:D79"/>
    <mergeCell ref="B78:D78"/>
    <mergeCell ref="H78:H79"/>
    <mergeCell ref="AG78:AJ78"/>
    <mergeCell ref="AH79:AI79"/>
    <mergeCell ref="Q78:AB78"/>
    <mergeCell ref="Q79:AB79"/>
    <mergeCell ref="B80:D80"/>
    <mergeCell ref="H80:H81"/>
    <mergeCell ref="B81:D81"/>
    <mergeCell ref="AG81:AJ81"/>
    <mergeCell ref="Q80:AB80"/>
    <mergeCell ref="B76:D76"/>
    <mergeCell ref="H76:H77"/>
    <mergeCell ref="AP76:AQ78"/>
    <mergeCell ref="AP73:AQ75"/>
    <mergeCell ref="H74:H75"/>
    <mergeCell ref="AG74:AJ74"/>
    <mergeCell ref="B75:D75"/>
    <mergeCell ref="AH75:AI75"/>
    <mergeCell ref="B77:D77"/>
    <mergeCell ref="Q76:AB76"/>
    <mergeCell ref="B74:D74"/>
    <mergeCell ref="B73:D73"/>
    <mergeCell ref="AG73:AJ73"/>
    <mergeCell ref="H71:I71"/>
    <mergeCell ref="AG71:AJ71"/>
    <mergeCell ref="AH72:AI72"/>
    <mergeCell ref="AD73:AE73"/>
    <mergeCell ref="Q73:AB73"/>
    <mergeCell ref="AP69:AQ72"/>
    <mergeCell ref="B72:D72"/>
    <mergeCell ref="H70:I70"/>
    <mergeCell ref="B71:D71"/>
    <mergeCell ref="B69:D69"/>
    <mergeCell ref="H69:I69"/>
    <mergeCell ref="AG66:AJ66"/>
    <mergeCell ref="AG64:AJ64"/>
    <mergeCell ref="B68:D68"/>
    <mergeCell ref="H68:I68"/>
    <mergeCell ref="H67:I67"/>
    <mergeCell ref="B67:D67"/>
    <mergeCell ref="AG67:AJ67"/>
    <mergeCell ref="B63:D63"/>
    <mergeCell ref="H63:I63"/>
    <mergeCell ref="B65:D65"/>
    <mergeCell ref="B66:D66"/>
    <mergeCell ref="H66:I66"/>
    <mergeCell ref="B64:D64"/>
    <mergeCell ref="AS63:AT63"/>
    <mergeCell ref="AS59:AT59"/>
    <mergeCell ref="B60:D60"/>
    <mergeCell ref="H60:I60"/>
    <mergeCell ref="AS60:AT60"/>
    <mergeCell ref="AH60:AI60"/>
    <mergeCell ref="AP59:AQ59"/>
    <mergeCell ref="AP60:AQ62"/>
    <mergeCell ref="B61:D61"/>
    <mergeCell ref="B62:D62"/>
    <mergeCell ref="B59:D59"/>
    <mergeCell ref="H59:I59"/>
    <mergeCell ref="P57:S57"/>
    <mergeCell ref="U57:U58"/>
    <mergeCell ref="B58:D58"/>
    <mergeCell ref="K57:N57"/>
    <mergeCell ref="H57:I58"/>
    <mergeCell ref="AS54:AT54"/>
    <mergeCell ref="AS55:AT55"/>
    <mergeCell ref="AS57:AT57"/>
    <mergeCell ref="Z54:Z55"/>
    <mergeCell ref="AA54:AA55"/>
    <mergeCell ref="B55:D55"/>
    <mergeCell ref="B54:D54"/>
    <mergeCell ref="B56:D56"/>
    <mergeCell ref="B57:D57"/>
    <mergeCell ref="B53:D53"/>
    <mergeCell ref="B52:D52"/>
    <mergeCell ref="AP53:AQ53"/>
    <mergeCell ref="AS52:AT52"/>
    <mergeCell ref="AS53:AT53"/>
    <mergeCell ref="AP52:AQ52"/>
    <mergeCell ref="AA52:AA53"/>
    <mergeCell ref="Q52:R52"/>
    <mergeCell ref="AC51:AC52"/>
    <mergeCell ref="AG51:AJ51"/>
    <mergeCell ref="B51:D51"/>
    <mergeCell ref="AS49:AT49"/>
    <mergeCell ref="AG49:AJ49"/>
    <mergeCell ref="B49:D49"/>
    <mergeCell ref="Q51:R51"/>
    <mergeCell ref="Q50:R50"/>
    <mergeCell ref="Z50:Z51"/>
    <mergeCell ref="AS50:AT50"/>
    <mergeCell ref="AS51:AT51"/>
    <mergeCell ref="AD51:AD52"/>
    <mergeCell ref="B48:D48"/>
    <mergeCell ref="AS48:AU48"/>
    <mergeCell ref="Z49:AA49"/>
    <mergeCell ref="B50:D50"/>
    <mergeCell ref="AH50:AI50"/>
    <mergeCell ref="AC50:AD50"/>
    <mergeCell ref="H50:I50"/>
    <mergeCell ref="K48:N48"/>
    <mergeCell ref="B38:C38"/>
    <mergeCell ref="BA38:BB38"/>
    <mergeCell ref="AA46:AA47"/>
    <mergeCell ref="B42:C42"/>
    <mergeCell ref="B46:E46"/>
    <mergeCell ref="B47:D47"/>
    <mergeCell ref="Z46:Z47"/>
    <mergeCell ref="B36:C36"/>
    <mergeCell ref="BA36:BB36"/>
    <mergeCell ref="BF1:BJ1"/>
    <mergeCell ref="D4:D43"/>
    <mergeCell ref="BA37:BB37"/>
    <mergeCell ref="BA39:BB39"/>
    <mergeCell ref="BA40:BB40"/>
    <mergeCell ref="AL1:AL2"/>
    <mergeCell ref="AN1:AN2"/>
    <mergeCell ref="AQ1:AQ2"/>
    <mergeCell ref="BA1:BD1"/>
    <mergeCell ref="B1:B2"/>
    <mergeCell ref="C1:C2"/>
    <mergeCell ref="F1:I1"/>
    <mergeCell ref="K1:N1"/>
    <mergeCell ref="Z1:AC1"/>
    <mergeCell ref="P1:S1"/>
    <mergeCell ref="U1:X1"/>
    <mergeCell ref="AG1:AJ1"/>
    <mergeCell ref="AD1:AE1"/>
  </mergeCells>
  <phoneticPr fontId="4" type="noConversion"/>
  <conditionalFormatting sqref="C4:C34">
    <cfRule type="cellIs" dxfId="407" priority="1" stopIfTrue="1" operator="notEqual">
      <formula>G4</formula>
    </cfRule>
  </conditionalFormatting>
  <conditionalFormatting sqref="AC4:AC34">
    <cfRule type="cellIs" dxfId="406" priority="2" stopIfTrue="1" operator="equal">
      <formula>$AC$86</formula>
    </cfRule>
    <cfRule type="cellIs" dxfId="405" priority="3" stopIfTrue="1" operator="equal">
      <formula>0</formula>
    </cfRule>
    <cfRule type="expression" dxfId="404" priority="4" stopIfTrue="1">
      <formula>Z4=0.1</formula>
    </cfRule>
  </conditionalFormatting>
  <conditionalFormatting sqref="W46:W53">
    <cfRule type="expression" dxfId="403" priority="5" stopIfTrue="1">
      <formula>X46=$X$55</formula>
    </cfRule>
  </conditionalFormatting>
  <conditionalFormatting sqref="B4:B34">
    <cfRule type="cellIs" dxfId="402" priority="6" stopIfTrue="1" operator="notEqual">
      <formula>F4</formula>
    </cfRule>
  </conditionalFormatting>
  <conditionalFormatting sqref="AP92:AP107">
    <cfRule type="expression" dxfId="401" priority="7" stopIfTrue="1">
      <formula>AQ92=$AQ$109</formula>
    </cfRule>
  </conditionalFormatting>
  <conditionalFormatting sqref="BG49:BG79">
    <cfRule type="expression" dxfId="400" priority="8" stopIfTrue="1">
      <formula>IF(J4=1,1,0)</formula>
    </cfRule>
  </conditionalFormatting>
  <conditionalFormatting sqref="B72:D80 B48:C66 D48 D51:D52 D54:D66">
    <cfRule type="expression" dxfId="399" priority="9" stopIfTrue="1">
      <formula>IF(F48&gt;0.5,1,0)</formula>
    </cfRule>
    <cfRule type="expression" dxfId="398" priority="10" stopIfTrue="1">
      <formula>IF(F48&lt;0.2,1,0)</formula>
    </cfRule>
  </conditionalFormatting>
  <conditionalFormatting sqref="AS50:AT60">
    <cfRule type="expression" dxfId="397" priority="11" stopIfTrue="1">
      <formula>IF(AV50&gt;0.5,1,0)</formula>
    </cfRule>
    <cfRule type="expression" dxfId="396" priority="12" stopIfTrue="1">
      <formula>IF(AV50&lt;0.2,1,0)</formula>
    </cfRule>
  </conditionalFormatting>
  <conditionalFormatting sqref="BD35">
    <cfRule type="cellIs" dxfId="395" priority="13" stopIfTrue="1" operator="equal">
      <formula>#REF!</formula>
    </cfRule>
    <cfRule type="expression" dxfId="394" priority="14" stopIfTrue="1">
      <formula>AY123=1</formula>
    </cfRule>
    <cfRule type="expression" dxfId="393" priority="15" stopIfTrue="1">
      <formula>BH123=1</formula>
    </cfRule>
  </conditionalFormatting>
  <conditionalFormatting sqref="F4:F34">
    <cfRule type="cellIs" dxfId="392" priority="16" stopIfTrue="1" operator="equal">
      <formula>$F$85</formula>
    </cfRule>
    <cfRule type="cellIs" dxfId="391" priority="17" stopIfTrue="1" operator="equal">
      <formula>$F$86</formula>
    </cfRule>
    <cfRule type="expression" dxfId="390" priority="18" stopIfTrue="1">
      <formula>IF(B4&lt;0,1,0)</formula>
    </cfRule>
  </conditionalFormatting>
  <conditionalFormatting sqref="BF49:BF79">
    <cfRule type="cellIs" dxfId="389" priority="19" stopIfTrue="1" operator="greaterThan">
      <formula>0.9</formula>
    </cfRule>
    <cfRule type="expression" dxfId="388" priority="20" stopIfTrue="1">
      <formula>IF(O4=1,1,0)</formula>
    </cfRule>
  </conditionalFormatting>
  <conditionalFormatting sqref="D53">
    <cfRule type="expression" dxfId="387" priority="21" stopIfTrue="1">
      <formula>IF(H50&gt;0.5,1,0)</formula>
    </cfRule>
    <cfRule type="expression" dxfId="386" priority="22" stopIfTrue="1">
      <formula>IF(H50&lt;0.2,1,0)</formula>
    </cfRule>
  </conditionalFormatting>
  <conditionalFormatting sqref="D49:D50">
    <cfRule type="expression" dxfId="385" priority="23" stopIfTrue="1">
      <formula>IF(L53&gt;0.5,1,0)</formula>
    </cfRule>
    <cfRule type="expression" dxfId="384" priority="24" stopIfTrue="1">
      <formula>IF(L53&lt;0.2,1,0)</formula>
    </cfRule>
  </conditionalFormatting>
  <conditionalFormatting sqref="BA49:BA79">
    <cfRule type="cellIs" dxfId="383" priority="25" stopIfTrue="1" operator="equal">
      <formula>$BB$86</formula>
    </cfRule>
    <cfRule type="expression" dxfId="382" priority="26" stopIfTrue="1">
      <formula>IF(AX91=1,1,0)</formula>
    </cfRule>
    <cfRule type="expression" dxfId="381" priority="27" stopIfTrue="1">
      <formula>IF(AW91=1,1,0)</formula>
    </cfRule>
  </conditionalFormatting>
  <conditionalFormatting sqref="AQ92:AQ107">
    <cfRule type="cellIs" dxfId="380" priority="28" stopIfTrue="1" operator="equal">
      <formula>$AQ$109</formula>
    </cfRule>
  </conditionalFormatting>
  <conditionalFormatting sqref="AB91:AB121">
    <cfRule type="cellIs" dxfId="379" priority="29" stopIfTrue="1" operator="equal">
      <formula>0</formula>
    </cfRule>
  </conditionalFormatting>
  <conditionalFormatting sqref="AE4:AE34">
    <cfRule type="cellIs" dxfId="378" priority="30" stopIfTrue="1" operator="equal">
      <formula>$AD$86</formula>
    </cfRule>
    <cfRule type="cellIs" dxfId="377" priority="31" stopIfTrue="1" operator="equal">
      <formula>0</formula>
    </cfRule>
  </conditionalFormatting>
  <conditionalFormatting sqref="AY49:AZ79">
    <cfRule type="cellIs" dxfId="376" priority="32" stopIfTrue="1" operator="equal">
      <formula>$BA$84</formula>
    </cfRule>
    <cfRule type="cellIs" dxfId="375" priority="33" stopIfTrue="1" operator="equal">
      <formula>$BB$84</formula>
    </cfRule>
  </conditionalFormatting>
  <conditionalFormatting sqref="AW4:AW34 BI35">
    <cfRule type="cellIs" dxfId="374" priority="34" stopIfTrue="1" operator="equal">
      <formula>$AW$85</formula>
    </cfRule>
    <cfRule type="cellIs" dxfId="373" priority="35" stopIfTrue="1" operator="equal">
      <formula>$AW$86</formula>
    </cfRule>
  </conditionalFormatting>
  <conditionalFormatting sqref="BC35 BD4:BD34">
    <cfRule type="cellIs" dxfId="372" priority="36" stopIfTrue="1" operator="equal">
      <formula>$BD$85</formula>
    </cfRule>
    <cfRule type="cellIs" dxfId="371" priority="37" stopIfTrue="1" operator="equal">
      <formula>$BD$86</formula>
    </cfRule>
  </conditionalFormatting>
  <conditionalFormatting sqref="BC49:BC80">
    <cfRule type="cellIs" dxfId="370" priority="38" stopIfTrue="1" operator="equal">
      <formula>$AU$85</formula>
    </cfRule>
    <cfRule type="cellIs" dxfId="369" priority="39" stopIfTrue="1" operator="equal">
      <formula>$AU$86</formula>
    </cfRule>
  </conditionalFormatting>
  <conditionalFormatting sqref="BD49:BD80">
    <cfRule type="cellIs" dxfId="368" priority="40" stopIfTrue="1" operator="equal">
      <formula>#REF!</formula>
    </cfRule>
    <cfRule type="cellIs" dxfId="367" priority="41" stopIfTrue="1" operator="equal">
      <formula>#REF!</formula>
    </cfRule>
  </conditionalFormatting>
  <conditionalFormatting sqref="BF35 BF4:BG34">
    <cfRule type="cellIs" dxfId="366" priority="42" stopIfTrue="1" operator="equal">
      <formula>$BF$85</formula>
    </cfRule>
    <cfRule type="cellIs" dxfId="365" priority="43" stopIfTrue="1" operator="equal">
      <formula>$BF$86</formula>
    </cfRule>
  </conditionalFormatting>
  <conditionalFormatting sqref="BG35">
    <cfRule type="cellIs" dxfId="364" priority="44" stopIfTrue="1" operator="equal">
      <formula>$BG$85</formula>
    </cfRule>
    <cfRule type="cellIs" dxfId="363" priority="45" stopIfTrue="1" operator="equal">
      <formula>$BG$86</formula>
    </cfRule>
  </conditionalFormatting>
  <conditionalFormatting sqref="BH4:BH35">
    <cfRule type="cellIs" dxfId="362" priority="46" stopIfTrue="1" operator="equal">
      <formula>$BH$85</formula>
    </cfRule>
    <cfRule type="cellIs" dxfId="361" priority="47" stopIfTrue="1" operator="equal">
      <formula>$BH$86</formula>
    </cfRule>
  </conditionalFormatting>
  <conditionalFormatting sqref="BA4:BA35 BB4:BB34">
    <cfRule type="cellIs" dxfId="360" priority="48" stopIfTrue="1" operator="equal">
      <formula>$BA$85</formula>
    </cfRule>
    <cfRule type="cellIs" dxfId="359" priority="49" stopIfTrue="1" operator="equal">
      <formula>$BA$86</formula>
    </cfRule>
  </conditionalFormatting>
  <conditionalFormatting sqref="BF80">
    <cfRule type="cellIs" dxfId="358" priority="50" stopIfTrue="1" operator="greaterThan">
      <formula>0.9</formula>
    </cfRule>
  </conditionalFormatting>
  <conditionalFormatting sqref="BG80">
    <cfRule type="cellIs" dxfId="357" priority="51" stopIfTrue="1" operator="lessThan">
      <formula>0.3</formula>
    </cfRule>
  </conditionalFormatting>
  <conditionalFormatting sqref="BJ8:BJ35">
    <cfRule type="cellIs" dxfId="356" priority="52" stopIfTrue="1" operator="equal">
      <formula>$BJ$85</formula>
    </cfRule>
    <cfRule type="cellIs" dxfId="355" priority="53" stopIfTrue="1" operator="equal">
      <formula>$BJ$86</formula>
    </cfRule>
  </conditionalFormatting>
  <conditionalFormatting sqref="BI4:BI34">
    <cfRule type="cellIs" dxfId="354" priority="54" stopIfTrue="1" operator="equal">
      <formula>$BI$86</formula>
    </cfRule>
    <cfRule type="cellIs" dxfId="353" priority="55" stopIfTrue="1" operator="equal">
      <formula>$BI$85</formula>
    </cfRule>
  </conditionalFormatting>
  <conditionalFormatting sqref="AY35:AZ35">
    <cfRule type="cellIs" dxfId="352" priority="56" stopIfTrue="1" operator="equal">
      <formula>$AY$85</formula>
    </cfRule>
    <cfRule type="cellIs" dxfId="351" priority="57" stopIfTrue="1" operator="equal">
      <formula>$AY$86</formula>
    </cfRule>
  </conditionalFormatting>
  <conditionalFormatting sqref="AY4:AY34">
    <cfRule type="cellIs" dxfId="350" priority="58" stopIfTrue="1" operator="equal">
      <formula>$AY$85</formula>
    </cfRule>
    <cfRule type="cellIs" dxfId="349" priority="59" stopIfTrue="1" operator="equal">
      <formula>$AY$86</formula>
    </cfRule>
  </conditionalFormatting>
  <conditionalFormatting sqref="AM4:AM34 X4:X34">
    <cfRule type="cellIs" dxfId="348" priority="60" stopIfTrue="1" operator="equal">
      <formula>10</formula>
    </cfRule>
    <cfRule type="cellIs" priority="61" stopIfTrue="1" operator="equal">
      <formula>0</formula>
    </cfRule>
  </conditionalFormatting>
  <conditionalFormatting sqref="AK4:AK34">
    <cfRule type="cellIs" dxfId="347" priority="62" stopIfTrue="1" operator="equal">
      <formula>$AH$86</formula>
    </cfRule>
    <cfRule type="cellIs" dxfId="346" priority="63" stopIfTrue="1" operator="equal">
      <formula>$AH$85</formula>
    </cfRule>
  </conditionalFormatting>
  <conditionalFormatting sqref="AR4:AR34">
    <cfRule type="cellIs" dxfId="345" priority="64" stopIfTrue="1" operator="equal">
      <formula>$M$92</formula>
    </cfRule>
  </conditionalFormatting>
  <conditionalFormatting sqref="AV50:AV60 F72:F80 F48:F66">
    <cfRule type="cellIs" dxfId="344" priority="65" stopIfTrue="1" operator="between">
      <formula>0.45</formula>
      <formula>0.55</formula>
    </cfRule>
  </conditionalFormatting>
  <conditionalFormatting sqref="AS8:AS34">
    <cfRule type="cellIs" dxfId="343" priority="66" stopIfTrue="1" operator="equal">
      <formula>$AS$85</formula>
    </cfRule>
    <cfRule type="cellIs" dxfId="342" priority="67" stopIfTrue="1" operator="equal">
      <formula>$AS$86</formula>
    </cfRule>
  </conditionalFormatting>
  <conditionalFormatting sqref="AI4:AI35">
    <cfRule type="cellIs" dxfId="341" priority="68" stopIfTrue="1" operator="equal">
      <formula>$AI$85</formula>
    </cfRule>
    <cfRule type="cellIs" dxfId="340" priority="69" stopIfTrue="1" operator="equal">
      <formula>$AI$86</formula>
    </cfRule>
  </conditionalFormatting>
  <conditionalFormatting sqref="AJ4:AJ35">
    <cfRule type="cellIs" dxfId="339" priority="70" stopIfTrue="1" operator="equal">
      <formula>$AJ$85</formula>
    </cfRule>
    <cfRule type="cellIs" dxfId="338" priority="71" stopIfTrue="1" operator="equal">
      <formula>$AJ$86</formula>
    </cfRule>
  </conditionalFormatting>
  <conditionalFormatting sqref="AT4:AT35">
    <cfRule type="cellIs" dxfId="337" priority="72" stopIfTrue="1" operator="equal">
      <formula>$AT$85</formula>
    </cfRule>
    <cfRule type="cellIs" dxfId="336" priority="73" stopIfTrue="1" operator="equal">
      <formula>$AT$86</formula>
    </cfRule>
  </conditionalFormatting>
  <conditionalFormatting sqref="AU4:AU35">
    <cfRule type="cellIs" dxfId="335" priority="74" stopIfTrue="1" operator="equal">
      <formula>$AU$85</formula>
    </cfRule>
    <cfRule type="cellIs" dxfId="334" priority="75" stopIfTrue="1" operator="equal">
      <formula>$AU$86</formula>
    </cfRule>
  </conditionalFormatting>
  <conditionalFormatting sqref="AV35:AW35 AV4:AV34">
    <cfRule type="cellIs" dxfId="333" priority="76" stopIfTrue="1" operator="equal">
      <formula>$AV$85</formula>
    </cfRule>
    <cfRule type="cellIs" dxfId="332" priority="77" stopIfTrue="1" operator="equal">
      <formula>$AV$86</formula>
    </cfRule>
  </conditionalFormatting>
  <conditionalFormatting sqref="AX4:AX35">
    <cfRule type="cellIs" dxfId="331" priority="78" stopIfTrue="1" operator="equal">
      <formula>$AX$85</formula>
    </cfRule>
    <cfRule type="cellIs" dxfId="330" priority="79" stopIfTrue="1" operator="equal">
      <formula>$AX$86</formula>
    </cfRule>
  </conditionalFormatting>
  <conditionalFormatting sqref="AG4:AG34">
    <cfRule type="cellIs" dxfId="329" priority="80" stopIfTrue="1" operator="equal">
      <formula>$AG$85</formula>
    </cfRule>
    <cfRule type="cellIs" dxfId="328" priority="81" stopIfTrue="1" operator="equal">
      <formula>$AG$86</formula>
    </cfRule>
  </conditionalFormatting>
  <conditionalFormatting sqref="AH4:AH35">
    <cfRule type="cellIs" dxfId="327" priority="82" stopIfTrue="1" operator="equal">
      <formula>$AH$85</formula>
    </cfRule>
    <cfRule type="cellIs" dxfId="326" priority="83" stopIfTrue="1" operator="equal">
      <formula>$AH$86</formula>
    </cfRule>
  </conditionalFormatting>
  <conditionalFormatting sqref="AP4:AP34">
    <cfRule type="cellIs" dxfId="325" priority="84" stopIfTrue="1" operator="equal">
      <formula>$AP$86</formula>
    </cfRule>
    <cfRule type="cellIs" dxfId="324" priority="85" stopIfTrue="1" operator="equal">
      <formula>0.001</formula>
    </cfRule>
  </conditionalFormatting>
  <conditionalFormatting sqref="BH49:BH79">
    <cfRule type="cellIs" dxfId="323" priority="86" stopIfTrue="1" operator="greaterThan">
      <formula>0.9</formula>
    </cfRule>
  </conditionalFormatting>
  <conditionalFormatting sqref="BI49:BI79">
    <cfRule type="cellIs" dxfId="322" priority="87" stopIfTrue="1" operator="greaterThan">
      <formula>0.5</formula>
    </cfRule>
  </conditionalFormatting>
  <conditionalFormatting sqref="X46:X53">
    <cfRule type="cellIs" dxfId="321" priority="88" stopIfTrue="1" operator="equal">
      <formula>$X$55</formula>
    </cfRule>
  </conditionalFormatting>
  <conditionalFormatting sqref="L4:L34">
    <cfRule type="cellIs" dxfId="320" priority="89" stopIfTrue="1" operator="equal">
      <formula>98</formula>
    </cfRule>
    <cfRule type="cellIs" dxfId="319" priority="90" stopIfTrue="1" operator="equal">
      <formula>$L$85</formula>
    </cfRule>
    <cfRule type="cellIs" dxfId="318" priority="91" stopIfTrue="1" operator="equal">
      <formula>$L$86</formula>
    </cfRule>
  </conditionalFormatting>
  <conditionalFormatting sqref="K4:K34">
    <cfRule type="cellIs" dxfId="317" priority="92" stopIfTrue="1" operator="equal">
      <formula>$K$85</formula>
    </cfRule>
    <cfRule type="cellIs" dxfId="316" priority="93" stopIfTrue="1" operator="equal">
      <formula>$K$86</formula>
    </cfRule>
  </conditionalFormatting>
  <conditionalFormatting sqref="I4:I34">
    <cfRule type="cellIs" dxfId="315" priority="94" stopIfTrue="1" operator="equal">
      <formula>$I$85</formula>
    </cfRule>
    <cfRule type="cellIs" dxfId="314" priority="95" stopIfTrue="1" operator="equal">
      <formula>$I$86</formula>
    </cfRule>
  </conditionalFormatting>
  <conditionalFormatting sqref="N4:N34">
    <cfRule type="cellIs" dxfId="313" priority="96" stopIfTrue="1" operator="equal">
      <formula>$N$85</formula>
    </cfRule>
    <cfRule type="cellIs" dxfId="312" priority="97" stopIfTrue="1" operator="equal">
      <formula>$N$86</formula>
    </cfRule>
  </conditionalFormatting>
  <conditionalFormatting sqref="AA4:AA34">
    <cfRule type="cellIs" dxfId="311" priority="98" stopIfTrue="1" operator="equal">
      <formula>$AA$86</formula>
    </cfRule>
  </conditionalFormatting>
  <conditionalFormatting sqref="P4:P34">
    <cfRule type="cellIs" dxfId="310" priority="99" stopIfTrue="1" operator="equal">
      <formula>$P$85</formula>
    </cfRule>
    <cfRule type="cellIs" dxfId="309" priority="100" stopIfTrue="1" operator="equal">
      <formula>$P$86</formula>
    </cfRule>
  </conditionalFormatting>
  <conditionalFormatting sqref="S4:S34">
    <cfRule type="cellIs" dxfId="308" priority="101" stopIfTrue="1" operator="equal">
      <formula>$S$85</formula>
    </cfRule>
    <cfRule type="cellIs" dxfId="307" priority="102" stopIfTrue="1" operator="equal">
      <formula>$S$86</formula>
    </cfRule>
  </conditionalFormatting>
  <conditionalFormatting sqref="R4:R34">
    <cfRule type="cellIs" dxfId="306" priority="103" stopIfTrue="1" operator="equal">
      <formula>$R$85</formula>
    </cfRule>
    <cfRule type="cellIs" dxfId="305" priority="104" stopIfTrue="1" operator="equal">
      <formula>$R$86</formula>
    </cfRule>
  </conditionalFormatting>
  <conditionalFormatting sqref="Q4:Q34">
    <cfRule type="cellIs" dxfId="304" priority="105" stopIfTrue="1" operator="equal">
      <formula>$Q$85</formula>
    </cfRule>
    <cfRule type="cellIs" dxfId="303" priority="106" stopIfTrue="1" operator="equal">
      <formula>$Q$86</formula>
    </cfRule>
  </conditionalFormatting>
  <conditionalFormatting sqref="U47:U50 U53:U56">
    <cfRule type="cellIs" dxfId="302" priority="107" stopIfTrue="1" operator="equal">
      <formula>$W$86</formula>
    </cfRule>
    <cfRule type="cellIs" dxfId="301" priority="108" stopIfTrue="1" operator="equal">
      <formula>$W$85</formula>
    </cfRule>
  </conditionalFormatting>
  <conditionalFormatting sqref="H4:H35">
    <cfRule type="cellIs" dxfId="300" priority="109" stopIfTrue="1" operator="equal">
      <formula>$H$85</formula>
    </cfRule>
    <cfRule type="cellIs" dxfId="299" priority="110" stopIfTrue="1" operator="equal">
      <formula>$H$86</formula>
    </cfRule>
  </conditionalFormatting>
  <conditionalFormatting sqref="M4:M34">
    <cfRule type="cellIs" dxfId="298" priority="111" stopIfTrue="1" operator="equal">
      <formula>$M$85</formula>
    </cfRule>
    <cfRule type="cellIs" dxfId="297" priority="112" stopIfTrue="1" operator="equal">
      <formula>$M$86</formula>
    </cfRule>
  </conditionalFormatting>
  <conditionalFormatting sqref="AB4:AB34">
    <cfRule type="cellIs" dxfId="296" priority="113" stopIfTrue="1" operator="equal">
      <formula>$X$123</formula>
    </cfRule>
  </conditionalFormatting>
  <conditionalFormatting sqref="G4:G34">
    <cfRule type="cellIs" dxfId="295" priority="114" stopIfTrue="1" operator="equal">
      <formula>$G$86</formula>
    </cfRule>
    <cfRule type="cellIs" dxfId="294" priority="115" stopIfTrue="1" operator="equal">
      <formula>$G$85</formula>
    </cfRule>
    <cfRule type="cellIs" dxfId="293" priority="116" stopIfTrue="1" operator="greaterThan">
      <formula>25</formula>
    </cfRule>
  </conditionalFormatting>
  <conditionalFormatting sqref="AD4:AD34">
    <cfRule type="cellIs" dxfId="292" priority="117" stopIfTrue="1" operator="equal">
      <formula>$AE$86</formula>
    </cfRule>
    <cfRule type="cellIs" dxfId="291" priority="118" stopIfTrue="1" operator="equal">
      <formula>$AE$85</formula>
    </cfRule>
  </conditionalFormatting>
  <conditionalFormatting sqref="AQ4:AQ34">
    <cfRule type="cellIs" dxfId="290" priority="119" stopIfTrue="1" operator="equal">
      <formula>0</formula>
    </cfRule>
    <cfRule type="cellIs" dxfId="289" priority="120" stopIfTrue="1" operator="equal">
      <formula>$AQ$86</formula>
    </cfRule>
    <cfRule type="cellIs" dxfId="288" priority="121" stopIfTrue="1" operator="between">
      <formula>0.1</formula>
      <formula>0.4</formula>
    </cfRule>
  </conditionalFormatting>
  <conditionalFormatting sqref="U4:U34">
    <cfRule type="cellIs" dxfId="287" priority="122" stopIfTrue="1" operator="equal">
      <formula>$U$86</formula>
    </cfRule>
    <cfRule type="cellIs" dxfId="286" priority="123" stopIfTrue="1" operator="equal">
      <formula>$U$85</formula>
    </cfRule>
  </conditionalFormatting>
  <conditionalFormatting sqref="V4:V34">
    <cfRule type="cellIs" dxfId="285" priority="124" stopIfTrue="1" operator="equal">
      <formula>$V$86</formula>
    </cfRule>
    <cfRule type="cellIs" dxfId="284" priority="125" stopIfTrue="1" operator="equal">
      <formula>$V$85</formula>
    </cfRule>
  </conditionalFormatting>
  <conditionalFormatting sqref="W4:W34">
    <cfRule type="cellIs" dxfId="283" priority="126" stopIfTrue="1" operator="equal">
      <formula>$W$86</formula>
    </cfRule>
    <cfRule type="cellIs" dxfId="282" priority="127" stopIfTrue="1" operator="equal">
      <formula>$W$85</formula>
    </cfRule>
  </conditionalFormatting>
  <conditionalFormatting sqref="Z4:Z34">
    <cfRule type="cellIs" dxfId="281" priority="128" stopIfTrue="1" operator="equal">
      <formula>0</formula>
    </cfRule>
    <cfRule type="cellIs" dxfId="280" priority="129" stopIfTrue="1" operator="equal">
      <formula>$Z$86</formula>
    </cfRule>
    <cfRule type="cellIs" dxfId="279" priority="130" stopIfTrue="1" operator="lessThan">
      <formula>0.2</formula>
    </cfRule>
  </conditionalFormatting>
  <conditionalFormatting sqref="E48:E66 AU50:AU60">
    <cfRule type="cellIs" dxfId="278" priority="131" stopIfTrue="1" operator="notBetween">
      <formula>-0.5</formula>
      <formula>0.5</formula>
    </cfRule>
    <cfRule type="cellIs" dxfId="277" priority="132" stopIfTrue="1" operator="between">
      <formula>-0.2</formula>
      <formula>0.2</formula>
    </cfRule>
  </conditionalFormatting>
  <conditionalFormatting sqref="E72:E80">
    <cfRule type="cellIs" dxfId="276" priority="133" stopIfTrue="1" operator="notBetween">
      <formula>-0.5</formula>
      <formula>0.5</formula>
    </cfRule>
    <cfRule type="cellIs" dxfId="275" priority="134" stopIfTrue="1" operator="between">
      <formula>-0.2</formula>
      <formula>0.2</formula>
    </cfRule>
  </conditionalFormatting>
  <conditionalFormatting sqref="BC4:BC34">
    <cfRule type="cellIs" dxfId="274" priority="135" stopIfTrue="1" operator="equal">
      <formula>$BC$85</formula>
    </cfRule>
    <cfRule type="cellIs" dxfId="273" priority="136" stopIfTrue="1" operator="equal">
      <formula>$BC$86</formula>
    </cfRule>
  </conditionalFormatting>
  <pageMargins left="0.75" right="0.75" top="1" bottom="1" header="0.5" footer="0.5"/>
  <pageSetup paperSize="9" orientation="portrait" horizontalDpi="4294967293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 enableFormatConditionsCalculation="0">
    <tabColor indexed="42"/>
  </sheetPr>
  <dimension ref="AA7"/>
  <sheetViews>
    <sheetView zoomScale="75" workbookViewId="0">
      <selection activeCell="AA7" sqref="AA7"/>
    </sheetView>
  </sheetViews>
  <sheetFormatPr defaultRowHeight="12.75" x14ac:dyDescent="0.2"/>
  <sheetData>
    <row r="7" spans="27:27" ht="15.75" x14ac:dyDescent="0.25">
      <c r="AA7" s="614" t="s">
        <v>504</v>
      </c>
    </row>
  </sheetData>
  <phoneticPr fontId="4" type="noConversion"/>
  <pageMargins left="0.75" right="0.75" top="1" bottom="1" header="0.5" footer="0.5"/>
  <headerFooter alignWithMargins="0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 enableFormatConditionsCalculation="0">
    <tabColor indexed="11"/>
  </sheetPr>
  <dimension ref="A1:CK134"/>
  <sheetViews>
    <sheetView zoomScale="90" workbookViewId="0">
      <pane xSplit="1" topLeftCell="B1" activePane="topRight" state="frozen"/>
      <selection activeCell="AN72" sqref="AN72"/>
      <selection pane="topRight"/>
    </sheetView>
  </sheetViews>
  <sheetFormatPr defaultRowHeight="0" customHeight="1" zeroHeight="1" x14ac:dyDescent="0.2"/>
  <cols>
    <col min="1" max="1" width="2.85546875" style="1" customWidth="1"/>
    <col min="2" max="2" width="5.140625" style="1" customWidth="1"/>
    <col min="3" max="3" width="5.140625" style="7" customWidth="1"/>
    <col min="4" max="4" width="12.5703125" style="1" customWidth="1"/>
    <col min="5" max="5" width="8.85546875" style="1" customWidth="1"/>
    <col min="6" max="9" width="9.28515625" style="1" customWidth="1"/>
    <col min="10" max="10" width="0.7109375" style="1" customWidth="1"/>
    <col min="11" max="13" width="8.5703125" style="1" customWidth="1"/>
    <col min="14" max="14" width="7.85546875" style="1" customWidth="1"/>
    <col min="15" max="15" width="1" style="1" customWidth="1"/>
    <col min="16" max="17" width="7.28515625" style="1" customWidth="1"/>
    <col min="18" max="18" width="8.5703125" style="1" customWidth="1"/>
    <col min="19" max="19" width="7.140625" style="1" customWidth="1"/>
    <col min="20" max="20" width="0.7109375" style="1" customWidth="1"/>
    <col min="21" max="22" width="9.28515625" style="1" customWidth="1"/>
    <col min="23" max="23" width="9.7109375" style="1" customWidth="1"/>
    <col min="24" max="24" width="9.28515625" style="1" customWidth="1"/>
    <col min="25" max="25" width="0.85546875" style="1" customWidth="1"/>
    <col min="26" max="26" width="10.42578125" style="1" customWidth="1"/>
    <col min="27" max="27" width="9.42578125" style="1" customWidth="1"/>
    <col min="28" max="28" width="10.5703125" style="1" customWidth="1"/>
    <col min="29" max="29" width="9.28515625" style="1" customWidth="1"/>
    <col min="30" max="30" width="9.85546875" style="1" customWidth="1"/>
    <col min="31" max="31" width="10.140625" style="1" customWidth="1"/>
    <col min="32" max="32" width="0.85546875" style="1" customWidth="1"/>
    <col min="33" max="34" width="8.42578125" style="1" customWidth="1"/>
    <col min="35" max="35" width="8.85546875" style="1" customWidth="1"/>
    <col min="36" max="36" width="8.42578125" style="1" customWidth="1"/>
    <col min="37" max="37" width="0.5703125" style="1" customWidth="1"/>
    <col min="38" max="38" width="8.140625" style="1" customWidth="1"/>
    <col min="39" max="39" width="0.42578125" style="1" customWidth="1"/>
    <col min="40" max="40" width="39.28515625" style="1" customWidth="1"/>
    <col min="41" max="41" width="0.7109375" style="1" customWidth="1"/>
    <col min="42" max="43" width="7.85546875" style="1" customWidth="1"/>
    <col min="44" max="44" width="0.7109375" style="1" customWidth="1"/>
    <col min="45" max="48" width="8.85546875" style="1" customWidth="1"/>
    <col min="49" max="49" width="8.5703125" style="1" customWidth="1"/>
    <col min="50" max="51" width="9.140625" style="1" customWidth="1"/>
    <col min="52" max="52" width="0.5703125" style="1" customWidth="1"/>
    <col min="53" max="53" width="8.28515625" style="1" customWidth="1"/>
    <col min="54" max="54" width="7.7109375" style="1" customWidth="1"/>
    <col min="55" max="55" width="8.5703125" style="1" customWidth="1"/>
    <col min="56" max="56" width="8.85546875" style="1" customWidth="1"/>
    <col min="57" max="57" width="0.5703125" style="1" customWidth="1"/>
    <col min="58" max="62" width="8.85546875" style="1" customWidth="1"/>
    <col min="63" max="63" width="1" style="1" customWidth="1"/>
    <col min="64" max="64" width="2.140625" style="1" customWidth="1"/>
    <col min="65" max="89" width="1.140625" style="1" hidden="1" customWidth="1"/>
    <col min="90" max="91" width="0" style="1" hidden="1" customWidth="1"/>
    <col min="92" max="16384" width="9.140625" style="1"/>
  </cols>
  <sheetData>
    <row r="1" spans="1:64" ht="13.5" customHeight="1" x14ac:dyDescent="0.2">
      <c r="A1" s="88">
        <v>1</v>
      </c>
      <c r="B1" s="676" t="s">
        <v>100</v>
      </c>
      <c r="C1" s="677" t="s">
        <v>99</v>
      </c>
      <c r="D1" s="109">
        <f ca="1">D2/E1</f>
        <v>72.476697421061019</v>
      </c>
      <c r="E1" s="98">
        <f ca="1">COUNT(A3:BL88)</f>
        <v>2407</v>
      </c>
      <c r="F1" s="678" t="s">
        <v>186</v>
      </c>
      <c r="G1" s="678"/>
      <c r="H1" s="678"/>
      <c r="I1" s="678"/>
      <c r="J1" s="6"/>
      <c r="K1" s="679" t="s">
        <v>147</v>
      </c>
      <c r="L1" s="679"/>
      <c r="M1" s="679"/>
      <c r="N1" s="680"/>
      <c r="O1" s="2"/>
      <c r="P1" s="664" t="s">
        <v>0</v>
      </c>
      <c r="Q1" s="664"/>
      <c r="R1" s="664"/>
      <c r="S1" s="665"/>
      <c r="T1" s="3"/>
      <c r="U1" s="666" t="s">
        <v>139</v>
      </c>
      <c r="V1" s="666"/>
      <c r="W1" s="666"/>
      <c r="X1" s="666"/>
      <c r="Y1" s="86"/>
      <c r="Z1" s="674" t="s">
        <v>107</v>
      </c>
      <c r="AA1" s="674"/>
      <c r="AB1" s="674"/>
      <c r="AC1" s="675"/>
      <c r="AD1" s="673" t="s">
        <v>198</v>
      </c>
      <c r="AE1" s="673"/>
      <c r="AF1" s="137"/>
      <c r="AG1" s="672" t="s">
        <v>157</v>
      </c>
      <c r="AH1" s="672"/>
      <c r="AI1" s="672"/>
      <c r="AJ1" s="672"/>
      <c r="AK1" s="6"/>
      <c r="AL1" s="690" t="s">
        <v>252</v>
      </c>
      <c r="AM1" s="86"/>
      <c r="AN1" s="667" t="s">
        <v>1</v>
      </c>
      <c r="AO1" s="399"/>
      <c r="AP1" s="691" t="s">
        <v>122</v>
      </c>
      <c r="AQ1" s="671" t="s">
        <v>192</v>
      </c>
      <c r="AR1" s="86"/>
      <c r="AS1" s="670" t="s">
        <v>12</v>
      </c>
      <c r="AT1" s="670"/>
      <c r="AU1" s="670"/>
      <c r="AV1" s="670"/>
      <c r="AW1" s="670"/>
      <c r="AX1" s="670"/>
      <c r="AY1" s="670"/>
      <c r="AZ1" s="6"/>
      <c r="BA1" s="667" t="s">
        <v>366</v>
      </c>
      <c r="BB1" s="667"/>
      <c r="BC1" s="667"/>
      <c r="BD1" s="667"/>
      <c r="BE1" s="67"/>
      <c r="BF1" s="667" t="s">
        <v>20</v>
      </c>
      <c r="BG1" s="667"/>
      <c r="BH1" s="667"/>
      <c r="BI1" s="667"/>
      <c r="BJ1" s="667"/>
      <c r="BK1" s="88"/>
      <c r="BL1" s="78"/>
    </row>
    <row r="2" spans="1:64" ht="12.75" customHeight="1" x14ac:dyDescent="0.2">
      <c r="A2" s="67"/>
      <c r="B2" s="676"/>
      <c r="C2" s="677"/>
      <c r="D2" s="104">
        <f ca="1">SUM(A3:BL88)</f>
        <v>174451.41069249387</v>
      </c>
      <c r="E2" s="292" t="s">
        <v>150</v>
      </c>
      <c r="F2" s="468" t="s">
        <v>101</v>
      </c>
      <c r="G2" s="469" t="s">
        <v>102</v>
      </c>
      <c r="H2" s="470" t="s">
        <v>156</v>
      </c>
      <c r="I2" s="471" t="s">
        <v>5</v>
      </c>
      <c r="J2" s="6"/>
      <c r="K2" s="212" t="s">
        <v>2</v>
      </c>
      <c r="L2" s="213" t="s">
        <v>3</v>
      </c>
      <c r="M2" s="395" t="s">
        <v>156</v>
      </c>
      <c r="N2" s="398" t="s">
        <v>5</v>
      </c>
      <c r="O2" s="20"/>
      <c r="P2" s="264" t="s">
        <v>2</v>
      </c>
      <c r="Q2" s="258" t="s">
        <v>3</v>
      </c>
      <c r="R2" s="265" t="s">
        <v>4</v>
      </c>
      <c r="S2" s="4" t="s">
        <v>5</v>
      </c>
      <c r="T2" s="67"/>
      <c r="U2" s="217" t="s">
        <v>156</v>
      </c>
      <c r="V2" s="97" t="s">
        <v>3</v>
      </c>
      <c r="W2" s="97" t="s">
        <v>154</v>
      </c>
      <c r="X2" s="217" t="s">
        <v>104</v>
      </c>
      <c r="Y2" s="133"/>
      <c r="Z2" s="424" t="s">
        <v>152</v>
      </c>
      <c r="AA2" s="458" t="s">
        <v>108</v>
      </c>
      <c r="AB2" s="458" t="s">
        <v>197</v>
      </c>
      <c r="AC2" s="508" t="s">
        <v>141</v>
      </c>
      <c r="AD2" s="179" t="s">
        <v>4</v>
      </c>
      <c r="AE2" s="179" t="s">
        <v>3</v>
      </c>
      <c r="AF2" s="68"/>
      <c r="AG2" s="299" t="s">
        <v>2</v>
      </c>
      <c r="AH2" s="309" t="s">
        <v>3</v>
      </c>
      <c r="AI2" s="308" t="s">
        <v>156</v>
      </c>
      <c r="AJ2" s="99" t="s">
        <v>5</v>
      </c>
      <c r="AK2" s="310"/>
      <c r="AL2" s="690"/>
      <c r="AM2" s="86"/>
      <c r="AN2" s="667"/>
      <c r="AO2" s="399"/>
      <c r="AP2" s="692"/>
      <c r="AQ2" s="671"/>
      <c r="AR2" s="86"/>
      <c r="AS2" s="181" t="s">
        <v>21</v>
      </c>
      <c r="AT2" s="294" t="s">
        <v>22</v>
      </c>
      <c r="AU2" s="295" t="s">
        <v>23</v>
      </c>
      <c r="AV2" s="365" t="s">
        <v>24</v>
      </c>
      <c r="AW2" s="263" t="s">
        <v>187</v>
      </c>
      <c r="AX2" s="374" t="s">
        <v>188</v>
      </c>
      <c r="AY2" s="371" t="s">
        <v>124</v>
      </c>
      <c r="AZ2" s="6"/>
      <c r="BA2" s="181" t="s">
        <v>21</v>
      </c>
      <c r="BB2" s="294" t="s">
        <v>22</v>
      </c>
      <c r="BC2" s="295" t="s">
        <v>23</v>
      </c>
      <c r="BD2" s="365" t="s">
        <v>24</v>
      </c>
      <c r="BE2" s="67"/>
      <c r="BF2" s="181" t="s">
        <v>21</v>
      </c>
      <c r="BG2" s="294" t="s">
        <v>25</v>
      </c>
      <c r="BH2" s="365" t="s">
        <v>24</v>
      </c>
      <c r="BI2" s="179" t="s">
        <v>7</v>
      </c>
      <c r="BJ2" s="419" t="s">
        <v>196</v>
      </c>
      <c r="BK2" s="88"/>
      <c r="BL2" s="78"/>
    </row>
    <row r="3" spans="1:64" ht="1.5" customHeight="1" x14ac:dyDescent="0.2">
      <c r="A3" s="67"/>
      <c r="B3" s="128"/>
      <c r="C3" s="283"/>
      <c r="D3" s="67"/>
      <c r="E3" s="68"/>
      <c r="F3" s="68"/>
      <c r="G3" s="68"/>
      <c r="H3" s="68"/>
      <c r="I3" s="68"/>
      <c r="J3" s="6"/>
      <c r="K3" s="68"/>
      <c r="L3" s="68"/>
      <c r="M3" s="68"/>
      <c r="N3" s="84"/>
      <c r="O3" s="20"/>
      <c r="P3" s="257"/>
      <c r="Q3" s="68"/>
      <c r="R3" s="68"/>
      <c r="S3" s="68"/>
      <c r="T3" s="67"/>
      <c r="U3" s="63"/>
      <c r="V3" s="63"/>
      <c r="W3" s="63"/>
      <c r="X3" s="63"/>
      <c r="Y3" s="67"/>
      <c r="Z3" s="425"/>
      <c r="AA3" s="500"/>
      <c r="AB3" s="500"/>
      <c r="AC3" s="509"/>
      <c r="AD3" s="63"/>
      <c r="AE3" s="63"/>
      <c r="AF3" s="67"/>
      <c r="AG3" s="63"/>
      <c r="AH3" s="63"/>
      <c r="AI3" s="63"/>
      <c r="AJ3" s="63"/>
      <c r="AK3" s="67"/>
      <c r="AL3" s="132"/>
      <c r="AM3" s="6"/>
      <c r="AN3" s="67"/>
      <c r="AO3" s="88"/>
      <c r="AP3" s="63"/>
      <c r="AQ3" s="63"/>
      <c r="AR3" s="67"/>
      <c r="AS3" s="67"/>
      <c r="AT3" s="67"/>
      <c r="AU3" s="67"/>
      <c r="AV3" s="366"/>
      <c r="AW3" s="67"/>
      <c r="AX3" s="375"/>
      <c r="AY3" s="372"/>
      <c r="AZ3" s="6"/>
      <c r="BA3" s="67"/>
      <c r="BB3" s="67"/>
      <c r="BC3" s="6"/>
      <c r="BD3" s="366"/>
      <c r="BE3" s="67"/>
      <c r="BF3" s="67"/>
      <c r="BG3" s="67"/>
      <c r="BH3" s="366"/>
      <c r="BI3" s="6"/>
      <c r="BJ3" s="87"/>
      <c r="BK3" s="88"/>
      <c r="BL3" s="78"/>
    </row>
    <row r="4" spans="1:64" ht="12.75" customHeight="1" x14ac:dyDescent="0.2">
      <c r="A4" s="433">
        <v>1</v>
      </c>
      <c r="B4" s="131">
        <v>12</v>
      </c>
      <c r="C4" s="282">
        <v>14.6</v>
      </c>
      <c r="D4" s="685" t="s">
        <v>747</v>
      </c>
      <c r="E4" s="121">
        <v>1</v>
      </c>
      <c r="F4" s="23">
        <v>9.5</v>
      </c>
      <c r="G4" s="23">
        <v>14.6</v>
      </c>
      <c r="H4" s="26">
        <v>12.9</v>
      </c>
      <c r="I4" s="23">
        <v>5.0999999999999996</v>
      </c>
      <c r="J4" s="6">
        <f>IF(C4=G4,0,1)</f>
        <v>0</v>
      </c>
      <c r="K4" s="24">
        <v>68</v>
      </c>
      <c r="L4" s="24">
        <v>91</v>
      </c>
      <c r="M4" s="27">
        <v>82</v>
      </c>
      <c r="N4" s="24">
        <v>23</v>
      </c>
      <c r="O4" s="50">
        <f>IF(B4=F4,0,1)</f>
        <v>1</v>
      </c>
      <c r="P4" s="24">
        <v>1006</v>
      </c>
      <c r="Q4" s="24">
        <v>1013</v>
      </c>
      <c r="R4" s="24">
        <f>IF(AND(P4&gt;900,P4&lt;1100),AVERAGE(P4:Q4),"")</f>
        <v>1009.5</v>
      </c>
      <c r="S4" s="24">
        <f>IF(AND(P4&gt;800,P4&lt;1100),Q4-P4,"")</f>
        <v>7</v>
      </c>
      <c r="T4" s="50"/>
      <c r="U4" s="143">
        <v>4</v>
      </c>
      <c r="V4" s="143">
        <v>10.199999999999999</v>
      </c>
      <c r="W4" s="143">
        <v>13.2</v>
      </c>
      <c r="X4" s="123" t="s">
        <v>110</v>
      </c>
      <c r="Y4" s="461">
        <f>IF(OR(H4&lt;-20,H4&gt;40),"",IF(AQ4&lt;0.5,0,IF(Z4=0,0,IF(Z4&lt;1,1,2))))</f>
        <v>2</v>
      </c>
      <c r="Z4" s="426">
        <v>1.1000000000000001</v>
      </c>
      <c r="AA4" s="467">
        <v>1.1000000000000001</v>
      </c>
      <c r="AB4" s="467">
        <v>0.8</v>
      </c>
      <c r="AC4" s="510">
        <f>IF(AND(Z4&lt;300,Z4&gt;0),Z4/$Z$38,"")</f>
        <v>4.3650793650793648E-2</v>
      </c>
      <c r="AD4" s="7">
        <f>IF(OR(Z4&lt;0.3,Z4&gt;300),"",Z4/AQ4)</f>
        <v>2.2000000000000002</v>
      </c>
      <c r="AE4" s="455">
        <v>5</v>
      </c>
      <c r="AF4" s="462"/>
      <c r="AG4" s="143">
        <v>7.3</v>
      </c>
      <c r="AH4" s="143">
        <v>12.7</v>
      </c>
      <c r="AI4" s="143">
        <v>9.8000000000000007</v>
      </c>
      <c r="AJ4" s="7">
        <f>IF(AND(AG4&gt;-40,AG4&lt;30),AH4-AG4,"")</f>
        <v>5.3999999999999995</v>
      </c>
      <c r="AK4" s="54"/>
      <c r="AL4" s="123" t="s">
        <v>738</v>
      </c>
      <c r="AM4" s="134"/>
      <c r="AN4" s="23" t="s">
        <v>739</v>
      </c>
      <c r="AO4" s="400"/>
      <c r="AP4" s="123">
        <v>3.5</v>
      </c>
      <c r="AQ4" s="123">
        <v>0.5</v>
      </c>
      <c r="AR4" s="134"/>
      <c r="AS4" s="26">
        <f>IF(ISBLANK(F4),"",(AVERAGE($F$4:F4)))</f>
        <v>9.5</v>
      </c>
      <c r="AT4" s="25">
        <f>IF(ISBLANK(G4),"",(AVERAGE($G$4:G4)))</f>
        <v>14.6</v>
      </c>
      <c r="AU4" s="25">
        <f>IF(ISBLANK(H4),"",(AVERAGE($H$4:H4)))</f>
        <v>12.9</v>
      </c>
      <c r="AV4" s="367">
        <f>IF(ISBLANK(G4),"",(AVERAGE($I$4:I4)))</f>
        <v>5.0999999999999996</v>
      </c>
      <c r="AW4" s="22">
        <f>IF(ISBLANK(M4),"",AVERAGE($M$4:M4))</f>
        <v>82</v>
      </c>
      <c r="AX4" s="376">
        <f>IF(ISBLANK(P4),"",(AVERAGE($R$4:R4)))</f>
        <v>1009.5</v>
      </c>
      <c r="AY4" s="368">
        <f>IF(ISBLANK(U4),"",(AVERAGE($U$4:U4)))</f>
        <v>4</v>
      </c>
      <c r="AZ4" s="6"/>
      <c r="BA4" s="25">
        <f>IF(ISBLANK(F4),"",F4-F91)</f>
        <v>2.6039999999999965</v>
      </c>
      <c r="BB4" s="25">
        <f>IF(ISBLANK(G4),"",G4-G91)</f>
        <v>2.4000000000000004</v>
      </c>
      <c r="BC4" s="25">
        <f>IF(ISBLANK(G4),"",AVERAGE(BA4:BB4))</f>
        <v>2.5019999999999984</v>
      </c>
      <c r="BD4" s="367">
        <f>IF(ISBLANK(G4),"",BB4-BA4)</f>
        <v>-0.20399999999999618</v>
      </c>
      <c r="BE4" s="67"/>
      <c r="BF4" s="25">
        <f>IF(ISBLANK(F4),"",AS4-AVERAGE($F$91:F91))</f>
        <v>2.6039999999999965</v>
      </c>
      <c r="BG4" s="25">
        <f>IF(ISBLANK(G4),"",AT4-AVERAGE($G$91:G91))</f>
        <v>2.4000000000000004</v>
      </c>
      <c r="BH4" s="367">
        <f>IF(ISBLANK(G4),"",BG4-BF4)</f>
        <v>-0.20399999999999618</v>
      </c>
      <c r="BI4" s="115">
        <f t="shared" ref="BI4:BI33" si="0">IF(ISBLANK(Z4),"",AB91/AA91)</f>
        <v>0.515625</v>
      </c>
      <c r="BJ4" s="115">
        <f t="shared" ref="BJ4:BJ34" si="1">IF(ISBLANK(AP4),"",AG91/AH91)</f>
        <v>1.4192782631586278</v>
      </c>
      <c r="BK4" s="402"/>
      <c r="BL4" s="572">
        <v>1</v>
      </c>
    </row>
    <row r="5" spans="1:64" ht="12.75" customHeight="1" x14ac:dyDescent="0.2">
      <c r="A5" s="394">
        <f t="shared" ref="A5:A33" si="2">SUM(A4+1)</f>
        <v>2</v>
      </c>
      <c r="B5" s="131">
        <v>8.6999999999999993</v>
      </c>
      <c r="C5" s="282">
        <v>14.8</v>
      </c>
      <c r="D5" s="685"/>
      <c r="E5" s="97">
        <f t="shared" ref="E5:E33" si="3">SUM(E4+1)</f>
        <v>2</v>
      </c>
      <c r="F5" s="23">
        <v>8.6999999999999993</v>
      </c>
      <c r="G5" s="23">
        <v>15.2</v>
      </c>
      <c r="H5" s="26">
        <v>12.6</v>
      </c>
      <c r="I5" s="23">
        <v>6.5</v>
      </c>
      <c r="J5" s="6">
        <f t="shared" ref="J5:J33" si="4">IF(C5=G5,0,1)</f>
        <v>1</v>
      </c>
      <c r="K5" s="24">
        <v>69</v>
      </c>
      <c r="L5" s="24">
        <v>93</v>
      </c>
      <c r="M5" s="27">
        <v>85</v>
      </c>
      <c r="N5" s="24">
        <v>24</v>
      </c>
      <c r="O5" s="50">
        <f t="shared" ref="O5:O33" si="5">IF(B5=F5,0,1)</f>
        <v>0</v>
      </c>
      <c r="P5" s="24">
        <v>996</v>
      </c>
      <c r="Q5" s="24">
        <v>1012</v>
      </c>
      <c r="R5" s="24">
        <f t="shared" ref="R5:R33" si="6">IF(AND(P5&gt;900,P5&lt;1100),AVERAGE(P5:Q5),"")</f>
        <v>1004</v>
      </c>
      <c r="S5" s="24">
        <f t="shared" ref="S5:S33" si="7">IF(AND(P5&gt;800,P5&lt;1100),Q5-P5,"")</f>
        <v>16</v>
      </c>
      <c r="T5" s="50"/>
      <c r="U5" s="143">
        <v>5.0999999999999996</v>
      </c>
      <c r="V5" s="143">
        <v>12.8</v>
      </c>
      <c r="W5" s="143">
        <v>19.399999999999999</v>
      </c>
      <c r="X5" s="123" t="s">
        <v>112</v>
      </c>
      <c r="Y5" s="461">
        <f t="shared" ref="Y5:Y33" si="8">IF(OR(H5&lt;-20,H5&gt;40),"",IF(AQ5&lt;0.5,0,IF(Z5=0,0,IF(Z5&lt;1,1,2))))</f>
        <v>1</v>
      </c>
      <c r="Z5" s="426">
        <v>0.3</v>
      </c>
      <c r="AA5" s="467" t="s">
        <v>8</v>
      </c>
      <c r="AB5" s="467" t="s">
        <v>8</v>
      </c>
      <c r="AC5" s="510">
        <f t="shared" ref="AC5:AC33" si="9">IF(AND(Z5&lt;300,Z5&gt;0),Z5/$Z$38,"")</f>
        <v>1.1904761904761902E-2</v>
      </c>
      <c r="AD5" s="7">
        <f t="shared" ref="AD5:AD33" si="10">IF(OR(Z5&lt;0.3,Z5&gt;300),"",Z5/AQ5)</f>
        <v>0.6</v>
      </c>
      <c r="AE5" s="455" t="s">
        <v>8</v>
      </c>
      <c r="AF5" s="462"/>
      <c r="AG5" s="143">
        <v>7.2</v>
      </c>
      <c r="AH5" s="143">
        <v>13</v>
      </c>
      <c r="AI5" s="143">
        <v>10.1</v>
      </c>
      <c r="AJ5" s="7">
        <f t="shared" ref="AJ5:AJ34" si="11">IF(AND(AG5&gt;-40,AG5&lt;30),AH5-AG5,"")</f>
        <v>5.8</v>
      </c>
      <c r="AK5" s="54"/>
      <c r="AL5" s="123" t="s">
        <v>740</v>
      </c>
      <c r="AM5" s="134"/>
      <c r="AN5" s="630" t="s">
        <v>741</v>
      </c>
      <c r="AO5" s="400"/>
      <c r="AP5" s="123">
        <v>4</v>
      </c>
      <c r="AQ5" s="123">
        <v>0.5</v>
      </c>
      <c r="AR5" s="134"/>
      <c r="AS5" s="26">
        <f>IF(ISBLANK(F5),"",(AVERAGE($F$4:F5)))</f>
        <v>9.1</v>
      </c>
      <c r="AT5" s="26">
        <f>IF(ISBLANK(G5),"",(AVERAGE($G$4:G5)))</f>
        <v>14.899999999999999</v>
      </c>
      <c r="AU5" s="25">
        <f>IF(ISBLANK(H5),"",(AVERAGE($H$4:H5)))</f>
        <v>12.75</v>
      </c>
      <c r="AV5" s="368">
        <f>IF(ISBLANK(G5),"",(AVERAGE($I$4:I5)))</f>
        <v>5.8</v>
      </c>
      <c r="AW5" s="22">
        <f>IF(ISBLANK(M5),"",AVERAGE($M$4:M5))</f>
        <v>83.5</v>
      </c>
      <c r="AX5" s="376">
        <f>IF(ISBLANK(P5),"",(AVERAGE($R$4:R5)))</f>
        <v>1006.75</v>
      </c>
      <c r="AY5" s="368">
        <f>IF(ISBLANK(U5),"",(AVERAGE($U$4:U5)))</f>
        <v>4.55</v>
      </c>
      <c r="AZ5" s="6"/>
      <c r="BA5" s="25">
        <f t="shared" ref="BA5:BA34" si="12">IF(ISBLANK(F5),"",F5-F92)</f>
        <v>1.9399999999999995</v>
      </c>
      <c r="BB5" s="25">
        <f t="shared" ref="BB5:BB34" si="13">IF(ISBLANK(G5),"",G5-G92)</f>
        <v>3.1999999999999993</v>
      </c>
      <c r="BC5" s="25">
        <f>IF(ISBLANK(G5),"",AVERAGE(BA5:BB5))</f>
        <v>2.5699999999999994</v>
      </c>
      <c r="BD5" s="367">
        <f>IF(ISBLANK(G5),"",BB5-BA5)</f>
        <v>1.2599999999999998</v>
      </c>
      <c r="BE5" s="72"/>
      <c r="BF5" s="25">
        <f>IF(ISBLANK(F5),"",AS5-AVERAGE($F$91:F92))</f>
        <v>2.2719999999999985</v>
      </c>
      <c r="BG5" s="25">
        <f>IF(ISBLANK(G5),"",AT5-AVERAGE($G$91:G92))</f>
        <v>2.7999999999999989</v>
      </c>
      <c r="BH5" s="367">
        <f t="shared" ref="BH5:BH10" si="14">IF(ISBLANK(G5),"",BG5-BF5)</f>
        <v>0.52800000000000047</v>
      </c>
      <c r="BI5" s="115">
        <f t="shared" si="0"/>
        <v>0.32812500000000006</v>
      </c>
      <c r="BJ5" s="115">
        <f t="shared" si="1"/>
        <v>1.5254578281564204</v>
      </c>
      <c r="BK5" s="420"/>
      <c r="BL5" s="572">
        <v>2</v>
      </c>
    </row>
    <row r="6" spans="1:64" ht="12.75" customHeight="1" x14ac:dyDescent="0.2">
      <c r="A6" s="394">
        <f t="shared" si="2"/>
        <v>3</v>
      </c>
      <c r="B6" s="131">
        <v>14.2</v>
      </c>
      <c r="C6" s="282">
        <v>17.399999999999999</v>
      </c>
      <c r="D6" s="685"/>
      <c r="E6" s="97">
        <f t="shared" si="3"/>
        <v>3</v>
      </c>
      <c r="F6" s="23">
        <v>12.8</v>
      </c>
      <c r="G6" s="23">
        <v>17.399999999999999</v>
      </c>
      <c r="H6" s="26">
        <v>15.3</v>
      </c>
      <c r="I6" s="23">
        <v>4.5999999999999996</v>
      </c>
      <c r="J6" s="6">
        <f t="shared" si="4"/>
        <v>0</v>
      </c>
      <c r="K6" s="24">
        <v>78</v>
      </c>
      <c r="L6" s="24">
        <v>95</v>
      </c>
      <c r="M6" s="27">
        <v>87</v>
      </c>
      <c r="N6" s="24">
        <v>17</v>
      </c>
      <c r="O6" s="50">
        <f t="shared" si="5"/>
        <v>1</v>
      </c>
      <c r="P6" s="24">
        <v>991</v>
      </c>
      <c r="Q6" s="24">
        <v>996</v>
      </c>
      <c r="R6" s="24">
        <f t="shared" si="6"/>
        <v>993.5</v>
      </c>
      <c r="S6" s="24">
        <f t="shared" si="7"/>
        <v>5</v>
      </c>
      <c r="T6" s="50"/>
      <c r="U6" s="143">
        <v>4.9000000000000004</v>
      </c>
      <c r="V6" s="143">
        <v>13.8</v>
      </c>
      <c r="W6" s="143">
        <v>20.100000000000001</v>
      </c>
      <c r="X6" s="123" t="s">
        <v>111</v>
      </c>
      <c r="Y6" s="461">
        <f t="shared" si="8"/>
        <v>2</v>
      </c>
      <c r="Z6" s="426">
        <v>6.6</v>
      </c>
      <c r="AA6" s="467">
        <v>5</v>
      </c>
      <c r="AB6" s="467">
        <v>1.6</v>
      </c>
      <c r="AC6" s="510">
        <f t="shared" si="9"/>
        <v>0.26190476190476186</v>
      </c>
      <c r="AD6" s="7">
        <f t="shared" si="10"/>
        <v>2.1999999999999997</v>
      </c>
      <c r="AE6" s="455">
        <v>15</v>
      </c>
      <c r="AF6" s="462"/>
      <c r="AG6" s="143">
        <v>11.5</v>
      </c>
      <c r="AH6" s="143">
        <v>14.3</v>
      </c>
      <c r="AI6" s="143">
        <v>13.1</v>
      </c>
      <c r="AJ6" s="7">
        <f t="shared" si="11"/>
        <v>2.8000000000000007</v>
      </c>
      <c r="AK6" s="54"/>
      <c r="AL6" s="123" t="s">
        <v>239</v>
      </c>
      <c r="AM6" s="134"/>
      <c r="AN6" s="23" t="s">
        <v>742</v>
      </c>
      <c r="AO6" s="401"/>
      <c r="AP6" s="123">
        <v>0.1</v>
      </c>
      <c r="AQ6" s="123">
        <v>3</v>
      </c>
      <c r="AR6" s="134"/>
      <c r="AS6" s="26">
        <f>IF(ISBLANK(F6),"",(AVERAGE($F$4:F6)))</f>
        <v>10.333333333333334</v>
      </c>
      <c r="AT6" s="26">
        <f>IF(ISBLANK(G6),"",(AVERAGE($G$4:G6)))</f>
        <v>15.733333333333333</v>
      </c>
      <c r="AU6" s="25">
        <f>IF(ISBLANK(H6),"",(AVERAGE($H$4:H6)))</f>
        <v>13.6</v>
      </c>
      <c r="AV6" s="368">
        <f>IF(ISBLANK(G6),"",(AVERAGE($I$4:I6)))</f>
        <v>5.3999999999999995</v>
      </c>
      <c r="AW6" s="22">
        <f>IF(ISBLANK(M6),"",AVERAGE($M$4:M6))</f>
        <v>84.666666666666671</v>
      </c>
      <c r="AX6" s="376">
        <f>IF(ISBLANK(P6),"",(AVERAGE($R$4:R6)))</f>
        <v>1002.3333333333334</v>
      </c>
      <c r="AY6" s="368">
        <f>IF(ISBLANK(U6),"",(AVERAGE($U$4:U6)))</f>
        <v>4.666666666666667</v>
      </c>
      <c r="AZ6" s="6"/>
      <c r="BA6" s="25">
        <f t="shared" si="12"/>
        <v>6.1759999999999975</v>
      </c>
      <c r="BB6" s="25">
        <f t="shared" si="13"/>
        <v>5.5999999999999979</v>
      </c>
      <c r="BC6" s="25">
        <f>IF(ISBLANK(G6),"",AVERAGE(BA6:BB6))</f>
        <v>5.8879999999999981</v>
      </c>
      <c r="BD6" s="367">
        <f t="shared" ref="BD6:BD34" si="15">IF(ISBLANK(G6),"",BB6-BA6)</f>
        <v>-0.57599999999999962</v>
      </c>
      <c r="BE6" s="72"/>
      <c r="BF6" s="25">
        <f>IF(ISBLANK(F6),"",AS6-AVERAGE($F$91:F93))</f>
        <v>3.5733333333333324</v>
      </c>
      <c r="BG6" s="25">
        <f>IF(ISBLANK(G6),"",AT6-AVERAGE($G$91:G93))</f>
        <v>3.7333333333333325</v>
      </c>
      <c r="BH6" s="367">
        <f t="shared" si="14"/>
        <v>0.16000000000000014</v>
      </c>
      <c r="BI6" s="115">
        <f t="shared" si="0"/>
        <v>1.25</v>
      </c>
      <c r="BJ6" s="115">
        <f t="shared" si="1"/>
        <v>1.0337760076912674</v>
      </c>
      <c r="BK6" s="402"/>
      <c r="BL6" s="572">
        <v>3</v>
      </c>
    </row>
    <row r="7" spans="1:64" ht="12.75" customHeight="1" x14ac:dyDescent="0.2">
      <c r="A7" s="394">
        <f t="shared" si="2"/>
        <v>4</v>
      </c>
      <c r="B7" s="131">
        <v>12.4</v>
      </c>
      <c r="C7" s="282">
        <v>15.5</v>
      </c>
      <c r="D7" s="685"/>
      <c r="E7" s="97">
        <f t="shared" si="3"/>
        <v>4</v>
      </c>
      <c r="F7" s="23">
        <v>11.4</v>
      </c>
      <c r="G7" s="23">
        <v>15.5</v>
      </c>
      <c r="H7" s="26">
        <v>13.6</v>
      </c>
      <c r="I7" s="23">
        <v>4.0999999999999996</v>
      </c>
      <c r="J7" s="6">
        <f t="shared" si="4"/>
        <v>0</v>
      </c>
      <c r="K7" s="24">
        <v>80</v>
      </c>
      <c r="L7" s="24">
        <v>96</v>
      </c>
      <c r="M7" s="27">
        <v>90</v>
      </c>
      <c r="N7" s="24">
        <v>16</v>
      </c>
      <c r="O7" s="50">
        <f t="shared" si="5"/>
        <v>1</v>
      </c>
      <c r="P7" s="24">
        <v>990</v>
      </c>
      <c r="Q7" s="24">
        <v>1002</v>
      </c>
      <c r="R7" s="24">
        <f t="shared" si="6"/>
        <v>996</v>
      </c>
      <c r="S7" s="24">
        <f t="shared" si="7"/>
        <v>12</v>
      </c>
      <c r="T7" s="50"/>
      <c r="U7" s="143">
        <v>3.9</v>
      </c>
      <c r="V7" s="143">
        <v>12.8</v>
      </c>
      <c r="W7" s="143">
        <v>16.3</v>
      </c>
      <c r="X7" s="123" t="s">
        <v>111</v>
      </c>
      <c r="Y7" s="461">
        <f t="shared" si="8"/>
        <v>2</v>
      </c>
      <c r="Z7" s="426">
        <v>13.4</v>
      </c>
      <c r="AA7" s="467">
        <v>4.0999999999999996</v>
      </c>
      <c r="AB7" s="467">
        <v>1.4</v>
      </c>
      <c r="AC7" s="510">
        <f t="shared" si="9"/>
        <v>0.53174603174603174</v>
      </c>
      <c r="AD7" s="7">
        <f t="shared" si="10"/>
        <v>1.675</v>
      </c>
      <c r="AE7" s="455">
        <v>10</v>
      </c>
      <c r="AF7" s="462"/>
      <c r="AG7" s="143">
        <v>9.8000000000000007</v>
      </c>
      <c r="AH7" s="143">
        <v>13.3</v>
      </c>
      <c r="AI7" s="143">
        <v>11.9</v>
      </c>
      <c r="AJ7" s="7">
        <f t="shared" si="11"/>
        <v>3.5</v>
      </c>
      <c r="AK7" s="54"/>
      <c r="AL7" s="123" t="s">
        <v>743</v>
      </c>
      <c r="AM7" s="134"/>
      <c r="AN7" s="23" t="s">
        <v>744</v>
      </c>
      <c r="AO7" s="401"/>
      <c r="AP7" s="123">
        <v>1.5</v>
      </c>
      <c r="AQ7" s="123">
        <v>8</v>
      </c>
      <c r="AR7" s="134"/>
      <c r="AS7" s="26">
        <f>IF(ISBLANK(F7),"",(AVERAGE($F$4:F7)))</f>
        <v>10.6</v>
      </c>
      <c r="AT7" s="26">
        <f>IF(ISBLANK(G7),"",(AVERAGE($G$4:G7)))</f>
        <v>15.674999999999999</v>
      </c>
      <c r="AU7" s="25">
        <f>IF(ISBLANK(H7),"",(AVERAGE($H$4:H7)))</f>
        <v>13.6</v>
      </c>
      <c r="AV7" s="368">
        <f>IF(ISBLANK(G7),"",(AVERAGE($I$4:I7)))</f>
        <v>5.0749999999999993</v>
      </c>
      <c r="AW7" s="22">
        <f>IF(ISBLANK(M7),"",AVERAGE($M$4:M7))</f>
        <v>86</v>
      </c>
      <c r="AX7" s="376">
        <f>IF(ISBLANK(P7),"",(AVERAGE($R$4:R7)))</f>
        <v>1000.75</v>
      </c>
      <c r="AY7" s="368">
        <f>IF(ISBLANK(U7),"",(AVERAGE($U$4:U7)))</f>
        <v>4.4749999999999996</v>
      </c>
      <c r="AZ7" s="6"/>
      <c r="BA7" s="25">
        <f t="shared" si="12"/>
        <v>4.9119999999999973</v>
      </c>
      <c r="BB7" s="25">
        <f t="shared" si="13"/>
        <v>3.9000000000000004</v>
      </c>
      <c r="BC7" s="25">
        <f t="shared" ref="BC7:BC34" si="16">IF(ISBLANK(G7),"",AVERAGE(BA7:BB7))</f>
        <v>4.4059999999999988</v>
      </c>
      <c r="BD7" s="367">
        <f t="shared" si="15"/>
        <v>-1.0119999999999969</v>
      </c>
      <c r="BE7" s="72"/>
      <c r="BF7" s="25">
        <f>IF(ISBLANK(F7),"",AS7-AVERAGE($F$91:F94))</f>
        <v>3.9079999999999977</v>
      </c>
      <c r="BG7" s="25">
        <f>IF(ISBLANK(G7),"",AT7-AVERAGE($G$91:G94))</f>
        <v>3.7749999999999986</v>
      </c>
      <c r="BH7" s="367">
        <f t="shared" si="14"/>
        <v>-0.13299999999999912</v>
      </c>
      <c r="BI7" s="115">
        <f t="shared" si="0"/>
        <v>2.5078125</v>
      </c>
      <c r="BJ7" s="115">
        <f t="shared" si="1"/>
        <v>0.93127105852439973</v>
      </c>
      <c r="BK7" s="402"/>
      <c r="BL7" s="572">
        <v>4</v>
      </c>
    </row>
    <row r="8" spans="1:64" ht="12.75" customHeight="1" x14ac:dyDescent="0.2">
      <c r="A8" s="394">
        <f t="shared" si="2"/>
        <v>5</v>
      </c>
      <c r="B8" s="131">
        <v>9.9</v>
      </c>
      <c r="C8" s="282">
        <v>13.4</v>
      </c>
      <c r="D8" s="685"/>
      <c r="E8" s="97">
        <f t="shared" si="3"/>
        <v>5</v>
      </c>
      <c r="F8" s="23">
        <v>9.9</v>
      </c>
      <c r="G8" s="23">
        <v>13.4</v>
      </c>
      <c r="H8" s="26">
        <v>11.7</v>
      </c>
      <c r="I8" s="23">
        <v>3.5</v>
      </c>
      <c r="J8" s="6">
        <f t="shared" si="4"/>
        <v>0</v>
      </c>
      <c r="K8" s="24">
        <v>90</v>
      </c>
      <c r="L8" s="24">
        <v>98</v>
      </c>
      <c r="M8" s="27">
        <v>94</v>
      </c>
      <c r="N8" s="24">
        <v>8</v>
      </c>
      <c r="O8" s="50">
        <f t="shared" si="5"/>
        <v>0</v>
      </c>
      <c r="P8" s="24">
        <v>1002</v>
      </c>
      <c r="Q8" s="24">
        <v>1018</v>
      </c>
      <c r="R8" s="24">
        <f t="shared" si="6"/>
        <v>1010</v>
      </c>
      <c r="S8" s="24">
        <f t="shared" si="7"/>
        <v>16</v>
      </c>
      <c r="T8" s="50"/>
      <c r="U8" s="143">
        <v>3.1</v>
      </c>
      <c r="V8" s="143">
        <v>10.5</v>
      </c>
      <c r="W8" s="143">
        <v>14.5</v>
      </c>
      <c r="X8" s="123" t="s">
        <v>113</v>
      </c>
      <c r="Y8" s="461">
        <f t="shared" si="8"/>
        <v>0</v>
      </c>
      <c r="Z8" s="426">
        <v>0</v>
      </c>
      <c r="AA8" s="467" t="s">
        <v>619</v>
      </c>
      <c r="AB8" s="467" t="s">
        <v>619</v>
      </c>
      <c r="AC8" s="510" t="str">
        <f t="shared" si="9"/>
        <v/>
      </c>
      <c r="AD8" s="7" t="str">
        <f t="shared" si="10"/>
        <v/>
      </c>
      <c r="AE8" s="455" t="s">
        <v>619</v>
      </c>
      <c r="AF8" s="462"/>
      <c r="AG8" s="143">
        <v>8.9</v>
      </c>
      <c r="AH8" s="143">
        <v>12.6</v>
      </c>
      <c r="AI8" s="143">
        <v>10.8</v>
      </c>
      <c r="AJ8" s="7">
        <f t="shared" si="11"/>
        <v>3.6999999999999993</v>
      </c>
      <c r="AK8" s="54"/>
      <c r="AL8" s="123" t="s">
        <v>745</v>
      </c>
      <c r="AM8" s="134"/>
      <c r="AN8" s="302" t="s">
        <v>746</v>
      </c>
      <c r="AO8" s="401"/>
      <c r="AP8" s="123">
        <v>0.5</v>
      </c>
      <c r="AQ8" s="123">
        <v>0.2</v>
      </c>
      <c r="AR8" s="134"/>
      <c r="AS8" s="26">
        <f>IF(ISBLANK(F8),"",(AVERAGE($F$4:F8)))</f>
        <v>10.459999999999999</v>
      </c>
      <c r="AT8" s="26">
        <f>IF(ISBLANK(G8),"",(AVERAGE($G$4:G8)))</f>
        <v>15.219999999999999</v>
      </c>
      <c r="AU8" s="25">
        <f>IF(ISBLANK(H8),"",(AVERAGE($H$4:H8)))</f>
        <v>13.219999999999999</v>
      </c>
      <c r="AV8" s="368">
        <f>IF(ISBLANK(G8),"",(AVERAGE($I$4:I8)))</f>
        <v>4.76</v>
      </c>
      <c r="AW8" s="22">
        <f>IF(ISBLANK(M8),"",AVERAGE($M$4:M8))</f>
        <v>87.6</v>
      </c>
      <c r="AX8" s="376">
        <f>IF(ISBLANK(P8),"",(AVERAGE($R$4:R8)))</f>
        <v>1002.6</v>
      </c>
      <c r="AY8" s="368">
        <f>IF(ISBLANK(U8),"",(AVERAGE($U$4:U8)))</f>
        <v>4.2</v>
      </c>
      <c r="AZ8" s="6"/>
      <c r="BA8" s="25">
        <f t="shared" si="12"/>
        <v>3.5479999999999974</v>
      </c>
      <c r="BB8" s="25">
        <f t="shared" si="13"/>
        <v>2</v>
      </c>
      <c r="BC8" s="25">
        <f t="shared" si="16"/>
        <v>2.7739999999999987</v>
      </c>
      <c r="BD8" s="367">
        <f t="shared" si="15"/>
        <v>-1.5479999999999974</v>
      </c>
      <c r="BE8" s="72"/>
      <c r="BF8" s="25">
        <f>IF(ISBLANK(F8),"",AS8-AVERAGE($F$91:F95))</f>
        <v>3.8359999999999967</v>
      </c>
      <c r="BG8" s="25">
        <f>IF(ISBLANK(G8),"",AT8-AVERAGE($G$91:G95))</f>
        <v>3.4199999999999982</v>
      </c>
      <c r="BH8" s="367">
        <f t="shared" si="14"/>
        <v>-0.41599999999999859</v>
      </c>
      <c r="BI8" s="115">
        <f t="shared" si="0"/>
        <v>2.0062500000000001</v>
      </c>
      <c r="BJ8" s="115">
        <f t="shared" si="1"/>
        <v>0.78840908610346905</v>
      </c>
      <c r="BK8" s="420"/>
      <c r="BL8" s="572">
        <v>5</v>
      </c>
    </row>
    <row r="9" spans="1:64" ht="12.75" customHeight="1" x14ac:dyDescent="0.2">
      <c r="A9" s="394">
        <f t="shared" si="2"/>
        <v>6</v>
      </c>
      <c r="B9" s="131">
        <v>8.5</v>
      </c>
      <c r="C9" s="282">
        <v>11.5</v>
      </c>
      <c r="D9" s="685"/>
      <c r="E9" s="97">
        <f t="shared" si="3"/>
        <v>6</v>
      </c>
      <c r="F9" s="23">
        <v>8.5</v>
      </c>
      <c r="G9" s="23">
        <v>11.5</v>
      </c>
      <c r="H9" s="26">
        <v>10.1</v>
      </c>
      <c r="I9" s="23">
        <v>3</v>
      </c>
      <c r="J9" s="6">
        <f t="shared" si="4"/>
        <v>0</v>
      </c>
      <c r="K9" s="24">
        <v>74</v>
      </c>
      <c r="L9" s="24">
        <v>96</v>
      </c>
      <c r="M9" s="27">
        <v>82</v>
      </c>
      <c r="N9" s="24">
        <v>22</v>
      </c>
      <c r="O9" s="50">
        <f t="shared" si="5"/>
        <v>0</v>
      </c>
      <c r="P9" s="24">
        <v>1017</v>
      </c>
      <c r="Q9" s="24">
        <v>1026</v>
      </c>
      <c r="R9" s="24">
        <f t="shared" si="6"/>
        <v>1021.5</v>
      </c>
      <c r="S9" s="24">
        <f t="shared" si="7"/>
        <v>9</v>
      </c>
      <c r="T9" s="50"/>
      <c r="U9" s="143">
        <v>6.6</v>
      </c>
      <c r="V9" s="143">
        <v>12.5</v>
      </c>
      <c r="W9" s="143">
        <v>20.399999999999999</v>
      </c>
      <c r="X9" s="123" t="s">
        <v>113</v>
      </c>
      <c r="Y9" s="461">
        <f t="shared" si="8"/>
        <v>0</v>
      </c>
      <c r="Z9" s="426">
        <v>0</v>
      </c>
      <c r="AA9" s="467" t="s">
        <v>619</v>
      </c>
      <c r="AB9" s="467" t="s">
        <v>619</v>
      </c>
      <c r="AC9" s="510" t="str">
        <f t="shared" si="9"/>
        <v/>
      </c>
      <c r="AD9" s="7" t="str">
        <f t="shared" si="10"/>
        <v/>
      </c>
      <c r="AE9" s="455" t="s">
        <v>619</v>
      </c>
      <c r="AF9" s="462"/>
      <c r="AG9" s="143">
        <v>6.5</v>
      </c>
      <c r="AH9" s="143">
        <v>9.9</v>
      </c>
      <c r="AI9" s="143">
        <v>7.1</v>
      </c>
      <c r="AJ9" s="7">
        <f t="shared" si="11"/>
        <v>3.4000000000000004</v>
      </c>
      <c r="AK9" s="54"/>
      <c r="AL9" s="123" t="s">
        <v>748</v>
      </c>
      <c r="AM9" s="134"/>
      <c r="AN9" s="23" t="s">
        <v>8</v>
      </c>
      <c r="AO9" s="401"/>
      <c r="AP9" s="123">
        <v>0.3</v>
      </c>
      <c r="AQ9" s="123">
        <v>0</v>
      </c>
      <c r="AR9" s="134"/>
      <c r="AS9" s="26">
        <f>IF(ISBLANK(F9),"",(AVERAGE($F$4:F9)))</f>
        <v>10.133333333333333</v>
      </c>
      <c r="AT9" s="26">
        <f>IF(ISBLANK(G9),"",(AVERAGE($G$4:G9)))</f>
        <v>14.6</v>
      </c>
      <c r="AU9" s="25">
        <f>IF(ISBLANK(H9),"",(AVERAGE($H$4:H9)))</f>
        <v>12.699999999999998</v>
      </c>
      <c r="AV9" s="368">
        <f>IF(ISBLANK(G9),"",(AVERAGE($I$4:I9)))</f>
        <v>4.4666666666666659</v>
      </c>
      <c r="AW9" s="22">
        <f>IF(ISBLANK(M9),"",AVERAGE($M$4:M9))</f>
        <v>86.666666666666671</v>
      </c>
      <c r="AX9" s="376">
        <f>IF(ISBLANK(P9),"",(AVERAGE($R$4:R9)))</f>
        <v>1005.75</v>
      </c>
      <c r="AY9" s="368">
        <f>IF(ISBLANK(U9),"",(AVERAGE($U$4:U9)))</f>
        <v>4.6000000000000005</v>
      </c>
      <c r="AZ9" s="6"/>
      <c r="BA9" s="25">
        <f t="shared" si="12"/>
        <v>2.2839999999999971</v>
      </c>
      <c r="BB9" s="25">
        <f t="shared" si="13"/>
        <v>0.30000000000000071</v>
      </c>
      <c r="BC9" s="25">
        <f t="shared" si="16"/>
        <v>1.2919999999999989</v>
      </c>
      <c r="BD9" s="367">
        <f t="shared" si="15"/>
        <v>-1.9839999999999964</v>
      </c>
      <c r="BE9" s="72"/>
      <c r="BF9" s="25">
        <f>IF(ISBLANK(F9),"",AS9-AVERAGE($F$91:F96))</f>
        <v>3.577333333333331</v>
      </c>
      <c r="BG9" s="25">
        <f>IF(ISBLANK(G9),"",AT9-AVERAGE($G$91:G96))</f>
        <v>2.8999999999999986</v>
      </c>
      <c r="BH9" s="367">
        <f t="shared" si="14"/>
        <v>-0.67733333333333245</v>
      </c>
      <c r="BI9" s="115">
        <f t="shared" si="0"/>
        <v>1.6718749999999998</v>
      </c>
      <c r="BJ9" s="115">
        <f t="shared" si="1"/>
        <v>0.67964914833319767</v>
      </c>
      <c r="BK9" s="402"/>
      <c r="BL9" s="572">
        <v>6</v>
      </c>
    </row>
    <row r="10" spans="1:64" ht="12.75" customHeight="1" x14ac:dyDescent="0.2">
      <c r="A10" s="394">
        <f t="shared" si="2"/>
        <v>7</v>
      </c>
      <c r="B10" s="131">
        <v>9.6</v>
      </c>
      <c r="C10" s="282">
        <v>12.5</v>
      </c>
      <c r="D10" s="685"/>
      <c r="E10" s="97">
        <f t="shared" si="3"/>
        <v>7</v>
      </c>
      <c r="F10" s="23">
        <v>9.6</v>
      </c>
      <c r="G10" s="23">
        <v>12.5</v>
      </c>
      <c r="H10" s="26">
        <v>10.9</v>
      </c>
      <c r="I10" s="23">
        <v>2.9</v>
      </c>
      <c r="J10" s="6">
        <f t="shared" si="4"/>
        <v>0</v>
      </c>
      <c r="K10" s="24">
        <v>83</v>
      </c>
      <c r="L10" s="24">
        <v>96</v>
      </c>
      <c r="M10" s="27">
        <v>91</v>
      </c>
      <c r="N10" s="24">
        <v>13</v>
      </c>
      <c r="O10" s="50">
        <f t="shared" si="5"/>
        <v>0</v>
      </c>
      <c r="P10" s="24">
        <v>1016</v>
      </c>
      <c r="Q10" s="24">
        <v>1025</v>
      </c>
      <c r="R10" s="24">
        <f t="shared" si="6"/>
        <v>1020.5</v>
      </c>
      <c r="S10" s="24">
        <f t="shared" si="7"/>
        <v>9</v>
      </c>
      <c r="T10" s="50"/>
      <c r="U10" s="143">
        <v>5.5</v>
      </c>
      <c r="V10" s="143">
        <v>13.7</v>
      </c>
      <c r="W10" s="143">
        <v>17.600000000000001</v>
      </c>
      <c r="X10" s="123" t="s">
        <v>105</v>
      </c>
      <c r="Y10" s="461">
        <f t="shared" si="8"/>
        <v>0</v>
      </c>
      <c r="Z10" s="426">
        <v>0</v>
      </c>
      <c r="AA10" s="467" t="s">
        <v>619</v>
      </c>
      <c r="AB10" s="467" t="s">
        <v>619</v>
      </c>
      <c r="AC10" s="510" t="str">
        <f t="shared" si="9"/>
        <v/>
      </c>
      <c r="AD10" s="7" t="str">
        <f t="shared" si="10"/>
        <v/>
      </c>
      <c r="AE10" s="455" t="s">
        <v>619</v>
      </c>
      <c r="AF10" s="462"/>
      <c r="AG10" s="143">
        <v>7.1</v>
      </c>
      <c r="AH10" s="143">
        <v>10.9</v>
      </c>
      <c r="AI10" s="143">
        <v>9.5</v>
      </c>
      <c r="AJ10" s="7">
        <f t="shared" si="11"/>
        <v>3.8000000000000007</v>
      </c>
      <c r="AK10" s="54"/>
      <c r="AL10" s="123" t="s">
        <v>239</v>
      </c>
      <c r="AM10" s="134"/>
      <c r="AN10" s="302" t="s">
        <v>749</v>
      </c>
      <c r="AO10" s="400"/>
      <c r="AP10" s="123">
        <v>0</v>
      </c>
      <c r="AQ10" s="123">
        <v>0.3</v>
      </c>
      <c r="AR10" s="134"/>
      <c r="AS10" s="26">
        <f>IF(ISBLANK(F10),"",(AVERAGE($F$4:F10)))</f>
        <v>10.057142857142855</v>
      </c>
      <c r="AT10" s="26">
        <f>IF(ISBLANK(G10),"",(AVERAGE($G$4:G10)))</f>
        <v>14.299999999999999</v>
      </c>
      <c r="AU10" s="25">
        <f>IF(ISBLANK(H10),"",(AVERAGE($H$4:H10)))</f>
        <v>12.442857142857141</v>
      </c>
      <c r="AV10" s="368">
        <f>IF(ISBLANK(G10),"",(AVERAGE($I$4:I10)))</f>
        <v>4.242857142857142</v>
      </c>
      <c r="AW10" s="22">
        <f>IF(ISBLANK(M10),"",AVERAGE($M$4:M10))</f>
        <v>87.285714285714292</v>
      </c>
      <c r="AX10" s="376">
        <f>IF(ISBLANK(P10),"",(AVERAGE($R$4:R10)))</f>
        <v>1007.8571428571429</v>
      </c>
      <c r="AY10" s="368">
        <f>IF(ISBLANK(U10),"",(AVERAGE($U$4:U10)))</f>
        <v>4.7285714285714286</v>
      </c>
      <c r="AZ10" s="6"/>
      <c r="BA10" s="25">
        <f t="shared" si="12"/>
        <v>3.5199999999999996</v>
      </c>
      <c r="BB10" s="25">
        <f t="shared" si="13"/>
        <v>1.5</v>
      </c>
      <c r="BC10" s="25">
        <f t="shared" si="16"/>
        <v>2.5099999999999998</v>
      </c>
      <c r="BD10" s="367">
        <f t="shared" si="15"/>
        <v>-2.0199999999999996</v>
      </c>
      <c r="BE10" s="72"/>
      <c r="BF10" s="25">
        <f>IF(ISBLANK(F10),"",AS10-AVERAGE($F$91:F97))</f>
        <v>3.5691428571428538</v>
      </c>
      <c r="BG10" s="25">
        <f>IF(ISBLANK(G10),"",AT10-AVERAGE($G$91:G97))</f>
        <v>2.6999999999999993</v>
      </c>
      <c r="BH10" s="367">
        <f t="shared" si="14"/>
        <v>-0.86914285714285455</v>
      </c>
      <c r="BI10" s="115">
        <f t="shared" si="0"/>
        <v>1.4330357142857142</v>
      </c>
      <c r="BJ10" s="115">
        <f t="shared" si="1"/>
        <v>0.58436316898136276</v>
      </c>
      <c r="BK10" s="402"/>
      <c r="BL10" s="572">
        <v>7</v>
      </c>
    </row>
    <row r="11" spans="1:64" ht="12.75" customHeight="1" x14ac:dyDescent="0.2">
      <c r="A11" s="394">
        <f t="shared" si="2"/>
        <v>8</v>
      </c>
      <c r="B11" s="131">
        <v>9.1</v>
      </c>
      <c r="C11" s="282">
        <v>10.3</v>
      </c>
      <c r="D11" s="685"/>
      <c r="E11" s="97">
        <f t="shared" si="3"/>
        <v>8</v>
      </c>
      <c r="F11" s="23">
        <v>9.1</v>
      </c>
      <c r="G11" s="23">
        <v>10.8</v>
      </c>
      <c r="H11" s="26">
        <v>10.1</v>
      </c>
      <c r="I11" s="23">
        <v>1.7</v>
      </c>
      <c r="J11" s="6">
        <f t="shared" si="4"/>
        <v>1</v>
      </c>
      <c r="K11" s="24">
        <v>91</v>
      </c>
      <c r="L11" s="24">
        <v>97</v>
      </c>
      <c r="M11" s="27">
        <v>95</v>
      </c>
      <c r="N11" s="24">
        <v>6</v>
      </c>
      <c r="O11" s="50">
        <f t="shared" si="5"/>
        <v>0</v>
      </c>
      <c r="P11" s="24">
        <v>1013</v>
      </c>
      <c r="Q11" s="24">
        <v>1016</v>
      </c>
      <c r="R11" s="24">
        <f t="shared" si="6"/>
        <v>1014.5</v>
      </c>
      <c r="S11" s="24">
        <f t="shared" si="7"/>
        <v>3</v>
      </c>
      <c r="T11" s="50"/>
      <c r="U11" s="143">
        <v>2.9</v>
      </c>
      <c r="V11" s="143">
        <v>12.5</v>
      </c>
      <c r="W11" s="143">
        <v>21.3</v>
      </c>
      <c r="X11" s="123" t="s">
        <v>106</v>
      </c>
      <c r="Y11" s="461">
        <f t="shared" si="8"/>
        <v>2</v>
      </c>
      <c r="Z11" s="426">
        <v>1.1000000000000001</v>
      </c>
      <c r="AA11" s="467">
        <v>0.5</v>
      </c>
      <c r="AB11" s="467">
        <v>0.3</v>
      </c>
      <c r="AC11" s="510">
        <f t="shared" si="9"/>
        <v>4.3650793650793648E-2</v>
      </c>
      <c r="AD11" s="7">
        <f t="shared" si="10"/>
        <v>0.3666666666666667</v>
      </c>
      <c r="AE11" s="455">
        <v>0.7</v>
      </c>
      <c r="AF11" s="462"/>
      <c r="AG11" s="143">
        <v>8.4</v>
      </c>
      <c r="AH11" s="143">
        <v>10.199999999999999</v>
      </c>
      <c r="AI11" s="143">
        <v>9.1999999999999993</v>
      </c>
      <c r="AJ11" s="7">
        <f t="shared" si="11"/>
        <v>1.7999999999999989</v>
      </c>
      <c r="AK11" s="54"/>
      <c r="AL11" s="123" t="s">
        <v>239</v>
      </c>
      <c r="AM11" s="134"/>
      <c r="AN11" s="23" t="s">
        <v>750</v>
      </c>
      <c r="AO11" s="400"/>
      <c r="AP11" s="123">
        <v>0</v>
      </c>
      <c r="AQ11" s="123">
        <v>3</v>
      </c>
      <c r="AR11" s="134"/>
      <c r="AS11" s="26">
        <f>IF(ISBLANK(F11),"",(AVERAGE($F$4:F11)))</f>
        <v>9.9374999999999982</v>
      </c>
      <c r="AT11" s="26">
        <f>IF(ISBLANK(G11),"",(AVERAGE($G$4:G11)))</f>
        <v>13.862499999999999</v>
      </c>
      <c r="AU11" s="25">
        <f>IF(ISBLANK(H11),"",(AVERAGE($H$4:H11)))</f>
        <v>12.149999999999999</v>
      </c>
      <c r="AV11" s="368">
        <f>IF(ISBLANK(G11),"",(AVERAGE($I$4:I11)))</f>
        <v>3.9249999999999994</v>
      </c>
      <c r="AW11" s="22">
        <f>IF(ISBLANK(M11),"",AVERAGE($M$4:M11))</f>
        <v>88.25</v>
      </c>
      <c r="AX11" s="376">
        <f>IF(ISBLANK(P11),"",(AVERAGE($R$4:R11)))</f>
        <v>1008.6875</v>
      </c>
      <c r="AY11" s="368">
        <f>IF(ISBLANK(U11),"",(AVERAGE($U$4:U11)))</f>
        <v>4.5</v>
      </c>
      <c r="AZ11" s="6"/>
      <c r="BA11" s="25">
        <f t="shared" si="12"/>
        <v>3.155999999999997</v>
      </c>
      <c r="BB11" s="25">
        <f t="shared" si="13"/>
        <v>0</v>
      </c>
      <c r="BC11" s="25">
        <f t="shared" si="16"/>
        <v>1.5779999999999985</v>
      </c>
      <c r="BD11" s="367">
        <f t="shared" si="15"/>
        <v>-3.155999999999997</v>
      </c>
      <c r="BE11" s="72"/>
      <c r="BF11" s="25">
        <f>IF(ISBLANK(F11),"",AS11-AVERAGE($F$91:F98))</f>
        <v>3.5174999999999965</v>
      </c>
      <c r="BG11" s="25">
        <f>IF(ISBLANK(G11),"",AT11-AVERAGE($G$91:G98))</f>
        <v>2.3624999999999989</v>
      </c>
      <c r="BH11" s="367">
        <f t="shared" ref="BH11:BH20" si="17">IF(ISBLANK(G11),"",BG11-BF11)</f>
        <v>-1.1549999999999976</v>
      </c>
      <c r="BI11" s="115">
        <f t="shared" si="0"/>
        <v>1.318359375</v>
      </c>
      <c r="BJ11" s="115">
        <f t="shared" si="1"/>
        <v>0.51289656265429284</v>
      </c>
      <c r="BK11" s="420"/>
      <c r="BL11" s="572">
        <v>8</v>
      </c>
    </row>
    <row r="12" spans="1:64" ht="12.75" customHeight="1" x14ac:dyDescent="0.2">
      <c r="A12" s="394">
        <f t="shared" si="2"/>
        <v>9</v>
      </c>
      <c r="B12" s="131">
        <v>9.9</v>
      </c>
      <c r="C12" s="282">
        <v>14.6</v>
      </c>
      <c r="D12" s="685"/>
      <c r="E12" s="97">
        <f t="shared" si="3"/>
        <v>9</v>
      </c>
      <c r="F12" s="23">
        <v>9.9</v>
      </c>
      <c r="G12" s="23">
        <v>14.6</v>
      </c>
      <c r="H12" s="26">
        <v>11.9</v>
      </c>
      <c r="I12" s="23">
        <v>4.7</v>
      </c>
      <c r="J12" s="6">
        <f t="shared" si="4"/>
        <v>0</v>
      </c>
      <c r="K12" s="24">
        <v>74</v>
      </c>
      <c r="L12" s="24">
        <v>97</v>
      </c>
      <c r="M12" s="27">
        <v>89</v>
      </c>
      <c r="N12" s="24">
        <v>23</v>
      </c>
      <c r="O12" s="50">
        <f t="shared" si="5"/>
        <v>0</v>
      </c>
      <c r="P12" s="24">
        <v>1014</v>
      </c>
      <c r="Q12" s="24">
        <v>1018</v>
      </c>
      <c r="R12" s="24">
        <f t="shared" si="6"/>
        <v>1016</v>
      </c>
      <c r="S12" s="24">
        <f t="shared" si="7"/>
        <v>4</v>
      </c>
      <c r="T12" s="50"/>
      <c r="U12" s="143">
        <v>3</v>
      </c>
      <c r="V12" s="143">
        <v>10.9</v>
      </c>
      <c r="W12" s="143">
        <v>15.9</v>
      </c>
      <c r="X12" s="123" t="s">
        <v>112</v>
      </c>
      <c r="Y12" s="461">
        <f t="shared" si="8"/>
        <v>2</v>
      </c>
      <c r="Z12" s="426">
        <v>1.1000000000000001</v>
      </c>
      <c r="AA12" s="467">
        <v>0.8</v>
      </c>
      <c r="AB12" s="467">
        <v>0.3</v>
      </c>
      <c r="AC12" s="510">
        <f t="shared" si="9"/>
        <v>4.3650793650793648E-2</v>
      </c>
      <c r="AD12" s="7">
        <f t="shared" si="10"/>
        <v>0.55000000000000004</v>
      </c>
      <c r="AE12" s="455">
        <v>1.5</v>
      </c>
      <c r="AF12" s="462"/>
      <c r="AG12" s="143">
        <v>8.9</v>
      </c>
      <c r="AH12" s="143">
        <v>12.6</v>
      </c>
      <c r="AI12" s="143">
        <v>10.1</v>
      </c>
      <c r="AJ12" s="7">
        <f t="shared" si="11"/>
        <v>3.6999999999999993</v>
      </c>
      <c r="AK12" s="54"/>
      <c r="AL12" s="123" t="s">
        <v>751</v>
      </c>
      <c r="AM12" s="134"/>
      <c r="AN12" s="51" t="s">
        <v>752</v>
      </c>
      <c r="AO12" s="400"/>
      <c r="AP12" s="123">
        <v>1.5</v>
      </c>
      <c r="AQ12" s="123">
        <v>2</v>
      </c>
      <c r="AR12" s="134"/>
      <c r="AS12" s="26">
        <f>IF(ISBLANK(F12),"",(AVERAGE($F$4:F12)))</f>
        <v>9.9333333333333318</v>
      </c>
      <c r="AT12" s="26">
        <f>IF(ISBLANK(G12),"",(AVERAGE($G$4:G12)))</f>
        <v>13.944444444444443</v>
      </c>
      <c r="AU12" s="25">
        <f>IF(ISBLANK(H12),"",(AVERAGE($H$4:H12)))</f>
        <v>12.122222222222222</v>
      </c>
      <c r="AV12" s="368">
        <f>IF(ISBLANK(G12),"",(AVERAGE($I$4:I12)))</f>
        <v>4.0111111111111102</v>
      </c>
      <c r="AW12" s="22">
        <f>IF(ISBLANK(M12),"",AVERAGE($M$4:M12))</f>
        <v>88.333333333333329</v>
      </c>
      <c r="AX12" s="376">
        <f>IF(ISBLANK(P12),"",(AVERAGE($R$4:R12)))</f>
        <v>1009.5</v>
      </c>
      <c r="AY12" s="368">
        <f>IF(ISBLANK(U12),"",(AVERAGE($U$4:U12)))</f>
        <v>4.333333333333333</v>
      </c>
      <c r="AZ12" s="6"/>
      <c r="BA12" s="25">
        <f t="shared" si="12"/>
        <v>4.0919999999999979</v>
      </c>
      <c r="BB12" s="25">
        <f t="shared" si="13"/>
        <v>4</v>
      </c>
      <c r="BC12" s="25">
        <f t="shared" si="16"/>
        <v>4.0459999999999994</v>
      </c>
      <c r="BD12" s="367">
        <f t="shared" si="15"/>
        <v>-9.1999999999997861E-2</v>
      </c>
      <c r="BE12" s="72"/>
      <c r="BF12" s="25">
        <f>IF(ISBLANK(F12),"",AS12-AVERAGE($F$91:F99))</f>
        <v>3.5813333333333306</v>
      </c>
      <c r="BG12" s="25">
        <f>IF(ISBLANK(G12),"",AT12-AVERAGE($G$91:G99))</f>
        <v>2.5444444444444443</v>
      </c>
      <c r="BH12" s="367">
        <f t="shared" si="17"/>
        <v>-1.0368888888888863</v>
      </c>
      <c r="BI12" s="115">
        <f t="shared" si="0"/>
        <v>1.2291666666666667</v>
      </c>
      <c r="BJ12" s="115">
        <f t="shared" si="1"/>
        <v>0.52659836938924287</v>
      </c>
      <c r="BK12" s="402"/>
      <c r="BL12" s="572">
        <v>9</v>
      </c>
    </row>
    <row r="13" spans="1:64" ht="12.75" customHeight="1" x14ac:dyDescent="0.2">
      <c r="A13" s="394">
        <f t="shared" si="2"/>
        <v>10</v>
      </c>
      <c r="B13" s="131">
        <v>9</v>
      </c>
      <c r="C13" s="282">
        <v>13.4</v>
      </c>
      <c r="D13" s="685"/>
      <c r="E13" s="97">
        <f t="shared" si="3"/>
        <v>10</v>
      </c>
      <c r="F13" s="23">
        <v>9</v>
      </c>
      <c r="G13" s="23">
        <v>13.4</v>
      </c>
      <c r="H13" s="26">
        <v>11.2</v>
      </c>
      <c r="I13" s="23">
        <v>4.4000000000000004</v>
      </c>
      <c r="J13" s="6">
        <f t="shared" si="4"/>
        <v>0</v>
      </c>
      <c r="K13" s="24">
        <v>89</v>
      </c>
      <c r="L13" s="24">
        <v>98</v>
      </c>
      <c r="M13" s="27">
        <v>94</v>
      </c>
      <c r="N13" s="24">
        <v>9</v>
      </c>
      <c r="O13" s="50">
        <f t="shared" si="5"/>
        <v>0</v>
      </c>
      <c r="P13" s="24">
        <v>1017</v>
      </c>
      <c r="Q13" s="24">
        <v>1019</v>
      </c>
      <c r="R13" s="24">
        <f t="shared" si="6"/>
        <v>1018</v>
      </c>
      <c r="S13" s="24">
        <f t="shared" si="7"/>
        <v>2</v>
      </c>
      <c r="T13" s="50"/>
      <c r="U13" s="143">
        <v>3.2</v>
      </c>
      <c r="V13" s="143">
        <v>9</v>
      </c>
      <c r="W13" s="143">
        <v>13</v>
      </c>
      <c r="X13" s="123" t="s">
        <v>105</v>
      </c>
      <c r="Y13" s="461">
        <f t="shared" si="8"/>
        <v>0</v>
      </c>
      <c r="Z13" s="426">
        <v>0</v>
      </c>
      <c r="AA13" s="467" t="s">
        <v>619</v>
      </c>
      <c r="AB13" s="467" t="s">
        <v>619</v>
      </c>
      <c r="AC13" s="510" t="str">
        <f t="shared" si="9"/>
        <v/>
      </c>
      <c r="AD13" s="7" t="str">
        <f t="shared" si="10"/>
        <v/>
      </c>
      <c r="AE13" s="455" t="s">
        <v>619</v>
      </c>
      <c r="AF13" s="462"/>
      <c r="AG13" s="143">
        <v>8.1</v>
      </c>
      <c r="AH13" s="143">
        <v>12.2</v>
      </c>
      <c r="AI13" s="143">
        <v>10.199999999999999</v>
      </c>
      <c r="AJ13" s="7">
        <f t="shared" si="11"/>
        <v>4.0999999999999996</v>
      </c>
      <c r="AK13" s="54"/>
      <c r="AL13" s="123" t="s">
        <v>594</v>
      </c>
      <c r="AM13" s="134"/>
      <c r="AN13" s="51" t="s">
        <v>8</v>
      </c>
      <c r="AO13" s="400"/>
      <c r="AP13" s="123">
        <v>2</v>
      </c>
      <c r="AQ13" s="123">
        <v>0</v>
      </c>
      <c r="AR13" s="134"/>
      <c r="AS13" s="26">
        <f>IF(ISBLANK(F13),"",(AVERAGE($F$4:F13)))</f>
        <v>9.84</v>
      </c>
      <c r="AT13" s="26">
        <f>IF(ISBLANK(G13),"",(AVERAGE($G$4:G13)))</f>
        <v>13.889999999999997</v>
      </c>
      <c r="AU13" s="25">
        <f>IF(ISBLANK(H13),"",(AVERAGE($H$4:H13)))</f>
        <v>12.03</v>
      </c>
      <c r="AV13" s="368">
        <f>IF(ISBLANK(G13),"",(AVERAGE($I$4:I13)))</f>
        <v>4.0499999999999989</v>
      </c>
      <c r="AW13" s="22">
        <f>IF(ISBLANK(M13),"",AVERAGE($M$4:M13))</f>
        <v>88.9</v>
      </c>
      <c r="AX13" s="376">
        <f>IF(ISBLANK(P13),"",(AVERAGE($R$4:R13)))</f>
        <v>1010.35</v>
      </c>
      <c r="AY13" s="368">
        <f>IF(ISBLANK(U13),"",(AVERAGE($U$4:U13)))</f>
        <v>4.2200000000000006</v>
      </c>
      <c r="AZ13" s="6"/>
      <c r="BA13" s="25">
        <f t="shared" si="12"/>
        <v>3.3279999999999976</v>
      </c>
      <c r="BB13" s="25">
        <f t="shared" si="13"/>
        <v>3</v>
      </c>
      <c r="BC13" s="25">
        <f t="shared" si="16"/>
        <v>3.1639999999999988</v>
      </c>
      <c r="BD13" s="367">
        <f t="shared" si="15"/>
        <v>-0.32799999999999763</v>
      </c>
      <c r="BE13" s="72"/>
      <c r="BF13" s="25">
        <f>IF(ISBLANK(F13),"",AS13-AVERAGE($F$91:F100))</f>
        <v>3.5559999999999983</v>
      </c>
      <c r="BG13" s="25">
        <f>IF(ISBLANK(G13),"",AT13-AVERAGE($G$91:G100))</f>
        <v>2.5899999999999963</v>
      </c>
      <c r="BH13" s="367">
        <f t="shared" si="17"/>
        <v>-0.96600000000000197</v>
      </c>
      <c r="BI13" s="115">
        <f t="shared" si="0"/>
        <v>1.1062500000000002</v>
      </c>
      <c r="BJ13" s="115">
        <f t="shared" si="1"/>
        <v>0.5587890250618549</v>
      </c>
      <c r="BK13" s="402"/>
      <c r="BL13" s="572">
        <v>10</v>
      </c>
    </row>
    <row r="14" spans="1:64" ht="12.75" customHeight="1" x14ac:dyDescent="0.2">
      <c r="A14" s="394">
        <f t="shared" si="2"/>
        <v>11</v>
      </c>
      <c r="B14" s="131">
        <v>8.6999999999999993</v>
      </c>
      <c r="C14" s="282">
        <v>10.4</v>
      </c>
      <c r="D14" s="685"/>
      <c r="E14" s="97">
        <f t="shared" si="3"/>
        <v>11</v>
      </c>
      <c r="F14" s="23">
        <v>8.6999999999999993</v>
      </c>
      <c r="G14" s="23">
        <v>12.2</v>
      </c>
      <c r="H14" s="26">
        <v>9.9</v>
      </c>
      <c r="I14" s="23">
        <v>3.5</v>
      </c>
      <c r="J14" s="6">
        <f t="shared" si="4"/>
        <v>1</v>
      </c>
      <c r="K14" s="24">
        <v>93</v>
      </c>
      <c r="L14" s="24">
        <v>98</v>
      </c>
      <c r="M14" s="27">
        <v>97</v>
      </c>
      <c r="N14" s="24">
        <v>5</v>
      </c>
      <c r="O14" s="50">
        <f t="shared" si="5"/>
        <v>0</v>
      </c>
      <c r="P14" s="24">
        <v>1016</v>
      </c>
      <c r="Q14" s="24">
        <v>1018</v>
      </c>
      <c r="R14" s="24">
        <f t="shared" si="6"/>
        <v>1017</v>
      </c>
      <c r="S14" s="24">
        <f t="shared" si="7"/>
        <v>2</v>
      </c>
      <c r="T14" s="50"/>
      <c r="U14" s="143">
        <v>4.7</v>
      </c>
      <c r="V14" s="143">
        <v>9.4</v>
      </c>
      <c r="W14" s="143">
        <v>13</v>
      </c>
      <c r="X14" s="123" t="s">
        <v>112</v>
      </c>
      <c r="Y14" s="461">
        <f t="shared" si="8"/>
        <v>0</v>
      </c>
      <c r="Z14" s="426">
        <v>0</v>
      </c>
      <c r="AA14" s="467" t="s">
        <v>619</v>
      </c>
      <c r="AB14" s="467" t="s">
        <v>619</v>
      </c>
      <c r="AC14" s="510" t="str">
        <f t="shared" si="9"/>
        <v/>
      </c>
      <c r="AD14" s="7" t="str">
        <f t="shared" si="10"/>
        <v/>
      </c>
      <c r="AE14" s="455" t="s">
        <v>619</v>
      </c>
      <c r="AF14" s="462"/>
      <c r="AG14" s="143">
        <v>8.1999999999999993</v>
      </c>
      <c r="AH14" s="143">
        <v>11.4</v>
      </c>
      <c r="AI14" s="143">
        <v>9.4</v>
      </c>
      <c r="AJ14" s="7">
        <f t="shared" si="11"/>
        <v>3.2000000000000011</v>
      </c>
      <c r="AK14" s="54"/>
      <c r="AL14" s="123" t="s">
        <v>239</v>
      </c>
      <c r="AM14" s="134"/>
      <c r="AN14" s="631" t="s">
        <v>753</v>
      </c>
      <c r="AO14" s="400"/>
      <c r="AP14" s="123">
        <v>0</v>
      </c>
      <c r="AQ14" s="123">
        <v>0.3</v>
      </c>
      <c r="AR14" s="134"/>
      <c r="AS14" s="26">
        <f>IF(ISBLANK(F14),"",(AVERAGE($F$4:F14)))</f>
        <v>9.7363636363636363</v>
      </c>
      <c r="AT14" s="26">
        <f>IF(ISBLANK(G14),"",(AVERAGE($G$4:G14)))</f>
        <v>13.736363636363633</v>
      </c>
      <c r="AU14" s="25">
        <f>IF(ISBLANK(H14),"",(AVERAGE($H$4:H14)))</f>
        <v>11.836363636363636</v>
      </c>
      <c r="AV14" s="368">
        <f>IF(ISBLANK(G14),"",(AVERAGE($I$4:I14)))</f>
        <v>3.9999999999999996</v>
      </c>
      <c r="AW14" s="22">
        <f>IF(ISBLANK(M14),"",AVERAGE($M$4:M14))</f>
        <v>89.63636363636364</v>
      </c>
      <c r="AX14" s="376">
        <f>IF(ISBLANK(P14),"",(AVERAGE($R$4:R14)))</f>
        <v>1010.9545454545455</v>
      </c>
      <c r="AY14" s="368">
        <f>IF(ISBLANK(U14),"",(AVERAGE($U$4:U14)))</f>
        <v>4.2636363636363646</v>
      </c>
      <c r="AZ14" s="6"/>
      <c r="BA14" s="25">
        <f t="shared" si="12"/>
        <v>3.163999999999997</v>
      </c>
      <c r="BB14" s="25">
        <f t="shared" si="13"/>
        <v>2</v>
      </c>
      <c r="BC14" s="25">
        <f t="shared" si="16"/>
        <v>2.5819999999999985</v>
      </c>
      <c r="BD14" s="367">
        <f t="shared" si="15"/>
        <v>-1.163999999999997</v>
      </c>
      <c r="BE14" s="72"/>
      <c r="BF14" s="25">
        <f>IF(ISBLANK(F14),"",AS14-AVERAGE($F$91:F101))</f>
        <v>3.5203636363636344</v>
      </c>
      <c r="BG14" s="25">
        <f>IF(ISBLANK(G14),"",AT14-AVERAGE($G$91:G101))</f>
        <v>2.5363636363636317</v>
      </c>
      <c r="BH14" s="367">
        <f t="shared" si="17"/>
        <v>-0.98400000000000265</v>
      </c>
      <c r="BI14" s="115">
        <f t="shared" si="0"/>
        <v>1.0056818181818183</v>
      </c>
      <c r="BJ14" s="115">
        <f t="shared" si="1"/>
        <v>0.50953499420367676</v>
      </c>
      <c r="BK14" s="402"/>
      <c r="BL14" s="572">
        <v>11</v>
      </c>
    </row>
    <row r="15" spans="1:64" ht="12.75" customHeight="1" x14ac:dyDescent="0.2">
      <c r="A15" s="394">
        <f t="shared" si="2"/>
        <v>12</v>
      </c>
      <c r="B15" s="131">
        <v>11.3</v>
      </c>
      <c r="C15" s="282">
        <v>15.5</v>
      </c>
      <c r="D15" s="685"/>
      <c r="E15" s="97">
        <f t="shared" si="3"/>
        <v>12</v>
      </c>
      <c r="F15" s="23">
        <v>11.1</v>
      </c>
      <c r="G15" s="23">
        <v>15.5</v>
      </c>
      <c r="H15" s="26">
        <v>13.4</v>
      </c>
      <c r="I15" s="23">
        <v>4.4000000000000004</v>
      </c>
      <c r="J15" s="6">
        <f t="shared" si="4"/>
        <v>0</v>
      </c>
      <c r="K15" s="24">
        <v>88</v>
      </c>
      <c r="L15" s="24">
        <v>97</v>
      </c>
      <c r="M15" s="27">
        <v>94</v>
      </c>
      <c r="N15" s="24">
        <v>9</v>
      </c>
      <c r="O15" s="50">
        <f t="shared" si="5"/>
        <v>1</v>
      </c>
      <c r="P15" s="24">
        <v>1018</v>
      </c>
      <c r="Q15" s="24">
        <v>1030</v>
      </c>
      <c r="R15" s="24">
        <f t="shared" si="6"/>
        <v>1024</v>
      </c>
      <c r="S15" s="24">
        <f t="shared" si="7"/>
        <v>12</v>
      </c>
      <c r="T15" s="50"/>
      <c r="U15" s="143">
        <v>3.5</v>
      </c>
      <c r="V15" s="143">
        <v>11.4</v>
      </c>
      <c r="W15" s="143">
        <v>14.7</v>
      </c>
      <c r="X15" s="123" t="s">
        <v>106</v>
      </c>
      <c r="Y15" s="461">
        <f t="shared" si="8"/>
        <v>0</v>
      </c>
      <c r="Z15" s="426">
        <v>0</v>
      </c>
      <c r="AA15" s="467" t="s">
        <v>619</v>
      </c>
      <c r="AB15" s="467" t="s">
        <v>619</v>
      </c>
      <c r="AC15" s="510" t="str">
        <f t="shared" si="9"/>
        <v/>
      </c>
      <c r="AD15" s="7" t="str">
        <f t="shared" si="10"/>
        <v/>
      </c>
      <c r="AE15" s="455" t="s">
        <v>619</v>
      </c>
      <c r="AF15" s="462"/>
      <c r="AG15" s="143">
        <v>10</v>
      </c>
      <c r="AH15" s="143">
        <v>13.9</v>
      </c>
      <c r="AI15" s="143">
        <v>12.4</v>
      </c>
      <c r="AJ15" s="7">
        <f t="shared" si="11"/>
        <v>3.9000000000000004</v>
      </c>
      <c r="AK15" s="54"/>
      <c r="AL15" s="123" t="s">
        <v>748</v>
      </c>
      <c r="AM15" s="134"/>
      <c r="AN15" s="51" t="s">
        <v>8</v>
      </c>
      <c r="AO15" s="400"/>
      <c r="AP15" s="123">
        <v>1</v>
      </c>
      <c r="AQ15" s="123">
        <v>0</v>
      </c>
      <c r="AR15" s="134"/>
      <c r="AS15" s="26">
        <f>IF(ISBLANK(F15),"",(AVERAGE($F$4:F15)))</f>
        <v>9.85</v>
      </c>
      <c r="AT15" s="26">
        <f>IF(ISBLANK(G15),"",(AVERAGE($G$4:G15)))</f>
        <v>13.883333333333331</v>
      </c>
      <c r="AU15" s="25">
        <f>IF(ISBLANK(H15),"",(AVERAGE($H$4:H15)))</f>
        <v>11.966666666666667</v>
      </c>
      <c r="AV15" s="368">
        <f>IF(ISBLANK(G15),"",(AVERAGE($I$4:I15)))</f>
        <v>4.0333333333333323</v>
      </c>
      <c r="AW15" s="22">
        <f>IF(ISBLANK(M15),"",AVERAGE($M$4:M15))</f>
        <v>90</v>
      </c>
      <c r="AX15" s="376">
        <f>IF(ISBLANK(P15),"",(AVERAGE($R$4:R15)))</f>
        <v>1012.0416666666666</v>
      </c>
      <c r="AY15" s="368">
        <f>IF(ISBLANK(U15),"",(AVERAGE($U$4:U15)))</f>
        <v>4.2</v>
      </c>
      <c r="AZ15" s="6"/>
      <c r="BA15" s="25">
        <f t="shared" si="12"/>
        <v>5.6999999999999993</v>
      </c>
      <c r="BB15" s="25">
        <f t="shared" si="13"/>
        <v>5.5</v>
      </c>
      <c r="BC15" s="25">
        <f t="shared" si="16"/>
        <v>5.6</v>
      </c>
      <c r="BD15" s="367">
        <f t="shared" si="15"/>
        <v>-0.19999999999999929</v>
      </c>
      <c r="BE15" s="72"/>
      <c r="BF15" s="25">
        <f>IF(ISBLANK(F15),"",AS15-AVERAGE($F$91:F102))</f>
        <v>3.7019999999999973</v>
      </c>
      <c r="BG15" s="25">
        <f>IF(ISBLANK(G15),"",AT15-AVERAGE($G$91:G102))</f>
        <v>2.7833333333333314</v>
      </c>
      <c r="BH15" s="367">
        <f t="shared" si="17"/>
        <v>-0.91866666666666585</v>
      </c>
      <c r="BI15" s="115">
        <f t="shared" si="0"/>
        <v>0.921875</v>
      </c>
      <c r="BJ15" s="115">
        <f t="shared" si="1"/>
        <v>0.50344788940146956</v>
      </c>
      <c r="BK15" s="402"/>
      <c r="BL15" s="572">
        <v>12</v>
      </c>
    </row>
    <row r="16" spans="1:64" ht="12.75" customHeight="1" x14ac:dyDescent="0.2">
      <c r="A16" s="394">
        <f t="shared" si="2"/>
        <v>13</v>
      </c>
      <c r="B16" s="131">
        <v>10.6</v>
      </c>
      <c r="C16" s="282">
        <v>14.7</v>
      </c>
      <c r="D16" s="685"/>
      <c r="E16" s="97">
        <f t="shared" si="3"/>
        <v>13</v>
      </c>
      <c r="F16" s="23">
        <v>9.9</v>
      </c>
      <c r="G16" s="23">
        <v>14.7</v>
      </c>
      <c r="H16" s="26">
        <v>11.8</v>
      </c>
      <c r="I16" s="23">
        <v>4.8</v>
      </c>
      <c r="J16" s="6">
        <f t="shared" si="4"/>
        <v>0</v>
      </c>
      <c r="K16" s="24">
        <v>79</v>
      </c>
      <c r="L16" s="24">
        <v>98</v>
      </c>
      <c r="M16" s="27">
        <v>92</v>
      </c>
      <c r="N16" s="24">
        <v>19</v>
      </c>
      <c r="O16" s="50">
        <f t="shared" si="5"/>
        <v>1</v>
      </c>
      <c r="P16" s="24">
        <v>1026</v>
      </c>
      <c r="Q16" s="24">
        <v>1030.001</v>
      </c>
      <c r="R16" s="24">
        <f t="shared" si="6"/>
        <v>1028.0005000000001</v>
      </c>
      <c r="S16" s="24">
        <f t="shared" si="7"/>
        <v>4.0009999999999764</v>
      </c>
      <c r="T16" s="50"/>
      <c r="U16" s="143">
        <v>5.6</v>
      </c>
      <c r="V16" s="143">
        <v>12.3</v>
      </c>
      <c r="W16" s="143">
        <v>15.2</v>
      </c>
      <c r="X16" s="123" t="s">
        <v>106</v>
      </c>
      <c r="Y16" s="461">
        <f t="shared" si="8"/>
        <v>0</v>
      </c>
      <c r="Z16" s="426">
        <v>0</v>
      </c>
      <c r="AA16" s="467" t="s">
        <v>619</v>
      </c>
      <c r="AB16" s="467" t="s">
        <v>619</v>
      </c>
      <c r="AC16" s="510" t="str">
        <f t="shared" si="9"/>
        <v/>
      </c>
      <c r="AD16" s="7" t="str">
        <f t="shared" si="10"/>
        <v/>
      </c>
      <c r="AE16" s="455" t="s">
        <v>619</v>
      </c>
      <c r="AF16" s="462"/>
      <c r="AG16" s="143">
        <v>8.6</v>
      </c>
      <c r="AH16" s="143">
        <v>12.1</v>
      </c>
      <c r="AI16" s="143">
        <v>10.5</v>
      </c>
      <c r="AJ16" s="7">
        <f t="shared" si="11"/>
        <v>3.5</v>
      </c>
      <c r="AK16" s="54"/>
      <c r="AL16" s="123" t="s">
        <v>754</v>
      </c>
      <c r="AM16" s="134"/>
      <c r="AN16" s="51" t="s">
        <v>8</v>
      </c>
      <c r="AO16" s="400"/>
      <c r="AP16" s="540">
        <v>7</v>
      </c>
      <c r="AQ16" s="123">
        <v>0</v>
      </c>
      <c r="AR16" s="134"/>
      <c r="AS16" s="26">
        <f>IF(ISBLANK(F16),"",(AVERAGE($F$4:F16)))</f>
        <v>9.8538461538461526</v>
      </c>
      <c r="AT16" s="26">
        <f>IF(ISBLANK(G16),"",(AVERAGE($G$4:G16)))</f>
        <v>13.946153846153843</v>
      </c>
      <c r="AU16" s="25">
        <f>IF(ISBLANK(H16),"",(AVERAGE($H$4:H16)))</f>
        <v>11.953846153846154</v>
      </c>
      <c r="AV16" s="368">
        <f>IF(ISBLANK(G16),"",(AVERAGE($I$4:I16)))</f>
        <v>4.0923076923076911</v>
      </c>
      <c r="AW16" s="22">
        <f>IF(ISBLANK(M16),"",AVERAGE($M$4:M16))</f>
        <v>90.15384615384616</v>
      </c>
      <c r="AX16" s="376">
        <f>IF(ISBLANK(P16),"",(AVERAGE($R$4:R16)))</f>
        <v>1013.2692692307693</v>
      </c>
      <c r="AY16" s="368">
        <f>IF(ISBLANK(U16),"",(AVERAGE($U$4:U16)))</f>
        <v>4.3076923076923084</v>
      </c>
      <c r="AZ16" s="6"/>
      <c r="BA16" s="25">
        <f t="shared" si="12"/>
        <v>4.625</v>
      </c>
      <c r="BB16" s="25">
        <f t="shared" si="13"/>
        <v>4.7416666666666654</v>
      </c>
      <c r="BC16" s="25">
        <f t="shared" si="16"/>
        <v>4.6833333333333327</v>
      </c>
      <c r="BD16" s="367">
        <f t="shared" si="15"/>
        <v>0.11666666666666536</v>
      </c>
      <c r="BE16" s="72"/>
      <c r="BF16" s="25">
        <f>IF(ISBLANK(F16),"",AS16-AVERAGE($F$91:F103))</f>
        <v>3.7729999999999961</v>
      </c>
      <c r="BG16" s="25">
        <f>IF(ISBLANK(G16),"",AT16-AVERAGE($G$91:G103))</f>
        <v>2.9339743589743552</v>
      </c>
      <c r="BH16" s="367">
        <f t="shared" si="17"/>
        <v>-0.83902564102564092</v>
      </c>
      <c r="BI16" s="115">
        <f t="shared" si="0"/>
        <v>0.85096153846153844</v>
      </c>
      <c r="BJ16" s="115">
        <f t="shared" si="1"/>
        <v>0.6927032387815929</v>
      </c>
      <c r="BK16" s="402"/>
      <c r="BL16" s="572">
        <v>13</v>
      </c>
    </row>
    <row r="17" spans="1:64" ht="12.75" customHeight="1" x14ac:dyDescent="0.2">
      <c r="A17" s="394">
        <f t="shared" si="2"/>
        <v>14</v>
      </c>
      <c r="B17" s="131">
        <v>8.3000000000000007</v>
      </c>
      <c r="C17" s="282">
        <v>9.6</v>
      </c>
      <c r="D17" s="685"/>
      <c r="E17" s="97">
        <f t="shared" si="3"/>
        <v>14</v>
      </c>
      <c r="F17" s="23">
        <v>8.3000000000000007</v>
      </c>
      <c r="G17" s="23">
        <v>10</v>
      </c>
      <c r="H17" s="26">
        <v>9.1</v>
      </c>
      <c r="I17" s="23">
        <v>1.7</v>
      </c>
      <c r="J17" s="6">
        <f t="shared" si="4"/>
        <v>1</v>
      </c>
      <c r="K17" s="24">
        <v>92</v>
      </c>
      <c r="L17" s="24">
        <v>98</v>
      </c>
      <c r="M17" s="27">
        <v>96</v>
      </c>
      <c r="N17" s="24">
        <v>6</v>
      </c>
      <c r="O17" s="50">
        <f t="shared" si="5"/>
        <v>0</v>
      </c>
      <c r="P17" s="24">
        <v>1021</v>
      </c>
      <c r="Q17" s="24">
        <v>1026</v>
      </c>
      <c r="R17" s="24">
        <f t="shared" si="6"/>
        <v>1023.5</v>
      </c>
      <c r="S17" s="24">
        <f t="shared" si="7"/>
        <v>5</v>
      </c>
      <c r="T17" s="50"/>
      <c r="U17" s="143">
        <v>5</v>
      </c>
      <c r="V17" s="143">
        <v>11.4</v>
      </c>
      <c r="W17" s="143">
        <v>13.8</v>
      </c>
      <c r="X17" s="123" t="s">
        <v>106</v>
      </c>
      <c r="Y17" s="461">
        <f t="shared" si="8"/>
        <v>0</v>
      </c>
      <c r="Z17" s="426">
        <v>0</v>
      </c>
      <c r="AA17" s="467" t="s">
        <v>619</v>
      </c>
      <c r="AB17" s="467" t="s">
        <v>619</v>
      </c>
      <c r="AC17" s="510" t="str">
        <f t="shared" si="9"/>
        <v/>
      </c>
      <c r="AD17" s="7" t="str">
        <f t="shared" si="10"/>
        <v/>
      </c>
      <c r="AE17" s="455" t="s">
        <v>619</v>
      </c>
      <c r="AF17" s="462"/>
      <c r="AG17" s="143">
        <v>7.5</v>
      </c>
      <c r="AH17" s="143">
        <v>9.3000000000000007</v>
      </c>
      <c r="AI17" s="143">
        <v>8.5</v>
      </c>
      <c r="AJ17" s="7">
        <f t="shared" si="11"/>
        <v>1.8000000000000007</v>
      </c>
      <c r="AK17" s="54"/>
      <c r="AL17" s="123" t="s">
        <v>239</v>
      </c>
      <c r="AM17" s="134" t="s">
        <v>8</v>
      </c>
      <c r="AN17" s="631" t="s">
        <v>755</v>
      </c>
      <c r="AO17" s="400"/>
      <c r="AP17" s="123">
        <v>0</v>
      </c>
      <c r="AQ17" s="123">
        <v>0</v>
      </c>
      <c r="AR17" s="134"/>
      <c r="AS17" s="26">
        <f>IF(ISBLANK(F17),"",(AVERAGE($F$4:F17)))</f>
        <v>9.7428571428571438</v>
      </c>
      <c r="AT17" s="26">
        <f>IF(ISBLANK(G17),"",(AVERAGE($G$4:G17)))</f>
        <v>13.664285714285711</v>
      </c>
      <c r="AU17" s="25">
        <f>IF(ISBLANK(H17),"",(AVERAGE($H$4:H17)))</f>
        <v>11.75</v>
      </c>
      <c r="AV17" s="368">
        <f>IF(ISBLANK(G17),"",(AVERAGE($I$4:I17)))</f>
        <v>3.9214285714285708</v>
      </c>
      <c r="AW17" s="22">
        <f>IF(ISBLANK(M17),"",AVERAGE($M$4:M17))</f>
        <v>90.571428571428569</v>
      </c>
      <c r="AX17" s="376">
        <f>IF(ISBLANK(P17),"",(AVERAGE($R$4:R17)))</f>
        <v>1014.0000357142857</v>
      </c>
      <c r="AY17" s="368">
        <f>IF(ISBLANK(U17),"",(AVERAGE($U$4:U17)))</f>
        <v>4.3571428571428577</v>
      </c>
      <c r="AZ17" s="6"/>
      <c r="BA17" s="25">
        <f t="shared" si="12"/>
        <v>3.1500000000000004</v>
      </c>
      <c r="BB17" s="25">
        <f t="shared" si="13"/>
        <v>8.3333333333332149E-2</v>
      </c>
      <c r="BC17" s="25">
        <f t="shared" si="16"/>
        <v>1.6166666666666663</v>
      </c>
      <c r="BD17" s="367">
        <f t="shared" si="15"/>
        <v>-3.0666666666666682</v>
      </c>
      <c r="BE17" s="72"/>
      <c r="BF17" s="25">
        <f>IF(ISBLANK(F17),"",AS17-AVERAGE($F$91:F104))</f>
        <v>3.7284999999999986</v>
      </c>
      <c r="BG17" s="25">
        <f>IF(ISBLANK(G17),"",AT17-AVERAGE($G$91:G104))</f>
        <v>2.7303571428571409</v>
      </c>
      <c r="BH17" s="367">
        <f t="shared" si="17"/>
        <v>-0.99814285714285766</v>
      </c>
      <c r="BI17" s="115">
        <f t="shared" si="0"/>
        <v>0.79017857142857151</v>
      </c>
      <c r="BJ17" s="115">
        <f t="shared" si="1"/>
        <v>0.64514567441728954</v>
      </c>
      <c r="BK17" s="402"/>
      <c r="BL17" s="572">
        <v>14</v>
      </c>
    </row>
    <row r="18" spans="1:64" ht="12.75" customHeight="1" x14ac:dyDescent="0.2">
      <c r="A18" s="394">
        <f t="shared" si="2"/>
        <v>15</v>
      </c>
      <c r="B18" s="131">
        <v>8.3000000000000007</v>
      </c>
      <c r="C18" s="282">
        <v>11.1</v>
      </c>
      <c r="D18" s="685"/>
      <c r="E18" s="97">
        <f t="shared" si="3"/>
        <v>15</v>
      </c>
      <c r="F18" s="23">
        <v>5.8</v>
      </c>
      <c r="G18" s="23">
        <v>11.1</v>
      </c>
      <c r="H18" s="26">
        <v>8.6</v>
      </c>
      <c r="I18" s="23">
        <v>5.3</v>
      </c>
      <c r="J18" s="6">
        <f t="shared" si="4"/>
        <v>0</v>
      </c>
      <c r="K18" s="24">
        <v>73</v>
      </c>
      <c r="L18" s="24">
        <v>95</v>
      </c>
      <c r="M18" s="27">
        <v>87</v>
      </c>
      <c r="N18" s="24">
        <v>22</v>
      </c>
      <c r="O18" s="50">
        <f t="shared" si="5"/>
        <v>1</v>
      </c>
      <c r="P18" s="24">
        <v>1016</v>
      </c>
      <c r="Q18" s="24">
        <v>1021</v>
      </c>
      <c r="R18" s="24">
        <f t="shared" si="6"/>
        <v>1018.5</v>
      </c>
      <c r="S18" s="24">
        <f t="shared" si="7"/>
        <v>5</v>
      </c>
      <c r="T18" s="50"/>
      <c r="U18" s="143">
        <v>5.6</v>
      </c>
      <c r="V18" s="143">
        <v>11.8</v>
      </c>
      <c r="W18" s="143">
        <v>16.3</v>
      </c>
      <c r="X18" s="123" t="s">
        <v>106</v>
      </c>
      <c r="Y18" s="461">
        <f t="shared" si="8"/>
        <v>0</v>
      </c>
      <c r="Z18" s="426">
        <v>0</v>
      </c>
      <c r="AA18" s="467" t="s">
        <v>619</v>
      </c>
      <c r="AB18" s="467" t="s">
        <v>619</v>
      </c>
      <c r="AC18" s="510" t="str">
        <f t="shared" si="9"/>
        <v/>
      </c>
      <c r="AD18" s="7" t="str">
        <f t="shared" si="10"/>
        <v/>
      </c>
      <c r="AE18" s="455" t="s">
        <v>619</v>
      </c>
      <c r="AF18" s="462"/>
      <c r="AG18" s="143">
        <v>3.6</v>
      </c>
      <c r="AH18" s="143">
        <v>8.8000000000000007</v>
      </c>
      <c r="AI18" s="143">
        <v>6.5</v>
      </c>
      <c r="AJ18" s="7">
        <f t="shared" si="11"/>
        <v>5.2000000000000011</v>
      </c>
      <c r="AK18" s="54"/>
      <c r="AL18" s="123" t="s">
        <v>561</v>
      </c>
      <c r="AM18" s="134"/>
      <c r="AN18" s="51" t="s">
        <v>8</v>
      </c>
      <c r="AO18" s="400"/>
      <c r="AP18" s="123">
        <v>6.5</v>
      </c>
      <c r="AQ18" s="123">
        <v>0</v>
      </c>
      <c r="AR18" s="134"/>
      <c r="AS18" s="26">
        <f>IF(ISBLANK(F18),"",(AVERAGE($F$4:F18)))</f>
        <v>9.48</v>
      </c>
      <c r="AT18" s="26">
        <f>IF(ISBLANK(G18),"",(AVERAGE($G$4:G18)))</f>
        <v>13.493333333333331</v>
      </c>
      <c r="AU18" s="25">
        <f>IF(ISBLANK(H18),"",(AVERAGE($H$4:H18)))</f>
        <v>11.54</v>
      </c>
      <c r="AV18" s="368">
        <f>IF(ISBLANK(G18),"",(AVERAGE($I$4:I18)))</f>
        <v>4.0133333333333328</v>
      </c>
      <c r="AW18" s="22">
        <f>IF(ISBLANK(M18),"",AVERAGE($M$4:M18))</f>
        <v>90.333333333333329</v>
      </c>
      <c r="AX18" s="376">
        <f>IF(ISBLANK(P18),"",(AVERAGE($R$4:R18)))</f>
        <v>1014.3000333333333</v>
      </c>
      <c r="AY18" s="368">
        <f>IF(ISBLANK(U18),"",(AVERAGE($U$4:U18)))</f>
        <v>4.4400000000000004</v>
      </c>
      <c r="AZ18" s="6"/>
      <c r="BA18" s="25">
        <f t="shared" si="12"/>
        <v>0.77499999999999947</v>
      </c>
      <c r="BB18" s="25">
        <f t="shared" si="13"/>
        <v>1.2249999999999996</v>
      </c>
      <c r="BC18" s="25">
        <f t="shared" si="16"/>
        <v>0.99999999999999956</v>
      </c>
      <c r="BD18" s="367">
        <f t="shared" si="15"/>
        <v>0.45000000000000018</v>
      </c>
      <c r="BE18" s="72"/>
      <c r="BF18" s="25">
        <f>IF(ISBLANK(F18),"",AS18-AVERAGE($F$91:F105))</f>
        <v>3.5315999999999974</v>
      </c>
      <c r="BG18" s="25">
        <f>IF(ISBLANK(G18),"",AT18-AVERAGE($G$91:G105))</f>
        <v>2.6299999999999972</v>
      </c>
      <c r="BH18" s="367">
        <f t="shared" si="17"/>
        <v>-0.90160000000000018</v>
      </c>
      <c r="BI18" s="115">
        <f t="shared" si="0"/>
        <v>0.73750000000000004</v>
      </c>
      <c r="BJ18" s="115">
        <f t="shared" si="1"/>
        <v>0.78735678140905907</v>
      </c>
      <c r="BK18" s="402"/>
      <c r="BL18" s="572">
        <v>15</v>
      </c>
    </row>
    <row r="19" spans="1:64" ht="12.75" customHeight="1" x14ac:dyDescent="0.2">
      <c r="A19" s="394">
        <f t="shared" si="2"/>
        <v>16</v>
      </c>
      <c r="B19" s="131">
        <v>4.8</v>
      </c>
      <c r="C19" s="282">
        <v>8.3000000000000007</v>
      </c>
      <c r="D19" s="685"/>
      <c r="E19" s="97">
        <f t="shared" si="3"/>
        <v>16</v>
      </c>
      <c r="F19" s="23">
        <v>4.8</v>
      </c>
      <c r="G19" s="23">
        <v>8.3000000000000007</v>
      </c>
      <c r="H19" s="26">
        <v>6.6</v>
      </c>
      <c r="I19" s="23">
        <v>3.5</v>
      </c>
      <c r="J19" s="6">
        <f t="shared" si="4"/>
        <v>0</v>
      </c>
      <c r="K19" s="24">
        <v>86</v>
      </c>
      <c r="L19" s="24">
        <v>96</v>
      </c>
      <c r="M19" s="27">
        <v>93</v>
      </c>
      <c r="N19" s="24">
        <v>10</v>
      </c>
      <c r="O19" s="50">
        <f t="shared" si="5"/>
        <v>0</v>
      </c>
      <c r="P19" s="24">
        <v>1016</v>
      </c>
      <c r="Q19" s="24">
        <v>1018</v>
      </c>
      <c r="R19" s="24">
        <f t="shared" si="6"/>
        <v>1017</v>
      </c>
      <c r="S19" s="24">
        <f t="shared" si="7"/>
        <v>2</v>
      </c>
      <c r="T19" s="50"/>
      <c r="U19" s="143">
        <v>3.2</v>
      </c>
      <c r="V19" s="143">
        <v>10</v>
      </c>
      <c r="W19" s="143">
        <v>11.8</v>
      </c>
      <c r="X19" s="123" t="s">
        <v>106</v>
      </c>
      <c r="Y19" s="461">
        <f t="shared" si="8"/>
        <v>0</v>
      </c>
      <c r="Z19" s="426">
        <v>0</v>
      </c>
      <c r="AA19" s="467" t="s">
        <v>619</v>
      </c>
      <c r="AB19" s="467" t="s">
        <v>619</v>
      </c>
      <c r="AC19" s="510" t="str">
        <f t="shared" si="9"/>
        <v/>
      </c>
      <c r="AD19" s="7" t="str">
        <f t="shared" si="10"/>
        <v/>
      </c>
      <c r="AE19" s="455" t="s">
        <v>619</v>
      </c>
      <c r="AF19" s="462"/>
      <c r="AG19" s="143">
        <v>3.9</v>
      </c>
      <c r="AH19" s="143">
        <v>7.5</v>
      </c>
      <c r="AI19" s="143">
        <v>5.5</v>
      </c>
      <c r="AJ19" s="7">
        <f t="shared" si="11"/>
        <v>3.6</v>
      </c>
      <c r="AK19" s="54"/>
      <c r="AL19" s="123" t="s">
        <v>394</v>
      </c>
      <c r="AM19" s="134"/>
      <c r="AN19" s="51" t="s">
        <v>8</v>
      </c>
      <c r="AO19" s="400"/>
      <c r="AP19" s="123">
        <v>2</v>
      </c>
      <c r="AQ19" s="123">
        <v>0</v>
      </c>
      <c r="AR19" s="134"/>
      <c r="AS19" s="26">
        <f>IF(ISBLANK(F19),"",(AVERAGE($F$4:F19)))</f>
        <v>9.1875000000000018</v>
      </c>
      <c r="AT19" s="26">
        <f>IF(ISBLANK(G19),"",(AVERAGE($G$4:G19)))</f>
        <v>13.168749999999998</v>
      </c>
      <c r="AU19" s="25">
        <f>IF(ISBLANK(H19),"",(AVERAGE($H$4:H19)))</f>
        <v>11.231249999999999</v>
      </c>
      <c r="AV19" s="368">
        <f>IF(ISBLANK(G19),"",(AVERAGE($I$4:I19)))</f>
        <v>3.9812499999999993</v>
      </c>
      <c r="AW19" s="22">
        <f>IF(ISBLANK(M19),"",AVERAGE($M$4:M19))</f>
        <v>90.5</v>
      </c>
      <c r="AX19" s="376">
        <f>IF(ISBLANK(P19),"",(AVERAGE($R$4:R19)))</f>
        <v>1014.46878125</v>
      </c>
      <c r="AY19" s="368">
        <f>IF(ISBLANK(U19),"",(AVERAGE($U$4:U19)))</f>
        <v>4.3625000000000007</v>
      </c>
      <c r="AZ19" s="6"/>
      <c r="BA19" s="25">
        <f t="shared" si="12"/>
        <v>-0.10000000000000053</v>
      </c>
      <c r="BB19" s="25">
        <f t="shared" si="13"/>
        <v>-1.533333333333335</v>
      </c>
      <c r="BC19" s="25">
        <f t="shared" si="16"/>
        <v>-0.81666666666666776</v>
      </c>
      <c r="BD19" s="367">
        <f t="shared" si="15"/>
        <v>-1.4333333333333345</v>
      </c>
      <c r="BE19" s="72"/>
      <c r="BF19" s="25">
        <f>IF(ISBLANK(F19),"",AS19-AVERAGE($F$91:F106))</f>
        <v>3.3046249999999988</v>
      </c>
      <c r="BG19" s="25">
        <f>IF(ISBLANK(G19),"",AT19-AVERAGE($G$91:G106))</f>
        <v>2.3697916666666643</v>
      </c>
      <c r="BH19" s="367">
        <f t="shared" si="17"/>
        <v>-0.93483333333333452</v>
      </c>
      <c r="BI19" s="115">
        <f t="shared" si="0"/>
        <v>0.69140625</v>
      </c>
      <c r="BJ19" s="115">
        <f t="shared" si="1"/>
        <v>0.7933910703253062</v>
      </c>
      <c r="BK19" s="402"/>
      <c r="BL19" s="572">
        <v>16</v>
      </c>
    </row>
    <row r="20" spans="1:64" ht="12.75" customHeight="1" x14ac:dyDescent="0.2">
      <c r="A20" s="394">
        <f t="shared" si="2"/>
        <v>17</v>
      </c>
      <c r="B20" s="131">
        <v>7.3</v>
      </c>
      <c r="C20" s="282">
        <v>14.1</v>
      </c>
      <c r="D20" s="685"/>
      <c r="E20" s="97">
        <f t="shared" si="3"/>
        <v>17</v>
      </c>
      <c r="F20" s="23">
        <v>8.3000000000000007</v>
      </c>
      <c r="G20" s="23">
        <v>14.1</v>
      </c>
      <c r="H20" s="26">
        <v>11</v>
      </c>
      <c r="I20" s="23">
        <v>5.8</v>
      </c>
      <c r="J20" s="6">
        <f t="shared" si="4"/>
        <v>0</v>
      </c>
      <c r="K20" s="24">
        <v>72</v>
      </c>
      <c r="L20" s="24">
        <v>98</v>
      </c>
      <c r="M20" s="27">
        <v>88</v>
      </c>
      <c r="N20" s="24">
        <v>26</v>
      </c>
      <c r="O20" s="50">
        <f t="shared" si="5"/>
        <v>1</v>
      </c>
      <c r="P20" s="24">
        <v>1016</v>
      </c>
      <c r="Q20" s="24">
        <v>1020</v>
      </c>
      <c r="R20" s="24">
        <f t="shared" si="6"/>
        <v>1018</v>
      </c>
      <c r="S20" s="24">
        <f t="shared" si="7"/>
        <v>4</v>
      </c>
      <c r="T20" s="50"/>
      <c r="U20" s="143">
        <v>3.3</v>
      </c>
      <c r="V20" s="143">
        <v>10.9</v>
      </c>
      <c r="W20" s="143">
        <v>13.2</v>
      </c>
      <c r="X20" s="123" t="s">
        <v>111</v>
      </c>
      <c r="Y20" s="461">
        <f t="shared" si="8"/>
        <v>0</v>
      </c>
      <c r="Z20" s="426">
        <v>0</v>
      </c>
      <c r="AA20" s="467" t="s">
        <v>619</v>
      </c>
      <c r="AB20" s="467" t="s">
        <v>619</v>
      </c>
      <c r="AC20" s="510" t="str">
        <f t="shared" si="9"/>
        <v/>
      </c>
      <c r="AD20" s="7" t="str">
        <f t="shared" si="10"/>
        <v/>
      </c>
      <c r="AE20" s="455" t="s">
        <v>619</v>
      </c>
      <c r="AF20" s="462"/>
      <c r="AG20" s="143">
        <v>6.5</v>
      </c>
      <c r="AH20" s="143">
        <v>12.4</v>
      </c>
      <c r="AI20" s="143">
        <v>9</v>
      </c>
      <c r="AJ20" s="7">
        <f t="shared" si="11"/>
        <v>5.9</v>
      </c>
      <c r="AK20" s="54"/>
      <c r="AL20" s="123" t="s">
        <v>756</v>
      </c>
      <c r="AM20" s="134"/>
      <c r="AN20" s="51" t="s">
        <v>8</v>
      </c>
      <c r="AO20" s="400"/>
      <c r="AP20" s="123">
        <v>2</v>
      </c>
      <c r="AQ20" s="123">
        <v>0</v>
      </c>
      <c r="AR20" s="134"/>
      <c r="AS20" s="26">
        <f>IF(ISBLANK(F20),"",(AVERAGE($F$4:F20)))</f>
        <v>9.1352941176470619</v>
      </c>
      <c r="AT20" s="26">
        <f>IF(ISBLANK(G20),"",(AVERAGE($G$4:G20)))</f>
        <v>13.223529411764703</v>
      </c>
      <c r="AU20" s="25">
        <f>IF(ISBLANK(H20),"",(AVERAGE($H$4:H20)))</f>
        <v>11.217647058823529</v>
      </c>
      <c r="AV20" s="368">
        <f>IF(ISBLANK(G20),"",(AVERAGE($I$4:I20)))</f>
        <v>4.0882352941176459</v>
      </c>
      <c r="AW20" s="22">
        <f>IF(ISBLANK(M20),"",AVERAGE($M$4:M20))</f>
        <v>90.352941176470594</v>
      </c>
      <c r="AX20" s="376">
        <f>IF(ISBLANK(P20),"",(AVERAGE($R$4:R20)))</f>
        <v>1014.6765000000001</v>
      </c>
      <c r="AY20" s="368">
        <f>IF(ISBLANK(U20),"",(AVERAGE($U$4:U20)))</f>
        <v>4.3000000000000007</v>
      </c>
      <c r="AZ20" s="6"/>
      <c r="BA20" s="25">
        <f t="shared" si="12"/>
        <v>3.5250000000000004</v>
      </c>
      <c r="BB20" s="25">
        <f t="shared" si="13"/>
        <v>4.30833333333333</v>
      </c>
      <c r="BC20" s="25">
        <f t="shared" si="16"/>
        <v>3.9166666666666652</v>
      </c>
      <c r="BD20" s="367">
        <f t="shared" si="15"/>
        <v>0.78333333333332966</v>
      </c>
      <c r="BE20" s="72"/>
      <c r="BF20" s="25">
        <f>IF(ISBLANK(F20),"",AS20-AVERAGE($F$91:F107))</f>
        <v>3.3175882352941173</v>
      </c>
      <c r="BG20" s="25">
        <f>IF(ISBLANK(G20),"",AT20-AVERAGE($G$91:G107))</f>
        <v>2.4838235294117634</v>
      </c>
      <c r="BH20" s="367">
        <f t="shared" si="17"/>
        <v>-0.83376470588235385</v>
      </c>
      <c r="BI20" s="115">
        <f t="shared" si="0"/>
        <v>0.65073529411764708</v>
      </c>
      <c r="BJ20" s="115">
        <f>IF(ISBLANK(AP20),"",AG107/AH107)</f>
        <v>0.79899820986718628</v>
      </c>
      <c r="BK20" s="402"/>
      <c r="BL20" s="572">
        <v>17</v>
      </c>
    </row>
    <row r="21" spans="1:64" ht="12.75" customHeight="1" x14ac:dyDescent="0.2">
      <c r="A21" s="394">
        <f t="shared" si="2"/>
        <v>18</v>
      </c>
      <c r="B21" s="131">
        <v>9.5</v>
      </c>
      <c r="C21" s="282">
        <v>14.6</v>
      </c>
      <c r="D21" s="685"/>
      <c r="E21" s="97">
        <f t="shared" si="3"/>
        <v>18</v>
      </c>
      <c r="F21" s="23">
        <v>8.9</v>
      </c>
      <c r="G21" s="23">
        <v>14.6</v>
      </c>
      <c r="H21" s="26">
        <v>11.4</v>
      </c>
      <c r="I21" s="23">
        <v>5.7</v>
      </c>
      <c r="J21" s="6">
        <f t="shared" si="4"/>
        <v>0</v>
      </c>
      <c r="K21" s="24">
        <v>72</v>
      </c>
      <c r="L21" s="24">
        <v>95</v>
      </c>
      <c r="M21" s="27">
        <v>85</v>
      </c>
      <c r="N21" s="24">
        <v>23</v>
      </c>
      <c r="O21" s="50">
        <f t="shared" si="5"/>
        <v>1</v>
      </c>
      <c r="P21" s="24">
        <v>1016</v>
      </c>
      <c r="Q21" s="24">
        <v>1019</v>
      </c>
      <c r="R21" s="24">
        <f t="shared" si="6"/>
        <v>1017.5</v>
      </c>
      <c r="S21" s="24">
        <f t="shared" si="7"/>
        <v>3</v>
      </c>
      <c r="T21" s="50"/>
      <c r="U21" s="143">
        <v>4.8</v>
      </c>
      <c r="V21" s="143">
        <v>13.8</v>
      </c>
      <c r="W21" s="143">
        <v>17.600000000000001</v>
      </c>
      <c r="X21" s="123" t="s">
        <v>111</v>
      </c>
      <c r="Y21" s="461">
        <f t="shared" si="8"/>
        <v>0</v>
      </c>
      <c r="Z21" s="426">
        <v>0</v>
      </c>
      <c r="AA21" s="467" t="s">
        <v>619</v>
      </c>
      <c r="AB21" s="467" t="s">
        <v>619</v>
      </c>
      <c r="AC21" s="510" t="str">
        <f t="shared" si="9"/>
        <v/>
      </c>
      <c r="AD21" s="7" t="str">
        <f t="shared" si="10"/>
        <v/>
      </c>
      <c r="AE21" s="455" t="s">
        <v>619</v>
      </c>
      <c r="AF21" s="462"/>
      <c r="AG21" s="143">
        <v>6.5</v>
      </c>
      <c r="AH21" s="143">
        <v>11.9</v>
      </c>
      <c r="AI21" s="143">
        <v>8.9</v>
      </c>
      <c r="AJ21" s="7">
        <f t="shared" si="11"/>
        <v>5.4</v>
      </c>
      <c r="AK21" s="54"/>
      <c r="AL21" s="123" t="s">
        <v>757</v>
      </c>
      <c r="AM21" s="134"/>
      <c r="AN21" s="51" t="s">
        <v>8</v>
      </c>
      <c r="AO21" s="400"/>
      <c r="AP21" s="123">
        <v>4</v>
      </c>
      <c r="AQ21" s="123">
        <v>0</v>
      </c>
      <c r="AR21" s="134"/>
      <c r="AS21" s="26">
        <f>IF(ISBLANK(F21),"",(AVERAGE($F$4:F21)))</f>
        <v>9.1222222222222253</v>
      </c>
      <c r="AT21" s="26">
        <f>IF(ISBLANK(G21),"",(AVERAGE($G$4:G21)))</f>
        <v>13.299999999999997</v>
      </c>
      <c r="AU21" s="25">
        <f>IF(ISBLANK(H21),"",(AVERAGE($H$4:H21)))</f>
        <v>11.227777777777778</v>
      </c>
      <c r="AV21" s="368">
        <f>IF(ISBLANK(G21),"",(AVERAGE($I$4:I21)))</f>
        <v>4.1777777777777771</v>
      </c>
      <c r="AW21" s="22">
        <f>IF(ISBLANK(M21),"",AVERAGE($M$4:M21))</f>
        <v>90.055555555555557</v>
      </c>
      <c r="AX21" s="376">
        <f>IF(ISBLANK(P21),"",(AVERAGE($R$4:R21)))</f>
        <v>1014.8333611111112</v>
      </c>
      <c r="AY21" s="368">
        <f>IF(ISBLANK(U21),"",(AVERAGE($U$4:U21)))</f>
        <v>4.3277777777777784</v>
      </c>
      <c r="AZ21" s="6"/>
      <c r="BA21" s="25">
        <f t="shared" si="12"/>
        <v>4.25</v>
      </c>
      <c r="BB21" s="25">
        <f t="shared" si="13"/>
        <v>4.8499999999999996</v>
      </c>
      <c r="BC21" s="25">
        <f t="shared" si="16"/>
        <v>4.55</v>
      </c>
      <c r="BD21" s="367">
        <f t="shared" si="15"/>
        <v>0.59999999999999964</v>
      </c>
      <c r="BE21" s="72"/>
      <c r="BF21" s="25">
        <f>IF(ISBLANK(F21),"",AS21-AVERAGE($F$91:F108))</f>
        <v>3.3693888888888885</v>
      </c>
      <c r="BG21" s="25">
        <f>IF(ISBLANK(G21),"",AT21-AVERAGE($G$91:G108))</f>
        <v>2.6152777777777754</v>
      </c>
      <c r="BH21" s="367">
        <f t="shared" ref="BH21:BH29" si="18">IF(ISBLANK(G21),"",BG21-BF21)</f>
        <v>-0.75411111111111317</v>
      </c>
      <c r="BI21" s="115">
        <f t="shared" si="0"/>
        <v>0.61458333333333337</v>
      </c>
      <c r="BJ21" s="115">
        <f t="shared" si="1"/>
        <v>0.85169473049340194</v>
      </c>
      <c r="BK21" s="402"/>
      <c r="BL21" s="572">
        <v>18</v>
      </c>
    </row>
    <row r="22" spans="1:64" ht="12.75" customHeight="1" x14ac:dyDescent="0.2">
      <c r="A22" s="394">
        <f t="shared" si="2"/>
        <v>19</v>
      </c>
      <c r="B22" s="131">
        <v>7.9</v>
      </c>
      <c r="C22" s="282">
        <v>12.8</v>
      </c>
      <c r="D22" s="685"/>
      <c r="E22" s="97">
        <f t="shared" si="3"/>
        <v>19</v>
      </c>
      <c r="F22" s="23">
        <v>6.5</v>
      </c>
      <c r="G22" s="23">
        <v>12.8</v>
      </c>
      <c r="H22" s="26">
        <v>9.3000000000000007</v>
      </c>
      <c r="I22" s="23">
        <v>6.3</v>
      </c>
      <c r="J22" s="6">
        <f t="shared" si="4"/>
        <v>0</v>
      </c>
      <c r="K22" s="24">
        <v>82</v>
      </c>
      <c r="L22" s="24">
        <v>96</v>
      </c>
      <c r="M22" s="27">
        <v>91</v>
      </c>
      <c r="N22" s="24">
        <v>14</v>
      </c>
      <c r="O22" s="50">
        <f t="shared" si="5"/>
        <v>1</v>
      </c>
      <c r="P22" s="24">
        <v>1016</v>
      </c>
      <c r="Q22" s="24">
        <v>1019</v>
      </c>
      <c r="R22" s="24">
        <f t="shared" si="6"/>
        <v>1017.5</v>
      </c>
      <c r="S22" s="24">
        <f t="shared" si="7"/>
        <v>3</v>
      </c>
      <c r="T22" s="50"/>
      <c r="U22" s="143">
        <v>2.4</v>
      </c>
      <c r="V22" s="143">
        <v>5.9</v>
      </c>
      <c r="W22" s="143">
        <v>8.6999999999999993</v>
      </c>
      <c r="X22" s="123" t="s">
        <v>106</v>
      </c>
      <c r="Y22" s="461">
        <f t="shared" si="8"/>
        <v>0</v>
      </c>
      <c r="Z22" s="426">
        <v>0</v>
      </c>
      <c r="AA22" s="467" t="s">
        <v>619</v>
      </c>
      <c r="AB22" s="467" t="s">
        <v>619</v>
      </c>
      <c r="AC22" s="510" t="str">
        <f t="shared" si="9"/>
        <v/>
      </c>
      <c r="AD22" s="7" t="str">
        <f t="shared" si="10"/>
        <v/>
      </c>
      <c r="AE22" s="455" t="s">
        <v>619</v>
      </c>
      <c r="AF22" s="462"/>
      <c r="AG22" s="143">
        <v>5.9</v>
      </c>
      <c r="AH22" s="143">
        <v>10.4</v>
      </c>
      <c r="AI22" s="143">
        <v>7.9</v>
      </c>
      <c r="AJ22" s="7">
        <f t="shared" si="11"/>
        <v>4.5</v>
      </c>
      <c r="AK22" s="54"/>
      <c r="AL22" s="123" t="s">
        <v>758</v>
      </c>
      <c r="AM22" s="134"/>
      <c r="AN22" s="23" t="s">
        <v>8</v>
      </c>
      <c r="AO22" s="400"/>
      <c r="AP22" s="123">
        <v>5</v>
      </c>
      <c r="AQ22" s="123">
        <v>0</v>
      </c>
      <c r="AR22" s="134"/>
      <c r="AS22" s="26">
        <f>IF(ISBLANK(F22),"",(AVERAGE($F$4:F22)))</f>
        <v>8.9842105263157919</v>
      </c>
      <c r="AT22" s="26">
        <f>IF(ISBLANK(G22),"",(AVERAGE($G$4:G22)))</f>
        <v>13.273684210526314</v>
      </c>
      <c r="AU22" s="25">
        <f>IF(ISBLANK(H22),"",(AVERAGE($H$4:H22)))</f>
        <v>11.126315789473685</v>
      </c>
      <c r="AV22" s="368">
        <f>IF(ISBLANK(G22),"",(AVERAGE($I$4:I22)))</f>
        <v>4.2894736842105257</v>
      </c>
      <c r="AW22" s="22">
        <f>IF(ISBLANK(M22),"",AVERAGE($M$4:M22))</f>
        <v>90.10526315789474</v>
      </c>
      <c r="AX22" s="376">
        <f>IF(ISBLANK(P22),"",(AVERAGE($R$4:R22)))</f>
        <v>1014.9737105263159</v>
      </c>
      <c r="AY22" s="368">
        <f>IF(ISBLANK(U22),"",(AVERAGE($U$4:U22)))</f>
        <v>4.2263157894736851</v>
      </c>
      <c r="AZ22" s="6"/>
      <c r="BA22" s="25">
        <f t="shared" si="12"/>
        <v>1.9749999999999996</v>
      </c>
      <c r="BB22" s="25">
        <f t="shared" si="13"/>
        <v>3.0916666666666632</v>
      </c>
      <c r="BC22" s="25">
        <f t="shared" si="16"/>
        <v>2.5333333333333314</v>
      </c>
      <c r="BD22" s="367">
        <f t="shared" si="15"/>
        <v>1.1166666666666636</v>
      </c>
      <c r="BE22" s="72"/>
      <c r="BF22" s="25">
        <f>IF(ISBLANK(F22),"",AS22-AVERAGE($F$91:F109))</f>
        <v>3.2959999999999994</v>
      </c>
      <c r="BG22" s="25">
        <f>IF(ISBLANK(G22),"",AT22-AVERAGE($G$91:G109))</f>
        <v>2.6403508771929811</v>
      </c>
      <c r="BH22" s="367">
        <f t="shared" si="18"/>
        <v>-0.65564912280701826</v>
      </c>
      <c r="BI22" s="115">
        <f t="shared" si="0"/>
        <v>0.58223684210526327</v>
      </c>
      <c r="BJ22" s="115">
        <f t="shared" si="1"/>
        <v>0.92189037599648527</v>
      </c>
      <c r="BK22" s="402"/>
      <c r="BL22" s="572">
        <v>19</v>
      </c>
    </row>
    <row r="23" spans="1:64" ht="12.75" customHeight="1" x14ac:dyDescent="0.2">
      <c r="A23" s="394">
        <f t="shared" si="2"/>
        <v>20</v>
      </c>
      <c r="B23" s="131">
        <v>4.4000000000000004</v>
      </c>
      <c r="C23" s="282">
        <v>8.8000000000000007</v>
      </c>
      <c r="D23" s="685"/>
      <c r="E23" s="97">
        <f t="shared" si="3"/>
        <v>20</v>
      </c>
      <c r="F23" s="23">
        <v>4.4000000000000004</v>
      </c>
      <c r="G23" s="23">
        <v>8.8000000000000007</v>
      </c>
      <c r="H23" s="26">
        <v>6.6</v>
      </c>
      <c r="I23" s="23">
        <v>4.4000000000000004</v>
      </c>
      <c r="J23" s="6">
        <f t="shared" si="4"/>
        <v>0</v>
      </c>
      <c r="K23" s="24">
        <v>96</v>
      </c>
      <c r="L23" s="24">
        <v>98</v>
      </c>
      <c r="M23" s="27">
        <v>98</v>
      </c>
      <c r="N23" s="24">
        <v>2</v>
      </c>
      <c r="O23" s="50">
        <f t="shared" si="5"/>
        <v>0</v>
      </c>
      <c r="P23" s="24">
        <v>1017</v>
      </c>
      <c r="Q23" s="24">
        <v>1020</v>
      </c>
      <c r="R23" s="24">
        <f t="shared" si="6"/>
        <v>1018.5</v>
      </c>
      <c r="S23" s="24">
        <f t="shared" si="7"/>
        <v>3</v>
      </c>
      <c r="T23" s="50"/>
      <c r="U23" s="143">
        <v>0.8</v>
      </c>
      <c r="V23" s="143">
        <v>4.5</v>
      </c>
      <c r="W23" s="143">
        <v>6</v>
      </c>
      <c r="X23" s="123" t="s">
        <v>105</v>
      </c>
      <c r="Y23" s="461">
        <f t="shared" si="8"/>
        <v>0</v>
      </c>
      <c r="Z23" s="426">
        <v>0</v>
      </c>
      <c r="AA23" s="467"/>
      <c r="AB23" s="467"/>
      <c r="AC23" s="510" t="str">
        <f t="shared" si="9"/>
        <v/>
      </c>
      <c r="AD23" s="7" t="str">
        <f t="shared" si="10"/>
        <v/>
      </c>
      <c r="AE23" s="455" t="s">
        <v>8</v>
      </c>
      <c r="AF23" s="462"/>
      <c r="AG23" s="143">
        <v>4.0999999999999996</v>
      </c>
      <c r="AH23" s="143">
        <v>8.5</v>
      </c>
      <c r="AI23" s="143">
        <v>6.3</v>
      </c>
      <c r="AJ23" s="7">
        <f t="shared" si="11"/>
        <v>4.4000000000000004</v>
      </c>
      <c r="AK23" s="54"/>
      <c r="AL23" s="123" t="s">
        <v>698</v>
      </c>
      <c r="AM23" s="134"/>
      <c r="AN23" s="23" t="s">
        <v>759</v>
      </c>
      <c r="AO23" s="400"/>
      <c r="AP23" s="123">
        <v>3</v>
      </c>
      <c r="AQ23" s="123">
        <v>0</v>
      </c>
      <c r="AR23" s="134"/>
      <c r="AS23" s="26">
        <f>IF(ISBLANK(F23),"",(AVERAGE($F$4:F23)))</f>
        <v>8.7550000000000026</v>
      </c>
      <c r="AT23" s="26">
        <f>IF(ISBLANK(G23),"",(AVERAGE($G$4:G23)))</f>
        <v>13.049999999999997</v>
      </c>
      <c r="AU23" s="25">
        <f>IF(ISBLANK(H23),"",(AVERAGE($H$4:H23)))</f>
        <v>10.9</v>
      </c>
      <c r="AV23" s="368">
        <f>IF(ISBLANK(G23),"",(AVERAGE($I$4:I23)))</f>
        <v>4.2949999999999999</v>
      </c>
      <c r="AW23" s="22">
        <f>IF(ISBLANK(M23),"",AVERAGE($M$4:M23))</f>
        <v>90.5</v>
      </c>
      <c r="AX23" s="376">
        <f>IF(ISBLANK(P23),"",(AVERAGE($R$4:R23)))</f>
        <v>1015.1500250000001</v>
      </c>
      <c r="AY23" s="368">
        <f>IF(ISBLANK(U23),"",(AVERAGE($U$4:U23)))</f>
        <v>4.0550000000000006</v>
      </c>
      <c r="AZ23" s="6"/>
      <c r="BA23" s="25">
        <f t="shared" si="12"/>
        <v>0</v>
      </c>
      <c r="BB23" s="25">
        <f t="shared" si="13"/>
        <v>-0.86666666666667069</v>
      </c>
      <c r="BC23" s="25">
        <f t="shared" si="16"/>
        <v>-0.43333333333333535</v>
      </c>
      <c r="BD23" s="367">
        <f t="shared" si="15"/>
        <v>-0.86666666666667069</v>
      </c>
      <c r="BE23" s="72"/>
      <c r="BF23" s="25">
        <f>IF(ISBLANK(F23),"",AS23-AVERAGE($F$91:F110))</f>
        <v>3.1311999999999989</v>
      </c>
      <c r="BG23" s="25">
        <f>IF(ISBLANK(G23),"",AT23-AVERAGE($G$91:G110))</f>
        <v>2.4649999999999981</v>
      </c>
      <c r="BH23" s="367">
        <f t="shared" si="18"/>
        <v>-0.66620000000000079</v>
      </c>
      <c r="BI23" s="115">
        <f t="shared" si="0"/>
        <v>0.55312500000000009</v>
      </c>
      <c r="BJ23" s="115">
        <f t="shared" si="1"/>
        <v>0.94271580870768523</v>
      </c>
      <c r="BK23" s="88"/>
      <c r="BL23" s="572">
        <v>20</v>
      </c>
    </row>
    <row r="24" spans="1:64" ht="12.75" customHeight="1" x14ac:dyDescent="0.2">
      <c r="A24" s="394">
        <f t="shared" si="2"/>
        <v>21</v>
      </c>
      <c r="B24" s="131">
        <v>6</v>
      </c>
      <c r="C24" s="282">
        <v>10.1</v>
      </c>
      <c r="D24" s="685"/>
      <c r="E24" s="97">
        <f t="shared" si="3"/>
        <v>21</v>
      </c>
      <c r="F24" s="23">
        <v>6</v>
      </c>
      <c r="G24" s="23">
        <v>10.1</v>
      </c>
      <c r="H24" s="26">
        <v>8.6</v>
      </c>
      <c r="I24" s="23">
        <v>4.0999999999999996</v>
      </c>
      <c r="J24" s="6">
        <f t="shared" si="4"/>
        <v>0</v>
      </c>
      <c r="K24" s="24">
        <v>96</v>
      </c>
      <c r="L24" s="24">
        <v>98</v>
      </c>
      <c r="M24" s="27">
        <v>98</v>
      </c>
      <c r="N24" s="24">
        <v>2</v>
      </c>
      <c r="O24" s="50">
        <f t="shared" si="5"/>
        <v>0</v>
      </c>
      <c r="P24" s="24">
        <v>1014</v>
      </c>
      <c r="Q24" s="24">
        <v>1017</v>
      </c>
      <c r="R24" s="24">
        <f t="shared" si="6"/>
        <v>1015.5</v>
      </c>
      <c r="S24" s="24">
        <f t="shared" si="7"/>
        <v>3</v>
      </c>
      <c r="T24" s="50"/>
      <c r="U24" s="143">
        <v>3.5</v>
      </c>
      <c r="V24" s="143">
        <v>10</v>
      </c>
      <c r="W24" s="143">
        <v>13.2</v>
      </c>
      <c r="X24" s="123" t="s">
        <v>106</v>
      </c>
      <c r="Y24" s="461">
        <f t="shared" si="8"/>
        <v>0</v>
      </c>
      <c r="Z24" s="426">
        <v>0</v>
      </c>
      <c r="AA24" s="467" t="s">
        <v>619</v>
      </c>
      <c r="AB24" s="467" t="s">
        <v>619</v>
      </c>
      <c r="AC24" s="510" t="str">
        <f t="shared" si="9"/>
        <v/>
      </c>
      <c r="AD24" s="7" t="str">
        <f t="shared" si="10"/>
        <v/>
      </c>
      <c r="AE24" s="455" t="s">
        <v>619</v>
      </c>
      <c r="AF24" s="462"/>
      <c r="AG24" s="143">
        <v>5.7</v>
      </c>
      <c r="AH24" s="143">
        <v>9.6999999999999993</v>
      </c>
      <c r="AI24" s="143">
        <v>8.1999999999999993</v>
      </c>
      <c r="AJ24" s="7">
        <f t="shared" si="11"/>
        <v>3.9999999999999991</v>
      </c>
      <c r="AK24" s="54"/>
      <c r="AL24" s="123" t="s">
        <v>505</v>
      </c>
      <c r="AM24" s="134"/>
      <c r="AN24" s="23" t="s">
        <v>8</v>
      </c>
      <c r="AO24" s="400"/>
      <c r="AP24" s="123">
        <v>0.5</v>
      </c>
      <c r="AQ24" s="123">
        <v>0</v>
      </c>
      <c r="AR24" s="134"/>
      <c r="AS24" s="26">
        <f>IF(ISBLANK(F24),"",(AVERAGE($F$4:F24)))</f>
        <v>8.6238095238095269</v>
      </c>
      <c r="AT24" s="26">
        <f>IF(ISBLANK(G24),"",(AVERAGE($G$4:G24)))</f>
        <v>12.909523809523808</v>
      </c>
      <c r="AU24" s="25">
        <f>IF(ISBLANK(H24),"",(AVERAGE($H$4:H24)))</f>
        <v>10.790476190476189</v>
      </c>
      <c r="AV24" s="368">
        <f>IF(ISBLANK(G24),"",(AVERAGE($I$4:I24)))</f>
        <v>4.2857142857142847</v>
      </c>
      <c r="AW24" s="22">
        <f>IF(ISBLANK(M24),"",AVERAGE($M$4:M24))</f>
        <v>90.857142857142861</v>
      </c>
      <c r="AX24" s="376">
        <f>IF(ISBLANK(P24),"",(AVERAGE($R$4:R24)))</f>
        <v>1015.1666904761905</v>
      </c>
      <c r="AY24" s="368">
        <f>IF(ISBLANK(U24),"",(AVERAGE($U$4:U24)))</f>
        <v>4.0285714285714294</v>
      </c>
      <c r="AZ24" s="6"/>
      <c r="BA24" s="25">
        <f t="shared" si="12"/>
        <v>1.7249999999999996</v>
      </c>
      <c r="BB24" s="25">
        <f t="shared" si="13"/>
        <v>0.47499999999999432</v>
      </c>
      <c r="BC24" s="25">
        <f t="shared" si="16"/>
        <v>1.099999999999997</v>
      </c>
      <c r="BD24" s="367">
        <f t="shared" si="15"/>
        <v>-1.2500000000000053</v>
      </c>
      <c r="BE24" s="72"/>
      <c r="BF24" s="25">
        <f>IF(ISBLANK(F24),"",AS24-AVERAGE($F$91:F111))</f>
        <v>3.0642380952380943</v>
      </c>
      <c r="BG24" s="25">
        <f>IF(ISBLANK(G24),"",AT24-AVERAGE($G$91:G111))</f>
        <v>2.3702380952380935</v>
      </c>
      <c r="BH24" s="367">
        <f t="shared" si="18"/>
        <v>-0.69400000000000084</v>
      </c>
      <c r="BI24" s="115">
        <f t="shared" si="0"/>
        <v>0.5267857142857143</v>
      </c>
      <c r="BJ24" s="115">
        <f t="shared" si="1"/>
        <v>0.91061606567545561</v>
      </c>
      <c r="BK24" s="88"/>
      <c r="BL24" s="572">
        <v>21</v>
      </c>
    </row>
    <row r="25" spans="1:64" ht="12.75" customHeight="1" x14ac:dyDescent="0.2">
      <c r="A25" s="394">
        <f t="shared" si="2"/>
        <v>22</v>
      </c>
      <c r="B25" s="131">
        <v>9.1999999999999993</v>
      </c>
      <c r="C25" s="282">
        <v>12.5</v>
      </c>
      <c r="D25" s="685"/>
      <c r="E25" s="97">
        <f t="shared" si="3"/>
        <v>22</v>
      </c>
      <c r="F25" s="23">
        <v>6.3</v>
      </c>
      <c r="G25" s="23">
        <v>12.5</v>
      </c>
      <c r="H25" s="26">
        <v>10.4</v>
      </c>
      <c r="I25" s="23">
        <v>6.2</v>
      </c>
      <c r="J25" s="6">
        <f t="shared" si="4"/>
        <v>0</v>
      </c>
      <c r="K25" s="24">
        <v>91</v>
      </c>
      <c r="L25" s="24">
        <v>98</v>
      </c>
      <c r="M25" s="27">
        <v>97</v>
      </c>
      <c r="N25" s="24">
        <v>7</v>
      </c>
      <c r="O25" s="50">
        <f t="shared" si="5"/>
        <v>1</v>
      </c>
      <c r="P25" s="24">
        <v>1015</v>
      </c>
      <c r="Q25" s="24">
        <v>1024</v>
      </c>
      <c r="R25" s="24">
        <f t="shared" si="6"/>
        <v>1019.5</v>
      </c>
      <c r="S25" s="24">
        <f t="shared" si="7"/>
        <v>9</v>
      </c>
      <c r="T25" s="50"/>
      <c r="U25" s="143">
        <v>1.4</v>
      </c>
      <c r="V25" s="143">
        <v>6.2</v>
      </c>
      <c r="W25" s="143">
        <v>8.1</v>
      </c>
      <c r="X25" s="293" t="s">
        <v>113</v>
      </c>
      <c r="Y25" s="461">
        <f t="shared" si="8"/>
        <v>1</v>
      </c>
      <c r="Z25" s="426">
        <v>0.5</v>
      </c>
      <c r="AA25" s="467" t="s">
        <v>8</v>
      </c>
      <c r="AB25" s="467" t="s">
        <v>8</v>
      </c>
      <c r="AC25" s="510">
        <f t="shared" si="9"/>
        <v>1.984126984126984E-2</v>
      </c>
      <c r="AD25" s="7">
        <f t="shared" si="10"/>
        <v>0.5</v>
      </c>
      <c r="AE25" s="455" t="s">
        <v>8</v>
      </c>
      <c r="AF25" s="462"/>
      <c r="AG25" s="143">
        <v>5.3</v>
      </c>
      <c r="AH25" s="143">
        <v>12.2</v>
      </c>
      <c r="AI25" s="143">
        <v>10</v>
      </c>
      <c r="AJ25" s="7">
        <f t="shared" si="11"/>
        <v>6.8999999999999995</v>
      </c>
      <c r="AK25" s="54"/>
      <c r="AL25" s="123" t="s">
        <v>239</v>
      </c>
      <c r="AM25" s="134"/>
      <c r="AN25" s="23" t="s">
        <v>760</v>
      </c>
      <c r="AO25" s="400"/>
      <c r="AP25" s="540">
        <v>0</v>
      </c>
      <c r="AQ25" s="123">
        <v>1</v>
      </c>
      <c r="AR25" s="134"/>
      <c r="AS25" s="26">
        <f>IF(ISBLANK(F25),"",(AVERAGE($F$4:F25)))</f>
        <v>8.5181818181818212</v>
      </c>
      <c r="AT25" s="26">
        <f>IF(ISBLANK(G25),"",(AVERAGE($G$4:G25)))</f>
        <v>12.890909090909089</v>
      </c>
      <c r="AU25" s="25">
        <f>IF(ISBLANK(H25),"",(AVERAGE($H$4:H25)))</f>
        <v>10.772727272727273</v>
      </c>
      <c r="AV25" s="368">
        <f>IF(ISBLANK(G25),"",(AVERAGE($I$4:I25)))</f>
        <v>4.3727272727272721</v>
      </c>
      <c r="AW25" s="22">
        <f>IF(ISBLANK(M25),"",AVERAGE($M$4:M25))</f>
        <v>91.13636363636364</v>
      </c>
      <c r="AX25" s="376">
        <f>IF(ISBLANK(P25),"",(AVERAGE($R$4:R25)))</f>
        <v>1015.3636590909092</v>
      </c>
      <c r="AY25" s="368">
        <f>IF(ISBLANK(U25),"",(AVERAGE($U$4:U25)))</f>
        <v>3.9090909090909096</v>
      </c>
      <c r="AZ25" s="6"/>
      <c r="BA25" s="25">
        <f t="shared" si="12"/>
        <v>2.1499999999999995</v>
      </c>
      <c r="BB25" s="25">
        <f t="shared" si="13"/>
        <v>2.9166666666666607</v>
      </c>
      <c r="BC25" s="25">
        <f t="shared" si="16"/>
        <v>2.5333333333333301</v>
      </c>
      <c r="BD25" s="367">
        <f t="shared" si="15"/>
        <v>0.76666666666666128</v>
      </c>
      <c r="BE25" s="72"/>
      <c r="BF25" s="25">
        <f>IF(ISBLANK(F25),"",AS25-AVERAGE($F$91:F112))</f>
        <v>3.0226818181818178</v>
      </c>
      <c r="BG25" s="25">
        <f>IF(ISBLANK(G25),"",AT25-AVERAGE($G$91:G112))</f>
        <v>2.3950757575757553</v>
      </c>
      <c r="BH25" s="367">
        <f t="shared" si="18"/>
        <v>-0.6276060606060625</v>
      </c>
      <c r="BI25" s="115">
        <f t="shared" si="0"/>
        <v>0.51349431818181823</v>
      </c>
      <c r="BJ25" s="115">
        <f t="shared" si="1"/>
        <v>0.87165675884576932</v>
      </c>
      <c r="BK25" s="88"/>
      <c r="BL25" s="572">
        <v>22</v>
      </c>
    </row>
    <row r="26" spans="1:64" ht="12.75" customHeight="1" x14ac:dyDescent="0.2">
      <c r="A26" s="394">
        <f t="shared" si="2"/>
        <v>23</v>
      </c>
      <c r="B26" s="131">
        <v>3</v>
      </c>
      <c r="C26" s="282">
        <v>10</v>
      </c>
      <c r="D26" s="685"/>
      <c r="E26" s="97">
        <f t="shared" si="3"/>
        <v>23</v>
      </c>
      <c r="F26" s="23">
        <v>3</v>
      </c>
      <c r="G26" s="23">
        <v>10</v>
      </c>
      <c r="H26" s="26">
        <v>6.8</v>
      </c>
      <c r="I26" s="23">
        <v>7</v>
      </c>
      <c r="J26" s="6">
        <f t="shared" si="4"/>
        <v>0</v>
      </c>
      <c r="K26" s="24">
        <v>92</v>
      </c>
      <c r="L26" s="24">
        <v>98</v>
      </c>
      <c r="M26" s="27">
        <v>96</v>
      </c>
      <c r="N26" s="24">
        <v>6</v>
      </c>
      <c r="O26" s="50">
        <f t="shared" si="5"/>
        <v>0</v>
      </c>
      <c r="P26" s="24">
        <v>1024</v>
      </c>
      <c r="Q26" s="24">
        <v>1029</v>
      </c>
      <c r="R26" s="24">
        <f t="shared" si="6"/>
        <v>1026.5</v>
      </c>
      <c r="S26" s="24">
        <f t="shared" si="7"/>
        <v>5</v>
      </c>
      <c r="T26" s="50"/>
      <c r="U26" s="143">
        <v>2.2000000000000002</v>
      </c>
      <c r="V26" s="143">
        <v>7.8</v>
      </c>
      <c r="W26" s="143">
        <v>10.199999999999999</v>
      </c>
      <c r="X26" s="123" t="s">
        <v>110</v>
      </c>
      <c r="Y26" s="461">
        <f t="shared" si="8"/>
        <v>0</v>
      </c>
      <c r="Z26" s="426">
        <v>0</v>
      </c>
      <c r="AA26" s="467" t="s">
        <v>619</v>
      </c>
      <c r="AB26" s="467" t="s">
        <v>619</v>
      </c>
      <c r="AC26" s="510" t="str">
        <f t="shared" si="9"/>
        <v/>
      </c>
      <c r="AD26" s="7" t="str">
        <f t="shared" si="10"/>
        <v/>
      </c>
      <c r="AE26" s="455" t="s">
        <v>619</v>
      </c>
      <c r="AF26" s="462"/>
      <c r="AG26" s="143">
        <v>2.7</v>
      </c>
      <c r="AH26" s="143">
        <v>9</v>
      </c>
      <c r="AI26" s="143">
        <v>6.2</v>
      </c>
      <c r="AJ26" s="7">
        <f t="shared" si="11"/>
        <v>6.3</v>
      </c>
      <c r="AK26" s="54"/>
      <c r="AL26" s="123" t="s">
        <v>761</v>
      </c>
      <c r="AM26" s="134"/>
      <c r="AN26" s="23" t="s">
        <v>759</v>
      </c>
      <c r="AO26" s="400"/>
      <c r="AP26" s="123">
        <v>2.5</v>
      </c>
      <c r="AQ26" s="123">
        <v>0</v>
      </c>
      <c r="AR26" s="134"/>
      <c r="AS26" s="26">
        <f>IF(ISBLANK(F26),"",(AVERAGE($F$4:F26)))</f>
        <v>8.2782608695652193</v>
      </c>
      <c r="AT26" s="26">
        <f>IF(ISBLANK(G26),"",(AVERAGE($G$4:G26)))</f>
        <v>12.765217391304347</v>
      </c>
      <c r="AU26" s="25">
        <f>IF(ISBLANK(H26),"",(AVERAGE($H$4:H26)))</f>
        <v>10.6</v>
      </c>
      <c r="AV26" s="368">
        <f>IF(ISBLANK(G26),"",(AVERAGE($I$4:I26)))</f>
        <v>4.4869565217391303</v>
      </c>
      <c r="AW26" s="22">
        <f>IF(ISBLANK(M26),"",AVERAGE($M$4:M26))</f>
        <v>91.347826086956516</v>
      </c>
      <c r="AX26" s="376">
        <f>IF(ISBLANK(P26),"",(AVERAGE($R$4:R26)))</f>
        <v>1015.847847826087</v>
      </c>
      <c r="AY26" s="368">
        <f>IF(ISBLANK(U26),"",(AVERAGE($U$4:U26)))</f>
        <v>3.8347826086956531</v>
      </c>
      <c r="AZ26" s="6"/>
      <c r="BA26" s="25">
        <f t="shared" si="12"/>
        <v>-1.0250000000000004</v>
      </c>
      <c r="BB26" s="25">
        <f t="shared" si="13"/>
        <v>0.45833333333332682</v>
      </c>
      <c r="BC26" s="25">
        <f t="shared" si="16"/>
        <v>-0.28333333333333677</v>
      </c>
      <c r="BD26" s="367">
        <f t="shared" si="15"/>
        <v>1.4833333333333272</v>
      </c>
      <c r="BE26" s="72"/>
      <c r="BF26" s="25">
        <f>IF(ISBLANK(F26),"",AS26-AVERAGE($F$91:F113))</f>
        <v>2.8466956521739109</v>
      </c>
      <c r="BG26" s="25">
        <f>IF(ISBLANK(G26),"",AT26-AVERAGE($G$91:G113))</f>
        <v>2.3108695652173896</v>
      </c>
      <c r="BH26" s="367">
        <f t="shared" si="18"/>
        <v>-0.53582608695652123</v>
      </c>
      <c r="BI26" s="115">
        <f t="shared" si="0"/>
        <v>0.49116847826086962</v>
      </c>
      <c r="BJ26" s="115">
        <f t="shared" si="1"/>
        <v>0.88314404143217462</v>
      </c>
      <c r="BK26" s="88"/>
      <c r="BL26" s="572">
        <v>23</v>
      </c>
    </row>
    <row r="27" spans="1:64" ht="12.75" customHeight="1" x14ac:dyDescent="0.2">
      <c r="A27" s="394">
        <f t="shared" si="2"/>
        <v>24</v>
      </c>
      <c r="B27" s="131">
        <v>8.6999999999999993</v>
      </c>
      <c r="C27" s="282">
        <v>12.7</v>
      </c>
      <c r="D27" s="685"/>
      <c r="E27" s="97">
        <f t="shared" si="3"/>
        <v>24</v>
      </c>
      <c r="F27" s="23">
        <v>8.6999999999999993</v>
      </c>
      <c r="G27" s="23">
        <v>12.7</v>
      </c>
      <c r="H27" s="26">
        <v>10.3</v>
      </c>
      <c r="I27" s="23">
        <v>4</v>
      </c>
      <c r="J27" s="6">
        <f t="shared" si="4"/>
        <v>0</v>
      </c>
      <c r="K27" s="24">
        <v>79</v>
      </c>
      <c r="L27" s="24">
        <v>98</v>
      </c>
      <c r="M27" s="27">
        <v>91</v>
      </c>
      <c r="N27" s="24">
        <v>19</v>
      </c>
      <c r="O27" s="50">
        <f t="shared" si="5"/>
        <v>0</v>
      </c>
      <c r="P27" s="24">
        <v>1022</v>
      </c>
      <c r="Q27" s="24">
        <v>1029</v>
      </c>
      <c r="R27" s="24">
        <f t="shared" si="6"/>
        <v>1025.5</v>
      </c>
      <c r="S27" s="24">
        <f t="shared" si="7"/>
        <v>7</v>
      </c>
      <c r="T27" s="50"/>
      <c r="U27" s="143">
        <v>5.9</v>
      </c>
      <c r="V27" s="143">
        <v>13.8</v>
      </c>
      <c r="W27" s="143">
        <v>22.1</v>
      </c>
      <c r="X27" s="123" t="s">
        <v>111</v>
      </c>
      <c r="Y27" s="461">
        <f t="shared" si="8"/>
        <v>0</v>
      </c>
      <c r="Z27" s="426">
        <v>0</v>
      </c>
      <c r="AA27" s="467"/>
      <c r="AB27" s="467"/>
      <c r="AC27" s="510" t="str">
        <f t="shared" si="9"/>
        <v/>
      </c>
      <c r="AD27" s="7" t="str">
        <f t="shared" si="10"/>
        <v/>
      </c>
      <c r="AE27" s="455" t="s">
        <v>8</v>
      </c>
      <c r="AF27" s="462"/>
      <c r="AG27" s="143">
        <v>7</v>
      </c>
      <c r="AH27" s="143">
        <v>11.4</v>
      </c>
      <c r="AI27" s="143">
        <v>8.9</v>
      </c>
      <c r="AJ27" s="7">
        <f t="shared" si="11"/>
        <v>4.4000000000000004</v>
      </c>
      <c r="AK27" s="6"/>
      <c r="AL27" s="123" t="s">
        <v>361</v>
      </c>
      <c r="AM27" s="134"/>
      <c r="AN27" s="23" t="s">
        <v>8</v>
      </c>
      <c r="AO27" s="400"/>
      <c r="AP27" s="123">
        <v>2</v>
      </c>
      <c r="AQ27" s="123">
        <v>0</v>
      </c>
      <c r="AR27" s="134"/>
      <c r="AS27" s="26">
        <f>IF(ISBLANK(F27),"",(AVERAGE($F$4:F27)))</f>
        <v>8.2958333333333361</v>
      </c>
      <c r="AT27" s="26">
        <f>IF(ISBLANK(G27),"",(AVERAGE($G$4:G27)))</f>
        <v>12.762499999999998</v>
      </c>
      <c r="AU27" s="25">
        <f>IF(ISBLANK(H27),"",(AVERAGE($H$4:H27)))</f>
        <v>10.5875</v>
      </c>
      <c r="AV27" s="368">
        <f>IF(ISBLANK(G27),"",(AVERAGE($I$4:I27)))</f>
        <v>4.4666666666666659</v>
      </c>
      <c r="AW27" s="22">
        <f>IF(ISBLANK(M27),"",AVERAGE($M$4:M27))</f>
        <v>91.333333333333329</v>
      </c>
      <c r="AX27" s="376">
        <f>IF(ISBLANK(P27),"",(AVERAGE($R$4:R27)))</f>
        <v>1016.2500208333335</v>
      </c>
      <c r="AY27" s="368">
        <f>IF(ISBLANK(U27),"",(AVERAGE($U$4:U27)))</f>
        <v>3.9208333333333343</v>
      </c>
      <c r="AZ27" s="6"/>
      <c r="BA27" s="25">
        <f t="shared" si="12"/>
        <v>4.7999999999999989</v>
      </c>
      <c r="BB27" s="25">
        <f t="shared" si="13"/>
        <v>3.1999999999999993</v>
      </c>
      <c r="BC27" s="25">
        <f t="shared" si="16"/>
        <v>3.9999999999999991</v>
      </c>
      <c r="BD27" s="367">
        <f t="shared" si="15"/>
        <v>-1.5999999999999996</v>
      </c>
      <c r="BE27" s="72"/>
      <c r="BF27" s="25">
        <f>IF(ISBLANK(F27),"",AS27-AVERAGE($F$91:F114))</f>
        <v>2.9280833333333325</v>
      </c>
      <c r="BG27" s="25">
        <f>IF(ISBLANK(G27),"",AT27-AVERAGE($G$91:G114))</f>
        <v>2.3479166666666629</v>
      </c>
      <c r="BH27" s="367">
        <f t="shared" si="18"/>
        <v>-0.58016666666666961</v>
      </c>
      <c r="BI27" s="115">
        <f t="shared" si="0"/>
        <v>0.470703125</v>
      </c>
      <c r="BJ27" s="115">
        <f t="shared" si="1"/>
        <v>0.88485629994802528</v>
      </c>
      <c r="BK27" s="88"/>
      <c r="BL27" s="572">
        <v>24</v>
      </c>
    </row>
    <row r="28" spans="1:64" ht="12.75" customHeight="1" x14ac:dyDescent="0.2">
      <c r="A28" s="394">
        <f t="shared" si="2"/>
        <v>25</v>
      </c>
      <c r="B28" s="131">
        <v>10.3</v>
      </c>
      <c r="C28" s="282">
        <v>11.7</v>
      </c>
      <c r="D28" s="685"/>
      <c r="E28" s="97">
        <f t="shared" si="3"/>
        <v>25</v>
      </c>
      <c r="F28" s="23">
        <v>7.2</v>
      </c>
      <c r="G28" s="23">
        <v>13</v>
      </c>
      <c r="H28" s="26">
        <v>10.7</v>
      </c>
      <c r="I28" s="23">
        <v>5.8</v>
      </c>
      <c r="J28" s="6">
        <f t="shared" si="4"/>
        <v>1</v>
      </c>
      <c r="K28" s="24">
        <v>58</v>
      </c>
      <c r="L28" s="24">
        <v>92</v>
      </c>
      <c r="M28" s="27">
        <v>78</v>
      </c>
      <c r="N28" s="24">
        <v>34</v>
      </c>
      <c r="O28" s="50">
        <f t="shared" si="5"/>
        <v>1</v>
      </c>
      <c r="P28" s="24">
        <v>1020</v>
      </c>
      <c r="Q28" s="24">
        <v>1030</v>
      </c>
      <c r="R28" s="24">
        <f t="shared" si="6"/>
        <v>1025</v>
      </c>
      <c r="S28" s="24">
        <f t="shared" si="7"/>
        <v>10</v>
      </c>
      <c r="T28" s="50"/>
      <c r="U28" s="143">
        <v>6.7</v>
      </c>
      <c r="V28" s="143">
        <v>14.5</v>
      </c>
      <c r="W28" s="143">
        <v>22.1</v>
      </c>
      <c r="X28" s="123" t="s">
        <v>110</v>
      </c>
      <c r="Y28" s="461">
        <f t="shared" si="8"/>
        <v>0</v>
      </c>
      <c r="Z28" s="426">
        <v>0</v>
      </c>
      <c r="AA28" s="467" t="s">
        <v>619</v>
      </c>
      <c r="AB28" s="467" t="s">
        <v>619</v>
      </c>
      <c r="AC28" s="510" t="str">
        <f t="shared" si="9"/>
        <v/>
      </c>
      <c r="AD28" s="7" t="str">
        <f t="shared" si="10"/>
        <v/>
      </c>
      <c r="AE28" s="455" t="s">
        <v>619</v>
      </c>
      <c r="AF28" s="462"/>
      <c r="AG28" s="143">
        <v>3.5</v>
      </c>
      <c r="AH28" s="143">
        <v>11.2</v>
      </c>
      <c r="AI28" s="143">
        <v>6.9</v>
      </c>
      <c r="AJ28" s="7">
        <f t="shared" si="11"/>
        <v>7.6999999999999993</v>
      </c>
      <c r="AK28" s="6"/>
      <c r="AL28" s="123" t="s">
        <v>533</v>
      </c>
      <c r="AM28" s="134"/>
      <c r="AN28" s="23" t="s">
        <v>8</v>
      </c>
      <c r="AO28" s="400"/>
      <c r="AP28" s="123">
        <v>5</v>
      </c>
      <c r="AQ28" s="123">
        <v>0</v>
      </c>
      <c r="AR28" s="134"/>
      <c r="AS28" s="26">
        <f>IF(ISBLANK(F28),"",(AVERAGE($F$4:F28)))</f>
        <v>8.2520000000000024</v>
      </c>
      <c r="AT28" s="26">
        <f>IF(ISBLANK(G28),"",(AVERAGE($G$4:G28)))</f>
        <v>12.771999999999998</v>
      </c>
      <c r="AU28" s="25">
        <f>IF(ISBLANK(H28),"",(AVERAGE($H$4:H28)))</f>
        <v>10.592000000000001</v>
      </c>
      <c r="AV28" s="368">
        <f>IF(ISBLANK(G28),"",(AVERAGE($I$4:I28)))</f>
        <v>4.5199999999999996</v>
      </c>
      <c r="AW28" s="22">
        <f>IF(ISBLANK(M28),"",AVERAGE($M$4:M28))</f>
        <v>90.8</v>
      </c>
      <c r="AX28" s="376">
        <f>IF(ISBLANK(P28),"",(AVERAGE($R$4:R28)))</f>
        <v>1016.6000200000001</v>
      </c>
      <c r="AY28" s="368">
        <f>IF(ISBLANK(U28),"",(AVERAGE($U$4:U28)))</f>
        <v>4.0320000000000009</v>
      </c>
      <c r="AZ28" s="6"/>
      <c r="BA28" s="25">
        <f t="shared" si="12"/>
        <v>3.3345833333333337</v>
      </c>
      <c r="BB28" s="25">
        <f t="shared" si="13"/>
        <v>3.5812500000000007</v>
      </c>
      <c r="BC28" s="25">
        <f t="shared" si="16"/>
        <v>3.4579166666666672</v>
      </c>
      <c r="BD28" s="367">
        <f t="shared" si="15"/>
        <v>0.24666666666666703</v>
      </c>
      <c r="BE28" s="72"/>
      <c r="BF28" s="25">
        <f>IF(ISBLANK(F28),"",AS28-AVERAGE($F$91:F115))</f>
        <v>2.9443433333333324</v>
      </c>
      <c r="BG28" s="25">
        <f>IF(ISBLANK(G28),"",AT28-AVERAGE($G$91:G115))</f>
        <v>2.3972499999999979</v>
      </c>
      <c r="BH28" s="367">
        <f t="shared" si="18"/>
        <v>-0.54709333333333454</v>
      </c>
      <c r="BI28" s="115">
        <f t="shared" si="0"/>
        <v>0.45187500000000003</v>
      </c>
      <c r="BJ28" s="115">
        <f t="shared" si="1"/>
        <v>0.93885661696663725</v>
      </c>
      <c r="BK28" s="88"/>
      <c r="BL28" s="572">
        <v>25</v>
      </c>
    </row>
    <row r="29" spans="1:64" ht="12.75" customHeight="1" x14ac:dyDescent="0.2">
      <c r="A29" s="394">
        <f t="shared" si="2"/>
        <v>26</v>
      </c>
      <c r="B29" s="131">
        <v>6.5</v>
      </c>
      <c r="C29" s="282">
        <v>12.7</v>
      </c>
      <c r="D29" s="685"/>
      <c r="E29" s="97">
        <f t="shared" si="3"/>
        <v>26</v>
      </c>
      <c r="F29" s="23">
        <v>6.5</v>
      </c>
      <c r="G29" s="23">
        <v>12.7</v>
      </c>
      <c r="H29" s="26">
        <v>9.9</v>
      </c>
      <c r="I29" s="23">
        <v>6.2</v>
      </c>
      <c r="J29" s="6">
        <f t="shared" si="4"/>
        <v>0</v>
      </c>
      <c r="K29" s="24">
        <v>68</v>
      </c>
      <c r="L29" s="24">
        <v>92</v>
      </c>
      <c r="M29" s="27">
        <v>80</v>
      </c>
      <c r="N29" s="24">
        <v>24</v>
      </c>
      <c r="O29" s="50">
        <f t="shared" si="5"/>
        <v>0</v>
      </c>
      <c r="P29" s="24">
        <v>1019</v>
      </c>
      <c r="Q29" s="24">
        <v>1030</v>
      </c>
      <c r="R29" s="24">
        <f t="shared" si="6"/>
        <v>1024.5</v>
      </c>
      <c r="S29" s="24">
        <f t="shared" si="7"/>
        <v>11</v>
      </c>
      <c r="T29" s="50"/>
      <c r="U29" s="143">
        <v>7.7</v>
      </c>
      <c r="V29" s="143">
        <v>20.8</v>
      </c>
      <c r="W29" s="143">
        <v>30.6</v>
      </c>
      <c r="X29" s="123" t="s">
        <v>110</v>
      </c>
      <c r="Y29" s="461">
        <f t="shared" si="8"/>
        <v>0</v>
      </c>
      <c r="Z29" s="426">
        <v>0</v>
      </c>
      <c r="AA29" s="467" t="s">
        <v>619</v>
      </c>
      <c r="AB29" s="467" t="s">
        <v>619</v>
      </c>
      <c r="AC29" s="510" t="str">
        <f t="shared" si="9"/>
        <v/>
      </c>
      <c r="AD29" s="7" t="str">
        <f t="shared" si="10"/>
        <v/>
      </c>
      <c r="AE29" s="455" t="s">
        <v>619</v>
      </c>
      <c r="AF29" s="462"/>
      <c r="AG29" s="143">
        <v>4.3</v>
      </c>
      <c r="AH29" s="143">
        <v>8.1999999999999993</v>
      </c>
      <c r="AI29" s="143">
        <v>6.6</v>
      </c>
      <c r="AJ29" s="7">
        <f t="shared" si="11"/>
        <v>3.8999999999999995</v>
      </c>
      <c r="AK29" s="6"/>
      <c r="AL29" s="123" t="s">
        <v>243</v>
      </c>
      <c r="AM29" s="134"/>
      <c r="AN29" s="23" t="s">
        <v>8</v>
      </c>
      <c r="AO29" s="400"/>
      <c r="AP29" s="123">
        <v>1</v>
      </c>
      <c r="AQ29" s="123">
        <v>0</v>
      </c>
      <c r="AR29" s="134"/>
      <c r="AS29" s="26">
        <f>IF(ISBLANK(F29),"",(AVERAGE($F$4:F29)))</f>
        <v>8.1846153846153857</v>
      </c>
      <c r="AT29" s="26">
        <f>IF(ISBLANK(G29),"",(AVERAGE($G$4:G29)))</f>
        <v>12.769230769230766</v>
      </c>
      <c r="AU29" s="25">
        <f>IF(ISBLANK(H29),"",(AVERAGE($H$4:H29)))</f>
        <v>10.565384615384614</v>
      </c>
      <c r="AV29" s="368">
        <f>IF(ISBLANK(G29),"",(AVERAGE($I$4:I29)))</f>
        <v>4.5846153846153843</v>
      </c>
      <c r="AW29" s="22">
        <f>IF(ISBLANK(M29),"",AVERAGE($M$4:M29))</f>
        <v>90.384615384615387</v>
      </c>
      <c r="AX29" s="376">
        <f>IF(ISBLANK(P29),"",(AVERAGE($R$4:R29)))</f>
        <v>1016.9038653846154</v>
      </c>
      <c r="AY29" s="368">
        <f>IF(ISBLANK(U29),"",(AVERAGE($U$4:U29)))</f>
        <v>4.1730769230769242</v>
      </c>
      <c r="AZ29" s="6"/>
      <c r="BA29" s="25">
        <f t="shared" si="12"/>
        <v>2.6691666666666669</v>
      </c>
      <c r="BB29" s="25">
        <f t="shared" si="13"/>
        <v>3.3624999999999989</v>
      </c>
      <c r="BC29" s="25">
        <f t="shared" si="16"/>
        <v>3.0158333333333331</v>
      </c>
      <c r="BD29" s="367">
        <f t="shared" si="15"/>
        <v>0.69333333333333202</v>
      </c>
      <c r="BE29" s="72"/>
      <c r="BF29" s="25">
        <f>IF(ISBLANK(F29),"",AS29-AVERAGE($F$91:F116))</f>
        <v>2.9337596153846128</v>
      </c>
      <c r="BG29" s="25">
        <f>IF(ISBLANK(G29),"",AT29-AVERAGE($G$91:G116))</f>
        <v>2.4343749999999975</v>
      </c>
      <c r="BH29" s="367">
        <f t="shared" si="18"/>
        <v>-0.49938461538461532</v>
      </c>
      <c r="BI29" s="115">
        <f t="shared" si="0"/>
        <v>0.43449519230769235</v>
      </c>
      <c r="BJ29" s="115">
        <f t="shared" si="1"/>
        <v>0.92195814633412798</v>
      </c>
      <c r="BK29" s="88"/>
      <c r="BL29" s="572">
        <v>26</v>
      </c>
    </row>
    <row r="30" spans="1:64" ht="12.75" customHeight="1" x14ac:dyDescent="0.2">
      <c r="A30" s="394">
        <f t="shared" si="2"/>
        <v>27</v>
      </c>
      <c r="B30" s="131">
        <v>11.6</v>
      </c>
      <c r="C30" s="282">
        <v>13.3</v>
      </c>
      <c r="D30" s="685"/>
      <c r="E30" s="97">
        <f t="shared" si="3"/>
        <v>27</v>
      </c>
      <c r="F30" s="23">
        <v>3.6</v>
      </c>
      <c r="G30" s="23">
        <v>13.3</v>
      </c>
      <c r="H30" s="26">
        <v>10.5</v>
      </c>
      <c r="I30" s="23">
        <v>9.6999999999999993</v>
      </c>
      <c r="J30" s="6">
        <f t="shared" si="4"/>
        <v>0</v>
      </c>
      <c r="K30" s="24">
        <v>47</v>
      </c>
      <c r="L30" s="24">
        <v>85</v>
      </c>
      <c r="M30" s="27">
        <v>68</v>
      </c>
      <c r="N30" s="24">
        <v>38</v>
      </c>
      <c r="O30" s="50">
        <f t="shared" si="5"/>
        <v>1</v>
      </c>
      <c r="P30" s="24">
        <v>1014</v>
      </c>
      <c r="Q30" s="24">
        <v>1029</v>
      </c>
      <c r="R30" s="24">
        <f t="shared" si="6"/>
        <v>1021.5</v>
      </c>
      <c r="S30" s="24">
        <f t="shared" si="7"/>
        <v>15</v>
      </c>
      <c r="T30" s="50"/>
      <c r="U30" s="143">
        <v>7.4</v>
      </c>
      <c r="V30" s="143">
        <v>18.7</v>
      </c>
      <c r="W30" s="143">
        <v>29.7</v>
      </c>
      <c r="X30" s="123" t="s">
        <v>114</v>
      </c>
      <c r="Y30" s="461">
        <f t="shared" si="8"/>
        <v>1</v>
      </c>
      <c r="Z30" s="426">
        <v>0.3</v>
      </c>
      <c r="AA30" s="467" t="s">
        <v>8</v>
      </c>
      <c r="AB30" s="467" t="s">
        <v>8</v>
      </c>
      <c r="AC30" s="510">
        <f t="shared" si="9"/>
        <v>1.1904761904761902E-2</v>
      </c>
      <c r="AD30" s="7">
        <f t="shared" si="10"/>
        <v>0.6</v>
      </c>
      <c r="AE30" s="455" t="s">
        <v>8</v>
      </c>
      <c r="AF30" s="462"/>
      <c r="AG30" s="143">
        <v>-1</v>
      </c>
      <c r="AH30" s="143">
        <v>10.4</v>
      </c>
      <c r="AI30" s="143">
        <v>4.8</v>
      </c>
      <c r="AJ30" s="7">
        <f t="shared" si="11"/>
        <v>11.4</v>
      </c>
      <c r="AK30" s="72"/>
      <c r="AL30" s="123" t="s">
        <v>705</v>
      </c>
      <c r="AM30" s="134"/>
      <c r="AN30" s="391" t="s">
        <v>762</v>
      </c>
      <c r="AO30" s="400"/>
      <c r="AP30" s="123">
        <v>6</v>
      </c>
      <c r="AQ30" s="123">
        <v>0.5</v>
      </c>
      <c r="AR30" s="134"/>
      <c r="AS30" s="26">
        <f>IF(ISBLANK(F30),"",(AVERAGE($F$4:F30)))</f>
        <v>8.0148148148148159</v>
      </c>
      <c r="AT30" s="26">
        <f>IF(ISBLANK(G30),"",(AVERAGE($G$4:G30)))</f>
        <v>12.788888888888888</v>
      </c>
      <c r="AU30" s="25">
        <f>IF(ISBLANK(H30),"",(AVERAGE($H$4:H30)))</f>
        <v>10.562962962962963</v>
      </c>
      <c r="AV30" s="368">
        <f>IF(ISBLANK(G30),"",(AVERAGE($I$4:I30)))</f>
        <v>4.7740740740740728</v>
      </c>
      <c r="AW30" s="22">
        <f>IF(ISBLANK(M30),"",AVERAGE($M$4:M30))</f>
        <v>89.555555555555557</v>
      </c>
      <c r="AX30" s="376">
        <f>IF(ISBLANK(P30),"",(AVERAGE($R$4:R30)))</f>
        <v>1017.0740925925927</v>
      </c>
      <c r="AY30" s="368">
        <f>IF(ISBLANK(U30),"",(AVERAGE($U$4:U30)))</f>
        <v>4.2925925925925936</v>
      </c>
      <c r="AZ30" s="6"/>
      <c r="BA30" s="25">
        <f t="shared" si="12"/>
        <v>-0.19625000000000004</v>
      </c>
      <c r="BB30" s="25">
        <f t="shared" si="13"/>
        <v>4.0437500000000011</v>
      </c>
      <c r="BC30" s="25">
        <f t="shared" si="16"/>
        <v>1.9237500000000005</v>
      </c>
      <c r="BD30" s="367">
        <f t="shared" si="15"/>
        <v>4.2400000000000011</v>
      </c>
      <c r="BE30" s="72"/>
      <c r="BF30" s="25">
        <f>IF(ISBLANK(F30),"",AS30-AVERAGE($F$91:F117))</f>
        <v>2.817833333333331</v>
      </c>
      <c r="BG30" s="25">
        <f>IF(ISBLANK(G30),"",AT30-AVERAGE($G$91:G117))</f>
        <v>2.4939814814814785</v>
      </c>
      <c r="BH30" s="367">
        <f>IF(ISBLANK(G30),"",BG30-BF30)</f>
        <v>-0.3238518518518525</v>
      </c>
      <c r="BI30" s="115">
        <f t="shared" si="0"/>
        <v>0.42361111111111116</v>
      </c>
      <c r="BJ30" s="115">
        <f t="shared" si="1"/>
        <v>0.98744577715724868</v>
      </c>
      <c r="BK30" s="421"/>
      <c r="BL30" s="572">
        <v>27</v>
      </c>
    </row>
    <row r="31" spans="1:64" ht="12.75" customHeight="1" x14ac:dyDescent="0.2">
      <c r="A31" s="394">
        <f t="shared" si="2"/>
        <v>28</v>
      </c>
      <c r="B31" s="131">
        <v>0.4</v>
      </c>
      <c r="C31" s="282">
        <v>9.8000000000000007</v>
      </c>
      <c r="D31" s="685"/>
      <c r="E31" s="97">
        <f t="shared" si="3"/>
        <v>28</v>
      </c>
      <c r="F31" s="23">
        <v>0.4</v>
      </c>
      <c r="G31" s="23">
        <v>12.7</v>
      </c>
      <c r="H31" s="26">
        <v>6.2</v>
      </c>
      <c r="I31" s="23">
        <v>12.3</v>
      </c>
      <c r="J31" s="6">
        <f t="shared" si="4"/>
        <v>1</v>
      </c>
      <c r="K31" s="24">
        <v>69</v>
      </c>
      <c r="L31" s="24">
        <v>92</v>
      </c>
      <c r="M31" s="27">
        <v>82</v>
      </c>
      <c r="N31" s="24">
        <v>23</v>
      </c>
      <c r="O31" s="50">
        <f t="shared" si="5"/>
        <v>0</v>
      </c>
      <c r="P31" s="24">
        <v>1014</v>
      </c>
      <c r="Q31" s="24">
        <v>1028</v>
      </c>
      <c r="R31" s="24">
        <f t="shared" si="6"/>
        <v>1021</v>
      </c>
      <c r="S31" s="24">
        <f t="shared" si="7"/>
        <v>14</v>
      </c>
      <c r="T31" s="50"/>
      <c r="U31" s="143">
        <v>3.4</v>
      </c>
      <c r="V31" s="143">
        <v>15.6</v>
      </c>
      <c r="W31" s="143">
        <v>23.9</v>
      </c>
      <c r="X31" s="123" t="s">
        <v>111</v>
      </c>
      <c r="Y31" s="461">
        <f t="shared" si="8"/>
        <v>0</v>
      </c>
      <c r="Z31" s="426">
        <v>0</v>
      </c>
      <c r="AA31" s="467" t="s">
        <v>619</v>
      </c>
      <c r="AB31" s="467" t="s">
        <v>619</v>
      </c>
      <c r="AC31" s="510" t="str">
        <f t="shared" si="9"/>
        <v/>
      </c>
      <c r="AD31" s="7" t="str">
        <f t="shared" si="10"/>
        <v/>
      </c>
      <c r="AE31" s="455" t="s">
        <v>619</v>
      </c>
      <c r="AF31" s="462"/>
      <c r="AG31" s="143">
        <v>-1.9</v>
      </c>
      <c r="AH31" s="143">
        <v>11.3</v>
      </c>
      <c r="AI31" s="143">
        <v>3.3</v>
      </c>
      <c r="AJ31" s="7">
        <f t="shared" si="11"/>
        <v>13.200000000000001</v>
      </c>
      <c r="AK31" s="72"/>
      <c r="AL31" s="123" t="s">
        <v>243</v>
      </c>
      <c r="AM31" s="134"/>
      <c r="AN31" s="23" t="s">
        <v>8</v>
      </c>
      <c r="AO31" s="400"/>
      <c r="AP31" s="123">
        <v>0.3</v>
      </c>
      <c r="AQ31" s="123">
        <v>0</v>
      </c>
      <c r="AR31" s="134"/>
      <c r="AS31" s="26">
        <f>IF(ISBLANK(F31),"",(AVERAGE($F$4:F31)))</f>
        <v>7.7428571428571447</v>
      </c>
      <c r="AT31" s="26">
        <f>IF(ISBLANK(G31),"",(AVERAGE($G$4:G31)))</f>
        <v>12.785714285714283</v>
      </c>
      <c r="AU31" s="25">
        <f>IF(ISBLANK(H31),"",(AVERAGE($H$4:H31)))</f>
        <v>10.407142857142857</v>
      </c>
      <c r="AV31" s="368">
        <f>IF(ISBLANK(G31),"",(AVERAGE($I$4:I31)))</f>
        <v>5.0428571428571427</v>
      </c>
      <c r="AW31" s="22">
        <f>IF(ISBLANK(M31),"",AVERAGE($M$4:M31))</f>
        <v>89.285714285714292</v>
      </c>
      <c r="AX31" s="376">
        <f>IF(ISBLANK(P31),"",(AVERAGE($R$4:R31)))</f>
        <v>1017.2143035714287</v>
      </c>
      <c r="AY31" s="368">
        <f>IF(ISBLANK(U31),"",(AVERAGE($U$4:U31)))</f>
        <v>4.260714285714287</v>
      </c>
      <c r="AZ31" s="6"/>
      <c r="BA31" s="25">
        <f t="shared" si="12"/>
        <v>-3.3616666666666664</v>
      </c>
      <c r="BB31" s="25">
        <f t="shared" si="13"/>
        <v>3.5249999999999986</v>
      </c>
      <c r="BC31" s="25">
        <f t="shared" si="16"/>
        <v>8.166666666666611E-2</v>
      </c>
      <c r="BD31" s="367">
        <f t="shared" si="15"/>
        <v>6.8866666666666649</v>
      </c>
      <c r="BE31" s="72"/>
      <c r="BF31" s="25">
        <f>IF(ISBLANK(F31),"",AS31-AVERAGE($F$91:F118))</f>
        <v>2.5971369047619035</v>
      </c>
      <c r="BG31" s="25">
        <f>IF(ISBLANK(G31),"",AT31-AVERAGE($G$91:G118))</f>
        <v>2.5308035714285673</v>
      </c>
      <c r="BH31" s="367">
        <f>IF(ISBLANK(G31),"",BG31-BF31)</f>
        <v>-6.6333333333336242E-2</v>
      </c>
      <c r="BI31" s="115">
        <f t="shared" si="0"/>
        <v>0.4084821428571429</v>
      </c>
      <c r="BJ31" s="115">
        <f t="shared" si="1"/>
        <v>0.95936964791051582</v>
      </c>
      <c r="BK31" s="421"/>
      <c r="BL31" s="572">
        <v>28</v>
      </c>
    </row>
    <row r="32" spans="1:64" ht="12.75" customHeight="1" x14ac:dyDescent="0.2">
      <c r="A32" s="394">
        <f t="shared" si="2"/>
        <v>29</v>
      </c>
      <c r="B32" s="131">
        <v>11.5</v>
      </c>
      <c r="C32" s="282">
        <v>13.3</v>
      </c>
      <c r="D32" s="685"/>
      <c r="E32" s="97">
        <f t="shared" si="3"/>
        <v>29</v>
      </c>
      <c r="F32" s="23">
        <v>6.3</v>
      </c>
      <c r="G32" s="23">
        <v>13.3</v>
      </c>
      <c r="H32" s="26">
        <v>11.5</v>
      </c>
      <c r="I32" s="23">
        <v>7</v>
      </c>
      <c r="J32" s="6">
        <f t="shared" si="4"/>
        <v>0</v>
      </c>
      <c r="K32" s="24">
        <v>67</v>
      </c>
      <c r="L32" s="24">
        <v>91</v>
      </c>
      <c r="M32" s="27">
        <v>80</v>
      </c>
      <c r="N32" s="24">
        <v>24</v>
      </c>
      <c r="O32" s="50">
        <f t="shared" si="5"/>
        <v>1</v>
      </c>
      <c r="P32" s="24">
        <v>1002</v>
      </c>
      <c r="Q32" s="24">
        <v>1016</v>
      </c>
      <c r="R32" s="24">
        <f t="shared" si="6"/>
        <v>1009</v>
      </c>
      <c r="S32" s="24">
        <f t="shared" si="7"/>
        <v>14</v>
      </c>
      <c r="T32" s="50"/>
      <c r="U32" s="143">
        <v>10</v>
      </c>
      <c r="V32" s="143">
        <v>22.8</v>
      </c>
      <c r="W32" s="143">
        <v>32.200000000000003</v>
      </c>
      <c r="X32" s="123" t="s">
        <v>110</v>
      </c>
      <c r="Y32" s="461">
        <f t="shared" si="8"/>
        <v>1</v>
      </c>
      <c r="Z32" s="426">
        <v>0.8</v>
      </c>
      <c r="AA32" s="467">
        <v>0.5</v>
      </c>
      <c r="AB32" s="467">
        <v>0.5</v>
      </c>
      <c r="AC32" s="510">
        <f t="shared" si="9"/>
        <v>3.1746031746031744E-2</v>
      </c>
      <c r="AD32" s="7">
        <f t="shared" si="10"/>
        <v>0.8</v>
      </c>
      <c r="AE32" s="455">
        <v>5</v>
      </c>
      <c r="AF32" s="462"/>
      <c r="AG32" s="143">
        <v>2.2000000000000002</v>
      </c>
      <c r="AH32" s="143">
        <v>11.2</v>
      </c>
      <c r="AI32" s="143">
        <v>8.1999999999999993</v>
      </c>
      <c r="AJ32" s="7">
        <f t="shared" si="11"/>
        <v>9</v>
      </c>
      <c r="AK32" s="72"/>
      <c r="AL32" s="123" t="s">
        <v>319</v>
      </c>
      <c r="AM32" s="134"/>
      <c r="AN32" s="391" t="s">
        <v>763</v>
      </c>
      <c r="AO32" s="400"/>
      <c r="AP32" s="123">
        <v>0.1</v>
      </c>
      <c r="AQ32" s="123">
        <v>1</v>
      </c>
      <c r="AR32" s="134"/>
      <c r="AS32" s="26">
        <f>IF(ISBLANK(F32),"",(AVERAGE($F$4:F32)))</f>
        <v>7.6931034482758642</v>
      </c>
      <c r="AT32" s="26">
        <f>IF(ISBLANK(G32),"",(AVERAGE($G$4:G32)))</f>
        <v>12.803448275862067</v>
      </c>
      <c r="AU32" s="25">
        <f>IF(ISBLANK(H32),"",(AVERAGE($H$4:H32)))</f>
        <v>10.444827586206896</v>
      </c>
      <c r="AV32" s="368">
        <f>IF(ISBLANK(G32),"",(AVERAGE($I$4:I32)))</f>
        <v>5.1103448275862062</v>
      </c>
      <c r="AW32" s="22">
        <f>IF(ISBLANK(M32),"",AVERAGE($M$4:M32))</f>
        <v>88.965517241379317</v>
      </c>
      <c r="AX32" s="376">
        <f>IF(ISBLANK(P32),"",(AVERAGE($R$4:R32)))</f>
        <v>1016.931051724138</v>
      </c>
      <c r="AY32" s="368">
        <f>IF(ISBLANK(U32),"",(AVERAGE($U$4:U32)))</f>
        <v>4.4586206896551737</v>
      </c>
      <c r="AZ32" s="6"/>
      <c r="BA32" s="25">
        <f t="shared" si="12"/>
        <v>2.572916666666667</v>
      </c>
      <c r="BB32" s="25">
        <f t="shared" si="13"/>
        <v>4.2062500000000007</v>
      </c>
      <c r="BC32" s="25">
        <f t="shared" si="16"/>
        <v>3.3895833333333338</v>
      </c>
      <c r="BD32" s="367">
        <f t="shared" si="15"/>
        <v>1.6333333333333337</v>
      </c>
      <c r="BE32" s="72"/>
      <c r="BF32" s="25">
        <f>IF(ISBLANK(F32),"",AS32-AVERAGE($F$91:F119))</f>
        <v>2.5963017241379305</v>
      </c>
      <c r="BG32" s="25">
        <f>IF(ISBLANK(G32),"",AT32-AVERAGE($G$91:G119))</f>
        <v>2.5885775862068936</v>
      </c>
      <c r="BH32" s="367">
        <f>IF(ISBLANK(G32),"",BG32-BF32)</f>
        <v>-7.7241379310368785E-3</v>
      </c>
      <c r="BI32" s="115">
        <f t="shared" si="0"/>
        <v>0.40732758620689657</v>
      </c>
      <c r="BJ32" s="115">
        <f t="shared" si="1"/>
        <v>0.93019234620042701</v>
      </c>
      <c r="BK32" s="88"/>
      <c r="BL32" s="572">
        <v>29</v>
      </c>
    </row>
    <row r="33" spans="1:64" ht="12.75" customHeight="1" x14ac:dyDescent="0.2">
      <c r="A33" s="394">
        <f t="shared" si="2"/>
        <v>30</v>
      </c>
      <c r="B33" s="131">
        <v>5.9</v>
      </c>
      <c r="C33" s="282">
        <v>11.6</v>
      </c>
      <c r="D33" s="685"/>
      <c r="E33" s="97">
        <f t="shared" si="3"/>
        <v>30</v>
      </c>
      <c r="F33" s="23">
        <v>5.9</v>
      </c>
      <c r="G33" s="23">
        <v>11.6</v>
      </c>
      <c r="H33" s="26">
        <v>8.8000000000000007</v>
      </c>
      <c r="I33" s="23">
        <v>5.7</v>
      </c>
      <c r="J33" s="6">
        <f t="shared" si="4"/>
        <v>0</v>
      </c>
      <c r="K33" s="24">
        <v>68</v>
      </c>
      <c r="L33" s="24">
        <v>83</v>
      </c>
      <c r="M33" s="27">
        <v>76</v>
      </c>
      <c r="N33" s="24">
        <v>15</v>
      </c>
      <c r="O33" s="50">
        <f t="shared" si="5"/>
        <v>0</v>
      </c>
      <c r="P33" s="24">
        <v>1010</v>
      </c>
      <c r="Q33" s="24">
        <v>1022</v>
      </c>
      <c r="R33" s="24">
        <f t="shared" si="6"/>
        <v>1016</v>
      </c>
      <c r="S33" s="24">
        <f t="shared" si="7"/>
        <v>12</v>
      </c>
      <c r="T33" s="50"/>
      <c r="U33" s="143">
        <v>6.8</v>
      </c>
      <c r="V33" s="143">
        <v>16.600000000000001</v>
      </c>
      <c r="W33" s="143">
        <v>24.6</v>
      </c>
      <c r="X33" s="123" t="s">
        <v>111</v>
      </c>
      <c r="Y33" s="461">
        <f t="shared" si="8"/>
        <v>0</v>
      </c>
      <c r="Z33" s="426">
        <v>0</v>
      </c>
      <c r="AA33" s="467" t="s">
        <v>619</v>
      </c>
      <c r="AB33" s="467" t="s">
        <v>619</v>
      </c>
      <c r="AC33" s="510" t="str">
        <f t="shared" si="9"/>
        <v/>
      </c>
      <c r="AD33" s="7" t="str">
        <f t="shared" si="10"/>
        <v/>
      </c>
      <c r="AE33" s="455" t="s">
        <v>619</v>
      </c>
      <c r="AF33" s="462"/>
      <c r="AG33" s="143">
        <v>2.2000000000000002</v>
      </c>
      <c r="AH33" s="143">
        <v>7.1</v>
      </c>
      <c r="AI33" s="143">
        <v>4.7</v>
      </c>
      <c r="AJ33" s="7">
        <f t="shared" si="11"/>
        <v>4.8999999999999995</v>
      </c>
      <c r="AK33" s="72"/>
      <c r="AL33" s="123" t="s">
        <v>481</v>
      </c>
      <c r="AM33" s="134"/>
      <c r="AN33" s="302" t="s">
        <v>764</v>
      </c>
      <c r="AO33" s="400"/>
      <c r="AP33" s="123">
        <v>4</v>
      </c>
      <c r="AQ33" s="123">
        <v>0.5</v>
      </c>
      <c r="AR33" s="134"/>
      <c r="AS33" s="26">
        <f>IF(ISBLANK(F33),"",(AVERAGE($F$4:F33)))</f>
        <v>7.6333333333333355</v>
      </c>
      <c r="AT33" s="26">
        <f>IF(ISBLANK(G33),"",(AVERAGE($G$4:G33)))</f>
        <v>12.763333333333332</v>
      </c>
      <c r="AU33" s="25">
        <f>IF(ISBLANK(H33),"",(AVERAGE($H$4:H33)))</f>
        <v>10.389999999999999</v>
      </c>
      <c r="AV33" s="368">
        <f>IF(ISBLANK(G33),"",(AVERAGE($I$4:I33)))</f>
        <v>5.129999999999999</v>
      </c>
      <c r="AW33" s="22">
        <f>IF(ISBLANK(M33),"",AVERAGE($M$4:M33))</f>
        <v>88.533333333333331</v>
      </c>
      <c r="AX33" s="376">
        <f>IF(ISBLANK(P33),"",(AVERAGE($R$4:R33)))</f>
        <v>1016.9000166666667</v>
      </c>
      <c r="AY33" s="368">
        <f>IF(ISBLANK(U33),"",(AVERAGE($U$4:U33)))</f>
        <v>4.536666666666668</v>
      </c>
      <c r="AZ33" s="6"/>
      <c r="BA33" s="25">
        <f t="shared" si="12"/>
        <v>2.2075000000000005</v>
      </c>
      <c r="BB33" s="25">
        <f t="shared" si="13"/>
        <v>2.5875000000000004</v>
      </c>
      <c r="BC33" s="25">
        <f t="shared" si="16"/>
        <v>2.3975000000000004</v>
      </c>
      <c r="BD33" s="367">
        <f t="shared" si="15"/>
        <v>0.37999999999999989</v>
      </c>
      <c r="BE33" s="72"/>
      <c r="BF33" s="25">
        <f>IF(ISBLANK(F33),"",AS33-AVERAGE($F$91:F120))</f>
        <v>2.5833416666666666</v>
      </c>
      <c r="BG33" s="25">
        <f>IF(ISBLANK(G33),"",AT33-AVERAGE($G$91:G120))</f>
        <v>2.5885416666666643</v>
      </c>
      <c r="BH33" s="367">
        <f>IF(ISBLANK(G33),"",BG33-BF33)</f>
        <v>5.1999999999976509E-3</v>
      </c>
      <c r="BI33" s="115">
        <f t="shared" si="0"/>
        <v>0.39375000000000004</v>
      </c>
      <c r="BJ33" s="115">
        <f t="shared" si="1"/>
        <v>0.96029411764705896</v>
      </c>
      <c r="BK33" s="88"/>
      <c r="BL33" s="572">
        <v>30</v>
      </c>
    </row>
    <row r="34" spans="1:64" ht="12.75" hidden="1" customHeight="1" x14ac:dyDescent="0.2">
      <c r="A34" s="278">
        <v>31</v>
      </c>
      <c r="B34" s="131" t="str">
        <f>IF(ISBLANK(F34),"",F34)</f>
        <v/>
      </c>
      <c r="C34" s="282" t="str">
        <f>IF(ISBLANK(G34),"",G34)</f>
        <v/>
      </c>
      <c r="D34" s="685"/>
      <c r="E34" s="99">
        <v>30</v>
      </c>
      <c r="F34" s="23"/>
      <c r="G34" s="23"/>
      <c r="H34" s="26"/>
      <c r="I34" s="23"/>
      <c r="J34" s="6"/>
      <c r="K34" s="24"/>
      <c r="L34" s="24"/>
      <c r="M34" s="27"/>
      <c r="N34" s="24"/>
      <c r="O34" s="50"/>
      <c r="P34" s="24"/>
      <c r="Q34" s="24"/>
      <c r="R34" s="24" t="str">
        <f>IF(AND(P34&gt;900,P34&lt;1100),AVERAGE(P34:Q34),"")</f>
        <v/>
      </c>
      <c r="S34" s="24" t="str">
        <f>IF(AND(P34&gt;800,P34&lt;1100),Q34-P34,"")</f>
        <v/>
      </c>
      <c r="T34" s="50"/>
      <c r="U34" s="143"/>
      <c r="V34" s="143"/>
      <c r="W34" s="143"/>
      <c r="X34" s="123"/>
      <c r="Y34" s="461">
        <f>IF(OR(H34&lt;-20,H34&gt;40),"",IF(AQ34&lt;0.5,0,IF(Z34=0,0,IF(Z34&lt;1,1,2))))</f>
        <v>0</v>
      </c>
      <c r="Z34" s="570"/>
      <c r="AA34" s="519"/>
      <c r="AB34" s="519"/>
      <c r="AC34" s="510" t="str">
        <f>IF(AND(Z34&lt;300,Z34&gt;0),Z34/$Z$38,"")</f>
        <v/>
      </c>
      <c r="AD34" s="7" t="str">
        <f>IF(OR(Z34&lt;0.3,Z34&gt;300),"",Z34/AQ34)</f>
        <v/>
      </c>
      <c r="AE34" s="525"/>
      <c r="AF34" s="461"/>
      <c r="AG34" s="143"/>
      <c r="AH34" s="143"/>
      <c r="AI34" s="143"/>
      <c r="AJ34" s="7">
        <f t="shared" si="11"/>
        <v>0</v>
      </c>
      <c r="AK34" s="72"/>
      <c r="AL34" s="123"/>
      <c r="AM34" s="134"/>
      <c r="AN34" s="23"/>
      <c r="AO34" s="400"/>
      <c r="AP34" s="123"/>
      <c r="AQ34" s="123"/>
      <c r="AR34" s="134"/>
      <c r="AS34" s="26"/>
      <c r="AT34" s="26"/>
      <c r="AU34" s="25"/>
      <c r="AV34" s="368"/>
      <c r="AW34" s="22"/>
      <c r="AX34" s="376"/>
      <c r="AY34" s="368"/>
      <c r="AZ34" s="6"/>
      <c r="BA34" s="25" t="str">
        <f t="shared" si="12"/>
        <v/>
      </c>
      <c r="BB34" s="25" t="str">
        <f t="shared" si="13"/>
        <v/>
      </c>
      <c r="BC34" s="25" t="str">
        <f t="shared" si="16"/>
        <v/>
      </c>
      <c r="BD34" s="367" t="str">
        <f t="shared" si="15"/>
        <v/>
      </c>
      <c r="BE34" s="72"/>
      <c r="BF34" s="25" t="str">
        <f>IF(ISBLANK(F34),"",AS34-AVERAGE($F$91:F121))</f>
        <v/>
      </c>
      <c r="BG34" s="25" t="str">
        <f>IF(ISBLANK(G34),"",AT34-AVERAGE($G$91:G121))</f>
        <v/>
      </c>
      <c r="BH34" s="367" t="str">
        <f>IF(ISBLANK(G34),"",BG34-BF34)</f>
        <v/>
      </c>
      <c r="BI34" s="138"/>
      <c r="BJ34" s="115" t="str">
        <f t="shared" si="1"/>
        <v/>
      </c>
      <c r="BK34" s="88"/>
      <c r="BL34" s="572">
        <v>31</v>
      </c>
    </row>
    <row r="35" spans="1:64" s="10" customFormat="1" ht="3" customHeight="1" x14ac:dyDescent="0.2">
      <c r="A35" s="72"/>
      <c r="B35" s="284"/>
      <c r="C35" s="285"/>
      <c r="D35" s="685"/>
      <c r="E35" s="15"/>
      <c r="F35" s="29"/>
      <c r="G35" s="29"/>
      <c r="H35" s="28"/>
      <c r="I35" s="29"/>
      <c r="J35" s="6"/>
      <c r="K35" s="30"/>
      <c r="L35" s="30"/>
      <c r="M35" s="30"/>
      <c r="N35" s="30"/>
      <c r="O35" s="17"/>
      <c r="P35" s="30"/>
      <c r="Q35" s="30"/>
      <c r="R35" s="30"/>
      <c r="S35" s="30"/>
      <c r="T35" s="50"/>
      <c r="U35" s="28"/>
      <c r="V35" s="28"/>
      <c r="W35" s="32"/>
      <c r="X35" s="28"/>
      <c r="Y35" s="67"/>
      <c r="Z35" s="501"/>
      <c r="AA35" s="501"/>
      <c r="AB35" s="501"/>
      <c r="AC35" s="511"/>
      <c r="AD35" s="28"/>
      <c r="AE35" s="28"/>
      <c r="AF35" s="6"/>
      <c r="AG35" s="28"/>
      <c r="AH35" s="28"/>
      <c r="AI35" s="28"/>
      <c r="AJ35" s="28"/>
      <c r="AK35" s="67"/>
      <c r="AL35" s="95"/>
      <c r="AM35" s="6"/>
      <c r="AN35" s="29"/>
      <c r="AO35" s="400"/>
      <c r="AP35" s="28"/>
      <c r="AQ35" s="28"/>
      <c r="AR35" s="67"/>
      <c r="AS35" s="31"/>
      <c r="AT35" s="32"/>
      <c r="AU35" s="83"/>
      <c r="AV35" s="33"/>
      <c r="AW35" s="33"/>
      <c r="AX35" s="32"/>
      <c r="AY35" s="112"/>
      <c r="AZ35" s="54"/>
      <c r="BA35" s="112"/>
      <c r="BB35" s="112"/>
      <c r="BC35" s="112"/>
      <c r="BD35" s="82"/>
      <c r="BE35" s="402"/>
      <c r="BF35" s="32"/>
      <c r="BG35" s="32"/>
      <c r="BH35" s="32"/>
      <c r="BI35" s="28"/>
      <c r="BJ35" s="584"/>
      <c r="BK35" s="88"/>
      <c r="BL35" s="78"/>
    </row>
    <row r="36" spans="1:64" ht="12.75" customHeight="1" x14ac:dyDescent="0.2">
      <c r="A36" s="67"/>
      <c r="B36" s="697"/>
      <c r="C36" s="698"/>
      <c r="D36" s="685"/>
      <c r="E36" s="4"/>
      <c r="F36" s="25"/>
      <c r="G36" s="25"/>
      <c r="H36" s="21"/>
      <c r="I36" s="25"/>
      <c r="J36" s="18"/>
      <c r="K36" s="22"/>
      <c r="L36" s="22"/>
      <c r="M36" s="22"/>
      <c r="N36" s="22"/>
      <c r="O36" s="18"/>
      <c r="P36" s="48"/>
      <c r="Q36" s="48"/>
      <c r="R36" s="48"/>
      <c r="S36" s="48"/>
      <c r="T36" s="67"/>
      <c r="U36" s="21"/>
      <c r="V36" s="21"/>
      <c r="W36" s="21"/>
      <c r="X36" s="21"/>
      <c r="Y36" s="67"/>
      <c r="Z36" s="458" t="s">
        <v>34</v>
      </c>
      <c r="AA36" s="502"/>
      <c r="AB36" s="502"/>
      <c r="AC36" s="512"/>
      <c r="AD36" s="430" t="s">
        <v>202</v>
      </c>
      <c r="AE36" s="111"/>
      <c r="AF36" s="6"/>
      <c r="AG36" s="21"/>
      <c r="AJ36" s="21"/>
      <c r="AK36" s="67"/>
      <c r="AM36" s="6"/>
      <c r="AN36" s="182" t="s">
        <v>121</v>
      </c>
      <c r="AO36" s="402"/>
      <c r="AP36" s="185" t="s">
        <v>34</v>
      </c>
      <c r="AQ36" s="520" t="s">
        <v>34</v>
      </c>
      <c r="AR36" s="67"/>
      <c r="AS36" s="271" t="s">
        <v>16</v>
      </c>
      <c r="AT36" s="152" t="s">
        <v>26</v>
      </c>
      <c r="AU36" s="11" t="s">
        <v>41</v>
      </c>
      <c r="AV36" s="416" t="s">
        <v>81</v>
      </c>
      <c r="AW36" s="11" t="s">
        <v>6</v>
      </c>
      <c r="AX36" s="296" t="s">
        <v>79</v>
      </c>
      <c r="AY36" s="182" t="s">
        <v>201</v>
      </c>
      <c r="AZ36" s="71"/>
      <c r="BA36" s="699" t="s">
        <v>78</v>
      </c>
      <c r="BB36" s="699"/>
      <c r="BC36" s="569" t="s">
        <v>200</v>
      </c>
      <c r="BD36" s="417" t="s">
        <v>253</v>
      </c>
      <c r="BE36" s="402"/>
      <c r="BH36" s="21"/>
      <c r="BK36" s="88"/>
      <c r="BL36" s="78"/>
    </row>
    <row r="37" spans="1:64" ht="3" customHeight="1" x14ac:dyDescent="0.2">
      <c r="A37" s="73"/>
      <c r="B37" s="284"/>
      <c r="C37" s="286"/>
      <c r="D37" s="685"/>
      <c r="E37" s="35"/>
      <c r="F37" s="36"/>
      <c r="G37" s="36"/>
      <c r="H37" s="34"/>
      <c r="I37" s="36"/>
      <c r="J37" s="60"/>
      <c r="K37" s="37"/>
      <c r="L37" s="37"/>
      <c r="M37" s="37"/>
      <c r="N37" s="37"/>
      <c r="O37" s="18"/>
      <c r="P37" s="37"/>
      <c r="Q37" s="37"/>
      <c r="R37" s="37"/>
      <c r="S37" s="37"/>
      <c r="T37" s="73"/>
      <c r="U37" s="34"/>
      <c r="V37" s="34"/>
      <c r="W37" s="34"/>
      <c r="X37" s="34"/>
      <c r="Y37" s="73"/>
      <c r="Z37" s="503"/>
      <c r="AA37" s="503"/>
      <c r="AB37" s="503"/>
      <c r="AC37" s="513"/>
      <c r="AD37" s="261"/>
      <c r="AE37" s="261"/>
      <c r="AF37" s="6"/>
      <c r="AG37" s="34"/>
      <c r="AH37" s="34"/>
      <c r="AI37" s="34"/>
      <c r="AJ37" s="34"/>
      <c r="AK37" s="73"/>
      <c r="AL37" s="95"/>
      <c r="AM37" s="6"/>
      <c r="AN37" s="34"/>
      <c r="AO37" s="403"/>
      <c r="AP37" s="34"/>
      <c r="AQ37" s="34"/>
      <c r="AR37" s="73"/>
      <c r="AS37" s="272"/>
      <c r="AT37" s="270"/>
      <c r="AU37" s="36"/>
      <c r="AV37" s="269"/>
      <c r="AW37" s="36"/>
      <c r="AX37" s="297"/>
      <c r="AY37" s="269"/>
      <c r="AZ37" s="76"/>
      <c r="BA37" s="687"/>
      <c r="BB37" s="687"/>
      <c r="BC37" s="36"/>
      <c r="BD37" s="34"/>
      <c r="BE37" s="522"/>
      <c r="BF37" s="95"/>
      <c r="BG37" s="34"/>
      <c r="BH37" s="34"/>
      <c r="BI37" s="364"/>
      <c r="BJ37" s="364"/>
      <c r="BK37" s="403"/>
      <c r="BL37" s="79"/>
    </row>
    <row r="38" spans="1:64" ht="12.75" customHeight="1" x14ac:dyDescent="0.2">
      <c r="A38" s="67"/>
      <c r="B38" s="700" t="s">
        <v>4</v>
      </c>
      <c r="C38" s="701"/>
      <c r="D38" s="685"/>
      <c r="E38" s="4" t="s">
        <v>4</v>
      </c>
      <c r="F38" s="152">
        <f>IF(OR(H4&lt;-10,H4&gt;40),"",AVERAGE(F4:F34))</f>
        <v>7.6333333333333355</v>
      </c>
      <c r="G38" s="151">
        <f>IF(OR(H4&lt;-10,H4&gt;40),"",AVERAGE(G4:G34))</f>
        <v>12.763333333333332</v>
      </c>
      <c r="H38" s="14">
        <f>IF(OR(H4&lt;-10,H4&gt;40),"",AVERAGE(H4:H34))</f>
        <v>10.389999999999999</v>
      </c>
      <c r="I38" s="129">
        <f>IF(OR(H4&lt;-10,H4&gt;40),"",AVERAGE(I4:I34))</f>
        <v>5.129999999999999</v>
      </c>
      <c r="J38" s="19"/>
      <c r="K38" s="156">
        <f>IF(OR(H4&lt;-10,H4&gt;40),"",AVERAGE(K4:K34))</f>
        <v>78.8</v>
      </c>
      <c r="L38" s="153">
        <f>IF(OR(H4&lt;-10,H4&gt;40),"",AVERAGE(L4:L34))</f>
        <v>95.1</v>
      </c>
      <c r="M38" s="9">
        <f>IF(OR(H4&lt;-10,H4&gt;40),"",AVERAGE(M4:M34))</f>
        <v>88.533333333333331</v>
      </c>
      <c r="N38" s="398">
        <f>IF(OR(H4&lt;-10,H4&gt;40),"",AVERAGE(N4:N34))</f>
        <v>16.3</v>
      </c>
      <c r="O38" s="18"/>
      <c r="P38" s="154">
        <f>IF(OR(H4&lt;-10,H4&gt;40),"",AVERAGE(P4:P34))</f>
        <v>1013.1333333333333</v>
      </c>
      <c r="Q38" s="155">
        <f>IF(OR(H4&lt;-10,H4&gt;40),"",AVERAGE(Q4:Q34))</f>
        <v>1020.6667</v>
      </c>
      <c r="R38" s="378">
        <f>IF(OR(H4&lt;-10,H4&gt;40),"",AVERAGE(P4:Q34))</f>
        <v>1016.9000166666667</v>
      </c>
      <c r="S38" s="130">
        <f>IF(OR(H4&lt;-10,H4&gt;40),"",AVERAGE(S4:S34))</f>
        <v>7.5333666666666659</v>
      </c>
      <c r="T38" s="70"/>
      <c r="U38" s="266">
        <f>IF(OR(H4&lt;-10,H4&gt;40),"",AVERAGE(U4:U34))</f>
        <v>4.536666666666668</v>
      </c>
      <c r="V38" s="266">
        <f>IF(OR(H4&lt;-10,H4&gt;40),"",AVERAGE(V4:V34))</f>
        <v>12.230000000000002</v>
      </c>
      <c r="W38" s="266">
        <f>IF(OR(H4&lt;-10,H4&gt;40),"",AVERAGE(W4:W34))</f>
        <v>17.290000000000003</v>
      </c>
      <c r="X38" s="266" t="s">
        <v>106</v>
      </c>
      <c r="Y38" s="56"/>
      <c r="Z38" s="466">
        <f>SUM(Z4:Z34)</f>
        <v>25.200000000000003</v>
      </c>
      <c r="AA38" s="466">
        <f>IF($AN$38=0,"",AVERAGE(AA4:AA34))</f>
        <v>2</v>
      </c>
      <c r="AB38" s="466">
        <f>IF($AN$38=0,"",IF(AA86&lt;0.6,"n/a",AVERAGE(AB4:AB34)))</f>
        <v>0.81666666666666676</v>
      </c>
      <c r="AC38" s="514">
        <f>IF($AN$38=0,"",AVERAGE(AC4:AC34))</f>
        <v>0.1111111111111111</v>
      </c>
      <c r="AD38" s="182">
        <f>IF(Z38&lt;0.1,"",Z38/AQ38)</f>
        <v>1.2115384615384617</v>
      </c>
      <c r="AE38" s="182">
        <f>IF($Z$38=0,"",IF(AA86&lt;0.6,"n/a",AVERAGE(AE4:AE34)))</f>
        <v>6.2</v>
      </c>
      <c r="AF38" s="6"/>
      <c r="AG38" s="263">
        <f>IF(OR(H5&lt;-20,H5&gt;40),"",AVERAGE(AG4:AG34))</f>
        <v>5.9499999999999993</v>
      </c>
      <c r="AH38" s="321">
        <f>IF(OR(H5&lt;-20,H5&gt;40),"",AVERAGE(AH4:AH34))</f>
        <v>10.986666666666666</v>
      </c>
      <c r="AI38" s="301">
        <f>IF(OR(H5&lt;-20,H5&gt;40),"",AVERAGE(AI4:AI34))</f>
        <v>8.4833333333333343</v>
      </c>
      <c r="AJ38" s="46">
        <f>IF(OR(H5&lt;-20,H5&gt;40),"",AVERAGE(AJ4:AJ34))</f>
        <v>4.8741935483870984</v>
      </c>
      <c r="AK38" s="311"/>
      <c r="AL38" s="626"/>
      <c r="AM38" s="6"/>
      <c r="AN38" s="254">
        <f>COUNTIF(AL91:AL120,1)</f>
        <v>5</v>
      </c>
      <c r="AO38" s="224"/>
      <c r="AP38" s="528">
        <f>SUM(AP4:AP34)</f>
        <v>65.3</v>
      </c>
      <c r="AQ38" s="432">
        <f>SUM(AQ4:AQ34)</f>
        <v>20.8</v>
      </c>
      <c r="AR38" s="56"/>
      <c r="AS38" s="358">
        <f>COUNTIF(G4:G34, "&gt;25")</f>
        <v>0</v>
      </c>
      <c r="AT38" s="357">
        <f>COUNTIF(B4:B34,"&lt;0")</f>
        <v>0</v>
      </c>
      <c r="AU38" s="145">
        <f>SUM(COUNTIF(AN4:AN34,"Thunder"),COUNTIF(AN4:AN34,"*Thunder*"),COUNTIF(AN4:AN34,"*Storm*"))</f>
        <v>0</v>
      </c>
      <c r="AV38" s="396">
        <f xml:space="preserve"> SUM(COUNTIF(AN4:AN34,"*Slt*"),COUNTIF(AN4:AN34,"*Snw*"))</f>
        <v>0</v>
      </c>
      <c r="AW38" s="145">
        <f>COUNTIF(W4:W34, "&gt;38")</f>
        <v>0</v>
      </c>
      <c r="AX38" s="359">
        <f xml:space="preserve"> SUM(COUNTIF(AN4:AN34,"Hail"),COUNTIF(AN4:AN34,"*Hail*"))</f>
        <v>0</v>
      </c>
      <c r="AY38" s="396">
        <f>COUNTIF(Z4:Z34,"&gt;19.9")</f>
        <v>0</v>
      </c>
      <c r="AZ38" s="360"/>
      <c r="BA38" s="689">
        <f xml:space="preserve"> SUM(COUNTIF(AN4:AN34,"cm"),COUNTIF(AN4:AN34,"*cm*"))</f>
        <v>0</v>
      </c>
      <c r="BB38" s="689"/>
      <c r="BC38" s="568">
        <f xml:space="preserve"> SUM(COUNTIF(AN4:AN34,"Dense"),COUNTIF(AN4:AN34,"*Dense*"))</f>
        <v>3</v>
      </c>
      <c r="BD38" s="417">
        <f t="array" ref="BD38">SUM(IF(AP4:AP34&gt;0.95*AT91:AT121,1,0))</f>
        <v>0</v>
      </c>
      <c r="BE38" s="523"/>
      <c r="BH38" s="25"/>
      <c r="BK38" s="88"/>
      <c r="BL38" s="78"/>
    </row>
    <row r="39" spans="1:64" ht="12.75" customHeight="1" x14ac:dyDescent="0.2">
      <c r="A39" s="67"/>
      <c r="B39" s="214">
        <f>IF(OR(H4&lt;-10,H4&gt;40),"",AVERAGE(B4:B34))</f>
        <v>8.5833333333333339</v>
      </c>
      <c r="C39" s="287">
        <f>IF(OR(H4&lt;-10,H4&gt;40),"",AVERAGE(C4:C34))</f>
        <v>12.520000000000001</v>
      </c>
      <c r="D39" s="686"/>
      <c r="E39" s="4" t="s">
        <v>9</v>
      </c>
      <c r="F39" s="163">
        <v>5</v>
      </c>
      <c r="G39" s="94">
        <v>10.199999999999999</v>
      </c>
      <c r="H39" s="390" t="s">
        <v>4</v>
      </c>
      <c r="I39" s="162">
        <f>G39-F39</f>
        <v>5.1999999999999993</v>
      </c>
      <c r="J39" s="19"/>
      <c r="K39" s="22"/>
      <c r="L39" s="22"/>
      <c r="M39" s="538" t="s">
        <v>4</v>
      </c>
      <c r="N39" s="22"/>
      <c r="O39" s="18"/>
      <c r="P39" s="22"/>
      <c r="Q39" s="22"/>
      <c r="R39" s="380">
        <v>1013.25</v>
      </c>
      <c r="S39" s="22"/>
      <c r="T39" s="70"/>
      <c r="U39" s="259">
        <v>4.593</v>
      </c>
      <c r="V39" s="259"/>
      <c r="X39" s="260"/>
      <c r="Y39" s="70"/>
      <c r="Z39" s="504">
        <v>64</v>
      </c>
      <c r="AA39" s="105"/>
      <c r="AB39" s="505"/>
      <c r="AC39" s="515"/>
      <c r="AD39" s="490">
        <f>Z39/AQ39</f>
        <v>1.103448275862069</v>
      </c>
      <c r="AF39" s="6"/>
      <c r="AG39" s="25"/>
      <c r="AI39" s="25"/>
      <c r="AJ39" s="25"/>
      <c r="AK39" s="56"/>
      <c r="AL39" s="626"/>
      <c r="AM39" s="6"/>
      <c r="AN39" s="253">
        <v>10</v>
      </c>
      <c r="AO39" s="224"/>
      <c r="AP39" s="529">
        <v>68</v>
      </c>
      <c r="AQ39" s="460">
        <v>58</v>
      </c>
      <c r="AR39" s="67"/>
      <c r="AT39" s="357">
        <v>2</v>
      </c>
      <c r="AU39" s="22">
        <v>0.4</v>
      </c>
      <c r="AV39" s="396">
        <v>1</v>
      </c>
      <c r="AW39" s="145"/>
      <c r="AX39" s="359"/>
      <c r="AZ39" s="360"/>
      <c r="BA39" s="689">
        <v>0.3</v>
      </c>
      <c r="BB39" s="689"/>
      <c r="BC39" s="145"/>
      <c r="BD39" s="145"/>
      <c r="BE39" s="360"/>
      <c r="BF39" s="147"/>
      <c r="BG39" s="147"/>
      <c r="BH39" s="147"/>
      <c r="BI39" s="147"/>
      <c r="BK39" s="88"/>
      <c r="BL39" s="78"/>
    </row>
    <row r="40" spans="1:64" ht="12.75" customHeight="1" x14ac:dyDescent="0.2">
      <c r="A40" s="67"/>
      <c r="B40" s="215">
        <f>IF(OR(H4&lt;-10,H4&gt;40),"",B39-F38)</f>
        <v>0.9499999999999984</v>
      </c>
      <c r="C40" s="288">
        <f>IF(OR(H4&lt;-10,H4&gt;40),"",C39-G38)</f>
        <v>-0.24333333333333051</v>
      </c>
      <c r="D40" s="686"/>
      <c r="E40" s="4" t="s">
        <v>10</v>
      </c>
      <c r="F40" s="152">
        <f>IF(OR(H4&lt;-10,H4&gt;40),"",F38-F39)</f>
        <v>2.6333333333333355</v>
      </c>
      <c r="G40" s="151">
        <f>IF(OR(H4&lt;-10,H4&gt;40),"",G38-G39)</f>
        <v>2.5633333333333326</v>
      </c>
      <c r="H40" s="383">
        <f>IF(M53&lt;1,"",AVERAGE(F4:G34))</f>
        <v>10.198333333333334</v>
      </c>
      <c r="I40" s="129">
        <f>IF(OR(H4&lt;-10,H4&gt;40),"",SUM(I38-I39))</f>
        <v>-7.0000000000000284E-2</v>
      </c>
      <c r="J40" s="19"/>
      <c r="K40" s="22"/>
      <c r="L40" s="22"/>
      <c r="M40" s="537">
        <f>IF(M53&lt;1,"",AVERAGE(K4:L34))</f>
        <v>86.95</v>
      </c>
      <c r="N40" s="25"/>
      <c r="O40" s="18"/>
      <c r="P40" s="102"/>
      <c r="Q40" s="22"/>
      <c r="R40" s="378">
        <f>IF(OR(H4&lt;-10,H4&gt;40),"",R38-R39)</f>
        <v>3.6500166666667155</v>
      </c>
      <c r="S40" s="22"/>
      <c r="T40" s="70"/>
      <c r="U40" s="266">
        <f>IF(OR(H4&lt;-10,H4&gt;40),"",U38-U39)</f>
        <v>-5.6333333333332014E-2</v>
      </c>
      <c r="V40" s="435">
        <f>IF(OR(H5&lt;-20,H5&gt;40),"",CORREL(U4:U34,V4:V34))</f>
        <v>0.87983203190871118</v>
      </c>
      <c r="W40" s="435">
        <f>IF(OR(H5&lt;-20,H5&gt;40),"",CORREL(U4:U34,W4:W34))</f>
        <v>0.84696682288618186</v>
      </c>
      <c r="X40" s="435">
        <f>IF(OR(H5&lt;-20,H5&gt;40),"",CORREL(V4:V34,W4:W34))</f>
        <v>0.96884741889462789</v>
      </c>
      <c r="Y40" s="70"/>
      <c r="Z40" s="465">
        <f>IF(OR(Z4&lt;0,Z4&gt;300),"",AB47/AB48)</f>
        <v>0.39375000000000004</v>
      </c>
      <c r="AA40" s="506">
        <f>Z38/Z39</f>
        <v>0.39375000000000004</v>
      </c>
      <c r="AB40" s="506"/>
      <c r="AC40" s="516"/>
      <c r="AD40" s="262">
        <f>IF(Z38&lt;0.3,"",AD38/(Z39/AQ39))</f>
        <v>1.0979567307692308</v>
      </c>
      <c r="AE40" s="527">
        <f>IF($AN$38=0,"",AVERAGE(AD4:AD34))</f>
        <v>1.0546296296296296</v>
      </c>
      <c r="AF40" s="6"/>
      <c r="AI40" s="25"/>
      <c r="AJ40" s="25"/>
      <c r="AK40" s="56"/>
      <c r="AL40" s="626"/>
      <c r="AM40" s="6"/>
      <c r="AN40" s="254">
        <f>SUM(AN38-AN39)</f>
        <v>-5</v>
      </c>
      <c r="AO40" s="224"/>
      <c r="AP40" s="530">
        <f>IF(ISBLANK(AP4),"",AP47/AP54)</f>
        <v>0.96029411764705885</v>
      </c>
      <c r="AQ40" s="427">
        <f>IF(ISBLANK(AQ4),"",AQ47/(AQ39/E34))</f>
        <v>0.35862068965517241</v>
      </c>
      <c r="AR40" s="418"/>
      <c r="AT40" s="357">
        <f>SUM(AT38-AT39)</f>
        <v>-2</v>
      </c>
      <c r="AU40" s="145">
        <f>SUM(AU38-AU39)</f>
        <v>-0.4</v>
      </c>
      <c r="AV40" s="396">
        <f>AV38-AV39</f>
        <v>-1</v>
      </c>
      <c r="AW40" s="145"/>
      <c r="AX40" s="359"/>
      <c r="AZ40" s="360"/>
      <c r="BA40" s="689">
        <f>BA38-BA39</f>
        <v>-0.3</v>
      </c>
      <c r="BB40" s="689"/>
      <c r="BC40" s="145"/>
      <c r="BD40" s="145"/>
      <c r="BE40" s="360"/>
      <c r="BI40" s="25"/>
      <c r="BK40" s="88"/>
      <c r="BL40" s="78"/>
    </row>
    <row r="41" spans="1:64" ht="4.5" customHeight="1" x14ac:dyDescent="0.2">
      <c r="A41" s="74"/>
      <c r="B41" s="289"/>
      <c r="C41" s="290"/>
      <c r="D41" s="686"/>
      <c r="E41" s="40"/>
      <c r="F41" s="41"/>
      <c r="G41" s="41"/>
      <c r="H41" s="42"/>
      <c r="I41" s="41"/>
      <c r="J41" s="61"/>
      <c r="K41" s="43"/>
      <c r="L41" s="43"/>
      <c r="M41" s="44"/>
      <c r="N41" s="43"/>
      <c r="O41" s="18"/>
      <c r="P41" s="43"/>
      <c r="Q41" s="43"/>
      <c r="R41" s="44"/>
      <c r="S41" s="43"/>
      <c r="T41" s="74"/>
      <c r="U41" s="41"/>
      <c r="V41" s="41"/>
      <c r="W41" s="41"/>
      <c r="X41" s="41"/>
      <c r="Y41" s="77"/>
      <c r="Z41" s="507"/>
      <c r="AA41" s="507"/>
      <c r="AB41" s="507"/>
      <c r="AC41" s="517"/>
      <c r="AD41" s="41"/>
      <c r="AE41" s="41"/>
      <c r="AF41" s="6"/>
      <c r="AG41" s="41"/>
      <c r="AH41" s="41"/>
      <c r="AI41" s="41"/>
      <c r="AJ41" s="41"/>
      <c r="AK41" s="77"/>
      <c r="AL41" s="629"/>
      <c r="AM41" s="6"/>
      <c r="AN41" s="39"/>
      <c r="AO41" s="39"/>
      <c r="AP41" s="39"/>
      <c r="AQ41" s="39"/>
      <c r="AR41" s="39"/>
      <c r="AS41" s="41"/>
      <c r="AT41" s="43"/>
      <c r="AU41" s="41"/>
      <c r="AV41" s="41"/>
      <c r="AW41" s="41"/>
      <c r="AX41" s="41"/>
      <c r="AY41" s="41"/>
      <c r="AZ41" s="77"/>
      <c r="BA41" s="41"/>
      <c r="BB41" s="41"/>
      <c r="BC41" s="41"/>
      <c r="BD41" s="41"/>
      <c r="BE41" s="77"/>
      <c r="BF41" s="41"/>
      <c r="BG41" s="41"/>
      <c r="BH41" s="39"/>
      <c r="BI41" s="41"/>
      <c r="BJ41" s="41"/>
      <c r="BK41" s="39"/>
      <c r="BL41" s="80"/>
    </row>
    <row r="42" spans="1:64" ht="12.75" customHeight="1" x14ac:dyDescent="0.2">
      <c r="A42" s="67"/>
      <c r="B42" s="705" t="s">
        <v>98</v>
      </c>
      <c r="C42" s="706"/>
      <c r="D42" s="686"/>
      <c r="E42" s="4" t="s">
        <v>5</v>
      </c>
      <c r="F42" s="25">
        <f>F86-F85</f>
        <v>12.4</v>
      </c>
      <c r="G42" s="25">
        <f>G86-G85</f>
        <v>9.0999999999999979</v>
      </c>
      <c r="H42" s="25">
        <f>H86-H85</f>
        <v>9.1000000000000014</v>
      </c>
      <c r="I42" s="25">
        <f>I86-I85</f>
        <v>10.600000000000001</v>
      </c>
      <c r="J42" s="20"/>
      <c r="K42" s="22">
        <f>K86-K85</f>
        <v>49</v>
      </c>
      <c r="L42" s="22">
        <f>L86-L85</f>
        <v>15</v>
      </c>
      <c r="M42" s="22">
        <f>M86-M85</f>
        <v>30</v>
      </c>
      <c r="N42" s="22">
        <f>N86-N85</f>
        <v>36</v>
      </c>
      <c r="O42" s="20"/>
      <c r="P42" s="22">
        <f>P86-P85</f>
        <v>36</v>
      </c>
      <c r="Q42" s="22">
        <f>Q86-Q85</f>
        <v>34.000999999999976</v>
      </c>
      <c r="R42" s="22">
        <f>R86-R85</f>
        <v>34.500500000000102</v>
      </c>
      <c r="S42" s="22">
        <f>S86-S85</f>
        <v>14</v>
      </c>
      <c r="T42" s="75"/>
      <c r="U42" s="25">
        <f>U86-U85</f>
        <v>9.1999999999999993</v>
      </c>
      <c r="V42" s="25">
        <f>V86-V85</f>
        <v>18.3</v>
      </c>
      <c r="W42" s="25">
        <f>W86-W85</f>
        <v>26.200000000000003</v>
      </c>
      <c r="X42" s="25"/>
      <c r="Y42" s="135"/>
      <c r="Z42" s="38">
        <f>Z86-Z85</f>
        <v>13.4</v>
      </c>
      <c r="AA42" s="38">
        <f>AA86-AA85</f>
        <v>4.5</v>
      </c>
      <c r="AB42" s="38">
        <f>AB86-AB85</f>
        <v>1.3</v>
      </c>
      <c r="AC42" s="510">
        <f>AC86-AC85</f>
        <v>0.51984126984126988</v>
      </c>
      <c r="AD42" s="25">
        <f>AE86-AE85</f>
        <v>1.8333333333333335</v>
      </c>
      <c r="AE42" s="22">
        <f>AD86-AD85</f>
        <v>14.3</v>
      </c>
      <c r="AF42" s="6"/>
      <c r="AG42" s="25">
        <f>AG86-AG85</f>
        <v>13.4</v>
      </c>
      <c r="AH42" s="25">
        <f>AH86-AH85</f>
        <v>7.2000000000000011</v>
      </c>
      <c r="AI42" s="25">
        <f>AI86-AI85</f>
        <v>9.8000000000000007</v>
      </c>
      <c r="AJ42" s="25">
        <f>AJ86-AJ85</f>
        <v>13.200000000000001</v>
      </c>
      <c r="AK42" s="56"/>
      <c r="AL42" s="626"/>
      <c r="AM42" s="6"/>
      <c r="AN42" s="4" t="s">
        <v>80</v>
      </c>
      <c r="AO42" s="223"/>
      <c r="AP42" s="25">
        <f>AP86-AP85</f>
        <v>7</v>
      </c>
      <c r="AQ42" s="22">
        <f>AQ86-AQ85</f>
        <v>8</v>
      </c>
      <c r="AR42" s="70"/>
      <c r="AS42" s="25">
        <f t="shared" ref="AS42:AY42" si="19">AS86-AS85</f>
        <v>2.8266666666666636</v>
      </c>
      <c r="AT42" s="25">
        <f t="shared" si="19"/>
        <v>2.4575000000000014</v>
      </c>
      <c r="AU42" s="25">
        <f t="shared" si="19"/>
        <v>2.83</v>
      </c>
      <c r="AV42" s="25">
        <f t="shared" si="19"/>
        <v>1.2085714285714282</v>
      </c>
      <c r="AW42" s="25">
        <f t="shared" si="19"/>
        <v>4.6811594202898448</v>
      </c>
      <c r="AX42" s="25">
        <f t="shared" si="19"/>
        <v>14.61430357142865</v>
      </c>
      <c r="AY42" s="25">
        <f t="shared" si="19"/>
        <v>0.89378881987577552</v>
      </c>
      <c r="AZ42" s="56"/>
      <c r="BA42" s="25">
        <f>G42</f>
        <v>9.0999999999999979</v>
      </c>
      <c r="BB42" s="25">
        <f>H42</f>
        <v>9.1000000000000014</v>
      </c>
      <c r="BC42" s="25">
        <f>I42</f>
        <v>10.600000000000001</v>
      </c>
      <c r="BD42" s="22"/>
      <c r="BE42" s="67"/>
      <c r="BF42" s="13">
        <f>AS42</f>
        <v>2.8266666666666636</v>
      </c>
      <c r="BG42" s="13">
        <f>AT42</f>
        <v>2.4575000000000014</v>
      </c>
      <c r="BH42" s="13">
        <f>BH86-BH85</f>
        <v>1.1601999999999952</v>
      </c>
      <c r="BI42" s="93">
        <f>BI86-BI85</f>
        <v>1.6125</v>
      </c>
      <c r="BJ42" s="93">
        <f>BJ86-BJ85</f>
        <v>0.48399788775577912</v>
      </c>
      <c r="BK42" s="88"/>
      <c r="BL42" s="78"/>
    </row>
    <row r="43" spans="1:64" ht="12.75" customHeight="1" x14ac:dyDescent="0.2">
      <c r="A43" s="67"/>
      <c r="B43" s="216">
        <f>COUNTIF(O4:O34,1)</f>
        <v>13</v>
      </c>
      <c r="C43" s="291">
        <f>COUNTIF(J4:J34,1)</f>
        <v>6</v>
      </c>
      <c r="D43" s="686"/>
      <c r="E43" s="12" t="s">
        <v>174</v>
      </c>
      <c r="F43" s="25">
        <f>IF(G6="","",STDEV(F4:F34))</f>
        <v>2.6924329893794621</v>
      </c>
      <c r="G43" s="25">
        <f>IF(G6="","",STDEV(G4:G34))</f>
        <v>2.0972039404445528</v>
      </c>
      <c r="H43" s="25">
        <f>IF(OR(H5&lt;-20,H5&gt;40),"",STDEV(H4:H34))</f>
        <v>2.1648206105499965</v>
      </c>
      <c r="I43" s="25">
        <f>IF(G6="","",STDEV(I4:I34))</f>
        <v>2.1414062411544386</v>
      </c>
      <c r="J43" s="56"/>
      <c r="K43" s="25">
        <f>IF(G6="","",STDEV(K4:K34))</f>
        <v>11.937769675596268</v>
      </c>
      <c r="L43" s="25">
        <f>IF(G6="","",STDEV(L4:L34))</f>
        <v>3.8178347356800968</v>
      </c>
      <c r="M43" s="25">
        <f>IF(OR(H5&lt;-20,H5&gt;40),"",STDEV(M4:M34))</f>
        <v>7.4543823414119306</v>
      </c>
      <c r="N43" s="25">
        <f>IF(G6="","",STDEV(N4:N34))</f>
        <v>9.2667369549968051</v>
      </c>
      <c r="O43" s="56"/>
      <c r="P43" s="25">
        <f>IF(G6="","",STDEV(P4:P34))</f>
        <v>8.8385259081978766</v>
      </c>
      <c r="Q43" s="25">
        <f>IF(G6="","",STDEV(Q4:Q34))</f>
        <v>8.0615847982031852</v>
      </c>
      <c r="R43" s="25">
        <f>IF(G6="","",STDEV(R4:R34))</f>
        <v>8.1340304728019941</v>
      </c>
      <c r="S43" s="25">
        <f>IF(G6="","",STDEV(S4:S34))</f>
        <v>4.6440900558803175</v>
      </c>
      <c r="T43" s="75"/>
      <c r="U43" s="25">
        <f>IF(G6="","",STDEV(U4:U34))</f>
        <v>2.0179339610761167</v>
      </c>
      <c r="V43" s="25">
        <f>IF(G6="","",STDEV(V4:V34))</f>
        <v>4.0232213889901125</v>
      </c>
      <c r="W43" s="25">
        <f>IF(G6="","",STDEV(W4:W34))</f>
        <v>6.4945786410003397</v>
      </c>
      <c r="X43" s="25"/>
      <c r="Y43" s="135"/>
      <c r="Z43" s="38">
        <f>IF(G6="","",STDEV(Z4:Z34))</f>
        <v>2.6694439560482928</v>
      </c>
      <c r="AA43" s="38">
        <f>IF(AA86-AA85=0,"",STDEV(AA4:AA34))</f>
        <v>2.0079840636817812</v>
      </c>
      <c r="AB43" s="38">
        <f>IF(AB86-AB85=0,"",STDEV(AB4:AB34))</f>
        <v>0.56361925682739622</v>
      </c>
      <c r="AC43" s="510">
        <f>IF(AC86-AC85=0,"",STDEV(AC4:AC34))</f>
        <v>0.17593960045514043</v>
      </c>
      <c r="AD43" s="25">
        <f>IF(AE86-AE85=0,"",STDEV(AD4:AD34))</f>
        <v>0.75186239957936096</v>
      </c>
      <c r="AE43" s="25">
        <f>IF(AD86-AD85=0,"",STDEV(AE4:AE34))</f>
        <v>5.4240206489282468</v>
      </c>
      <c r="AF43" s="6"/>
      <c r="AG43" s="25">
        <f>IF(OR(H5&lt;-20,H5&gt;40),"",STDEV(AG4:AG34))</f>
        <v>3.1196540480172383</v>
      </c>
      <c r="AH43" s="25">
        <f>IF(OR(H5&lt;-20,H5&gt;40),"",STDEV(AH4:AH34))</f>
        <v>1.8707795412485309</v>
      </c>
      <c r="AI43" s="25">
        <f>IF(OR(H5&lt;-20,H5&gt;40),"",STDEV(AI4:AI34))</f>
        <v>2.3415413923213064</v>
      </c>
      <c r="AJ43" s="25">
        <f>IF(OR(H5&lt;-20,H5&gt;40),"",STDEV(AJ4:AJ34))</f>
        <v>2.6502789465683882</v>
      </c>
      <c r="AK43" s="56"/>
      <c r="AL43" s="626"/>
      <c r="AM43" s="6"/>
      <c r="AN43" s="22">
        <f>M53-AN91</f>
        <v>8</v>
      </c>
      <c r="AO43" s="224"/>
      <c r="AP43" s="25">
        <f>IF(ISBLANK($AP$6),"",STDEV(AP4:AP34))</f>
        <v>2.1480838828630722</v>
      </c>
      <c r="AQ43" s="25">
        <f>IF(ISBLANK($AQ$6),"",STDEV(AQ4:AQ34))</f>
        <v>1.6060088317989079</v>
      </c>
      <c r="AR43" s="56"/>
      <c r="AS43" s="25">
        <f>IF(ISBLANK($G$6),"",STDEV(AS4:AS34))</f>
        <v>0.87900723884771281</v>
      </c>
      <c r="AT43" s="25">
        <f>IF(ISBLANK($G$6),"",STDEV(AT4:AT34))</f>
        <v>0.89693301657985947</v>
      </c>
      <c r="AU43" s="25">
        <f>IF(ISBLANK($G$6),"",STDEV(AU4:AU34))</f>
        <v>0.99207826593752624</v>
      </c>
      <c r="AV43" s="25">
        <f>IF(ISBLANK($G$6),"",STDEV(AV4:AV34))</f>
        <v>0.49597509709641646</v>
      </c>
      <c r="AW43" s="25">
        <f>IF(ISBLANK($M$6),"",STDEV(AW4:AW34))</f>
        <v>2.3384604582065656</v>
      </c>
      <c r="AX43" s="25">
        <f>IF(ISBLANK($G$6),"",STDEV(AX4:AX34))</f>
        <v>4.8046169477425416</v>
      </c>
      <c r="AY43" s="25">
        <f>IF(ISBLANK($G$6),"",STDEV(BA4:BA34))</f>
        <v>2.0524129698310816</v>
      </c>
      <c r="AZ43" s="56"/>
      <c r="BA43" s="25">
        <f>IF(ISBLANK($G$6),"",STDEV(BB4:BB34))</f>
        <v>1.8787287118360667</v>
      </c>
      <c r="BB43" s="25">
        <f>IF(ISBLANK($G$6),"",STDEV(BD4:BD34))</f>
        <v>1.9929470305722288</v>
      </c>
      <c r="BC43" s="25">
        <f>IF(ISBLANK($G$6),"",STDEV(BD4:BD34))</f>
        <v>1.9929470305722288</v>
      </c>
      <c r="BD43" s="25"/>
      <c r="BE43" s="56"/>
      <c r="BF43" s="25">
        <f>IF(ISBLANK($G$6),"",STDEV(BF4:BF34))</f>
        <v>0.44171816323141039</v>
      </c>
      <c r="BG43" s="25">
        <f>IF(ISBLANK($G$6),"",STDEV(BG4:BG34))</f>
        <v>0.37327902259191981</v>
      </c>
      <c r="BH43" s="25">
        <f>IF(ISBLANK($G$6),"",STDEV(BH4:BH34))</f>
        <v>0.40699340064211631</v>
      </c>
      <c r="BI43" s="93">
        <f>IF(ISBLANK($Z$6),"",STDEV(BI4:BI34))</f>
        <v>0.52523208860181703</v>
      </c>
      <c r="BJ43" s="93">
        <f>IF(ISBLANK($Z$6),"",STDEV(BJ4:BJ34))</f>
        <v>0.23637467627833811</v>
      </c>
      <c r="BK43" s="402"/>
      <c r="BL43" s="78"/>
    </row>
    <row r="44" spans="1:64" ht="4.5" customHeight="1" x14ac:dyDescent="0.2">
      <c r="A44" s="67"/>
      <c r="B44" s="63"/>
      <c r="C44" s="66"/>
      <c r="D44" s="63"/>
      <c r="E44" s="64"/>
      <c r="F44" s="66"/>
      <c r="G44" s="66"/>
      <c r="H44" s="66"/>
      <c r="I44" s="66"/>
      <c r="J44" s="62"/>
      <c r="K44" s="66"/>
      <c r="L44" s="66"/>
      <c r="M44" s="66"/>
      <c r="N44" s="65"/>
      <c r="O44" s="62"/>
      <c r="P44" s="66"/>
      <c r="Q44" s="66"/>
      <c r="R44" s="66"/>
      <c r="S44" s="66"/>
      <c r="T44" s="66"/>
      <c r="U44" s="66"/>
      <c r="V44" s="66"/>
      <c r="W44" s="66"/>
      <c r="X44" s="66"/>
      <c r="Y44" s="135"/>
      <c r="Z44" s="66"/>
      <c r="AA44" s="66"/>
      <c r="AB44" s="66"/>
      <c r="AC44" s="66"/>
      <c r="AD44" s="66"/>
      <c r="AE44" s="66"/>
      <c r="AF44" s="6"/>
      <c r="AG44" s="66"/>
      <c r="AH44" s="66"/>
      <c r="AI44" s="132"/>
      <c r="AJ44" s="132"/>
      <c r="AK44" s="6"/>
      <c r="AL44" s="132"/>
      <c r="AM44" s="6"/>
      <c r="AN44" s="66"/>
      <c r="AO44" s="402"/>
      <c r="AP44" s="63"/>
      <c r="AQ44" s="63"/>
      <c r="AR44" s="67"/>
      <c r="AS44" s="66"/>
      <c r="AT44" s="65"/>
      <c r="AU44" s="66"/>
      <c r="AV44" s="66"/>
      <c r="AW44" s="66"/>
      <c r="AX44" s="66"/>
      <c r="AY44" s="66"/>
      <c r="AZ44" s="56"/>
      <c r="BA44" s="66"/>
      <c r="BB44" s="66"/>
      <c r="BC44" s="66"/>
      <c r="BD44" s="66"/>
      <c r="BE44" s="56"/>
      <c r="BF44" s="66"/>
      <c r="BG44" s="66"/>
      <c r="BH44" s="63"/>
      <c r="BI44" s="63"/>
      <c r="BJ44" s="66"/>
      <c r="BK44" s="88"/>
      <c r="BL44" s="78"/>
    </row>
    <row r="45" spans="1:64" ht="5.25" customHeight="1" thickBot="1" x14ac:dyDescent="0.25">
      <c r="A45" s="67"/>
      <c r="B45" s="21"/>
      <c r="C45" s="25"/>
      <c r="D45" s="21"/>
      <c r="E45" s="4"/>
      <c r="F45" s="25"/>
      <c r="G45" s="25"/>
      <c r="H45" s="25"/>
      <c r="I45" s="25"/>
      <c r="J45" s="18"/>
      <c r="K45" s="25"/>
      <c r="L45" s="25"/>
      <c r="M45" s="25"/>
      <c r="N45" s="22"/>
      <c r="O45" s="18"/>
      <c r="P45" s="25"/>
      <c r="Q45" s="25"/>
      <c r="R45" s="25"/>
      <c r="S45" s="25"/>
      <c r="T45" s="56"/>
      <c r="U45" s="25"/>
      <c r="V45" s="25"/>
      <c r="W45" s="25"/>
      <c r="X45" s="25"/>
      <c r="Y45" s="135"/>
      <c r="AF45" s="56"/>
      <c r="AG45" s="25"/>
      <c r="AH45" s="25"/>
      <c r="AK45" s="6"/>
      <c r="AM45" s="6"/>
      <c r="AN45" s="25"/>
      <c r="AO45" s="402"/>
      <c r="AP45" s="21"/>
      <c r="AQ45" s="21"/>
      <c r="AR45" s="67"/>
      <c r="AS45" s="25"/>
      <c r="AT45" s="22"/>
      <c r="AU45" s="25"/>
      <c r="AV45" s="25"/>
      <c r="AW45" s="25"/>
      <c r="AX45" s="25"/>
      <c r="AY45" s="25"/>
      <c r="AZ45" s="56"/>
      <c r="BA45" s="25"/>
      <c r="BB45" s="25"/>
      <c r="BC45" s="25"/>
      <c r="BD45" s="25"/>
      <c r="BE45" s="56"/>
      <c r="BF45" s="25"/>
      <c r="BG45" s="25"/>
      <c r="BH45" s="21"/>
      <c r="BI45" s="21"/>
      <c r="BJ45" s="25"/>
      <c r="BK45" s="67"/>
      <c r="BL45" s="78"/>
    </row>
    <row r="46" spans="1:64" ht="15" customHeight="1" x14ac:dyDescent="0.2">
      <c r="A46" s="67"/>
      <c r="B46" s="702" t="s">
        <v>132</v>
      </c>
      <c r="C46" s="703"/>
      <c r="D46" s="703"/>
      <c r="E46" s="704"/>
      <c r="F46" s="349">
        <f>F40</f>
        <v>2.6333333333333355</v>
      </c>
      <c r="G46" s="350">
        <f>G40</f>
        <v>2.5633333333333326</v>
      </c>
      <c r="H46" s="382">
        <f>AY82</f>
        <v>2.5983333333333345</v>
      </c>
      <c r="I46" s="352">
        <f>I40</f>
        <v>-7.0000000000000284E-2</v>
      </c>
      <c r="J46" s="18"/>
      <c r="K46" s="353">
        <f>K38</f>
        <v>78.8</v>
      </c>
      <c r="L46" s="298">
        <f>L38</f>
        <v>95.1</v>
      </c>
      <c r="M46" s="354">
        <f>M38</f>
        <v>88.533333333333331</v>
      </c>
      <c r="N46" s="25">
        <f>N38</f>
        <v>16.3</v>
      </c>
      <c r="O46" s="18"/>
      <c r="P46" s="25"/>
      <c r="Q46" s="25"/>
      <c r="R46" s="381">
        <f>R40</f>
        <v>3.6500166666667155</v>
      </c>
      <c r="S46" s="162">
        <f>S38</f>
        <v>7.5333666666666659</v>
      </c>
      <c r="T46" s="56"/>
      <c r="U46" s="355">
        <f>U38</f>
        <v>4.536666666666668</v>
      </c>
      <c r="W46" s="304" t="s">
        <v>113</v>
      </c>
      <c r="X46" s="22">
        <f>COUNTIF(X4:X34,"N")</f>
        <v>3</v>
      </c>
      <c r="Y46" s="135"/>
      <c r="Z46" s="681" t="s">
        <v>151</v>
      </c>
      <c r="AA46" s="668">
        <f>IF(AN48=0,"n/a",Z38/AN48)</f>
        <v>2.8000000000000003</v>
      </c>
      <c r="AB46" s="385" t="s">
        <v>189</v>
      </c>
      <c r="AC46" s="268" t="s">
        <v>282</v>
      </c>
      <c r="AF46" s="135"/>
      <c r="AG46" s="392">
        <f>AG38</f>
        <v>5.9499999999999993</v>
      </c>
      <c r="AH46" s="393">
        <f>AH38</f>
        <v>10.986666666666666</v>
      </c>
      <c r="AI46" s="348">
        <f>AI38</f>
        <v>8.4833333333333343</v>
      </c>
      <c r="AJ46" s="49">
        <f>AJ38</f>
        <v>4.8741935483870984</v>
      </c>
      <c r="AK46" s="126"/>
      <c r="AL46" s="356"/>
      <c r="AM46" s="6"/>
      <c r="AO46" s="404"/>
      <c r="AP46" s="445">
        <f>AP38/AP39</f>
        <v>0.96029411764705874</v>
      </c>
      <c r="AQ46" s="446">
        <f>AQ38/AQ39</f>
        <v>0.35862068965517241</v>
      </c>
      <c r="AR46" s="6"/>
      <c r="AS46" s="696" t="s">
        <v>131</v>
      </c>
      <c r="AT46" s="650"/>
      <c r="AU46" s="650"/>
      <c r="AV46" s="650"/>
      <c r="AW46" s="650"/>
      <c r="AX46" s="650"/>
      <c r="AY46" s="25"/>
      <c r="AZ46" s="56"/>
      <c r="BC46" s="25"/>
      <c r="BD46" s="25"/>
      <c r="BE46" s="56"/>
      <c r="BF46" s="693" t="s">
        <v>232</v>
      </c>
      <c r="BG46" s="693"/>
      <c r="BH46" s="693"/>
      <c r="BI46" s="693"/>
      <c r="BJ46" s="693"/>
      <c r="BK46" s="67"/>
      <c r="BL46" s="78"/>
    </row>
    <row r="47" spans="1:64" ht="12.75" customHeight="1" x14ac:dyDescent="0.2">
      <c r="A47" s="67"/>
      <c r="B47" s="682" t="s">
        <v>17</v>
      </c>
      <c r="C47" s="683"/>
      <c r="D47" s="684"/>
      <c r="E47" s="581" t="s">
        <v>15</v>
      </c>
      <c r="F47" s="349">
        <f>F38</f>
        <v>7.6333333333333355</v>
      </c>
      <c r="G47" s="350">
        <f>G38</f>
        <v>12.763333333333332</v>
      </c>
      <c r="H47" s="351">
        <f>H38</f>
        <v>10.389999999999999</v>
      </c>
      <c r="I47" s="352">
        <f>I38</f>
        <v>5.129999999999999</v>
      </c>
      <c r="J47" s="18"/>
      <c r="K47" s="21"/>
      <c r="L47" s="170"/>
      <c r="M47" s="52"/>
      <c r="N47" s="118"/>
      <c r="O47" s="18"/>
      <c r="P47" s="21"/>
      <c r="Q47" s="21"/>
      <c r="R47" s="381">
        <f>R38</f>
        <v>1016.9000166666667</v>
      </c>
      <c r="S47" s="21"/>
      <c r="T47" s="56"/>
      <c r="U47" s="7"/>
      <c r="W47" s="143" t="s">
        <v>105</v>
      </c>
      <c r="X47" s="22">
        <f>COUNTIF(X4:X34,"NE")</f>
        <v>3</v>
      </c>
      <c r="Y47" s="56"/>
      <c r="Z47" s="681"/>
      <c r="AA47" s="668"/>
      <c r="AB47" s="384">
        <f>IF(M53=0,"",AVERAGE(Z4:Z34))</f>
        <v>0.84000000000000008</v>
      </c>
      <c r="AC47" s="323" t="str">
        <f>IF(M54&gt;0,IF(Z38&gt;Z39,"",AC48/M54/AB48),"n/a")</f>
        <v>n/a</v>
      </c>
      <c r="AE47" s="548"/>
      <c r="AF47" s="56"/>
      <c r="AH47" s="124"/>
      <c r="AI47" s="124"/>
      <c r="AJ47" s="124"/>
      <c r="AK47" s="126"/>
      <c r="AL47" s="124"/>
      <c r="AM47" s="6"/>
      <c r="AN47" s="179" t="s">
        <v>67</v>
      </c>
      <c r="AO47" s="405"/>
      <c r="AP47" s="456">
        <f>IF(ISBLANK(AP4),"",AVERAGE(AP4:AP34))</f>
        <v>2.1766666666666667</v>
      </c>
      <c r="AQ47" s="443">
        <f>IF(ISBLANK(AQ4),"",AVERAGE(AQ4:AQ34))</f>
        <v>0.69333333333333336</v>
      </c>
      <c r="AR47" s="6"/>
      <c r="AS47" s="25"/>
      <c r="AT47" s="22"/>
      <c r="AU47" s="25"/>
      <c r="AV47" s="25"/>
      <c r="AW47" s="25"/>
      <c r="AX47" s="25"/>
      <c r="AY47" s="695" t="s">
        <v>35</v>
      </c>
      <c r="AZ47" s="695"/>
      <c r="BA47" s="695"/>
      <c r="BB47" s="695"/>
      <c r="BC47" s="695"/>
      <c r="BD47" s="695"/>
      <c r="BE47" s="67"/>
      <c r="BF47" s="694" t="s">
        <v>169</v>
      </c>
      <c r="BG47" s="694"/>
      <c r="BH47" s="694"/>
      <c r="BI47" s="694"/>
      <c r="BJ47" s="694"/>
      <c r="BK47" s="2"/>
      <c r="BL47" s="78"/>
    </row>
    <row r="48" spans="1:64" ht="12.75" customHeight="1" x14ac:dyDescent="0.2">
      <c r="A48" s="67"/>
      <c r="B48" s="707" t="s">
        <v>51</v>
      </c>
      <c r="C48" s="708"/>
      <c r="D48" s="709"/>
      <c r="E48" s="142">
        <f>IF(ISBLANK(H5),"",CORREL(H4:H34,R4:R34))</f>
        <v>-0.5395628922071013</v>
      </c>
      <c r="F48" s="576">
        <f>IF(ISBLANK(H5),"",ABS(E48))</f>
        <v>0.5395628922071013</v>
      </c>
      <c r="J48" s="18"/>
      <c r="K48" s="636" t="s">
        <v>377</v>
      </c>
      <c r="L48" s="636"/>
      <c r="M48" s="636"/>
      <c r="N48" s="636"/>
      <c r="O48" s="17"/>
      <c r="R48" s="25"/>
      <c r="S48" s="25"/>
      <c r="T48" s="56"/>
      <c r="U48" s="97"/>
      <c r="W48" s="304" t="s">
        <v>106</v>
      </c>
      <c r="X48" s="22">
        <f>COUNTIF(X4:X34,"E")</f>
        <v>8</v>
      </c>
      <c r="Y48" s="6"/>
      <c r="AB48" s="438">
        <f>Z39/E34</f>
        <v>2.1333333333333333</v>
      </c>
      <c r="AC48" s="579">
        <f>ABS(Z39-Z38)</f>
        <v>38.799999999999997</v>
      </c>
      <c r="AD48" s="578" t="str">
        <f>IF(Z38&gt;Z39,"Excess","Deficit")</f>
        <v>Deficit</v>
      </c>
      <c r="AE48" s="547"/>
      <c r="AF48" s="6"/>
      <c r="AK48" s="6"/>
      <c r="AL48" s="124"/>
      <c r="AM48" s="6"/>
      <c r="AN48" s="5">
        <f>SUM(AJ91:AJ121)</f>
        <v>9</v>
      </c>
      <c r="AO48" s="406"/>
      <c r="AR48" s="6"/>
      <c r="AS48" s="641" t="s">
        <v>447</v>
      </c>
      <c r="AT48" s="642"/>
      <c r="AU48" s="643"/>
      <c r="AV48" s="139"/>
      <c r="AY48" s="4" t="s">
        <v>164</v>
      </c>
      <c r="AZ48" s="68"/>
      <c r="BA48" s="4" t="s">
        <v>199</v>
      </c>
      <c r="BB48" s="329" t="s">
        <v>166</v>
      </c>
      <c r="BC48" s="147" t="s">
        <v>326</v>
      </c>
      <c r="BD48" s="147" t="s">
        <v>10</v>
      </c>
      <c r="BE48" s="67"/>
      <c r="BF48" s="181" t="s">
        <v>21</v>
      </c>
      <c r="BG48" s="294" t="s">
        <v>22</v>
      </c>
      <c r="BH48" s="335" t="s">
        <v>171</v>
      </c>
      <c r="BI48" s="336" t="s">
        <v>170</v>
      </c>
      <c r="BJ48" s="97" t="s">
        <v>172</v>
      </c>
      <c r="BK48" s="16"/>
      <c r="BL48" s="78"/>
    </row>
    <row r="49" spans="1:64" ht="12.75" customHeight="1" x14ac:dyDescent="0.2">
      <c r="A49" s="67"/>
      <c r="B49" s="707" t="s">
        <v>50</v>
      </c>
      <c r="C49" s="708"/>
      <c r="D49" s="709"/>
      <c r="E49" s="89">
        <f>IF(ISBLANK(H5),"",CORREL(H4:H34,M4:M34))</f>
        <v>-0.14944935729934719</v>
      </c>
      <c r="F49" s="576">
        <f>IF(ISBLANK(H5),"",ABS(E49))</f>
        <v>0.14944935729934719</v>
      </c>
      <c r="H49" s="4"/>
      <c r="I49" s="4"/>
      <c r="J49" s="18"/>
      <c r="K49" s="152">
        <f ca="1">IF(ISBLANK(F4),"",F38-AVERAGE(OFFSET(F91,0,0,M53)))</f>
        <v>2.5833416666666666</v>
      </c>
      <c r="L49" s="151">
        <f ca="1">IF(ISBLANK(G4),"",G38-AVERAGE(OFFSET(G91,0,0,M53)))</f>
        <v>2.5885416666666643</v>
      </c>
      <c r="M49" s="14">
        <f ca="1">IF(ISBLANK(G4),"",AVERAGE(K49:L49))</f>
        <v>2.5859416666666655</v>
      </c>
      <c r="N49" s="129">
        <f ca="1">IF(ISBLANK(H4),"",I38-AVERAGE(OFFSET(I91,0,0,M53)))</f>
        <v>5.1999999999994273E-3</v>
      </c>
      <c r="O49" s="18"/>
      <c r="R49" s="21"/>
      <c r="S49" s="21"/>
      <c r="T49" s="56"/>
      <c r="U49" s="300"/>
      <c r="W49" s="304" t="s">
        <v>112</v>
      </c>
      <c r="X49" s="22">
        <f>COUNTIF(X4:X34,"SE")</f>
        <v>3</v>
      </c>
      <c r="Y49" s="67"/>
      <c r="Z49" s="648" t="s">
        <v>115</v>
      </c>
      <c r="AA49" s="648"/>
      <c r="AE49" s="547"/>
      <c r="AF49" s="67"/>
      <c r="AG49" s="710" t="s">
        <v>179</v>
      </c>
      <c r="AH49" s="710"/>
      <c r="AI49" s="710"/>
      <c r="AJ49" s="710"/>
      <c r="AK49" s="313"/>
      <c r="AL49" s="124"/>
      <c r="AM49" s="67"/>
      <c r="AO49" s="224"/>
      <c r="AP49" s="457" t="s">
        <v>215</v>
      </c>
      <c r="AR49" s="6"/>
      <c r="AS49" s="644" t="s">
        <v>17</v>
      </c>
      <c r="AT49" s="645"/>
      <c r="AU49" s="280" t="s">
        <v>15</v>
      </c>
      <c r="AX49" s="361">
        <v>1</v>
      </c>
      <c r="AY49" s="23">
        <f t="shared" ref="AY49:AY79" si="20">IF(ISBLANK(G4),"",AVERAGE(F4:G4))</f>
        <v>12.05</v>
      </c>
      <c r="AZ49" s="50"/>
      <c r="BA49" s="26">
        <f>BC4</f>
        <v>2.5019999999999984</v>
      </c>
      <c r="BB49" s="25">
        <f t="shared" ref="BB49:BB79" si="21">IF(ISBLANK(H4),"",AY49-H4)</f>
        <v>-0.84999999999999964</v>
      </c>
      <c r="BC49" s="25">
        <f>IF(ISBLANK(G4),"",(AVERAGE($AY$49:AY49)))</f>
        <v>12.05</v>
      </c>
      <c r="BD49" s="13">
        <f>IF(ISBLANK(G4),"",AVERAGE(BF4:BG4))</f>
        <v>2.5019999999999984</v>
      </c>
      <c r="BE49" s="67"/>
      <c r="BF49" s="444">
        <v>0.36458333333333331</v>
      </c>
      <c r="BG49" s="444">
        <v>0.59861111111111109</v>
      </c>
      <c r="BH49" s="444">
        <v>0.6777777777777777</v>
      </c>
      <c r="BI49" s="444">
        <v>0.26527777777777778</v>
      </c>
      <c r="BJ49" s="444">
        <v>0.17083333333333331</v>
      </c>
      <c r="BK49" s="20"/>
      <c r="BL49" s="78"/>
    </row>
    <row r="50" spans="1:64" ht="12.75" customHeight="1" x14ac:dyDescent="0.2">
      <c r="A50" s="67"/>
      <c r="B50" s="707" t="s">
        <v>56</v>
      </c>
      <c r="C50" s="708"/>
      <c r="D50" s="709"/>
      <c r="E50" s="89">
        <f>IF(ISBLANK(H5),"",CORREL(M4:M34,R4:R34))</f>
        <v>4.4700941040196264E-2</v>
      </c>
      <c r="F50" s="576">
        <f>IF(ISBLANK(H5),"",ABS(E50))</f>
        <v>4.4700941040196264E-2</v>
      </c>
      <c r="G50" s="607" t="s">
        <v>427</v>
      </c>
      <c r="H50" s="820" t="s">
        <v>423</v>
      </c>
      <c r="I50" s="821"/>
      <c r="J50" s="18"/>
      <c r="K50" s="8"/>
      <c r="L50" s="118"/>
      <c r="M50" s="118"/>
      <c r="N50" s="118"/>
      <c r="O50" s="18"/>
      <c r="Q50" s="662" t="s">
        <v>132</v>
      </c>
      <c r="R50" s="662"/>
      <c r="T50" s="68"/>
      <c r="U50" s="300"/>
      <c r="W50" s="305" t="s">
        <v>111</v>
      </c>
      <c r="X50" s="22">
        <f>COUNTIF(X4:X34,"S")</f>
        <v>7</v>
      </c>
      <c r="Y50" s="84"/>
      <c r="Z50" s="661" t="s">
        <v>120</v>
      </c>
      <c r="AA50" s="660">
        <v>5</v>
      </c>
      <c r="AB50" s="322"/>
      <c r="AC50" s="646" t="s">
        <v>285</v>
      </c>
      <c r="AD50" s="647"/>
      <c r="AF50" s="67"/>
      <c r="AH50" s="713">
        <f>SUM(AW91:AW121)</f>
        <v>0</v>
      </c>
      <c r="AI50" s="713"/>
      <c r="AJ50" s="93">
        <f>IF(M53=0,"",AH50/M53)</f>
        <v>0</v>
      </c>
      <c r="AK50" s="68"/>
      <c r="AM50" s="67"/>
      <c r="AN50" s="180" t="s">
        <v>68</v>
      </c>
      <c r="AO50" s="87"/>
      <c r="AP50" s="397">
        <f>IF(M53=0,"",AP38/SUM(AT91:AT121))</f>
        <v>0.27554058020584371</v>
      </c>
      <c r="AR50" s="6"/>
      <c r="AS50" s="637" t="s">
        <v>44</v>
      </c>
      <c r="AT50" s="638"/>
      <c r="AU50" s="92">
        <f>IF(AP4=AP5,"",IF(AP42=0,"",CORREL(G4:G34,AP4:AP34)))</f>
        <v>8.3695558103302509E-2</v>
      </c>
      <c r="AV50" s="577">
        <f>IF(AP4=AP5,"",IF(AP42=0,"",ABS(AU50)))</f>
        <v>8.3695558103302509E-2</v>
      </c>
      <c r="AX50" s="361">
        <v>2</v>
      </c>
      <c r="AY50" s="23">
        <f t="shared" si="20"/>
        <v>11.95</v>
      </c>
      <c r="AZ50" s="50"/>
      <c r="BA50" s="26">
        <f t="shared" ref="BA50:BA79" si="22">BC5</f>
        <v>2.5699999999999994</v>
      </c>
      <c r="BB50" s="25">
        <f t="shared" si="21"/>
        <v>-0.65000000000000036</v>
      </c>
      <c r="BC50" s="25">
        <f>IF(ISBLANK(G5),"",(AVERAGE($AY$49:AY50)))</f>
        <v>12</v>
      </c>
      <c r="BD50" s="13">
        <f t="shared" ref="BD50:BD79" si="23">IF(ISBLANK(G5),"",AVERAGE(BF5:BG5))</f>
        <v>2.5359999999999987</v>
      </c>
      <c r="BE50" s="67"/>
      <c r="BF50" s="444">
        <v>0.1423611111111111</v>
      </c>
      <c r="BG50" s="444">
        <v>0.58333333333333337</v>
      </c>
      <c r="BH50" s="444">
        <v>0.56874999999999998</v>
      </c>
      <c r="BI50" s="444">
        <v>0.29166666666666669</v>
      </c>
      <c r="BJ50" s="444">
        <v>0.4680555555555555</v>
      </c>
      <c r="BK50" s="55"/>
      <c r="BL50" s="78"/>
    </row>
    <row r="51" spans="1:64" ht="12.75" customHeight="1" x14ac:dyDescent="0.2">
      <c r="A51" s="67"/>
      <c r="B51" s="707" t="s">
        <v>11</v>
      </c>
      <c r="C51" s="708"/>
      <c r="D51" s="709"/>
      <c r="E51" s="89">
        <f>IF(ISBLANK(H5),"",CORREL(F4:F34,G4:G34))</f>
        <v>0.62531990482604605</v>
      </c>
      <c r="F51" s="576">
        <f>IF(ISBLANK(H5),"",ABS(E51))</f>
        <v>0.62531990482604605</v>
      </c>
      <c r="H51" s="821" t="s">
        <v>424</v>
      </c>
      <c r="I51" s="821"/>
      <c r="J51" s="18"/>
      <c r="K51" s="8"/>
      <c r="N51" s="118"/>
      <c r="O51" s="18"/>
      <c r="P51" s="21"/>
      <c r="Q51" s="649" t="s">
        <v>143</v>
      </c>
      <c r="R51" s="649"/>
      <c r="S51" s="21"/>
      <c r="T51" s="68"/>
      <c r="W51" s="304" t="s">
        <v>110</v>
      </c>
      <c r="X51" s="22">
        <f>COUNTIF(X4:X34,"SW")</f>
        <v>5</v>
      </c>
      <c r="Y51" s="67"/>
      <c r="Z51" s="661"/>
      <c r="AA51" s="660"/>
      <c r="AC51" s="714" t="s">
        <v>286</v>
      </c>
      <c r="AD51" s="717">
        <v>0</v>
      </c>
      <c r="AF51" s="67"/>
      <c r="AG51" s="650"/>
      <c r="AH51" s="650"/>
      <c r="AI51" s="650"/>
      <c r="AJ51" s="650"/>
      <c r="AK51" s="6"/>
      <c r="AM51" s="67"/>
      <c r="AN51" s="5">
        <f>M53-AN48</f>
        <v>21</v>
      </c>
      <c r="AO51" s="406"/>
      <c r="AR51" s="6"/>
      <c r="AS51" s="637" t="s">
        <v>39</v>
      </c>
      <c r="AT51" s="638"/>
      <c r="AU51" s="92">
        <f>IF(AP4=AP5,"",IF(AP42=0,"",CORREL(AP4:AP34,I4:I34)))</f>
        <v>0.30481038304313868</v>
      </c>
      <c r="AV51" s="577">
        <f>IF(AP4=AP5,"",IF(AP42=0,"",ABS(AU51)))</f>
        <v>0.30481038304313868</v>
      </c>
      <c r="AX51" s="361">
        <v>3</v>
      </c>
      <c r="AY51" s="23">
        <f t="shared" si="20"/>
        <v>15.1</v>
      </c>
      <c r="AZ51" s="50"/>
      <c r="BA51" s="26">
        <f t="shared" si="22"/>
        <v>5.8879999999999981</v>
      </c>
      <c r="BB51" s="25">
        <f t="shared" si="21"/>
        <v>-0.20000000000000107</v>
      </c>
      <c r="BC51" s="25">
        <f>IF(ISBLANK(G6),"",(AVERAGE($AY$49:AY51)))</f>
        <v>13.033333333333333</v>
      </c>
      <c r="BD51" s="13">
        <f t="shared" si="23"/>
        <v>3.6533333333333324</v>
      </c>
      <c r="BE51" s="67"/>
      <c r="BF51" s="444" t="s">
        <v>355</v>
      </c>
      <c r="BG51" s="444">
        <v>0.61597222222222225</v>
      </c>
      <c r="BH51" s="444">
        <v>0.62708333333333333</v>
      </c>
      <c r="BI51" s="444" t="s">
        <v>233</v>
      </c>
      <c r="BJ51" s="444">
        <v>0.46736111111111112</v>
      </c>
      <c r="BK51" s="18"/>
      <c r="BL51" s="78"/>
    </row>
    <row r="52" spans="1:64" ht="12.75" customHeight="1" x14ac:dyDescent="0.2">
      <c r="A52" s="67"/>
      <c r="B52" s="707" t="s">
        <v>92</v>
      </c>
      <c r="C52" s="708"/>
      <c r="D52" s="709"/>
      <c r="E52" s="89">
        <f>IF(ISBLANK(H5),"",CORREL(K4:K34,L4:L34))</f>
        <v>0.78125678551377542</v>
      </c>
      <c r="F52" s="576">
        <f>IF(ISBLANK(H5),"",ABS(E52))</f>
        <v>0.78125678551377542</v>
      </c>
      <c r="H52" s="599"/>
      <c r="I52" s="599"/>
      <c r="J52" s="18"/>
      <c r="K52" s="8"/>
      <c r="L52" s="187" t="s">
        <v>346</v>
      </c>
      <c r="M52" s="118"/>
      <c r="N52" s="118"/>
      <c r="O52" s="18"/>
      <c r="P52" s="25"/>
      <c r="Q52" s="715">
        <f>IF(ISBLANK(H5),"",AVERAGE(F48:F66,F72:F80,AV50:AV60))</f>
        <v>0.35111253293061206</v>
      </c>
      <c r="R52" s="716"/>
      <c r="S52" s="25"/>
      <c r="T52" s="67"/>
      <c r="W52" s="304" t="s">
        <v>114</v>
      </c>
      <c r="X52" s="22">
        <f>COUNTIF(X4:X34,"W")</f>
        <v>1</v>
      </c>
      <c r="Y52" s="67"/>
      <c r="Z52" s="659" t="s">
        <v>116</v>
      </c>
      <c r="AA52" s="711">
        <f>(Z38+AA50)/Z39</f>
        <v>0.47187500000000004</v>
      </c>
      <c r="AC52" s="714"/>
      <c r="AD52" s="717"/>
      <c r="AF52" s="67"/>
      <c r="AG52" s="712" t="s">
        <v>180</v>
      </c>
      <c r="AH52" s="712"/>
      <c r="AI52" s="712"/>
      <c r="AJ52" s="712"/>
      <c r="AK52" s="314"/>
      <c r="AM52" s="67"/>
      <c r="AO52" s="407"/>
      <c r="AP52" s="639" t="s">
        <v>190</v>
      </c>
      <c r="AQ52" s="640"/>
      <c r="AR52" s="6"/>
      <c r="AS52" s="637" t="s">
        <v>40</v>
      </c>
      <c r="AT52" s="638"/>
      <c r="AU52" s="92">
        <f>IF(AP4=AP5,"",IF(AP42=0,"",CORREL(AP4:AP34,K4:K34)))</f>
        <v>-0.4770212561711753</v>
      </c>
      <c r="AV52" s="577">
        <f>IF(AP4=AP5,"",IF(AP42=0,"",ABS(AU52)))</f>
        <v>0.4770212561711753</v>
      </c>
      <c r="AX52" s="361">
        <v>4</v>
      </c>
      <c r="AY52" s="23">
        <f>IF(ISBLANK(G7),"",AVERAGE(F7:G7))</f>
        <v>13.45</v>
      </c>
      <c r="AZ52" s="50"/>
      <c r="BA52" s="26">
        <f t="shared" si="22"/>
        <v>4.4059999999999988</v>
      </c>
      <c r="BB52" s="25">
        <f t="shared" si="21"/>
        <v>-0.15000000000000036</v>
      </c>
      <c r="BC52" s="25">
        <f>IF(ISBLANK(G7),"",(AVERAGE($AY$49:AY52)))</f>
        <v>13.137499999999999</v>
      </c>
      <c r="BD52" s="13">
        <f t="shared" si="23"/>
        <v>3.8414999999999981</v>
      </c>
      <c r="BE52" s="6"/>
      <c r="BF52" s="444">
        <v>0.31944444444444448</v>
      </c>
      <c r="BG52" s="444">
        <v>0.53888888888888886</v>
      </c>
      <c r="BH52" s="444">
        <v>0.55833333333333335</v>
      </c>
      <c r="BI52" s="444">
        <v>0.35416666666666669</v>
      </c>
      <c r="BJ52" s="444">
        <v>0.59097222222222223</v>
      </c>
      <c r="BK52" s="18"/>
      <c r="BL52" s="78"/>
    </row>
    <row r="53" spans="1:64" ht="12.75" customHeight="1" x14ac:dyDescent="0.2">
      <c r="A53" s="67"/>
      <c r="B53" s="707" t="s">
        <v>93</v>
      </c>
      <c r="C53" s="708"/>
      <c r="D53" s="709"/>
      <c r="E53" s="89">
        <f>IF(ISBLANK(H5),"",CORREL(P4:P34,Q4:Q34))</f>
        <v>0.85288988260367737</v>
      </c>
      <c r="F53" s="576">
        <f>IF(ISBLANK(H5),"",ABS(E53))</f>
        <v>0.85288988260367737</v>
      </c>
      <c r="H53" s="599"/>
      <c r="I53" s="599"/>
      <c r="J53" s="18"/>
      <c r="K53" s="8"/>
      <c r="L53" s="21" t="s">
        <v>88</v>
      </c>
      <c r="M53" s="21">
        <f>COUNT(H4:H34)</f>
        <v>30</v>
      </c>
      <c r="N53" s="118"/>
      <c r="O53" s="18"/>
      <c r="Q53" s="663" t="s">
        <v>34</v>
      </c>
      <c r="R53" s="663"/>
      <c r="S53" s="22"/>
      <c r="T53" s="67"/>
      <c r="U53" s="7"/>
      <c r="W53" s="304" t="s">
        <v>128</v>
      </c>
      <c r="X53" s="22">
        <f>COUNTIF(X4:X34,"NW")</f>
        <v>0</v>
      </c>
      <c r="Y53" s="136"/>
      <c r="Z53" s="659"/>
      <c r="AA53" s="711"/>
      <c r="AB53" s="323"/>
      <c r="AC53" s="542" t="s">
        <v>281</v>
      </c>
      <c r="AD53" s="549">
        <f>IF(Z38=0,"",AD51/Z38)</f>
        <v>0</v>
      </c>
      <c r="AF53" s="67"/>
      <c r="AH53" s="713">
        <f>SUM(AX91:AX121)</f>
        <v>22</v>
      </c>
      <c r="AI53" s="713"/>
      <c r="AJ53" s="93">
        <f>IF(M53=0,"",AH53/M53)</f>
        <v>0.73333333333333328</v>
      </c>
      <c r="AK53" s="68"/>
      <c r="AL53" s="4"/>
      <c r="AM53" s="67"/>
      <c r="AN53" s="179" t="s">
        <v>77</v>
      </c>
      <c r="AO53" s="88"/>
      <c r="AP53" s="718" t="str">
        <f>IF(M54=0,"",(AP39-AP38)/M54/(AP39/E34))</f>
        <v/>
      </c>
      <c r="AQ53" s="719"/>
      <c r="AR53" s="6"/>
      <c r="AS53" s="637" t="s">
        <v>38</v>
      </c>
      <c r="AT53" s="638"/>
      <c r="AU53" s="92">
        <f>IF(AQ38=0,"",CORREL(AP4:AP34,AQ4:AQ34))</f>
        <v>-0.21015123923257617</v>
      </c>
      <c r="AV53" s="577">
        <f>IF(AQ38=0,"",ABS(AU53))</f>
        <v>0.21015123923257617</v>
      </c>
      <c r="AX53" s="361">
        <v>5</v>
      </c>
      <c r="AY53" s="23">
        <f t="shared" si="20"/>
        <v>11.65</v>
      </c>
      <c r="AZ53" s="50"/>
      <c r="BA53" s="26">
        <f t="shared" si="22"/>
        <v>2.7739999999999987</v>
      </c>
      <c r="BB53" s="25">
        <f t="shared" si="21"/>
        <v>-4.9999999999998934E-2</v>
      </c>
      <c r="BC53" s="25">
        <f>IF(ISBLANK(G8),"",(AVERAGE($AY$49:AY53)))</f>
        <v>12.84</v>
      </c>
      <c r="BD53" s="13">
        <f t="shared" si="23"/>
        <v>3.6279999999999974</v>
      </c>
      <c r="BE53" s="6"/>
      <c r="BF53" s="444">
        <v>0.1125</v>
      </c>
      <c r="BG53" s="444">
        <v>0.60416666666666663</v>
      </c>
      <c r="BH53" s="444">
        <v>0.73888888888888893</v>
      </c>
      <c r="BI53" s="444">
        <v>0.33888888888888885</v>
      </c>
      <c r="BJ53" s="444">
        <v>0.92500000000000004</v>
      </c>
      <c r="BK53" s="18"/>
      <c r="BL53" s="78"/>
    </row>
    <row r="54" spans="1:64" ht="12.75" customHeight="1" x14ac:dyDescent="0.2">
      <c r="A54" s="67"/>
      <c r="B54" s="707" t="s">
        <v>53</v>
      </c>
      <c r="C54" s="708"/>
      <c r="D54" s="709"/>
      <c r="E54" s="89">
        <f>IF(ISBLANK(H5),"",(CORREL(G4:G34,R4:R34)))</f>
        <v>-0.4566559661262089</v>
      </c>
      <c r="F54" s="576">
        <f>IF(ISBLANK(H5),"",ABS(E54))</f>
        <v>0.4566559661262089</v>
      </c>
      <c r="H54" s="599"/>
      <c r="I54" s="599"/>
      <c r="J54" s="18"/>
      <c r="K54" s="8"/>
      <c r="L54" s="21" t="s">
        <v>89</v>
      </c>
      <c r="M54" s="21">
        <f>SUM(E34-M53)</f>
        <v>0</v>
      </c>
      <c r="N54" s="118"/>
      <c r="O54" s="18"/>
      <c r="Q54" s="5">
        <f>SUM(E69,E83,AU63)</f>
        <v>11</v>
      </c>
      <c r="R54" s="21" t="s">
        <v>193</v>
      </c>
      <c r="S54" s="608"/>
      <c r="T54" s="67"/>
      <c r="U54" s="7"/>
      <c r="W54" s="300"/>
      <c r="X54" s="25"/>
      <c r="Y54" s="136"/>
      <c r="Z54" s="659" t="s">
        <v>153</v>
      </c>
      <c r="AA54" s="659" t="str">
        <f>IF(M54&gt;0,(Z39-Z38)/M54,"n/a")</f>
        <v>n/a</v>
      </c>
      <c r="AB54" s="267"/>
      <c r="AC54" s="542" t="s">
        <v>283</v>
      </c>
      <c r="AD54" s="549">
        <f>IF(AT67=0,"",AV38/AT67)</f>
        <v>0</v>
      </c>
      <c r="AF54" s="67"/>
      <c r="AK54" s="6"/>
      <c r="AM54" s="67"/>
      <c r="AN54" s="138">
        <f>IF(M53=0,"",AN48/M53)</f>
        <v>0.3</v>
      </c>
      <c r="AO54" s="406"/>
      <c r="AP54" s="531">
        <f>AP39/E34</f>
        <v>2.2666666666666666</v>
      </c>
      <c r="AQ54" s="532" t="str">
        <f>IF(M54=0,"",(AP39-AP38)/M54)</f>
        <v/>
      </c>
      <c r="AR54" s="6"/>
      <c r="AS54" s="637" t="s">
        <v>49</v>
      </c>
      <c r="AT54" s="638"/>
      <c r="AU54" s="92">
        <f>IF(AQ38=0,"",CORREL(AQ4:AQ34,I4:I34))</f>
        <v>-0.16327365034629726</v>
      </c>
      <c r="AV54" s="577">
        <f>IF(AQ38=0,"",ABS(AU54))</f>
        <v>0.16327365034629726</v>
      </c>
      <c r="AX54" s="361">
        <v>6</v>
      </c>
      <c r="AY54" s="23">
        <f t="shared" si="20"/>
        <v>10</v>
      </c>
      <c r="AZ54" s="50"/>
      <c r="BA54" s="26">
        <f t="shared" si="22"/>
        <v>1.2919999999999989</v>
      </c>
      <c r="BB54" s="25">
        <f t="shared" si="21"/>
        <v>-9.9999999999999645E-2</v>
      </c>
      <c r="BC54" s="25">
        <f>IF(ISBLANK(G9),"",(AVERAGE($AY$49:AY54)))</f>
        <v>12.366666666666667</v>
      </c>
      <c r="BD54" s="13">
        <f t="shared" si="23"/>
        <v>3.2386666666666648</v>
      </c>
      <c r="BE54" s="6"/>
      <c r="BF54" s="444">
        <v>0.28819444444444448</v>
      </c>
      <c r="BG54" s="444">
        <v>0.5805555555555556</v>
      </c>
      <c r="BH54" s="444">
        <v>0.66736111111111107</v>
      </c>
      <c r="BI54" s="444">
        <v>2.2916666666666669E-2</v>
      </c>
      <c r="BJ54" s="444">
        <v>0.67083333333333339</v>
      </c>
      <c r="BK54" s="18"/>
      <c r="BL54" s="78"/>
    </row>
    <row r="55" spans="1:64" ht="12.75" customHeight="1" x14ac:dyDescent="0.2">
      <c r="A55" s="67"/>
      <c r="B55" s="707" t="s">
        <v>54</v>
      </c>
      <c r="C55" s="708"/>
      <c r="D55" s="709"/>
      <c r="E55" s="89">
        <f>IF(ISBLANK(H5),"",CORREL(F4:F34,R4:R34))</f>
        <v>-0.4311836174791413</v>
      </c>
      <c r="F55" s="576">
        <f>IF(ISBLANK(H5),"",ABS(E55))</f>
        <v>0.4311836174791413</v>
      </c>
      <c r="H55" s="599"/>
      <c r="I55" s="599"/>
      <c r="J55" s="20"/>
      <c r="K55" s="8"/>
      <c r="L55" s="118"/>
      <c r="M55" s="118"/>
      <c r="N55" s="187"/>
      <c r="O55" s="18"/>
      <c r="Q55" s="21"/>
      <c r="S55" s="21"/>
      <c r="T55" s="67"/>
      <c r="U55" s="7"/>
      <c r="W55" s="300" t="s">
        <v>129</v>
      </c>
      <c r="X55" s="22">
        <f>MAX(X46:X53)</f>
        <v>8</v>
      </c>
      <c r="Y55" s="136"/>
      <c r="Z55" s="659"/>
      <c r="AA55" s="659"/>
      <c r="AB55" s="267"/>
      <c r="AC55" s="543" t="s">
        <v>284</v>
      </c>
      <c r="AD55" s="546" t="s">
        <v>205</v>
      </c>
      <c r="AE55" s="267"/>
      <c r="AF55" s="67"/>
      <c r="AK55" s="6"/>
      <c r="AM55" s="67"/>
      <c r="AO55" s="408"/>
      <c r="AR55" s="6"/>
      <c r="AS55" s="637" t="s">
        <v>96</v>
      </c>
      <c r="AT55" s="638"/>
      <c r="AU55" s="92">
        <f>IF(AQ38=0,"",CORREL(M4:M34,AQ4:AQ34))</f>
        <v>2.93985790810204E-2</v>
      </c>
      <c r="AV55" s="577">
        <f>IF(AQ38=0,"",ABS(AU55))</f>
        <v>2.93985790810204E-2</v>
      </c>
      <c r="AX55" s="361">
        <v>7</v>
      </c>
      <c r="AY55" s="23">
        <f t="shared" si="20"/>
        <v>11.05</v>
      </c>
      <c r="AZ55" s="50"/>
      <c r="BA55" s="26">
        <f t="shared" si="22"/>
        <v>2.5099999999999998</v>
      </c>
      <c r="BB55" s="25">
        <f t="shared" si="21"/>
        <v>0.15000000000000036</v>
      </c>
      <c r="BC55" s="25">
        <f>IF(ISBLANK(G10),"",(AVERAGE($AY$49:AY55)))</f>
        <v>12.178571428571429</v>
      </c>
      <c r="BD55" s="13">
        <f t="shared" si="23"/>
        <v>3.1345714285714266</v>
      </c>
      <c r="BE55" s="6"/>
      <c r="BF55" s="444">
        <v>8.4027777777777771E-2</v>
      </c>
      <c r="BG55" s="444">
        <v>0.57777777777777783</v>
      </c>
      <c r="BH55" s="444" t="s">
        <v>274</v>
      </c>
      <c r="BI55" s="444" t="s">
        <v>233</v>
      </c>
      <c r="BJ55" s="444">
        <v>0.50972222222222219</v>
      </c>
      <c r="BK55" s="18"/>
      <c r="BL55" s="78"/>
    </row>
    <row r="56" spans="1:64" ht="12.75" customHeight="1" thickBot="1" x14ac:dyDescent="0.25">
      <c r="A56" s="67"/>
      <c r="B56" s="707" t="s">
        <v>55</v>
      </c>
      <c r="C56" s="708"/>
      <c r="D56" s="709"/>
      <c r="E56" s="89">
        <f>IF(ISBLANK(H5),"",CORREL(I4:I34,R4:R34))</f>
        <v>9.4906001807420343E-2</v>
      </c>
      <c r="F56" s="576">
        <f>IF(ISBLANK(H5),"",ABS(E56))</f>
        <v>9.4906001807420343E-2</v>
      </c>
      <c r="J56" s="20"/>
      <c r="N56" s="118"/>
      <c r="O56" s="20"/>
      <c r="T56" s="67"/>
      <c r="U56" s="7"/>
      <c r="V56" s="7"/>
      <c r="W56" s="25"/>
      <c r="X56" s="25"/>
      <c r="Y56" s="136"/>
      <c r="AD56" s="267"/>
      <c r="AE56" s="267"/>
      <c r="AF56" s="166"/>
      <c r="AG56" s="710" t="s">
        <v>126</v>
      </c>
      <c r="AH56" s="710"/>
      <c r="AI56" s="710"/>
      <c r="AJ56" s="710"/>
      <c r="AK56" s="313"/>
      <c r="AL56" s="152"/>
      <c r="AM56" s="67"/>
      <c r="AN56" s="181" t="s">
        <v>109</v>
      </c>
      <c r="AO56" s="88"/>
      <c r="AP56" s="803" t="s">
        <v>278</v>
      </c>
      <c r="AQ56" s="661"/>
      <c r="AR56" s="6"/>
      <c r="AS56" s="637" t="s">
        <v>37</v>
      </c>
      <c r="AT56" s="638"/>
      <c r="AU56" s="92">
        <f>IF(AQ38=0,"",CORREL(Z4:Z34,AQ4:AQ34))</f>
        <v>0.94249563299458239</v>
      </c>
      <c r="AV56" s="577">
        <f>IF(AQ38=0,"",ABS(AU56))</f>
        <v>0.94249563299458239</v>
      </c>
      <c r="AX56" s="361">
        <v>8</v>
      </c>
      <c r="AY56" s="23">
        <f t="shared" si="20"/>
        <v>9.9499999999999993</v>
      </c>
      <c r="AZ56" s="50"/>
      <c r="BA56" s="26">
        <f t="shared" si="22"/>
        <v>1.5779999999999985</v>
      </c>
      <c r="BB56" s="25">
        <f t="shared" si="21"/>
        <v>-0.15000000000000036</v>
      </c>
      <c r="BC56" s="25">
        <f>IF(ISBLANK(G11),"",(AVERAGE($AY$49:AY56)))</f>
        <v>11.9</v>
      </c>
      <c r="BD56" s="13">
        <f t="shared" si="23"/>
        <v>2.9399999999999977</v>
      </c>
      <c r="BE56" s="6"/>
      <c r="BF56" s="444">
        <v>0.35555555555555557</v>
      </c>
      <c r="BG56" s="444">
        <v>0.57291666666666663</v>
      </c>
      <c r="BH56" s="444">
        <v>0.61111111111111105</v>
      </c>
      <c r="BI56" s="444">
        <v>0.2722222222222222</v>
      </c>
      <c r="BJ56" s="444">
        <v>0.31944444444444448</v>
      </c>
      <c r="BK56" s="18"/>
      <c r="BL56" s="78"/>
    </row>
    <row r="57" spans="1:64" ht="12.75" customHeight="1" x14ac:dyDescent="0.2">
      <c r="A57" s="67"/>
      <c r="B57" s="707" t="s">
        <v>94</v>
      </c>
      <c r="C57" s="708"/>
      <c r="D57" s="709"/>
      <c r="E57" s="89">
        <f>IF(ISBLANK(H5),"",CORREL(N4:N34,R4:R34))</f>
        <v>9.5618892543191652E-3</v>
      </c>
      <c r="F57" s="576">
        <f>IF(ISBLANK(H5),"",ABS(E57))</f>
        <v>9.5618892543191652E-3</v>
      </c>
      <c r="H57" s="720" t="s">
        <v>135</v>
      </c>
      <c r="I57" s="721"/>
      <c r="J57" s="193"/>
      <c r="K57" s="721" t="s">
        <v>35</v>
      </c>
      <c r="L57" s="721"/>
      <c r="M57" s="721"/>
      <c r="N57" s="721"/>
      <c r="O57" s="194"/>
      <c r="P57" s="721" t="s">
        <v>136</v>
      </c>
      <c r="Q57" s="721"/>
      <c r="R57" s="721"/>
      <c r="S57" s="721"/>
      <c r="T57" s="195"/>
      <c r="U57" s="651" t="s">
        <v>159</v>
      </c>
      <c r="V57" s="653" t="s">
        <v>134</v>
      </c>
      <c r="W57" s="655" t="s">
        <v>160</v>
      </c>
      <c r="X57" s="657" t="s">
        <v>181</v>
      </c>
      <c r="Y57" s="196"/>
      <c r="Z57" s="724" t="s">
        <v>133</v>
      </c>
      <c r="AA57" s="724"/>
      <c r="AB57" s="725"/>
      <c r="AC57" s="726" t="s">
        <v>122</v>
      </c>
      <c r="AD57" s="727"/>
      <c r="AE57" s="728"/>
      <c r="AF57" s="166"/>
      <c r="AH57" s="713">
        <f t="array" ref="AH57">MAX(FREQUENCY(IF(AW91:AW121=1,ROW(91:121)),IF(AW91:AW121&lt;&gt;1,ROW(91:121))))</f>
        <v>0</v>
      </c>
      <c r="AI57" s="713"/>
      <c r="AJ57" s="4"/>
      <c r="AK57" s="68"/>
      <c r="AL57" s="4"/>
      <c r="AM57" s="67"/>
      <c r="AN57" s="138">
        <f>IF(AN48=0,"",AN38/AN48)</f>
        <v>0.55555555555555558</v>
      </c>
      <c r="AO57" s="223"/>
      <c r="AP57" s="661"/>
      <c r="AQ57" s="661"/>
      <c r="AR57" s="6"/>
      <c r="AS57" s="637" t="s">
        <v>45</v>
      </c>
      <c r="AT57" s="638"/>
      <c r="AU57" s="92">
        <f>IF(AP4=AP5,"",IF(AP42=0,"",CORREL(AP4:AP34,R4:R34)))</f>
        <v>0.2139952273351951</v>
      </c>
      <c r="AV57" s="577">
        <f>IF(AP4=AP5,"",IF(AP42=0,"",ABS(AU57)))</f>
        <v>0.2139952273351951</v>
      </c>
      <c r="AX57" s="361">
        <v>9</v>
      </c>
      <c r="AY57" s="23">
        <f t="shared" si="20"/>
        <v>12.25</v>
      </c>
      <c r="AZ57" s="50"/>
      <c r="BA57" s="26">
        <f t="shared" si="22"/>
        <v>4.0459999999999994</v>
      </c>
      <c r="BB57" s="25">
        <f t="shared" si="21"/>
        <v>0.34999999999999964</v>
      </c>
      <c r="BC57" s="25">
        <f>IF(ISBLANK(G12),"",(AVERAGE($AY$49:AY57)))</f>
        <v>11.93888888888889</v>
      </c>
      <c r="BD57" s="13">
        <f t="shared" si="23"/>
        <v>3.0628888888888874</v>
      </c>
      <c r="BE57" s="6"/>
      <c r="BF57" s="444">
        <v>3.125E-2</v>
      </c>
      <c r="BG57" s="444">
        <v>0.55763888888888891</v>
      </c>
      <c r="BH57" s="444">
        <v>0.65069444444444446</v>
      </c>
      <c r="BI57" s="444">
        <v>0.3298611111111111</v>
      </c>
      <c r="BJ57" s="444">
        <v>0.53333333333333333</v>
      </c>
      <c r="BK57" s="18"/>
      <c r="BL57" s="78"/>
    </row>
    <row r="58" spans="1:64" ht="12.75" x14ac:dyDescent="0.2">
      <c r="A58" s="67"/>
      <c r="B58" s="707" t="s">
        <v>14</v>
      </c>
      <c r="C58" s="708"/>
      <c r="D58" s="709"/>
      <c r="E58" s="89">
        <f>IF(ISBLANK(H5),"",CORREL(I4:I34,N4:N34))</f>
        <v>0.53474402358259476</v>
      </c>
      <c r="F58" s="576">
        <f>IF(ISBLANK(H5),"",ABS(E58))</f>
        <v>0.53474402358259476</v>
      </c>
      <c r="H58" s="722"/>
      <c r="I58" s="723"/>
      <c r="J58" s="204"/>
      <c r="K58" s="205" t="s">
        <v>2</v>
      </c>
      <c r="L58" s="206" t="s">
        <v>3</v>
      </c>
      <c r="M58" s="207" t="s">
        <v>156</v>
      </c>
      <c r="N58" s="208" t="s">
        <v>5</v>
      </c>
      <c r="O58" s="204"/>
      <c r="P58" s="205" t="s">
        <v>2</v>
      </c>
      <c r="Q58" s="206" t="s">
        <v>3</v>
      </c>
      <c r="R58" s="207" t="s">
        <v>4</v>
      </c>
      <c r="S58" s="208" t="s">
        <v>5</v>
      </c>
      <c r="T58" s="209"/>
      <c r="U58" s="652"/>
      <c r="V58" s="654"/>
      <c r="W58" s="656"/>
      <c r="X58" s="658"/>
      <c r="Y58" s="210"/>
      <c r="Z58" s="211" t="s">
        <v>137</v>
      </c>
      <c r="AA58" s="211" t="s">
        <v>235</v>
      </c>
      <c r="AB58" s="495" t="s">
        <v>138</v>
      </c>
      <c r="AC58" s="533" t="s">
        <v>140</v>
      </c>
      <c r="AD58" s="534" t="s">
        <v>235</v>
      </c>
      <c r="AE58" s="535" t="s">
        <v>141</v>
      </c>
      <c r="AF58" s="166"/>
      <c r="AG58" s="650"/>
      <c r="AH58" s="650"/>
      <c r="AI58" s="650"/>
      <c r="AJ58" s="650"/>
      <c r="AK58" s="6"/>
      <c r="AM58" s="67"/>
      <c r="AO58" s="224"/>
      <c r="AP58" s="661"/>
      <c r="AQ58" s="661"/>
      <c r="AR58" s="6"/>
      <c r="AS58" s="637" t="s">
        <v>46</v>
      </c>
      <c r="AT58" s="638"/>
      <c r="AU58" s="92">
        <f>IF(ISBLANK(U5),"",CORREL(U4:U34,R4:R34))</f>
        <v>3.4265523825481502E-2</v>
      </c>
      <c r="AV58" s="577">
        <f>IF(ISBLANK(U5),"",ABS(AU58))</f>
        <v>3.4265523825481502E-2</v>
      </c>
      <c r="AX58" s="361">
        <v>10</v>
      </c>
      <c r="AY58" s="23">
        <f t="shared" si="20"/>
        <v>11.2</v>
      </c>
      <c r="AZ58" s="50"/>
      <c r="BA58" s="26">
        <f t="shared" si="22"/>
        <v>3.1639999999999988</v>
      </c>
      <c r="BB58" s="25">
        <f t="shared" si="21"/>
        <v>0</v>
      </c>
      <c r="BC58" s="25">
        <f>IF(ISBLANK(G13),"",(AVERAGE($AY$49:AY58)))</f>
        <v>11.865</v>
      </c>
      <c r="BD58" s="13">
        <f t="shared" si="23"/>
        <v>3.0729999999999973</v>
      </c>
      <c r="BE58" s="6"/>
      <c r="BF58" s="444">
        <v>0.14791666666666667</v>
      </c>
      <c r="BG58" s="444">
        <v>0.57361111111111118</v>
      </c>
      <c r="BH58" s="444">
        <v>0.64583333333333337</v>
      </c>
      <c r="BI58" s="444">
        <v>0.3354166666666667</v>
      </c>
      <c r="BJ58" s="444">
        <v>0.59930555555555554</v>
      </c>
      <c r="BK58" s="18"/>
      <c r="BL58" s="78"/>
    </row>
    <row r="59" spans="1:64" ht="12.75" x14ac:dyDescent="0.2">
      <c r="A59" s="67"/>
      <c r="B59" s="707" t="s">
        <v>52</v>
      </c>
      <c r="C59" s="708"/>
      <c r="D59" s="709"/>
      <c r="E59" s="89">
        <f>IF(ISBLANK(H5),"",CORREL(L4:L34,R4:R34))</f>
        <v>0.10027064440924705</v>
      </c>
      <c r="F59" s="576">
        <f>IF(ISBLANK(H5),"",ABS(E59))</f>
        <v>0.10027064440924705</v>
      </c>
      <c r="H59" s="729" t="s">
        <v>19</v>
      </c>
      <c r="I59" s="830"/>
      <c r="J59" s="191"/>
      <c r="K59" s="100">
        <f>IF(ISBLANK(F4),"",AVERAGE(F4:F18))</f>
        <v>9.48</v>
      </c>
      <c r="L59" s="100">
        <f>IF(ISBLANK(G4),"",AVERAGE(G4:G18))</f>
        <v>13.493333333333331</v>
      </c>
      <c r="M59" s="100">
        <f>IF(ISBLANK(H4),"",AVERAGE(H4:H18))</f>
        <v>11.54</v>
      </c>
      <c r="N59" s="100">
        <f>IF(ISBLANK(G4),"",AVERAGE(I4:I18))</f>
        <v>4.0133333333333328</v>
      </c>
      <c r="O59" s="191"/>
      <c r="P59" s="100">
        <f>IF(ISBLANK(F4),"",K59-AVERAGE(F91:F105))</f>
        <v>3.5315999999999974</v>
      </c>
      <c r="Q59" s="100">
        <f>IF(ISBLANK(G4),"",L59-AVERAGE(G91:G105))</f>
        <v>2.6299999999999972</v>
      </c>
      <c r="R59" s="100">
        <f>IF(ISBLANK(H4),"",M59-AVERAGE(H91:H105))</f>
        <v>3.1341333333333328</v>
      </c>
      <c r="S59" s="100">
        <f>IF(ISBLANK(G4),"",N59-AVERAGE(I91:I105))</f>
        <v>-0.90159999999999929</v>
      </c>
      <c r="T59" s="166"/>
      <c r="U59" s="342">
        <f>IF(ISBLANK(M4),"",AVERAGE(M4:M18))</f>
        <v>90.333333333333329</v>
      </c>
      <c r="V59" s="342">
        <f>IF(ISBLANK(P4),"",AVERAGE(R4:R18))</f>
        <v>1014.3000333333333</v>
      </c>
      <c r="W59" s="345">
        <f>IF(ISBLANK(U4),"",AVERAGE(U4:U18))</f>
        <v>4.4400000000000004</v>
      </c>
      <c r="X59" s="100">
        <f>IF(ISBLANK(AI4),"",AVERAGE(AI4:AI18))</f>
        <v>9.9400000000000013</v>
      </c>
      <c r="Y59" s="192"/>
      <c r="Z59" s="38">
        <f>IF(ISBLANK(Z4),"",SUM(Z4:Z18))</f>
        <v>23.6</v>
      </c>
      <c r="AA59" s="492">
        <f>IF(ISBLANK(Z4),"",Z59/($Z$39/$E$34*15))</f>
        <v>0.73750000000000004</v>
      </c>
      <c r="AB59" s="496">
        <f>IF(Z38=0,"",Z59/$Z$38)</f>
        <v>0.93650793650793651</v>
      </c>
      <c r="AC59" s="499">
        <f>IF(ISBLANK(AP4),"",SUM(AP4:AP18))</f>
        <v>27.9</v>
      </c>
      <c r="AD59" s="492">
        <f>IF(ISBLANK(AP4),"",AC59/SUM(AS91:AS105))</f>
        <v>0.78735678140905907</v>
      </c>
      <c r="AE59" s="197">
        <f>IF(ISBLANK(AP4),"",AC59/$AP$38)</f>
        <v>0.42725880551301681</v>
      </c>
      <c r="AF59" s="166"/>
      <c r="AG59" s="712" t="s">
        <v>127</v>
      </c>
      <c r="AH59" s="712"/>
      <c r="AI59" s="712"/>
      <c r="AJ59" s="712"/>
      <c r="AK59" s="314"/>
      <c r="AL59" s="151"/>
      <c r="AM59" s="67"/>
      <c r="AN59" s="182" t="s">
        <v>66</v>
      </c>
      <c r="AO59" s="87"/>
      <c r="AP59" s="800" t="s">
        <v>97</v>
      </c>
      <c r="AQ59" s="800"/>
      <c r="AR59" s="6"/>
      <c r="AS59" s="637" t="s">
        <v>47</v>
      </c>
      <c r="AT59" s="638"/>
      <c r="AU59" s="92">
        <f>IF(AQ38=0,"",CORREL(AQ4:AQ34,R4:R34))</f>
        <v>-0.68702567632155942</v>
      </c>
      <c r="AV59" s="577">
        <f>IF(AQ38=0,"",ABS(AU59))</f>
        <v>0.68702567632155942</v>
      </c>
      <c r="AX59" s="361">
        <v>11</v>
      </c>
      <c r="AY59" s="23">
        <f t="shared" si="20"/>
        <v>10.45</v>
      </c>
      <c r="AZ59" s="50"/>
      <c r="BA59" s="26">
        <f t="shared" si="22"/>
        <v>2.5819999999999985</v>
      </c>
      <c r="BB59" s="25">
        <f t="shared" si="21"/>
        <v>0.54999999999999893</v>
      </c>
      <c r="BC59" s="25">
        <f>IF(ISBLANK(G14),"",(AVERAGE($AY$49:AY59)))</f>
        <v>11.736363636363636</v>
      </c>
      <c r="BD59" s="13">
        <f t="shared" si="23"/>
        <v>3.028363636363633</v>
      </c>
      <c r="BE59" s="6"/>
      <c r="BF59" s="444">
        <v>0.34166666666666662</v>
      </c>
      <c r="BG59" s="444">
        <v>0.59375</v>
      </c>
      <c r="BH59" s="444" t="s">
        <v>274</v>
      </c>
      <c r="BI59" s="444"/>
      <c r="BJ59" s="444">
        <v>0.66874999999999996</v>
      </c>
      <c r="BK59" s="18"/>
      <c r="BL59" s="78"/>
    </row>
    <row r="60" spans="1:64" ht="12.75" customHeight="1" x14ac:dyDescent="0.2">
      <c r="A60" s="67"/>
      <c r="B60" s="707" t="s">
        <v>57</v>
      </c>
      <c r="C60" s="708"/>
      <c r="D60" s="709"/>
      <c r="E60" s="89">
        <f>IF(ISBLANK(H5),"",CORREL(G4:G34,N4:N34))</f>
        <v>0.46084684354091981</v>
      </c>
      <c r="F60" s="576">
        <f>IF(ISBLANK(H5),"",ABS(E60))</f>
        <v>0.46084684354091981</v>
      </c>
      <c r="H60" s="729" t="s">
        <v>182</v>
      </c>
      <c r="I60" s="830"/>
      <c r="J60" s="191"/>
      <c r="K60" s="100">
        <f>IF(ISBLANK(F19),"",AVERAGE(F19:F34))</f>
        <v>5.7866666666666662</v>
      </c>
      <c r="L60" s="100">
        <f>IF(ISBLANK(G19),"",AVERAGE(G19:G34))</f>
        <v>12.033333333333333</v>
      </c>
      <c r="M60" s="100">
        <f>IF(ISBLANK(H19),"",AVERAGE(H19:H34))</f>
        <v>9.240000000000002</v>
      </c>
      <c r="N60" s="100">
        <f>IF(ISBLANK(G19),"",AVERAGE(I19:I34))</f>
        <v>6.246666666666667</v>
      </c>
      <c r="O60" s="191"/>
      <c r="P60" s="100">
        <f>IF(ISBLANK(F19),"",K60-AVERAGE(F106:F121))</f>
        <v>1.6350833333333332</v>
      </c>
      <c r="Q60" s="100">
        <f>IF(ISBLANK(G19),"",L60-AVERAGE(G106:G121))</f>
        <v>2.5470833333333314</v>
      </c>
      <c r="R60" s="100">
        <f>IF(ISBLANK(H19),"",M60-AVERAGE(H106:H121))</f>
        <v>2.4210833333333337</v>
      </c>
      <c r="S60" s="100">
        <f>IF(ISBLANK(G19),"",N60-AVERAGE(I106:I121))</f>
        <v>0.91199999999999815</v>
      </c>
      <c r="T60" s="166"/>
      <c r="U60" s="342">
        <f>IF(ISBLANK(M19),"",AVERAGE(M19:M34))</f>
        <v>86.733333333333334</v>
      </c>
      <c r="V60" s="342">
        <f>IF(ISBLANK(P19),"",AVERAGE(R19:R34))</f>
        <v>1019.5</v>
      </c>
      <c r="W60" s="345">
        <f>IF(ISBLANK(U19),"",AVERAGE(U19:U34))</f>
        <v>4.6333333333333337</v>
      </c>
      <c r="X60" s="100">
        <f>IF(ISBLANK(AI19),"",AVERAGE(AI19:AI34))</f>
        <v>7.0266666666666673</v>
      </c>
      <c r="Y60" s="192"/>
      <c r="Z60" s="38">
        <f>IF(ISBLANK(Z19),"",SUM(Z19:Z34))</f>
        <v>1.6</v>
      </c>
      <c r="AA60" s="492">
        <f>IF(ISBLANK(Z19),"",(Z60/($Z$39/$E$34*15)))</f>
        <v>0.05</v>
      </c>
      <c r="AB60" s="496">
        <f>IF(ISBLANK(Z19),"",Z60/$Z$38)</f>
        <v>6.3492063492063489E-2</v>
      </c>
      <c r="AC60" s="118">
        <f>IF(ISBLANK(AP19),"",SUM(AP19:AP34))</f>
        <v>37.4</v>
      </c>
      <c r="AD60" s="492">
        <f>IF(ISBLANK(AP19),"",AC60/SUM(AS106:AS121))</f>
        <v>1.1484728438886722</v>
      </c>
      <c r="AE60" s="197">
        <f>IF(ISBLANK(AP19),"",AC60/$AP$38)</f>
        <v>0.57274119448698313</v>
      </c>
      <c r="AF60" s="166"/>
      <c r="AH60" s="713">
        <f t="array" ref="AH60">MAX(FREQUENCY(IF(AX91:AX121=1,ROW(91:121)),IF(AX91:AX121&lt;&gt;1,ROW(91:121))))</f>
        <v>6</v>
      </c>
      <c r="AI60" s="713"/>
      <c r="AJ60" s="4"/>
      <c r="AK60" s="68"/>
      <c r="AL60" s="4"/>
      <c r="AM60" s="67"/>
      <c r="AN60" s="53">
        <f t="array" ref="AN60">MAX(FREQUENCY(IF(AJ91:AJ121=1,ROW(53:83)),IF(AJ91:AJ121&lt;&gt;1,ROW(53:83))))</f>
        <v>4</v>
      </c>
      <c r="AO60" s="223"/>
      <c r="AP60" s="767" t="s">
        <v>268</v>
      </c>
      <c r="AQ60" s="767"/>
      <c r="AR60" s="6"/>
      <c r="AS60" s="801" t="s">
        <v>48</v>
      </c>
      <c r="AT60" s="802"/>
      <c r="AU60" s="96">
        <f>IF(U42=0,"",CORREL(U4:U34,S4:S34))</f>
        <v>0.4375511772468077</v>
      </c>
      <c r="AV60" s="577">
        <f>IF(U42=0,"",ABS(AU60))</f>
        <v>0.4375511772468077</v>
      </c>
      <c r="AX60" s="361">
        <v>12</v>
      </c>
      <c r="AY60" s="23">
        <f t="shared" si="20"/>
        <v>13.3</v>
      </c>
      <c r="AZ60" s="50"/>
      <c r="BA60" s="26">
        <f t="shared" si="22"/>
        <v>5.6</v>
      </c>
      <c r="BB60" s="25">
        <f t="shared" si="21"/>
        <v>-9.9999999999999645E-2</v>
      </c>
      <c r="BC60" s="25">
        <f>IF(ISBLANK(G15),"",(AVERAGE($AY$49:AY60)))</f>
        <v>11.866666666666667</v>
      </c>
      <c r="BD60" s="13">
        <f t="shared" si="23"/>
        <v>3.2426666666666644</v>
      </c>
      <c r="BE60" s="6"/>
      <c r="BF60" s="444" t="s">
        <v>355</v>
      </c>
      <c r="BG60" s="444">
        <v>0.55694444444444446</v>
      </c>
      <c r="BH60" s="444">
        <v>0.60347222222222219</v>
      </c>
      <c r="BI60" s="444" t="s">
        <v>233</v>
      </c>
      <c r="BJ60" s="444">
        <v>4.8611111111111112E-3</v>
      </c>
      <c r="BK60" s="18"/>
      <c r="BL60" s="78"/>
    </row>
    <row r="61" spans="1:64" ht="12.75" x14ac:dyDescent="0.2">
      <c r="A61" s="67"/>
      <c r="B61" s="707" t="s">
        <v>58</v>
      </c>
      <c r="C61" s="708"/>
      <c r="D61" s="709"/>
      <c r="E61" s="89">
        <f>IF(ISBLANK(H5),"",CORREL(G4:G34,K4:K34))</f>
        <v>-0.39848923903020567</v>
      </c>
      <c r="F61" s="576">
        <f>IF(ISBLANK(H5),"",ABS(E61))</f>
        <v>0.39848923903020567</v>
      </c>
      <c r="H61" s="198"/>
      <c r="I61" s="434"/>
      <c r="J61" s="191"/>
      <c r="K61" s="50"/>
      <c r="L61" s="50"/>
      <c r="M61" s="50"/>
      <c r="N61" s="50"/>
      <c r="O61" s="191"/>
      <c r="P61" s="50"/>
      <c r="Q61" s="50"/>
      <c r="R61" s="50"/>
      <c r="S61" s="50"/>
      <c r="T61" s="166"/>
      <c r="U61" s="343"/>
      <c r="V61" s="343"/>
      <c r="W61" s="346"/>
      <c r="X61" s="50"/>
      <c r="Y61" s="192"/>
      <c r="Z61" s="110"/>
      <c r="AA61" s="493"/>
      <c r="AB61" s="497"/>
      <c r="AC61" s="69"/>
      <c r="AD61" s="493"/>
      <c r="AE61" s="199"/>
      <c r="AF61" s="166"/>
      <c r="AK61" s="6"/>
      <c r="AM61" s="136"/>
      <c r="AO61" s="225"/>
      <c r="AP61" s="767"/>
      <c r="AQ61" s="767"/>
      <c r="AR61" s="6"/>
      <c r="AX61" s="361">
        <v>13</v>
      </c>
      <c r="AY61" s="23">
        <f t="shared" si="20"/>
        <v>12.3</v>
      </c>
      <c r="AZ61" s="50"/>
      <c r="BA61" s="26">
        <f t="shared" si="22"/>
        <v>4.6833333333333327</v>
      </c>
      <c r="BB61" s="25">
        <f t="shared" si="21"/>
        <v>0.5</v>
      </c>
      <c r="BC61" s="25">
        <f>IF(ISBLANK(G16),"",(AVERAGE($AY$49:AY61)))</f>
        <v>11.900000000000002</v>
      </c>
      <c r="BD61" s="13">
        <f t="shared" si="23"/>
        <v>3.3534871794871757</v>
      </c>
      <c r="BE61" s="6"/>
      <c r="BF61" s="444">
        <v>0.33333333333333331</v>
      </c>
      <c r="BG61" s="444">
        <v>0.54097222222222219</v>
      </c>
      <c r="BH61" s="444">
        <v>0.62222222222222223</v>
      </c>
      <c r="BI61" s="444">
        <v>0.125</v>
      </c>
      <c r="BJ61" s="444">
        <v>7.3611111111111113E-2</v>
      </c>
      <c r="BK61" s="18"/>
      <c r="BL61" s="78"/>
    </row>
    <row r="62" spans="1:64" ht="12.75" x14ac:dyDescent="0.2">
      <c r="A62" s="67"/>
      <c r="B62" s="707" t="s">
        <v>59</v>
      </c>
      <c r="C62" s="708"/>
      <c r="D62" s="709"/>
      <c r="E62" s="89">
        <f>IF(ISBLANK(H5),"",CORREL(I4:I34,K4:K34))</f>
        <v>-0.58437044167632335</v>
      </c>
      <c r="F62" s="576">
        <f>IF(ISBLANK(H5),"",ABS(E62))</f>
        <v>0.58437044167632335</v>
      </c>
      <c r="H62" s="729" t="s">
        <v>27</v>
      </c>
      <c r="I62" s="830"/>
      <c r="J62" s="191"/>
      <c r="K62" s="100">
        <f>IF(ISBLANK(F4),"",AVERAGE(F4:F13))</f>
        <v>9.84</v>
      </c>
      <c r="L62" s="100">
        <f>IF(ISBLANK(G4),"",AVERAGE(G4:G13))</f>
        <v>13.889999999999997</v>
      </c>
      <c r="M62" s="100">
        <f>IF(ISBLANK(H4),"",AVERAGE(H4:H13))</f>
        <v>12.03</v>
      </c>
      <c r="N62" s="100">
        <f>IF(ISBLANK(G4),"",AVERAGE(I4:I13))</f>
        <v>4.0499999999999989</v>
      </c>
      <c r="O62" s="191"/>
      <c r="P62" s="100">
        <f>IF(ISBLANK(F4),"",K62-AVERAGE(F91:F100))</f>
        <v>3.5559999999999983</v>
      </c>
      <c r="Q62" s="100">
        <f>IF(ISBLANK(G4),"",L62-AVERAGE(G91:G100))</f>
        <v>2.5899999999999963</v>
      </c>
      <c r="R62" s="100">
        <f>IF(ISBLANK(H4),"",M62-AVERAGE(H91:H100))</f>
        <v>3.2379999999999978</v>
      </c>
      <c r="S62" s="100">
        <f>IF(ISBLANK(G4),"",N62-AVERAGE(I91:I100))</f>
        <v>-0.9659999999999993</v>
      </c>
      <c r="T62" s="166"/>
      <c r="U62" s="342">
        <f>IF(ISBLANK(M4),"",AVERAGE(M4:M13))</f>
        <v>88.9</v>
      </c>
      <c r="V62" s="342">
        <f>IF(ISBLANK(P4),"",AVERAGE(R4:R13))</f>
        <v>1010.35</v>
      </c>
      <c r="W62" s="345">
        <f>IF(ISBLANK(U4),"",AVERAGE(U4:U13))</f>
        <v>4.2200000000000006</v>
      </c>
      <c r="X62" s="100">
        <f>IF(ISBLANK(AI4),"",AVERAGE(AI4:AI13))</f>
        <v>10.180000000000001</v>
      </c>
      <c r="Y62" s="192"/>
      <c r="Z62" s="38">
        <f>IF(ISBLANK(Z4),"",SUM(Z4:Z13))</f>
        <v>23.6</v>
      </c>
      <c r="AA62" s="492">
        <f>IF(ISBLANK(Z4),"",Z62/($Z$39/$E$34*10))</f>
        <v>1.1062500000000002</v>
      </c>
      <c r="AB62" s="496">
        <f>IF(Z38=0,"",Z62/$Z$38)</f>
        <v>0.93650793650793651</v>
      </c>
      <c r="AC62" s="118">
        <f>IF(ISBLANK(AP4),"",SUM(AP4:AP13))</f>
        <v>13.4</v>
      </c>
      <c r="AD62" s="492">
        <f>IF(ISBLANK(AP4),"",AC62/SUM(AS91:AS100))</f>
        <v>0.5587890250618549</v>
      </c>
      <c r="AE62" s="197">
        <f>IF(ISBLANK(AP4),"",AC62/$AP$38)</f>
        <v>0.20520673813169987</v>
      </c>
      <c r="AF62" s="222"/>
      <c r="AK62" s="6"/>
      <c r="AM62" s="136"/>
      <c r="AN62" s="180" t="s">
        <v>65</v>
      </c>
      <c r="AO62" s="226"/>
      <c r="AP62" s="767"/>
      <c r="AQ62" s="767"/>
      <c r="AR62" s="6"/>
      <c r="AS62" s="785" t="s">
        <v>4</v>
      </c>
      <c r="AT62" s="785"/>
      <c r="AU62" s="220">
        <f>IF(AQ38=0,"",AVERAGE(AV50:AV60))</f>
        <v>0.32578944579101243</v>
      </c>
      <c r="AV62" s="577">
        <f>AU62</f>
        <v>0.32578944579101243</v>
      </c>
      <c r="AX62" s="361">
        <v>14</v>
      </c>
      <c r="AY62" s="23">
        <f t="shared" si="20"/>
        <v>9.15</v>
      </c>
      <c r="AZ62" s="50"/>
      <c r="BA62" s="26">
        <f t="shared" si="22"/>
        <v>1.6166666666666663</v>
      </c>
      <c r="BB62" s="25">
        <f t="shared" si="21"/>
        <v>5.0000000000000711E-2</v>
      </c>
      <c r="BC62" s="25">
        <f>IF(ISBLANK(G17),"",(AVERAGE($AY$49:AY62)))</f>
        <v>11.703571428571431</v>
      </c>
      <c r="BD62" s="13">
        <f t="shared" si="23"/>
        <v>3.2294285714285698</v>
      </c>
      <c r="BE62" s="6"/>
      <c r="BF62" s="444">
        <v>0.29166666666666669</v>
      </c>
      <c r="BG62" s="444">
        <v>0.65625</v>
      </c>
      <c r="BH62" s="444" t="s">
        <v>765</v>
      </c>
      <c r="BI62" s="444"/>
      <c r="BJ62" s="444">
        <v>0.89861111111111114</v>
      </c>
      <c r="BK62" s="55"/>
      <c r="BL62" s="78"/>
    </row>
    <row r="63" spans="1:64" ht="12.75" customHeight="1" x14ac:dyDescent="0.2">
      <c r="A63" s="67"/>
      <c r="B63" s="707" t="s">
        <v>72</v>
      </c>
      <c r="C63" s="708"/>
      <c r="D63" s="709"/>
      <c r="E63" s="89">
        <f>IF(ISBLANK(H5),"",CORREL(R4:R34,K4:K34))</f>
        <v>2.4645243180013762E-2</v>
      </c>
      <c r="F63" s="576">
        <f>IF(ISBLANK(H5),"",ABS(E63))</f>
        <v>2.4645243180013762E-2</v>
      </c>
      <c r="H63" s="729" t="s">
        <v>28</v>
      </c>
      <c r="I63" s="830"/>
      <c r="J63" s="191"/>
      <c r="K63" s="100">
        <f>IF(ISBLANK(F14),"",AVERAGE(F14:F23))</f>
        <v>7.67</v>
      </c>
      <c r="L63" s="100">
        <f>IF(ISBLANK(G14),"",AVERAGE(G14:G23))</f>
        <v>12.209999999999997</v>
      </c>
      <c r="M63" s="100">
        <f>IF(ISBLANK(H14),"",AVERAGE(H14:H23))</f>
        <v>9.77</v>
      </c>
      <c r="N63" s="100">
        <f>IF(ISBLANK(G14),"",AVERAGE(I14:I23))</f>
        <v>4.54</v>
      </c>
      <c r="O63" s="191"/>
      <c r="P63" s="100">
        <f>IF(ISBLANK(F14),"",K63-AVERAGE(F101:F110))</f>
        <v>2.7064000000000004</v>
      </c>
      <c r="Q63" s="100">
        <f>IF(ISBLANK(G14),"",L63-AVERAGE(G101:G110))</f>
        <v>2.3399999999999963</v>
      </c>
      <c r="R63" s="100">
        <f>IF(ISBLANK(H14),"",M63-AVERAGE(H101:H110))</f>
        <v>2.3531999999999975</v>
      </c>
      <c r="S63" s="100">
        <f>IF(ISBLANK(G14),"",N63-AVERAGE(I101:I110))</f>
        <v>-0.36640000000000228</v>
      </c>
      <c r="T63" s="166"/>
      <c r="U63" s="342">
        <f>IF(ISBLANK(M14),"",AVERAGE(M14:M23))</f>
        <v>92.1</v>
      </c>
      <c r="V63" s="342">
        <f>IF(ISBLANK(P14),"",AVERAGE(R14:R23))</f>
        <v>1019.95005</v>
      </c>
      <c r="W63" s="345">
        <f>IF(ISBLANK(U14),"",AVERAGE(U14:U23))</f>
        <v>3.8899999999999992</v>
      </c>
      <c r="X63" s="100">
        <f>IF(ISBLANK(AI14),"",AVERAGE(AI14:AI23))</f>
        <v>8.49</v>
      </c>
      <c r="Y63" s="192"/>
      <c r="Z63" s="38">
        <f>IF(ISBLANK(Z14),"",SUM(Z14:Z23))</f>
        <v>0</v>
      </c>
      <c r="AA63" s="492">
        <f>IF(ISBLANK(Z14),"",Z63/($Z$39/$E$34*10))</f>
        <v>0</v>
      </c>
      <c r="AB63" s="496">
        <f>IF(ISBLANK(Z14),"",Z63/$Z$38)</f>
        <v>0</v>
      </c>
      <c r="AC63" s="118">
        <f>IF(ISBLANK(AP14),"",SUM(AP14:AP23))</f>
        <v>30.5</v>
      </c>
      <c r="AD63" s="492">
        <f>IF(ISBLANK(AP14),"",AC63/SUM(AS101:AS110))</f>
        <v>1.3503247871770121</v>
      </c>
      <c r="AE63" s="197">
        <f>IF(ISBLANK(AP14),"",AC63/$AP$38)</f>
        <v>0.46707503828483921</v>
      </c>
      <c r="AF63" s="222"/>
      <c r="AK63" s="315"/>
      <c r="AL63" s="306"/>
      <c r="AM63" s="136"/>
      <c r="AN63" s="5">
        <f>MIN(AT79,AN92)</f>
        <v>12</v>
      </c>
      <c r="AO63" s="227"/>
      <c r="AP63" s="784" t="s">
        <v>276</v>
      </c>
      <c r="AQ63" s="784"/>
      <c r="AR63" s="6"/>
      <c r="AS63" s="785" t="s">
        <v>34</v>
      </c>
      <c r="AT63" s="785"/>
      <c r="AU63" s="9">
        <f>AN96+AN101</f>
        <v>2</v>
      </c>
      <c r="AV63" s="103" t="s">
        <v>69</v>
      </c>
      <c r="AX63" s="361">
        <v>15</v>
      </c>
      <c r="AY63" s="23">
        <f t="shared" si="20"/>
        <v>8.4499999999999993</v>
      </c>
      <c r="AZ63" s="50"/>
      <c r="BA63" s="26">
        <f t="shared" si="22"/>
        <v>0.99999999999999956</v>
      </c>
      <c r="BB63" s="25">
        <f t="shared" si="21"/>
        <v>-0.15000000000000036</v>
      </c>
      <c r="BC63" s="25">
        <f>IF(ISBLANK(G18),"",(AVERAGE($AY$49:AY63)))</f>
        <v>11.486666666666668</v>
      </c>
      <c r="BD63" s="13">
        <f t="shared" si="23"/>
        <v>3.0807999999999973</v>
      </c>
      <c r="BE63" s="6"/>
      <c r="BF63" s="444">
        <v>8.3333333333333329E-2</v>
      </c>
      <c r="BG63" s="444">
        <v>0.53749999999999998</v>
      </c>
      <c r="BH63" s="444">
        <v>0.63611111111111118</v>
      </c>
      <c r="BI63" s="444">
        <v>0.32916666666666666</v>
      </c>
      <c r="BJ63" s="444">
        <v>0.60763888888888895</v>
      </c>
      <c r="BK63" s="18"/>
      <c r="BL63" s="78"/>
    </row>
    <row r="64" spans="1:64" ht="12.75" x14ac:dyDescent="0.2">
      <c r="A64" s="67"/>
      <c r="B64" s="707" t="s">
        <v>74</v>
      </c>
      <c r="C64" s="708"/>
      <c r="D64" s="709"/>
      <c r="E64" s="89">
        <f>IF(ISBLANK(H5),"",CORREL(K4:K34,N4:N34))</f>
        <v>-0.96636609260256079</v>
      </c>
      <c r="F64" s="576">
        <f>IF(ISBLANK(H5),"",ABS(E64))</f>
        <v>0.96636609260256079</v>
      </c>
      <c r="H64" s="729" t="s">
        <v>161</v>
      </c>
      <c r="I64" s="830"/>
      <c r="J64" s="191"/>
      <c r="K64" s="100">
        <f>IF(ISBLANK(F24),"",AVERAGE(F24:F34))</f>
        <v>5.39</v>
      </c>
      <c r="L64" s="100">
        <f>IF(ISBLANK(G24),"",AVERAGE(G24:G34))</f>
        <v>12.19</v>
      </c>
      <c r="M64" s="100">
        <f>IF(ISBLANK(H24),"",AVERAGE(H24:H34))</f>
        <v>9.3699999999999992</v>
      </c>
      <c r="N64" s="100">
        <f>IF(ISBLANK(G24),"",AVERAGE(I24:I34))</f>
        <v>6.8</v>
      </c>
      <c r="O64" s="191"/>
      <c r="P64" s="100">
        <f>IF(ISBLANK(F24),"",K64-AVERAGE(F111:F121))</f>
        <v>1.4876249999999991</v>
      </c>
      <c r="Q64" s="100">
        <f>IF(ISBLANK(G24),"",L64-AVERAGE(G111:G121))</f>
        <v>2.8356249999999985</v>
      </c>
      <c r="R64" s="100">
        <f>IF(ISBLANK(H24),"",M64-AVERAGE(H111:H121))</f>
        <v>2.7416249999999991</v>
      </c>
      <c r="S64" s="100">
        <f>IF(ISBLANK(G24),"",N64-AVERAGE(I111:I121))</f>
        <v>1.3479999999999972</v>
      </c>
      <c r="T64" s="166"/>
      <c r="U64" s="342">
        <f>IF(ISBLANK(M24),"",AVERAGE(M24:M34))</f>
        <v>84.6</v>
      </c>
      <c r="V64" s="342">
        <f>IF(ISBLANK(P24),"",AVERAGE(R24:R34))</f>
        <v>1020.4</v>
      </c>
      <c r="W64" s="345">
        <f>IF(ISBLANK(U24),"",AVERAGE(U24:U34))</f>
        <v>5.4999999999999991</v>
      </c>
      <c r="X64" s="100">
        <f>IF(ISBLANK(AI24),"",AVERAGE(AI24:AI34))</f>
        <v>6.7799999999999994</v>
      </c>
      <c r="Y64" s="192"/>
      <c r="Z64" s="38">
        <f>IF(ISBLANK(Z24),"",SUM(Z24:Z34))</f>
        <v>1.6</v>
      </c>
      <c r="AA64" s="492">
        <f>IF(ISBLANK(Z24),"",Z64/($Z$39/$E$34*10))</f>
        <v>7.5000000000000011E-2</v>
      </c>
      <c r="AB64" s="496">
        <f>IF(ISBLANK(Z24),"",Z64/$Z$38)</f>
        <v>6.3492063492063489E-2</v>
      </c>
      <c r="AC64" s="118">
        <f>IF(ISBLANK(AP24),"",SUM(AP24:AP34))</f>
        <v>21.400000000000002</v>
      </c>
      <c r="AD64" s="492">
        <f>IF(ISBLANK(AP24),"",AC64/SUM(AS111:AS121))</f>
        <v>0.99848764279603419</v>
      </c>
      <c r="AE64" s="197">
        <f>IF(ISBLANK(AP24),"",AC64/$AP$38)</f>
        <v>0.32771822358346098</v>
      </c>
      <c r="AF64" s="50"/>
      <c r="AG64" s="739" t="s">
        <v>177</v>
      </c>
      <c r="AH64" s="739"/>
      <c r="AI64" s="739"/>
      <c r="AJ64" s="739"/>
      <c r="AK64" s="68"/>
      <c r="AL64" s="4"/>
      <c r="AM64" s="136"/>
      <c r="AN64" s="105"/>
      <c r="AO64" s="228"/>
      <c r="AP64" s="784"/>
      <c r="AQ64" s="784"/>
      <c r="AR64" s="6"/>
      <c r="AX64" s="361">
        <v>16</v>
      </c>
      <c r="AY64" s="23">
        <f t="shared" si="20"/>
        <v>6.5500000000000007</v>
      </c>
      <c r="AZ64" s="50"/>
      <c r="BA64" s="26">
        <f t="shared" si="22"/>
        <v>-0.81666666666666776</v>
      </c>
      <c r="BB64" s="25">
        <f t="shared" si="21"/>
        <v>-4.9999999999998934E-2</v>
      </c>
      <c r="BC64" s="25">
        <f>IF(ISBLANK(G19),"",(AVERAGE($AY$49:AY64)))</f>
        <v>11.178125000000001</v>
      </c>
      <c r="BD64" s="13">
        <f t="shared" si="23"/>
        <v>2.8372083333333316</v>
      </c>
      <c r="BE64" s="6"/>
      <c r="BF64" s="444">
        <v>0.14652777777777778</v>
      </c>
      <c r="BG64" s="444">
        <v>0.30694444444444441</v>
      </c>
      <c r="BH64" s="444">
        <v>0.64375000000000004</v>
      </c>
      <c r="BI64" s="444">
        <v>0.28749999999999998</v>
      </c>
      <c r="BJ64" s="444">
        <v>0.15763888888888888</v>
      </c>
      <c r="BK64" s="18"/>
      <c r="BL64" s="78"/>
    </row>
    <row r="65" spans="1:64" ht="12.75" customHeight="1" thickBot="1" x14ac:dyDescent="0.25">
      <c r="A65" s="67"/>
      <c r="B65" s="707" t="s">
        <v>73</v>
      </c>
      <c r="C65" s="708"/>
      <c r="D65" s="709"/>
      <c r="E65" s="89">
        <f>IF(ISBLANK(H5),"",CORREL(F4:F34,I4:I34))</f>
        <v>-0.6449078154341118</v>
      </c>
      <c r="F65" s="576">
        <f>IF(ISBLANK(H5),"",ABS(E65))</f>
        <v>0.6449078154341118</v>
      </c>
      <c r="G65" s="21"/>
      <c r="H65" s="198"/>
      <c r="I65" s="434"/>
      <c r="J65" s="191"/>
      <c r="K65" s="50"/>
      <c r="L65" s="50"/>
      <c r="M65" s="50"/>
      <c r="N65" s="50"/>
      <c r="O65" s="191"/>
      <c r="P65" s="50"/>
      <c r="Q65" s="50"/>
      <c r="R65" s="50"/>
      <c r="S65" s="50"/>
      <c r="T65" s="166"/>
      <c r="U65" s="343"/>
      <c r="V65" s="343"/>
      <c r="W65" s="346"/>
      <c r="X65" s="50"/>
      <c r="Y65" s="192"/>
      <c r="Z65" s="110"/>
      <c r="AA65" s="493"/>
      <c r="AB65" s="497"/>
      <c r="AC65" s="69"/>
      <c r="AD65" s="493"/>
      <c r="AE65" s="199"/>
      <c r="AF65" s="50"/>
      <c r="AH65" s="713">
        <f>SUM(BH91:BH121)</f>
        <v>3</v>
      </c>
      <c r="AI65" s="713"/>
      <c r="AJ65" s="93">
        <f>IF(M53=0,"",AH65/M53)</f>
        <v>0.1</v>
      </c>
      <c r="AK65" s="6"/>
      <c r="AM65" s="136"/>
      <c r="AO65" s="229"/>
      <c r="AP65" s="784"/>
      <c r="AQ65" s="784"/>
      <c r="AR65" s="6"/>
      <c r="AV65" s="332"/>
      <c r="AW65" s="332"/>
      <c r="AX65" s="361">
        <v>17</v>
      </c>
      <c r="AY65" s="23">
        <f t="shared" si="20"/>
        <v>11.2</v>
      </c>
      <c r="AZ65" s="50"/>
      <c r="BA65" s="26">
        <f t="shared" si="22"/>
        <v>3.9166666666666652</v>
      </c>
      <c r="BB65" s="25">
        <f t="shared" si="21"/>
        <v>0.19999999999999929</v>
      </c>
      <c r="BC65" s="25">
        <f>IF(ISBLANK(G20),"",(AVERAGE($AY$49:AY65)))</f>
        <v>11.179411764705883</v>
      </c>
      <c r="BD65" s="13">
        <f t="shared" si="23"/>
        <v>2.9007058823529404</v>
      </c>
      <c r="BE65" s="6"/>
      <c r="BF65" s="444" t="s">
        <v>355</v>
      </c>
      <c r="BG65" s="444">
        <v>0.52777777777777779</v>
      </c>
      <c r="BH65" s="444">
        <v>0.66666666666666663</v>
      </c>
      <c r="BI65" s="444">
        <v>0.30555555555555552</v>
      </c>
      <c r="BJ65" s="444">
        <v>0.51944444444444449</v>
      </c>
      <c r="BK65" s="18"/>
      <c r="BL65" s="78"/>
    </row>
    <row r="66" spans="1:64" ht="12.75" customHeight="1" thickTop="1" x14ac:dyDescent="0.2">
      <c r="A66" s="67"/>
      <c r="B66" s="707" t="s">
        <v>82</v>
      </c>
      <c r="C66" s="708"/>
      <c r="D66" s="709"/>
      <c r="E66" s="89">
        <f>IF(ISBLANK(H5),"",CORREL(G4:G34,I4:I34))</f>
        <v>0.19313103316272423</v>
      </c>
      <c r="F66" s="576">
        <f>IF(ISBLANK(H5),"",ABS(E66))</f>
        <v>0.19313103316272423</v>
      </c>
      <c r="H66" s="729" t="s">
        <v>29</v>
      </c>
      <c r="I66" s="830"/>
      <c r="J66" s="191"/>
      <c r="K66" s="100">
        <f>IF(ISBLANK(F4),"",AVERAGE(F4:F8))</f>
        <v>10.459999999999999</v>
      </c>
      <c r="L66" s="100">
        <f>IF(ISBLANK(G4),"",AVERAGE(G4:G8))</f>
        <v>15.219999999999999</v>
      </c>
      <c r="M66" s="100">
        <f>IF(ISBLANK(H4),"",AVERAGE(H4:H8))</f>
        <v>13.219999999999999</v>
      </c>
      <c r="N66" s="100">
        <f>IF(ISBLANK(G4),"",AVERAGE(I4:I8))</f>
        <v>4.76</v>
      </c>
      <c r="O66" s="191"/>
      <c r="P66" s="100">
        <f>IF(ISBLANK(F4),"",K66-AVERAGE(F91:F95))</f>
        <v>3.8359999999999967</v>
      </c>
      <c r="Q66" s="100">
        <f>IF(ISBLANK(G4),"",L66-AVERAGE(G91:G95))</f>
        <v>3.4199999999999982</v>
      </c>
      <c r="R66" s="100">
        <f>IF(ISBLANK(H4),"",M66-AVERAGE(H91:H95))</f>
        <v>4.0079999999999991</v>
      </c>
      <c r="S66" s="100">
        <f>IF(ISBLANK(G4),"",N66-AVERAGE(I91:I95))</f>
        <v>-0.41599999999999859</v>
      </c>
      <c r="T66" s="166"/>
      <c r="U66" s="342">
        <f>IF(ISBLANK(M4),"",AVERAGE(M4:M8))</f>
        <v>87.6</v>
      </c>
      <c r="V66" s="342">
        <f>IF(ISBLANK(P4),"",AVERAGE(R4:R8))</f>
        <v>1002.6</v>
      </c>
      <c r="W66" s="345">
        <f>IF(ISBLANK(U4),"",AVERAGE(U4:U8))</f>
        <v>4.2</v>
      </c>
      <c r="X66" s="100">
        <f>IF(ISBLANK(AI4),"",AVERAGE(AI4:AI8))</f>
        <v>11.14</v>
      </c>
      <c r="Y66" s="192"/>
      <c r="Z66" s="100">
        <f>IF(ISBLANK(Z4),"",SUM(Z4:Z8))</f>
        <v>21.4</v>
      </c>
      <c r="AA66" s="492">
        <f>IF(ISBLANK(Z4),"",Z66/($Z$39/$E$34*5))</f>
        <v>2.0062500000000001</v>
      </c>
      <c r="AB66" s="496">
        <f>IF(Z38=0,"",Z66/$Z$38)</f>
        <v>0.84920634920634908</v>
      </c>
      <c r="AC66" s="165">
        <f>IF(ISBLANK(AP4),"",SUM(AP4:AP8))</f>
        <v>9.6</v>
      </c>
      <c r="AD66" s="492">
        <f>IF(ISBLANK(AP4),"",AC66/SUM(AS91:AS95))</f>
        <v>0.78840908610346905</v>
      </c>
      <c r="AE66" s="197">
        <f>IF(ISBLANK(AP4),"",AC66/$AP$38)</f>
        <v>0.14701378254211334</v>
      </c>
      <c r="AF66" s="50"/>
      <c r="AG66" s="650"/>
      <c r="AH66" s="650"/>
      <c r="AI66" s="650"/>
      <c r="AJ66" s="650"/>
      <c r="AK66" s="316"/>
      <c r="AM66" s="136"/>
      <c r="AN66" s="190" t="s">
        <v>254</v>
      </c>
      <c r="AO66" s="229"/>
      <c r="AP66" s="784"/>
      <c r="AQ66" s="784"/>
      <c r="AR66" s="6"/>
      <c r="AT66" s="186" t="s">
        <v>86</v>
      </c>
      <c r="AU66" s="186"/>
      <c r="AV66" s="571"/>
      <c r="AW66" s="571"/>
      <c r="AX66" s="361">
        <v>18</v>
      </c>
      <c r="AY66" s="23">
        <f t="shared" si="20"/>
        <v>11.75</v>
      </c>
      <c r="AZ66" s="50"/>
      <c r="BA66" s="26">
        <f t="shared" si="22"/>
        <v>4.55</v>
      </c>
      <c r="BB66" s="25">
        <f t="shared" si="21"/>
        <v>0.34999999999999964</v>
      </c>
      <c r="BC66" s="25">
        <f>IF(ISBLANK(G21),"",(AVERAGE($AY$49:AY66)))</f>
        <v>11.211111111111112</v>
      </c>
      <c r="BD66" s="13">
        <f t="shared" si="23"/>
        <v>2.992333333333332</v>
      </c>
      <c r="BE66" s="6"/>
      <c r="BF66" s="444">
        <v>0.22916666666666666</v>
      </c>
      <c r="BG66" s="444">
        <v>0.56527777777777777</v>
      </c>
      <c r="BH66" s="444">
        <v>0.63749999999999996</v>
      </c>
      <c r="BI66" s="444">
        <v>0.35347222222222219</v>
      </c>
      <c r="BJ66" s="444">
        <v>0.49444444444444446</v>
      </c>
      <c r="BK66" s="18"/>
      <c r="BL66" s="78"/>
    </row>
    <row r="67" spans="1:64" ht="12.75" x14ac:dyDescent="0.2">
      <c r="A67" s="67"/>
      <c r="B67" s="740"/>
      <c r="C67" s="741"/>
      <c r="D67" s="741"/>
      <c r="E67" s="157"/>
      <c r="F67" s="576"/>
      <c r="H67" s="729" t="s">
        <v>36</v>
      </c>
      <c r="I67" s="830"/>
      <c r="J67" s="191"/>
      <c r="K67" s="100">
        <f>IF(ISBLANK(F9),"",AVERAGE(F9:F13))</f>
        <v>9.2200000000000006</v>
      </c>
      <c r="L67" s="100">
        <f>IF(ISBLANK(G9),"",AVERAGE(G9:G13))</f>
        <v>12.559999999999999</v>
      </c>
      <c r="M67" s="100">
        <f>IF(ISBLANK(H9),"",AVERAGE(H9:H13))</f>
        <v>10.84</v>
      </c>
      <c r="N67" s="100">
        <f>IF(ISBLANK(G9),"",AVERAGE(I9:I13))</f>
        <v>3.3400000000000007</v>
      </c>
      <c r="O67" s="191"/>
      <c r="P67" s="100">
        <f>IF(ISBLANK(F9),"",K67-AVERAGE(F96:F100))</f>
        <v>3.275999999999998</v>
      </c>
      <c r="Q67" s="100">
        <f>IF(ISBLANK(G9),"",L67-AVERAGE(G96:G100))</f>
        <v>1.759999999999998</v>
      </c>
      <c r="R67" s="100">
        <f>IF(ISBLANK(H9),"",M67-AVERAGE(H96:H100))</f>
        <v>2.4679999999999982</v>
      </c>
      <c r="S67" s="100">
        <f>IF(ISBLANK(G9),"",N67-AVERAGE(I96:I100))</f>
        <v>-1.5159999999999973</v>
      </c>
      <c r="T67" s="166"/>
      <c r="U67" s="342">
        <f>IF(ISBLANK(M9),"",AVERAGE(M9:M13))</f>
        <v>90.2</v>
      </c>
      <c r="V67" s="342">
        <f>IF(ISBLANK(P9),"",AVERAGE(R9:R13))</f>
        <v>1018.1</v>
      </c>
      <c r="W67" s="345">
        <f>IF(ISBLANK(U9),"",AVERAGE(U9:U13))</f>
        <v>4.24</v>
      </c>
      <c r="X67" s="100">
        <f>IF(ISBLANK(AI9),"",AVERAGE(AI9:AI13))</f>
        <v>9.2199999999999989</v>
      </c>
      <c r="Y67" s="192"/>
      <c r="Z67" s="100">
        <f>IF(ISBLANK(Z9),"",SUM(Z9:Z13))</f>
        <v>2.2000000000000002</v>
      </c>
      <c r="AA67" s="492">
        <f>IF(ISBLANK(Z9),"",Z67/($Z$39/$E$34*5))</f>
        <v>0.20625000000000002</v>
      </c>
      <c r="AB67" s="496">
        <f>IF(ISBLANK(Z9),"",Z67/$Z$38)</f>
        <v>8.7301587301587297E-2</v>
      </c>
      <c r="AC67" s="165">
        <f>IF(ISBLANK(AP9),"",SUM(AP9:AP13))</f>
        <v>3.8</v>
      </c>
      <c r="AD67" s="492">
        <f>IF(ISBLANK(AP9),"",AC67/SUM(AS96:AS100))</f>
        <v>0.32192454655858355</v>
      </c>
      <c r="AE67" s="197">
        <f>IF(ISBLANK(AP9),"",AC67/$AP$38)</f>
        <v>5.8192955589586523E-2</v>
      </c>
      <c r="AF67" s="50"/>
      <c r="AG67" s="780" t="s">
        <v>178</v>
      </c>
      <c r="AH67" s="780"/>
      <c r="AI67" s="780"/>
      <c r="AJ67" s="780"/>
      <c r="AK67" s="84"/>
      <c r="AM67" s="71"/>
      <c r="AN67" s="5">
        <f t="array" ref="AN67">SUM(IF(AP4:AP34&gt;0.25*AT91:AT121,1,0))</f>
        <v>14</v>
      </c>
      <c r="AO67" s="229"/>
      <c r="AP67" s="784"/>
      <c r="AQ67" s="784"/>
      <c r="AR67" s="6"/>
      <c r="AT67" s="187">
        <f>M53-AT70</f>
        <v>10</v>
      </c>
      <c r="AU67" s="187"/>
      <c r="AV67" s="571"/>
      <c r="AW67" s="571"/>
      <c r="AX67" s="361">
        <v>19</v>
      </c>
      <c r="AY67" s="23">
        <f t="shared" si="20"/>
        <v>9.65</v>
      </c>
      <c r="AZ67" s="50"/>
      <c r="BA67" s="26">
        <f t="shared" si="22"/>
        <v>2.5333333333333314</v>
      </c>
      <c r="BB67" s="25">
        <f t="shared" si="21"/>
        <v>0.34999999999999964</v>
      </c>
      <c r="BC67" s="25">
        <f>IF(ISBLANK(G22),"",(AVERAGE($AY$49:AY67)))</f>
        <v>11.128947368421054</v>
      </c>
      <c r="BD67" s="13">
        <f t="shared" si="23"/>
        <v>2.9681754385964902</v>
      </c>
      <c r="BE67" s="6"/>
      <c r="BF67" s="444">
        <v>0.33333333333333331</v>
      </c>
      <c r="BG67" s="444">
        <v>0.60624999999999996</v>
      </c>
      <c r="BH67" s="444">
        <v>0.65</v>
      </c>
      <c r="BI67" s="444">
        <v>0.39583333333333331</v>
      </c>
      <c r="BJ67" s="444">
        <v>0.36388888888888887</v>
      </c>
      <c r="BK67" s="18"/>
      <c r="BL67" s="78"/>
    </row>
    <row r="68" spans="1:64" ht="12.75" customHeight="1" x14ac:dyDescent="0.2">
      <c r="A68" s="67"/>
      <c r="B68" s="731" t="s">
        <v>4</v>
      </c>
      <c r="C68" s="732"/>
      <c r="D68" s="732"/>
      <c r="E68" s="582">
        <f>IF(ISBLANK(H5),"",AVERAGE(F48:F66))</f>
        <v>0.41543466393557554</v>
      </c>
      <c r="F68" s="576">
        <f>IF(ISBLANK(H5),"",ABS(E68))</f>
        <v>0.41543466393557554</v>
      </c>
      <c r="H68" s="729" t="s">
        <v>30</v>
      </c>
      <c r="I68" s="830"/>
      <c r="J68" s="191"/>
      <c r="K68" s="100">
        <f>IF(ISBLANK(F14),"",AVERAGE(F14:F18))</f>
        <v>8.76</v>
      </c>
      <c r="L68" s="100">
        <f>IF(ISBLANK(G14),"",AVERAGE(G14:G18))</f>
        <v>12.7</v>
      </c>
      <c r="M68" s="100">
        <f>IF(ISBLANK(H14),"",AVERAGE(H14:H18))</f>
        <v>10.56</v>
      </c>
      <c r="N68" s="100">
        <f>IF(ISBLANK(G14),"",AVERAGE(I14:I18))</f>
        <v>3.94</v>
      </c>
      <c r="O68" s="191"/>
      <c r="P68" s="100">
        <f>IF(ISBLANK(F14),"",K68-AVERAGE(F101:F105))</f>
        <v>3.4827999999999992</v>
      </c>
      <c r="Q68" s="100">
        <f>IF(ISBLANK(G14),"",L68-AVERAGE(G101:G105))</f>
        <v>2.7099999999999991</v>
      </c>
      <c r="R68" s="100">
        <f>IF(ISBLANK(H14),"",M68-AVERAGE(H101:H105))</f>
        <v>2.9263999999999992</v>
      </c>
      <c r="S68" s="100">
        <f>IF(ISBLANK(G14),"",N68-AVERAGE(I101:I105))</f>
        <v>-0.77279999999999971</v>
      </c>
      <c r="T68" s="166"/>
      <c r="U68" s="342">
        <f>IF(ISBLANK(M14),"",AVERAGE(M14:M18))</f>
        <v>93.2</v>
      </c>
      <c r="V68" s="342">
        <f>IF(ISBLANK(P14),"",AVERAGE(R14:R18))</f>
        <v>1022.2001</v>
      </c>
      <c r="W68" s="345">
        <f>IF(ISBLANK(U14),"",AVERAGE(U14:U18))</f>
        <v>4.88</v>
      </c>
      <c r="X68" s="100">
        <f>IF(ISBLANK(AI14),"",AVERAGE(AI14:AI18))</f>
        <v>9.4599999999999991</v>
      </c>
      <c r="Y68" s="192"/>
      <c r="Z68" s="100">
        <f>IF(ISBLANK(Z14),"",SUM(Z14:Z18))</f>
        <v>0</v>
      </c>
      <c r="AA68" s="492">
        <f>IF(ISBLANK(Z14),"",Z68/($Z$39/$E$34*5))</f>
        <v>0</v>
      </c>
      <c r="AB68" s="496">
        <f>IF(ISBLANK(Z14),"",Z68/$Z$38)</f>
        <v>0</v>
      </c>
      <c r="AC68" s="165">
        <f>IF(ISBLANK(AP14),"",SUM(AP14:AP18))</f>
        <v>14.5</v>
      </c>
      <c r="AD68" s="492">
        <f>IF(ISBLANK(AP14),"",AC68/SUM(AS101:AS105))</f>
        <v>1.2658683381246254</v>
      </c>
      <c r="AE68" s="197">
        <f>IF(ISBLANK(AP14),"",AC68/$AP$38)</f>
        <v>0.222052067381317</v>
      </c>
      <c r="AF68" s="50"/>
      <c r="AH68" s="781">
        <f>SUM(AY91:AY121)</f>
        <v>22</v>
      </c>
      <c r="AI68" s="781"/>
      <c r="AJ68" s="93">
        <f>IF(M53=0,"",AH68/M53)</f>
        <v>0.73333333333333328</v>
      </c>
      <c r="AK68" s="6"/>
      <c r="AM68" s="136"/>
      <c r="AO68" s="228"/>
      <c r="AP68" s="784"/>
      <c r="AQ68" s="784"/>
      <c r="AR68" s="6"/>
      <c r="AT68" s="4"/>
      <c r="AU68" s="4"/>
      <c r="AV68" s="571"/>
      <c r="AW68" s="571"/>
      <c r="AX68" s="361">
        <v>20</v>
      </c>
      <c r="AY68" s="23">
        <f t="shared" si="20"/>
        <v>6.6000000000000005</v>
      </c>
      <c r="AZ68" s="50"/>
      <c r="BA68" s="26">
        <f t="shared" si="22"/>
        <v>-0.43333333333333535</v>
      </c>
      <c r="BB68" s="25">
        <f t="shared" si="21"/>
        <v>8.8817841970012523E-16</v>
      </c>
      <c r="BC68" s="25">
        <f>IF(ISBLANK(G23),"",(AVERAGE($AY$49:AY68)))</f>
        <v>10.9025</v>
      </c>
      <c r="BD68" s="13">
        <f t="shared" si="23"/>
        <v>2.7980999999999985</v>
      </c>
      <c r="BE68" s="6"/>
      <c r="BF68" s="444">
        <v>0.29305555555555557</v>
      </c>
      <c r="BG68" s="444">
        <v>0.62638888888888888</v>
      </c>
      <c r="BH68" s="444" t="s">
        <v>274</v>
      </c>
      <c r="BI68" s="444"/>
      <c r="BJ68" s="444">
        <v>0.3034722222222222</v>
      </c>
      <c r="BK68" s="54"/>
      <c r="BL68" s="78"/>
    </row>
    <row r="69" spans="1:64" ht="12.75" customHeight="1" x14ac:dyDescent="0.2">
      <c r="A69" s="67"/>
      <c r="B69" s="731" t="s">
        <v>34</v>
      </c>
      <c r="C69" s="732"/>
      <c r="D69" s="732"/>
      <c r="E69" s="583">
        <f>AN100+AN97</f>
        <v>8</v>
      </c>
      <c r="F69" s="85" t="s">
        <v>90</v>
      </c>
      <c r="H69" s="729" t="s">
        <v>31</v>
      </c>
      <c r="I69" s="830"/>
      <c r="J69" s="191"/>
      <c r="K69" s="100">
        <f>IF(ISBLANK(F19),"",AVERAGE(F19:F23))</f>
        <v>6.58</v>
      </c>
      <c r="L69" s="100">
        <f>IF(ISBLANK(G19),"",AVERAGE(G19:G23))</f>
        <v>11.719999999999999</v>
      </c>
      <c r="M69" s="100">
        <f>IF(ISBLANK(H19),"",AVERAGE(H19:H23))</f>
        <v>8.98</v>
      </c>
      <c r="N69" s="100">
        <f>IF(ISBLANK(G19),"",AVERAGE(I19:I23))</f>
        <v>5.1400000000000006</v>
      </c>
      <c r="O69" s="191"/>
      <c r="P69" s="100">
        <f>IF(ISBLANK(F19),"",K69-AVERAGE(F106:F110))</f>
        <v>1.9299999999999997</v>
      </c>
      <c r="Q69" s="100">
        <f>IF(ISBLANK(G19),"",L69-AVERAGE(G106:G110))</f>
        <v>1.9699999999999953</v>
      </c>
      <c r="R69" s="100">
        <f>IF(ISBLANK(H19),"",M69-AVERAGE(H106:H110))</f>
        <v>1.7799999999999994</v>
      </c>
      <c r="S69" s="100">
        <f>IF(ISBLANK(G19),"",N69-AVERAGE(I106:I110))</f>
        <v>3.9999999999997371E-2</v>
      </c>
      <c r="T69" s="166"/>
      <c r="U69" s="342">
        <f>IF(ISBLANK(M19),"",AVERAGE(M19:M23))</f>
        <v>91</v>
      </c>
      <c r="V69" s="342">
        <f>IF(ISBLANK(P19),"",AVERAGE(R19:R23))</f>
        <v>1017.7</v>
      </c>
      <c r="W69" s="345">
        <f>IF(ISBLANK(U19),"",AVERAGE(U19:U23))</f>
        <v>2.9000000000000004</v>
      </c>
      <c r="X69" s="100">
        <f>IF(ISBLANK(AI19),"",AVERAGE(AI19:AI23))</f>
        <v>7.5199999999999987</v>
      </c>
      <c r="Y69" s="192"/>
      <c r="Z69" s="100">
        <f>IF(ISBLANK(Z19),"",SUM(Z19:Z23))</f>
        <v>0</v>
      </c>
      <c r="AA69" s="492">
        <f>IF(ISBLANK(Z19),"",Z69/($Z$39/$E$34*5))</f>
        <v>0</v>
      </c>
      <c r="AB69" s="496">
        <f>IF(ISBLANK(Z19),"",Z69/$Z$38)</f>
        <v>0</v>
      </c>
      <c r="AC69" s="165">
        <f>IF(ISBLANK(AP19),"",SUM(AP19:AP23))</f>
        <v>16</v>
      </c>
      <c r="AD69" s="492">
        <f>IF(ISBLANK(AP19),"",AC69/SUM(AS106:AS110))</f>
        <v>1.4372241955564473</v>
      </c>
      <c r="AE69" s="197">
        <f>IF(ISBLANK(AP19),"",AC69/$AP$38)</f>
        <v>0.24502297090352221</v>
      </c>
      <c r="AF69" s="50"/>
      <c r="AK69" s="6"/>
      <c r="AM69" s="136"/>
      <c r="AN69" s="183" t="s">
        <v>255</v>
      </c>
      <c r="AO69" s="228"/>
      <c r="AP69" s="767" t="s">
        <v>195</v>
      </c>
      <c r="AQ69" s="767"/>
      <c r="AR69" s="6"/>
      <c r="AT69" s="189" t="s">
        <v>85</v>
      </c>
      <c r="AU69" s="189"/>
      <c r="AV69" s="603"/>
      <c r="AW69" s="571"/>
      <c r="AX69" s="361">
        <v>21</v>
      </c>
      <c r="AY69" s="23">
        <f t="shared" si="20"/>
        <v>8.0500000000000007</v>
      </c>
      <c r="AZ69" s="50"/>
      <c r="BA69" s="26">
        <f t="shared" si="22"/>
        <v>1.099999999999997</v>
      </c>
      <c r="BB69" s="25">
        <f t="shared" si="21"/>
        <v>-0.54999999999999893</v>
      </c>
      <c r="BC69" s="25">
        <f>IF(ISBLANK(G24),"",(AVERAGE($AY$49:AY69)))</f>
        <v>10.766666666666667</v>
      </c>
      <c r="BD69" s="13">
        <f t="shared" si="23"/>
        <v>2.7172380952380939</v>
      </c>
      <c r="BE69" s="6"/>
      <c r="BF69" s="444">
        <v>9.2361111111111116E-2</v>
      </c>
      <c r="BG69" s="444">
        <v>0.53749999999999998</v>
      </c>
      <c r="BH69" s="444">
        <v>0.60138888888888886</v>
      </c>
      <c r="BI69" s="444"/>
      <c r="BJ69" s="444">
        <v>0.69930555555555562</v>
      </c>
      <c r="BK69" s="54"/>
      <c r="BL69" s="78"/>
    </row>
    <row r="70" spans="1:64" ht="12.75" x14ac:dyDescent="0.2">
      <c r="A70" s="67"/>
      <c r="B70" s="160"/>
      <c r="C70" s="161"/>
      <c r="D70" s="161"/>
      <c r="E70" s="158"/>
      <c r="F70" s="120"/>
      <c r="H70" s="729" t="s">
        <v>32</v>
      </c>
      <c r="I70" s="830"/>
      <c r="J70" s="191"/>
      <c r="K70" s="100">
        <f>IF(ISBLANK(F24),"",AVERAGE(F24:F28))</f>
        <v>6.24</v>
      </c>
      <c r="L70" s="100">
        <f>IF(ISBLANK(G24),"",AVERAGE(G24:G28))</f>
        <v>11.66</v>
      </c>
      <c r="M70" s="100">
        <f>IF(ISBLANK(H24),"",AVERAGE(H24:H28))</f>
        <v>9.36</v>
      </c>
      <c r="N70" s="100">
        <f>IF(ISBLANK(G24),"",AVERAGE(I24:I28))</f>
        <v>5.42</v>
      </c>
      <c r="O70" s="191"/>
      <c r="P70" s="100">
        <f>IF(ISBLANK(F24),"",K70-AVERAGE(F111:F115))</f>
        <v>2.1969166666666666</v>
      </c>
      <c r="Q70" s="100">
        <f>IF(ISBLANK(G24),"",L70-AVERAGE(G111:G115))</f>
        <v>2.1262499999999971</v>
      </c>
      <c r="R70" s="100">
        <f>IF(ISBLANK(H24),"",M70-AVERAGE(H111:H115))</f>
        <v>2.5715833333333311</v>
      </c>
      <c r="S70" s="100">
        <f>IF(ISBLANK(G24),"",N70-AVERAGE(I111:I115))</f>
        <v>-7.0666666666671318E-2</v>
      </c>
      <c r="T70" s="166"/>
      <c r="U70" s="342">
        <f>IF(ISBLANK(M24),"",AVERAGE(M24:M28))</f>
        <v>92</v>
      </c>
      <c r="V70" s="342">
        <f>IF(ISBLANK(P24),"",AVERAGE(R24:R28))</f>
        <v>1022.4</v>
      </c>
      <c r="W70" s="345">
        <f>IF(ISBLANK(U24),"",AVERAGE(U24:U28))</f>
        <v>3.94</v>
      </c>
      <c r="X70" s="100">
        <f>IF(ISBLANK(AI24),"",AVERAGE(AI24:AI28))</f>
        <v>8.0399999999999991</v>
      </c>
      <c r="Y70" s="192"/>
      <c r="Z70" s="100">
        <f>IF(ISBLANK(Z24),"",SUM(Z24:Z28))</f>
        <v>0.5</v>
      </c>
      <c r="AA70" s="492">
        <f>IF(ISBLANK(Z24),"",Z70/($Z$39/$E$34*5))</f>
        <v>4.6875E-2</v>
      </c>
      <c r="AB70" s="496">
        <f>IF(ISBLANK(Z24),"",Z70/$Z$38)</f>
        <v>1.984126984126984E-2</v>
      </c>
      <c r="AC70" s="165">
        <f>IF(ISBLANK(AP24),"",SUM(AP24:AP28))</f>
        <v>10</v>
      </c>
      <c r="AD70" s="492">
        <f>IF(ISBLANK(AP24),"",AC70/SUM(AS111:AS115))</f>
        <v>0.92228198804605044</v>
      </c>
      <c r="AE70" s="197">
        <f>IF(ISBLANK(AP24),"",AC70/$AP$38)</f>
        <v>0.15313935681470139</v>
      </c>
      <c r="AF70" s="50"/>
      <c r="AK70" s="6"/>
      <c r="AM70" s="149"/>
      <c r="AN70" s="5">
        <f>M53-AN67</f>
        <v>16</v>
      </c>
      <c r="AO70" s="88"/>
      <c r="AP70" s="767"/>
      <c r="AQ70" s="767"/>
      <c r="AR70" s="6"/>
      <c r="AT70" s="5">
        <f>M53-SUM(BI91:BI121)</f>
        <v>20</v>
      </c>
      <c r="AU70" s="5"/>
      <c r="AV70" s="571"/>
      <c r="AW70" s="571"/>
      <c r="AX70" s="361">
        <v>22</v>
      </c>
      <c r="AY70" s="23">
        <f t="shared" si="20"/>
        <v>9.4</v>
      </c>
      <c r="AZ70" s="50"/>
      <c r="BA70" s="26">
        <f t="shared" si="22"/>
        <v>2.5333333333333301</v>
      </c>
      <c r="BB70" s="25">
        <f t="shared" si="21"/>
        <v>-1</v>
      </c>
      <c r="BC70" s="25">
        <f>IF(ISBLANK(G25),"",(AVERAGE($AY$49:AY70)))</f>
        <v>10.704545454545455</v>
      </c>
      <c r="BD70" s="13">
        <f t="shared" si="23"/>
        <v>2.7088787878787866</v>
      </c>
      <c r="BE70" s="6"/>
      <c r="BF70" s="444" t="s">
        <v>355</v>
      </c>
      <c r="BG70" s="444">
        <v>0.63055555555555554</v>
      </c>
      <c r="BH70" s="444" t="s">
        <v>766</v>
      </c>
      <c r="BI70" s="444"/>
      <c r="BJ70" s="444">
        <v>0.68055555555555547</v>
      </c>
      <c r="BK70" s="54"/>
      <c r="BL70" s="78"/>
    </row>
    <row r="71" spans="1:64" ht="13.5" customHeight="1" thickBot="1" x14ac:dyDescent="0.25">
      <c r="A71" s="67"/>
      <c r="B71" s="748" t="s">
        <v>7</v>
      </c>
      <c r="C71" s="749"/>
      <c r="D71" s="749"/>
      <c r="E71" s="221" t="s">
        <v>15</v>
      </c>
      <c r="F71" s="120"/>
      <c r="G71" s="575" t="s">
        <v>340</v>
      </c>
      <c r="H71" s="750" t="s">
        <v>162</v>
      </c>
      <c r="I71" s="831"/>
      <c r="J71" s="200"/>
      <c r="K71" s="201">
        <f>IF(ISBLANK(F29),"",AVERAGE(F29:F34))</f>
        <v>4.5400000000000009</v>
      </c>
      <c r="L71" s="201">
        <f>IF(ISBLANK(G29),"",AVERAGE(G29:G34))</f>
        <v>12.72</v>
      </c>
      <c r="M71" s="201">
        <f>IF(ISBLANK(H29),"",AVERAGE(H29:H34))</f>
        <v>9.379999999999999</v>
      </c>
      <c r="N71" s="201">
        <f>IF(ISBLANK(G29),"",AVERAGE(I29:I34))</f>
        <v>8.1800000000000015</v>
      </c>
      <c r="O71" s="200"/>
      <c r="P71" s="201">
        <f>IF(ISBLANK(F29),"",K71-AVERAGE(F116:F121))</f>
        <v>0.77833333333333421</v>
      </c>
      <c r="Q71" s="201">
        <f>IF(ISBLANK(G29),"",L71-AVERAGE(G116:G121))</f>
        <v>3.5449999999999999</v>
      </c>
      <c r="R71" s="201">
        <f>IF(ISBLANK(H29),"",M71-AVERAGE(H116:H121))</f>
        <v>2.9116666666666653</v>
      </c>
      <c r="S71" s="201">
        <f>IF(ISBLANK(G29),"",N71-AVERAGE(I116:I121))</f>
        <v>2.7666666666666675</v>
      </c>
      <c r="T71" s="202"/>
      <c r="U71" s="344">
        <f>IF(ISBLANK(M29),"",AVERAGE(M29:M34))</f>
        <v>77.2</v>
      </c>
      <c r="V71" s="344">
        <f>IF(ISBLANK(P29),"",AVERAGE(R29:R34))</f>
        <v>1018.4</v>
      </c>
      <c r="W71" s="347">
        <f>IF(ISBLANK(U29),"",AVERAGE(U29:U34))</f>
        <v>7.06</v>
      </c>
      <c r="X71" s="201">
        <f>IF(ISBLANK(AI29),"",AVERAGE(AI29:AI34))</f>
        <v>5.52</v>
      </c>
      <c r="Y71" s="203"/>
      <c r="Z71" s="201">
        <f>IF(ISBLANK(Z29),"",SUM(Z29:Z34))</f>
        <v>1.1000000000000001</v>
      </c>
      <c r="AA71" s="494">
        <f>IF(ISBLANK(Z29),"",Z71/($Z$39/$E$34*5))</f>
        <v>0.10312500000000001</v>
      </c>
      <c r="AB71" s="498">
        <f>IF(ISBLANK(Z29),"",Z71/$Z$38)</f>
        <v>4.3650793650793648E-2</v>
      </c>
      <c r="AC71" s="255">
        <f>IF(ISBLANK(AP29),"",SUM(AP29:AP34))</f>
        <v>11.399999999999999</v>
      </c>
      <c r="AD71" s="494">
        <f>IF(ISBLANK(AP29),"",AC71/SUM(AS116:AS121))</f>
        <v>1.0765134132845702</v>
      </c>
      <c r="AE71" s="256">
        <f>IF(ISBLANK(AP29),"",AC71/$AP$38)</f>
        <v>0.17457886676875956</v>
      </c>
      <c r="AF71" s="50"/>
      <c r="AG71" s="739" t="s">
        <v>125</v>
      </c>
      <c r="AH71" s="739"/>
      <c r="AI71" s="739"/>
      <c r="AJ71" s="739"/>
      <c r="AK71" s="315"/>
      <c r="AL71" s="306"/>
      <c r="AM71" s="136"/>
      <c r="AO71" s="88"/>
      <c r="AP71" s="767"/>
      <c r="AQ71" s="767"/>
      <c r="AR71" s="6"/>
      <c r="AT71" s="52"/>
      <c r="AU71" s="52"/>
      <c r="AV71" s="571"/>
      <c r="AW71" s="571"/>
      <c r="AX71" s="361">
        <v>23</v>
      </c>
      <c r="AY71" s="23">
        <f t="shared" si="20"/>
        <v>6.5</v>
      </c>
      <c r="AZ71" s="50"/>
      <c r="BA71" s="26">
        <f t="shared" si="22"/>
        <v>-0.28333333333333677</v>
      </c>
      <c r="BB71" s="25">
        <f t="shared" si="21"/>
        <v>-0.29999999999999982</v>
      </c>
      <c r="BC71" s="25">
        <f>IF(ISBLANK(G26),"",(AVERAGE($AY$49:AY71)))</f>
        <v>10.521739130434783</v>
      </c>
      <c r="BD71" s="13">
        <f t="shared" si="23"/>
        <v>2.5787826086956502</v>
      </c>
      <c r="BE71" s="6"/>
      <c r="BF71" s="444">
        <v>0.23541666666666669</v>
      </c>
      <c r="BG71" s="444">
        <v>0.63402777777777775</v>
      </c>
      <c r="BH71" s="444">
        <v>0.67222222222222217</v>
      </c>
      <c r="BI71" s="444">
        <v>0.36249999999999999</v>
      </c>
      <c r="BJ71" s="444">
        <v>0.55138888888888882</v>
      </c>
      <c r="BK71" s="54"/>
      <c r="BL71" s="78"/>
    </row>
    <row r="72" spans="1:64" ht="12.75" customHeight="1" x14ac:dyDescent="0.2">
      <c r="A72" s="67"/>
      <c r="B72" s="742" t="s">
        <v>33</v>
      </c>
      <c r="C72" s="743"/>
      <c r="D72" s="744"/>
      <c r="E72" s="89">
        <f>IF(Z38=0,"",CORREL(Z4:Z34,R4:R34))</f>
        <v>-0.72064462593963208</v>
      </c>
      <c r="F72" s="576">
        <f>IF(Z38=0,"",ABS(E72))</f>
        <v>0.72064462593963208</v>
      </c>
      <c r="G72" s="574">
        <f>IF(Z38=0,"",IF(AQ86&lt;0.5,"n/a",CORREL(Y4:Y34,R4:R34)))</f>
        <v>-0.67516431553102441</v>
      </c>
      <c r="H72" s="102"/>
      <c r="I72" s="21"/>
      <c r="J72" s="20"/>
      <c r="K72" s="21"/>
      <c r="O72" s="20"/>
      <c r="Q72" s="122"/>
      <c r="S72" s="100"/>
      <c r="T72" s="166"/>
      <c r="W72" s="24"/>
      <c r="X72" s="24"/>
      <c r="Y72" s="192"/>
      <c r="Z72" s="24"/>
      <c r="AA72" s="24"/>
      <c r="AB72" s="24"/>
      <c r="AC72" s="24"/>
      <c r="AF72" s="6"/>
      <c r="AH72" s="713">
        <f t="array" ref="AH72">MAX(FREQUENCY(IF(BH91:BH121=1,ROW(91:121)),IF(BH91:BH121&lt;&gt;1,ROW(91:121))))</f>
        <v>3</v>
      </c>
      <c r="AI72" s="713"/>
      <c r="AJ72" s="4"/>
      <c r="AK72" s="68"/>
      <c r="AL72" s="474"/>
      <c r="AM72" s="136"/>
      <c r="AN72" s="185" t="s">
        <v>123</v>
      </c>
      <c r="AO72" s="409"/>
      <c r="AP72" s="767"/>
      <c r="AQ72" s="767"/>
      <c r="AR72" s="6"/>
      <c r="AT72" s="307" t="s">
        <v>87</v>
      </c>
      <c r="AU72" s="307"/>
      <c r="AV72" s="571"/>
      <c r="AW72" s="571"/>
      <c r="AX72" s="361">
        <v>24</v>
      </c>
      <c r="AY72" s="23">
        <f t="shared" si="20"/>
        <v>10.7</v>
      </c>
      <c r="AZ72" s="50"/>
      <c r="BA72" s="26">
        <f t="shared" si="22"/>
        <v>3.9999999999999991</v>
      </c>
      <c r="BB72" s="25">
        <f t="shared" si="21"/>
        <v>0.39999999999999858</v>
      </c>
      <c r="BC72" s="25">
        <f>IF(ISBLANK(G27),"",(AVERAGE($AY$49:AY72)))</f>
        <v>10.529166666666667</v>
      </c>
      <c r="BD72" s="13">
        <f t="shared" si="23"/>
        <v>2.6379999999999977</v>
      </c>
      <c r="BE72" s="6"/>
      <c r="BF72" s="444">
        <v>4.1666666666666664E-2</v>
      </c>
      <c r="BG72" s="444">
        <v>0.57847222222222217</v>
      </c>
      <c r="BH72" s="444">
        <v>0.65625</v>
      </c>
      <c r="BI72" s="444">
        <v>0.27152777777777776</v>
      </c>
      <c r="BJ72" s="444">
        <v>0.9902777777777777</v>
      </c>
      <c r="BK72" s="54"/>
      <c r="BL72" s="78"/>
    </row>
    <row r="73" spans="1:64" ht="12.75" customHeight="1" x14ac:dyDescent="0.2">
      <c r="A73" s="67"/>
      <c r="B73" s="742" t="s">
        <v>61</v>
      </c>
      <c r="C73" s="743"/>
      <c r="D73" s="744"/>
      <c r="E73" s="89">
        <f>IF(Z38=0,"",CORREL(Z4:Z34,H4:H34))</f>
        <v>0.48399891788081428</v>
      </c>
      <c r="F73" s="576">
        <f>IF(Z38=0,"",ABS(E73))</f>
        <v>0.48399891788081428</v>
      </c>
      <c r="H73" s="102"/>
      <c r="J73" s="20"/>
      <c r="K73" s="231"/>
      <c r="L73" s="4" t="s">
        <v>352</v>
      </c>
      <c r="M73" s="4" t="s">
        <v>10</v>
      </c>
      <c r="N73" s="122"/>
      <c r="O73" s="20"/>
      <c r="Q73" s="753" t="s">
        <v>103</v>
      </c>
      <c r="R73" s="754"/>
      <c r="S73" s="754"/>
      <c r="T73" s="754"/>
      <c r="U73" s="754"/>
      <c r="V73" s="754"/>
      <c r="W73" s="754"/>
      <c r="X73" s="754"/>
      <c r="Y73" s="754"/>
      <c r="Z73" s="754"/>
      <c r="AA73" s="754"/>
      <c r="AB73" s="755"/>
      <c r="AC73" s="303"/>
      <c r="AD73" s="541"/>
      <c r="AE73" s="541"/>
      <c r="AF73" s="6"/>
      <c r="AG73" s="650"/>
      <c r="AH73" s="650"/>
      <c r="AI73" s="650"/>
      <c r="AJ73" s="650"/>
      <c r="AK73" s="6"/>
      <c r="AL73" s="477"/>
      <c r="AM73" s="136"/>
      <c r="AN73" s="138">
        <f>IF(M53=0,"",AN67/M53)</f>
        <v>0.46666666666666667</v>
      </c>
      <c r="AO73" s="409"/>
      <c r="AP73" s="783" t="s">
        <v>269</v>
      </c>
      <c r="AQ73" s="661"/>
      <c r="AR73" s="6"/>
      <c r="AT73" s="587">
        <f>IF(AT67=0,"",AT67/M53)</f>
        <v>0.33333333333333331</v>
      </c>
      <c r="AU73" s="587"/>
      <c r="AV73" s="571"/>
      <c r="AW73" s="571"/>
      <c r="AX73" s="361">
        <v>25</v>
      </c>
      <c r="AY73" s="23">
        <f t="shared" si="20"/>
        <v>10.1</v>
      </c>
      <c r="AZ73" s="50"/>
      <c r="BA73" s="26">
        <f t="shared" si="22"/>
        <v>3.4579166666666672</v>
      </c>
      <c r="BB73" s="25">
        <f t="shared" si="21"/>
        <v>-0.59999999999999964</v>
      </c>
      <c r="BC73" s="25">
        <f>IF(ISBLANK(G28),"",(AVERAGE($AY$49:AY73)))</f>
        <v>10.512</v>
      </c>
      <c r="BD73" s="13">
        <f t="shared" si="23"/>
        <v>2.6707966666666652</v>
      </c>
      <c r="BE73" s="6"/>
      <c r="BF73" s="444" t="s">
        <v>355</v>
      </c>
      <c r="BG73" s="444">
        <v>0.55555555555555558</v>
      </c>
      <c r="BH73" s="444">
        <v>0.57986111111111105</v>
      </c>
      <c r="BI73" s="444">
        <v>0.24861111111111112</v>
      </c>
      <c r="BJ73" s="444">
        <v>0.16944444444444443</v>
      </c>
      <c r="BK73" s="54"/>
      <c r="BL73" s="78"/>
    </row>
    <row r="74" spans="1:64" ht="12.75" customHeight="1" x14ac:dyDescent="0.2">
      <c r="A74" s="67"/>
      <c r="B74" s="742" t="s">
        <v>60</v>
      </c>
      <c r="C74" s="743"/>
      <c r="D74" s="744"/>
      <c r="E74" s="89">
        <f>IF(Z38=0,"",CORREL(Z4:Z34,G4:G34))</f>
        <v>0.4332789495591991</v>
      </c>
      <c r="F74" s="576">
        <f>IF(Z38=0,"",ABS(E74))</f>
        <v>0.4332789495591991</v>
      </c>
      <c r="G74" s="236"/>
      <c r="H74" s="747" t="s">
        <v>2</v>
      </c>
      <c r="I74" s="237" t="s">
        <v>203</v>
      </c>
      <c r="J74" s="245"/>
      <c r="K74" s="106">
        <f>F39</f>
        <v>5</v>
      </c>
      <c r="L74" s="108" t="str">
        <f>IF(ISBLANK(F4),"",(IF(M54=0,"n/a",(E34*K74-M53*F38)/M54)))</f>
        <v>n/a</v>
      </c>
      <c r="M74" s="106" t="str">
        <f>IF(ISBLANK(F4),"",IF(M54&gt;0,L74-F39,"n/a"))</f>
        <v>n/a</v>
      </c>
      <c r="N74" s="246" t="s">
        <v>142</v>
      </c>
      <c r="O74" s="67"/>
      <c r="Q74" s="733" t="s">
        <v>767</v>
      </c>
      <c r="R74" s="734"/>
      <c r="S74" s="734"/>
      <c r="T74" s="734"/>
      <c r="U74" s="734"/>
      <c r="V74" s="734"/>
      <c r="W74" s="734"/>
      <c r="X74" s="734"/>
      <c r="Y74" s="734"/>
      <c r="Z74" s="734"/>
      <c r="AA74" s="734"/>
      <c r="AB74" s="735"/>
      <c r="AC74" s="437"/>
      <c r="AD74" s="541"/>
      <c r="AE74" s="541"/>
      <c r="AF74" s="6"/>
      <c r="AG74" s="780" t="s">
        <v>130</v>
      </c>
      <c r="AH74" s="780"/>
      <c r="AI74" s="780"/>
      <c r="AJ74" s="780"/>
      <c r="AK74" s="316"/>
      <c r="AL74" s="477"/>
      <c r="AM74" s="136"/>
      <c r="AO74" s="88"/>
      <c r="AP74" s="661"/>
      <c r="AQ74" s="661"/>
      <c r="AR74" s="6"/>
      <c r="AV74" s="571"/>
      <c r="AW74" s="571"/>
      <c r="AX74" s="361">
        <v>26</v>
      </c>
      <c r="AY74" s="23">
        <f t="shared" si="20"/>
        <v>9.6</v>
      </c>
      <c r="AZ74" s="50"/>
      <c r="BA74" s="26">
        <f t="shared" si="22"/>
        <v>3.0158333333333331</v>
      </c>
      <c r="BB74" s="25">
        <f t="shared" si="21"/>
        <v>-0.30000000000000071</v>
      </c>
      <c r="BC74" s="25">
        <f>IF(ISBLANK(G29),"",(AVERAGE($AY$49:AY74)))</f>
        <v>10.476923076923079</v>
      </c>
      <c r="BD74" s="13">
        <f t="shared" si="23"/>
        <v>2.6840673076923052</v>
      </c>
      <c r="BE74" s="6"/>
      <c r="BF74" s="444">
        <v>7.2916666666666671E-2</v>
      </c>
      <c r="BG74" s="444">
        <v>0.59097222222222223</v>
      </c>
      <c r="BH74" s="444">
        <v>0.58888888888888891</v>
      </c>
      <c r="BI74" s="444">
        <v>0.33750000000000002</v>
      </c>
      <c r="BJ74" s="444">
        <v>0.56527777777777777</v>
      </c>
      <c r="BK74" s="54"/>
      <c r="BL74" s="78"/>
    </row>
    <row r="75" spans="1:64" ht="12.75" customHeight="1" x14ac:dyDescent="0.2">
      <c r="A75" s="67"/>
      <c r="B75" s="742" t="s">
        <v>64</v>
      </c>
      <c r="C75" s="743"/>
      <c r="D75" s="744"/>
      <c r="E75" s="89">
        <f>IF(Z38=0,"",CORREL(Z4:Z34,I4:I34))</f>
        <v>-0.10716964406734339</v>
      </c>
      <c r="F75" s="576">
        <f>IF(Z38=0,"",ABS(E75))</f>
        <v>0.10716964406734339</v>
      </c>
      <c r="G75" s="236"/>
      <c r="H75" s="746"/>
      <c r="I75" s="238" t="s">
        <v>149</v>
      </c>
      <c r="J75" s="191"/>
      <c r="K75" s="249">
        <f>F39</f>
        <v>5</v>
      </c>
      <c r="L75" s="91">
        <f>IF(ISBLANK(F4),"",(M54*K75+M53*F38)/E34)</f>
        <v>7.6333333333333355</v>
      </c>
      <c r="M75" s="232">
        <f>IF(ISBLANK(F4),"",L75-F39)</f>
        <v>2.6333333333333355</v>
      </c>
      <c r="N75" s="248" t="s">
        <v>148</v>
      </c>
      <c r="O75" s="67"/>
      <c r="Q75" s="736"/>
      <c r="R75" s="737"/>
      <c r="S75" s="737"/>
      <c r="T75" s="737"/>
      <c r="U75" s="737"/>
      <c r="V75" s="737"/>
      <c r="W75" s="737"/>
      <c r="X75" s="737"/>
      <c r="Y75" s="737"/>
      <c r="Z75" s="737"/>
      <c r="AA75" s="737"/>
      <c r="AB75" s="738"/>
      <c r="AC75" s="437"/>
      <c r="AD75" s="541"/>
      <c r="AE75" s="541"/>
      <c r="AF75" s="6"/>
      <c r="AH75" s="781">
        <f t="array" ref="AH75">MAX(FREQUENCY(IF(AY91:AY121=1,ROW(91:121)),IF(AY91:AY121&lt;&gt;1,ROW(91:121))))</f>
        <v>20</v>
      </c>
      <c r="AI75" s="781"/>
      <c r="AJ75" s="5"/>
      <c r="AK75" s="84"/>
      <c r="AL75" s="5"/>
      <c r="AM75" s="136"/>
      <c r="AN75" s="184" t="s">
        <v>293</v>
      </c>
      <c r="AO75" s="88"/>
      <c r="AP75" s="661"/>
      <c r="AQ75" s="661"/>
      <c r="AR75" s="6"/>
      <c r="AT75" s="589" t="s">
        <v>84</v>
      </c>
      <c r="AU75" s="589"/>
      <c r="AV75" s="571"/>
      <c r="AW75" s="571"/>
      <c r="AX75" s="361">
        <v>27</v>
      </c>
      <c r="AY75" s="23">
        <f t="shared" si="20"/>
        <v>8.4500000000000011</v>
      </c>
      <c r="AZ75" s="50"/>
      <c r="BA75" s="26">
        <f t="shared" si="22"/>
        <v>1.9237500000000005</v>
      </c>
      <c r="BB75" s="25">
        <f t="shared" si="21"/>
        <v>-2.0499999999999989</v>
      </c>
      <c r="BC75" s="25">
        <f>IF(ISBLANK(G30),"",(AVERAGE($AY$49:AY75)))</f>
        <v>10.401851851851852</v>
      </c>
      <c r="BD75" s="13">
        <f t="shared" si="23"/>
        <v>2.6559074074074047</v>
      </c>
      <c r="BE75" s="6"/>
      <c r="BF75" s="444" t="s">
        <v>355</v>
      </c>
      <c r="BG75" s="444">
        <v>0.43263888888888885</v>
      </c>
      <c r="BH75" s="444">
        <v>0.58402777777777781</v>
      </c>
      <c r="BI75" s="444">
        <v>0.36180555555555555</v>
      </c>
      <c r="BJ75" s="444">
        <v>0.28680555555555554</v>
      </c>
      <c r="BK75" s="54"/>
      <c r="BL75" s="78"/>
    </row>
    <row r="76" spans="1:64" ht="12.75" customHeight="1" x14ac:dyDescent="0.2">
      <c r="A76" s="67"/>
      <c r="B76" s="742" t="s">
        <v>62</v>
      </c>
      <c r="C76" s="743"/>
      <c r="D76" s="744"/>
      <c r="E76" s="89">
        <f>IF(Z38=0,"",CORREL(Z4:Z34,M4:M34))</f>
        <v>2.7726146459120226E-4</v>
      </c>
      <c r="F76" s="576">
        <f>IF(Z38=0,"",ABS(E76))</f>
        <v>2.7726146459120226E-4</v>
      </c>
      <c r="G76" s="236"/>
      <c r="H76" s="745" t="s">
        <v>3</v>
      </c>
      <c r="I76" s="237" t="s">
        <v>203</v>
      </c>
      <c r="J76" s="191"/>
      <c r="K76" s="90">
        <f>G39</f>
        <v>10.199999999999999</v>
      </c>
      <c r="L76" s="38" t="str">
        <f>IF(ISBLANK(G4),"",IF(M54&gt;0,(E34*K76-G38*M53)/M54,"n/a"))</f>
        <v>n/a</v>
      </c>
      <c r="M76" s="90" t="str">
        <f>IF(ISBLANK(G4),"",IF(M54&gt;0,L76-G39,"n/a"))</f>
        <v>n/a</v>
      </c>
      <c r="N76" s="247" t="s">
        <v>142</v>
      </c>
      <c r="O76" s="67"/>
      <c r="Q76" s="814" t="s">
        <v>768</v>
      </c>
      <c r="R76" s="815"/>
      <c r="S76" s="815"/>
      <c r="T76" s="815"/>
      <c r="U76" s="815"/>
      <c r="V76" s="815"/>
      <c r="W76" s="815"/>
      <c r="X76" s="815"/>
      <c r="Y76" s="815"/>
      <c r="Z76" s="815"/>
      <c r="AA76" s="815"/>
      <c r="AB76" s="816"/>
      <c r="AC76" s="437"/>
      <c r="AD76" s="541"/>
      <c r="AE76" s="541"/>
      <c r="AF76" s="6"/>
      <c r="AK76" s="6"/>
      <c r="AM76" s="136"/>
      <c r="AN76" s="5">
        <f>COUNTIF(AP4:AP34, "0")</f>
        <v>5</v>
      </c>
      <c r="AO76" s="88"/>
      <c r="AP76" s="782" t="s">
        <v>272</v>
      </c>
      <c r="AQ76" s="782"/>
      <c r="AR76" s="6"/>
      <c r="AT76" s="188">
        <f>AN94</f>
        <v>4</v>
      </c>
      <c r="AU76" s="188"/>
      <c r="AV76" s="571"/>
      <c r="AW76" s="571"/>
      <c r="AX76" s="361">
        <v>28</v>
      </c>
      <c r="AY76" s="23">
        <f t="shared" si="20"/>
        <v>6.55</v>
      </c>
      <c r="AZ76" s="50"/>
      <c r="BA76" s="26">
        <f t="shared" si="22"/>
        <v>8.166666666666611E-2</v>
      </c>
      <c r="BB76" s="25">
        <f t="shared" si="21"/>
        <v>0.34999999999999964</v>
      </c>
      <c r="BC76" s="25">
        <f>IF(ISBLANK(G31),"",(AVERAGE($AY$49:AY76)))</f>
        <v>10.264285714285716</v>
      </c>
      <c r="BD76" s="13">
        <f t="shared" si="23"/>
        <v>2.5639702380952354</v>
      </c>
      <c r="BE76" s="6"/>
      <c r="BF76" s="444">
        <v>0.26319444444444445</v>
      </c>
      <c r="BG76" s="444">
        <v>0.625</v>
      </c>
      <c r="BH76" s="444">
        <v>0.625</v>
      </c>
      <c r="BI76" s="444">
        <v>0.40277777777777773</v>
      </c>
      <c r="BJ76" s="444">
        <v>0.59583333333333333</v>
      </c>
      <c r="BK76" s="54"/>
      <c r="BL76" s="78"/>
    </row>
    <row r="77" spans="1:64" ht="12.75" customHeight="1" x14ac:dyDescent="0.2">
      <c r="A77" s="67"/>
      <c r="B77" s="742" t="s">
        <v>95</v>
      </c>
      <c r="C77" s="743"/>
      <c r="D77" s="744"/>
      <c r="E77" s="89">
        <f>IF(Z38=0,"",CORREL(Z4:Z34,L4:L34))</f>
        <v>1.887983822394387E-2</v>
      </c>
      <c r="F77" s="576">
        <f>IF(Z38=0,"",ABS(E77))</f>
        <v>1.887983822394387E-2</v>
      </c>
      <c r="G77" s="236"/>
      <c r="H77" s="746"/>
      <c r="I77" s="238" t="s">
        <v>149</v>
      </c>
      <c r="J77" s="191"/>
      <c r="K77" s="249">
        <f>G39</f>
        <v>10.199999999999999</v>
      </c>
      <c r="L77" s="91">
        <f>IF(ISBLANK(G4),"",(M54*K77+M53*G38)/E34)</f>
        <v>12.763333333333332</v>
      </c>
      <c r="M77" s="233">
        <f>IF(ISBLANK(G4),"",L77-G39)</f>
        <v>2.5633333333333326</v>
      </c>
      <c r="N77" s="248" t="s">
        <v>148</v>
      </c>
      <c r="O77" s="67"/>
      <c r="Q77" s="814" t="s">
        <v>769</v>
      </c>
      <c r="R77" s="815"/>
      <c r="S77" s="815"/>
      <c r="T77" s="815"/>
      <c r="U77" s="815"/>
      <c r="V77" s="815"/>
      <c r="W77" s="815"/>
      <c r="X77" s="815"/>
      <c r="Y77" s="815"/>
      <c r="Z77" s="815"/>
      <c r="AA77" s="815"/>
      <c r="AB77" s="816"/>
      <c r="AC77" s="437"/>
      <c r="AD77" s="541"/>
      <c r="AE77" s="541"/>
      <c r="AF77" s="6"/>
      <c r="AK77" s="6"/>
      <c r="AM77" s="136"/>
      <c r="AN77" s="105"/>
      <c r="AO77" s="410"/>
      <c r="AP77" s="782"/>
      <c r="AQ77" s="782"/>
      <c r="AR77" s="6"/>
      <c r="AT77" s="21"/>
      <c r="AU77" s="21"/>
      <c r="AV77" s="571"/>
      <c r="AW77" s="571"/>
      <c r="AX77" s="361">
        <v>29</v>
      </c>
      <c r="AY77" s="23">
        <f t="shared" si="20"/>
        <v>9.8000000000000007</v>
      </c>
      <c r="AZ77" s="50"/>
      <c r="BA77" s="26">
        <f t="shared" si="22"/>
        <v>3.3895833333333338</v>
      </c>
      <c r="BB77" s="25">
        <f t="shared" si="21"/>
        <v>-1.6999999999999993</v>
      </c>
      <c r="BC77" s="25">
        <f>IF(ISBLANK(G32),"",(AVERAGE($AY$49:AY77)))</f>
        <v>10.248275862068967</v>
      </c>
      <c r="BD77" s="13">
        <f t="shared" si="23"/>
        <v>2.592439655172412</v>
      </c>
      <c r="BE77" s="6"/>
      <c r="BF77" s="444">
        <v>0.29166666666666669</v>
      </c>
      <c r="BG77" s="444">
        <v>0.58472222222222225</v>
      </c>
      <c r="BH77" s="444">
        <v>0.7680555555555556</v>
      </c>
      <c r="BI77" s="444">
        <v>2.0833333333333333E-3</v>
      </c>
      <c r="BJ77" s="444">
        <v>0.61527777777777781</v>
      </c>
      <c r="BK77" s="54"/>
      <c r="BL77" s="78"/>
    </row>
    <row r="78" spans="1:64" ht="12.75" customHeight="1" x14ac:dyDescent="0.2">
      <c r="A78" s="67"/>
      <c r="B78" s="742" t="s">
        <v>63</v>
      </c>
      <c r="C78" s="743"/>
      <c r="D78" s="744"/>
      <c r="E78" s="89">
        <f>IF(Z38=0,"",CORREL(Z4:Z34,N4:N34))</f>
        <v>1.9989572698754218E-2</v>
      </c>
      <c r="F78" s="576">
        <f>IF(Z38=0,"",ABS(E78))</f>
        <v>1.9989572698754218E-2</v>
      </c>
      <c r="G78" s="236"/>
      <c r="H78" s="745" t="s">
        <v>4</v>
      </c>
      <c r="I78" s="237" t="s">
        <v>203</v>
      </c>
      <c r="J78" s="191"/>
      <c r="K78" s="90">
        <f>AY81</f>
        <v>7.6</v>
      </c>
      <c r="L78" s="38" t="str">
        <f>IF(ISBLANK(F4),"",IF(M54&gt;0,(E34*K78-AY80*M53)/M54,"n/a"))</f>
        <v>n/a</v>
      </c>
      <c r="M78" s="90" t="str">
        <f>IF(ISBLANK(F4),"",IF(M54&gt;0,L78-AY81,"n/a"))</f>
        <v>n/a</v>
      </c>
      <c r="N78" s="247" t="s">
        <v>142</v>
      </c>
      <c r="O78" s="67"/>
      <c r="Q78" s="814" t="s">
        <v>770</v>
      </c>
      <c r="R78" s="815"/>
      <c r="S78" s="815"/>
      <c r="T78" s="815"/>
      <c r="U78" s="815"/>
      <c r="V78" s="815"/>
      <c r="W78" s="815"/>
      <c r="X78" s="815"/>
      <c r="Y78" s="815"/>
      <c r="Z78" s="815"/>
      <c r="AA78" s="815"/>
      <c r="AB78" s="816"/>
      <c r="AC78" s="437"/>
      <c r="AD78" s="541"/>
      <c r="AE78" s="541"/>
      <c r="AF78" s="6"/>
      <c r="AG78" s="804" t="s">
        <v>273</v>
      </c>
      <c r="AH78" s="804"/>
      <c r="AI78" s="804"/>
      <c r="AJ78" s="804"/>
      <c r="AK78" s="317"/>
      <c r="AL78" s="308"/>
      <c r="AM78" s="136"/>
      <c r="AN78" s="230" t="s">
        <v>175</v>
      </c>
      <c r="AO78" s="88"/>
      <c r="AP78" s="782"/>
      <c r="AQ78" s="782"/>
      <c r="AR78" s="6"/>
      <c r="AT78" s="189" t="s">
        <v>83</v>
      </c>
      <c r="AU78" s="189"/>
      <c r="AV78" s="603"/>
      <c r="AW78" s="571"/>
      <c r="AX78" s="361">
        <v>30</v>
      </c>
      <c r="AY78" s="23">
        <f t="shared" si="20"/>
        <v>8.75</v>
      </c>
      <c r="AZ78" s="50"/>
      <c r="BA78" s="26">
        <f t="shared" si="22"/>
        <v>2.3975000000000004</v>
      </c>
      <c r="BB78" s="38">
        <f t="shared" si="21"/>
        <v>-5.0000000000000711E-2</v>
      </c>
      <c r="BC78" s="38">
        <f>IF(ISBLANK(G33),"",(AVERAGE($AY$49:AY78)))</f>
        <v>10.198333333333334</v>
      </c>
      <c r="BD78" s="13">
        <f t="shared" si="23"/>
        <v>2.5859416666666655</v>
      </c>
      <c r="BE78" s="6"/>
      <c r="BF78" s="444">
        <v>7.9861111111111105E-2</v>
      </c>
      <c r="BG78" s="444">
        <v>0.58194444444444449</v>
      </c>
      <c r="BH78" s="444">
        <v>0.62013888888888891</v>
      </c>
      <c r="BI78" s="444" t="s">
        <v>233</v>
      </c>
      <c r="BJ78" s="444">
        <v>0.93263888888888891</v>
      </c>
      <c r="BK78" s="54"/>
      <c r="BL78" s="78"/>
    </row>
    <row r="79" spans="1:64" ht="12.75" customHeight="1" x14ac:dyDescent="0.2">
      <c r="A79" s="67"/>
      <c r="B79" s="742" t="s">
        <v>76</v>
      </c>
      <c r="C79" s="743"/>
      <c r="D79" s="744"/>
      <c r="E79" s="89">
        <f>IF(Z38=0,"",CORREL(Z4:Z34,F4:F34))</f>
        <v>0.42272846510384182</v>
      </c>
      <c r="F79" s="576">
        <f>IF(Z38=0,"",ABS(E79))</f>
        <v>0.42272846510384182</v>
      </c>
      <c r="G79" s="236"/>
      <c r="H79" s="746"/>
      <c r="I79" s="238" t="s">
        <v>149</v>
      </c>
      <c r="J79" s="191"/>
      <c r="K79" s="250">
        <f>AVERAGE(K75,K77)</f>
        <v>7.6</v>
      </c>
      <c r="L79" s="38">
        <f>IF(ISBLANK(F4),"",(M54*K79+M53*AY80)/E34)</f>
        <v>10.198333333333334</v>
      </c>
      <c r="M79" s="234">
        <f>IF(ISBLANK(F4),"",L79-AY81)</f>
        <v>2.5983333333333345</v>
      </c>
      <c r="N79" s="248" t="s">
        <v>148</v>
      </c>
      <c r="O79" s="67"/>
      <c r="Q79" s="814"/>
      <c r="R79" s="815"/>
      <c r="S79" s="815"/>
      <c r="T79" s="815"/>
      <c r="U79" s="815"/>
      <c r="V79" s="815"/>
      <c r="W79" s="815"/>
      <c r="X79" s="815"/>
      <c r="Y79" s="815"/>
      <c r="Z79" s="815"/>
      <c r="AA79" s="815"/>
      <c r="AB79" s="816"/>
      <c r="AC79" s="437"/>
      <c r="AD79" s="541"/>
      <c r="AE79" s="541"/>
      <c r="AF79" s="6"/>
      <c r="AH79" s="778"/>
      <c r="AI79" s="778"/>
      <c r="AJ79" s="52"/>
      <c r="AK79" s="318"/>
      <c r="AL79" s="309"/>
      <c r="AM79" s="136"/>
      <c r="AN79" s="4">
        <f t="array" ref="AN79">MAX(FREQUENCY(IF(AV91:AV121=1,ROW(91:121)),IF(AV91:AV121&lt;&gt;1,ROW(91:121))))</f>
        <v>6</v>
      </c>
      <c r="AO79" s="88"/>
      <c r="AP79" s="860" t="s">
        <v>277</v>
      </c>
      <c r="AQ79" s="860"/>
      <c r="AR79" s="6"/>
      <c r="AT79" s="5">
        <f>AN95</f>
        <v>12</v>
      </c>
      <c r="AU79" s="5"/>
      <c r="AV79" s="5"/>
      <c r="AX79" s="386"/>
      <c r="AY79" s="387" t="str">
        <f t="shared" si="20"/>
        <v/>
      </c>
      <c r="AZ79" s="388"/>
      <c r="BA79" s="101" t="str">
        <f t="shared" si="22"/>
        <v/>
      </c>
      <c r="BB79" s="91" t="str">
        <f t="shared" si="21"/>
        <v/>
      </c>
      <c r="BC79" s="91" t="str">
        <f>IF(ISBLANK(G34),"",(AVERAGE($AY$49:AY79)))</f>
        <v/>
      </c>
      <c r="BD79" s="241" t="str">
        <f t="shared" si="23"/>
        <v/>
      </c>
      <c r="BE79" s="243"/>
      <c r="BF79" s="463"/>
      <c r="BG79" s="463"/>
      <c r="BH79" s="463"/>
      <c r="BI79" s="463"/>
      <c r="BJ79" s="463"/>
      <c r="BK79" s="58"/>
      <c r="BL79" s="78"/>
    </row>
    <row r="80" spans="1:64" ht="12.75" customHeight="1" x14ac:dyDescent="0.2">
      <c r="A80" s="67"/>
      <c r="B80" s="742" t="s">
        <v>75</v>
      </c>
      <c r="C80" s="743"/>
      <c r="D80" s="744"/>
      <c r="E80" s="89">
        <f>IF(Z38=0,"",CORREL(Z4:Z34,K4:K34))</f>
        <v>-9.4789908786789539E-3</v>
      </c>
      <c r="F80" s="576">
        <f>IF(Z38=0,"",ABS(E80))</f>
        <v>9.4789908786789539E-3</v>
      </c>
      <c r="G80" s="236"/>
      <c r="H80" s="745" t="s">
        <v>5</v>
      </c>
      <c r="I80" s="237" t="s">
        <v>203</v>
      </c>
      <c r="J80" s="191"/>
      <c r="K80" s="106">
        <f>K76-K74</f>
        <v>5.1999999999999993</v>
      </c>
      <c r="L80" s="108" t="str">
        <f>IF(ISBLANK(F4),"",IF(M54&gt;0,(E34*K80-I38*M53)/M54,"n/a"))</f>
        <v>n/a</v>
      </c>
      <c r="M80" s="90" t="str">
        <f>IF(ISBLANK(F4),"",IF(M54&gt;0,L80-I39,"n/a"))</f>
        <v>n/a</v>
      </c>
      <c r="N80" s="247" t="s">
        <v>142</v>
      </c>
      <c r="O80" s="67"/>
      <c r="Q80" s="814" t="s">
        <v>771</v>
      </c>
      <c r="R80" s="815"/>
      <c r="S80" s="815"/>
      <c r="T80" s="815"/>
      <c r="U80" s="815"/>
      <c r="V80" s="815"/>
      <c r="W80" s="815"/>
      <c r="X80" s="815"/>
      <c r="Y80" s="815"/>
      <c r="Z80" s="815"/>
      <c r="AA80" s="815"/>
      <c r="AB80" s="816"/>
      <c r="AC80" s="437"/>
      <c r="AD80" s="632"/>
      <c r="AE80" s="632"/>
      <c r="AF80" s="6"/>
      <c r="AK80" s="319"/>
      <c r="AL80" s="99"/>
      <c r="AM80" s="136"/>
      <c r="AO80" s="88"/>
      <c r="AP80" s="860"/>
      <c r="AQ80" s="860"/>
      <c r="AR80" s="6"/>
      <c r="AS80" s="4"/>
      <c r="AT80" s="4"/>
      <c r="AU80" s="4"/>
      <c r="AV80" s="4"/>
      <c r="AX80" s="11" t="s">
        <v>4</v>
      </c>
      <c r="AY80" s="57">
        <f>IF(ISBLANK(G4),"",AVERAGE(F4:G34))</f>
        <v>10.198333333333334</v>
      </c>
      <c r="AZ80" s="362"/>
      <c r="BB80" s="7">
        <f>IF(ISBLANK(H4),"",AVERAGE(BB49:BB79))</f>
        <v>-0.19166666666666668</v>
      </c>
      <c r="BC80" s="114">
        <f>IF(ISBLANK(G4),"",(AVERAGE($AY$49:AY79)))</f>
        <v>10.198333333333334</v>
      </c>
      <c r="BD80" s="585">
        <f>IF(ISBLANK(H4),"",BC80-D120)</f>
        <v>2.5983333333333345</v>
      </c>
      <c r="BE80" s="6"/>
      <c r="BF80" s="341">
        <f>IF(ISBLANK(BF50),"",AVERAGE(BF49:BF79))</f>
        <v>0.20729166666666668</v>
      </c>
      <c r="BG80" s="340">
        <f>IF(ISBLANK(BG49),"",AVERAGE(BG49:BG79))</f>
        <v>0.56909722222222225</v>
      </c>
      <c r="BH80" s="339">
        <f>IF(ISBLANK(BH50),"",AVERAGE(BH49:BH79))</f>
        <v>0.63605555555555549</v>
      </c>
      <c r="BI80" s="338">
        <f>IF(ISBLANK(L4),"",AVERAGE(BI49:BI79))</f>
        <v>0.28541666666666665</v>
      </c>
      <c r="BJ80" s="337">
        <f>IF(ISBLANK(BJ49),"",AVERAGE(BJ49:BJ79))</f>
        <v>0.51446759259259256</v>
      </c>
      <c r="BK80" s="19"/>
      <c r="BL80" s="78"/>
    </row>
    <row r="81" spans="1:64" ht="12.75" customHeight="1" thickBot="1" x14ac:dyDescent="0.25">
      <c r="A81" s="67"/>
      <c r="B81" s="740"/>
      <c r="C81" s="741"/>
      <c r="D81" s="741"/>
      <c r="E81" s="159"/>
      <c r="F81" s="25"/>
      <c r="G81" s="236"/>
      <c r="H81" s="752"/>
      <c r="I81" s="281" t="s">
        <v>149</v>
      </c>
      <c r="J81" s="191"/>
      <c r="K81" s="252">
        <f>K77-K75</f>
        <v>5.1999999999999993</v>
      </c>
      <c r="L81" s="167">
        <f>IF(ISBLANK(F4),"",(M54*K81+M53*I38)/E34)</f>
        <v>5.129999999999999</v>
      </c>
      <c r="M81" s="235">
        <f>IF(ISBLANK(F4),"",L81-I39)</f>
        <v>-7.0000000000000284E-2</v>
      </c>
      <c r="N81" s="279" t="s">
        <v>148</v>
      </c>
      <c r="O81" s="67"/>
      <c r="Q81" s="814"/>
      <c r="R81" s="815"/>
      <c r="S81" s="815"/>
      <c r="T81" s="815"/>
      <c r="U81" s="815"/>
      <c r="V81" s="815"/>
      <c r="W81" s="815"/>
      <c r="X81" s="815"/>
      <c r="Y81" s="815"/>
      <c r="Z81" s="815"/>
      <c r="AA81" s="815"/>
      <c r="AB81" s="816"/>
      <c r="AC81" s="437"/>
      <c r="AD81" s="552"/>
      <c r="AE81" s="552"/>
      <c r="AF81" s="6"/>
      <c r="AG81" s="779" t="s">
        <v>275</v>
      </c>
      <c r="AH81" s="779"/>
      <c r="AI81" s="779"/>
      <c r="AJ81" s="779"/>
      <c r="AK81" s="222"/>
      <c r="AM81" s="136"/>
      <c r="AN81" s="183" t="s">
        <v>176</v>
      </c>
      <c r="AO81" s="411"/>
      <c r="AP81" s="860"/>
      <c r="AQ81" s="860"/>
      <c r="AR81" s="6"/>
      <c r="AT81" s="588" t="s">
        <v>194</v>
      </c>
      <c r="AU81" s="588"/>
      <c r="AX81" s="4" t="s">
        <v>9</v>
      </c>
      <c r="AY81" s="379">
        <f>AVERAGE(F39:G39)</f>
        <v>7.6</v>
      </c>
      <c r="AZ81" s="363"/>
      <c r="BB81" s="713" t="s">
        <v>173</v>
      </c>
      <c r="BC81" s="713"/>
      <c r="BE81" s="6"/>
      <c r="BK81" s="67"/>
      <c r="BL81" s="78"/>
    </row>
    <row r="82" spans="1:64" ht="12.75" customHeight="1" x14ac:dyDescent="0.2">
      <c r="A82" s="67"/>
      <c r="B82" s="764" t="s">
        <v>4</v>
      </c>
      <c r="C82" s="765"/>
      <c r="D82" s="765"/>
      <c r="E82" s="218">
        <f>IF(Z38=0,"",AVERAGE(F72:F80))</f>
        <v>0.24627180731297763</v>
      </c>
      <c r="F82" s="25"/>
      <c r="G82" s="236"/>
      <c r="H82" s="766" t="s">
        <v>13</v>
      </c>
      <c r="I82" s="237" t="s">
        <v>203</v>
      </c>
      <c r="J82" s="191"/>
      <c r="K82" s="164">
        <f>R39</f>
        <v>1013.25</v>
      </c>
      <c r="L82" s="168" t="str">
        <f>IF(ISBLANK(P4),"",IF(M54&gt;0,(E34*K82-R38*M53)/M54,"n/a"))</f>
        <v>n/a</v>
      </c>
      <c r="M82" s="164" t="str">
        <f>IF(ISBLANK(P4),"",IF(M54&gt;0,L82-R39,"n/a"))</f>
        <v>n/a</v>
      </c>
      <c r="N82" s="247" t="s">
        <v>142</v>
      </c>
      <c r="O82" s="67"/>
      <c r="Q82" s="814"/>
      <c r="R82" s="815"/>
      <c r="S82" s="815"/>
      <c r="T82" s="815"/>
      <c r="U82" s="815"/>
      <c r="V82" s="815"/>
      <c r="W82" s="815"/>
      <c r="X82" s="815"/>
      <c r="Y82" s="815"/>
      <c r="Z82" s="815"/>
      <c r="AA82" s="815"/>
      <c r="AB82" s="816"/>
      <c r="AC82" s="436"/>
      <c r="AD82" s="541"/>
      <c r="AE82" s="541"/>
      <c r="AF82" s="6"/>
      <c r="AH82" s="636" t="s">
        <v>205</v>
      </c>
      <c r="AI82" s="636"/>
      <c r="AJ82" s="52"/>
      <c r="AK82" s="320"/>
      <c r="AL82" s="307"/>
      <c r="AM82" s="136"/>
      <c r="AN82" s="332">
        <f t="array" ref="AN82">MAX(FREQUENCY(IF(AV91:AV121=0,ROW(91:121)),IF(AV91:AV121&lt;&gt;0,ROW(91:121))))</f>
        <v>10</v>
      </c>
      <c r="AO82" s="412"/>
      <c r="AP82" s="822" t="s">
        <v>526</v>
      </c>
      <c r="AQ82" s="823"/>
      <c r="AR82" s="6"/>
      <c r="AT82" s="138">
        <f>IF(AN48=0,"n/a",AN48/AT67)</f>
        <v>0.9</v>
      </c>
      <c r="AU82" s="138"/>
      <c r="AX82" s="4" t="s">
        <v>10</v>
      </c>
      <c r="AY82" s="57">
        <f>IF(ISBLANK(F4),"",AY80-AY81)</f>
        <v>2.5983333333333345</v>
      </c>
      <c r="AZ82" s="311"/>
      <c r="BA82" s="148" t="s">
        <v>158</v>
      </c>
      <c r="BB82" s="275" t="s">
        <v>145</v>
      </c>
      <c r="BC82" s="276" t="s">
        <v>146</v>
      </c>
      <c r="BE82" s="6"/>
      <c r="BF82" s="431">
        <f>MAX(BF49:BF79)-MIN(BF49:BF79)</f>
        <v>0.33333333333333331</v>
      </c>
      <c r="BG82" s="431">
        <f>MAX(BG49:BG79)-MIN(BG49:BG79)</f>
        <v>0.34930555555555559</v>
      </c>
      <c r="BH82" s="431">
        <f>MAX(BH49:BH79)-MIN(BH49:BH79)</f>
        <v>0.20972222222222225</v>
      </c>
      <c r="BI82" s="431">
        <f>MAX(BI49:BI79)-MIN(BI49:BI79)</f>
        <v>0.40069444444444441</v>
      </c>
      <c r="BJ82" s="431">
        <f>MAX(BJ49:BJ79)-MIN(BJ49:BJ79)</f>
        <v>0.98541666666666661</v>
      </c>
      <c r="BK82" s="67"/>
      <c r="BL82" s="78"/>
    </row>
    <row r="83" spans="1:64" ht="12.75" customHeight="1" thickBot="1" x14ac:dyDescent="0.25">
      <c r="A83" s="67"/>
      <c r="B83" s="756" t="s">
        <v>34</v>
      </c>
      <c r="C83" s="757"/>
      <c r="D83" s="757"/>
      <c r="E83" s="219">
        <f>AN93+AN98</f>
        <v>1</v>
      </c>
      <c r="F83" s="85" t="s">
        <v>91</v>
      </c>
      <c r="G83" s="236"/>
      <c r="H83" s="746"/>
      <c r="I83" s="238" t="s">
        <v>149</v>
      </c>
      <c r="J83" s="242"/>
      <c r="K83" s="251">
        <f>K82</f>
        <v>1013.25</v>
      </c>
      <c r="L83" s="119">
        <f>IF(ISBLANK(P4),"",SUM(M54*K83+M53*R38)/E34)</f>
        <v>1016.9000166666667</v>
      </c>
      <c r="M83" s="169">
        <f>IF(ISBLANK(P4),"",L83-R39)</f>
        <v>3.6500166666667155</v>
      </c>
      <c r="N83" s="248" t="s">
        <v>148</v>
      </c>
      <c r="O83" s="67"/>
      <c r="Q83" s="836"/>
      <c r="R83" s="837"/>
      <c r="S83" s="837"/>
      <c r="T83" s="837"/>
      <c r="U83" s="837"/>
      <c r="V83" s="837"/>
      <c r="W83" s="837"/>
      <c r="X83" s="837"/>
      <c r="Y83" s="837"/>
      <c r="Z83" s="837"/>
      <c r="AA83" s="837"/>
      <c r="AB83" s="838"/>
      <c r="AC83" s="436"/>
      <c r="AD83" s="541"/>
      <c r="AE83" s="541"/>
      <c r="AF83" s="6"/>
      <c r="AK83" s="312"/>
      <c r="AM83" s="136"/>
      <c r="AO83" s="88"/>
      <c r="AP83" s="823"/>
      <c r="AQ83" s="823"/>
      <c r="AR83" s="67"/>
      <c r="AZ83" s="6"/>
      <c r="BA83" s="25">
        <f>E91/3</f>
        <v>1.7333333333333332</v>
      </c>
      <c r="BB83" s="274">
        <f>AY81-BA83</f>
        <v>5.8666666666666663</v>
      </c>
      <c r="BC83" s="273">
        <f>AY81+BA83</f>
        <v>9.3333333333333321</v>
      </c>
      <c r="BE83" s="6"/>
      <c r="BF83" s="334">
        <f>IF(ISBLANK(BF50),"",STDEV(BF49:BF79))</f>
        <v>0.11393545795864825</v>
      </c>
      <c r="BG83" s="334">
        <f>IF(ISBLANK(BG50),"",STDEV(BG49:BG79))</f>
        <v>6.5107830356683952E-2</v>
      </c>
      <c r="BH83" s="334">
        <f>IF(ISBLANK(BH50),"",STDEV(BH49:BH79))</f>
        <v>4.836117958490696E-2</v>
      </c>
      <c r="BI83" s="334">
        <f>IF(ISBLANK(BI51),"",STDEV(BI49:BI79))</f>
        <v>0.10875563168332718</v>
      </c>
      <c r="BJ83" s="334">
        <f>IF(ISBLANK(BJ50),"",STDEV(BJ49:BJ79))</f>
        <v>0.25261174888117155</v>
      </c>
      <c r="BK83" s="67"/>
      <c r="BL83" s="78"/>
    </row>
    <row r="84" spans="1:64" s="107" customFormat="1" ht="12.75" x14ac:dyDescent="0.2">
      <c r="A84" s="240"/>
      <c r="C84" s="239"/>
      <c r="F84" s="117"/>
      <c r="H84" s="241"/>
      <c r="J84" s="242"/>
      <c r="O84" s="242"/>
      <c r="T84" s="243"/>
      <c r="Y84" s="243"/>
      <c r="AF84" s="243"/>
      <c r="AI84" s="117"/>
      <c r="AJ84" s="117"/>
      <c r="AK84" s="240"/>
      <c r="AL84" s="117"/>
      <c r="AM84" s="240"/>
      <c r="AO84" s="413"/>
      <c r="AP84" s="799"/>
      <c r="AQ84" s="799"/>
      <c r="AR84" s="240"/>
      <c r="AV84" s="117"/>
      <c r="AY84" s="117"/>
      <c r="AZ84" s="240"/>
      <c r="BA84" s="330">
        <f>MIN(AY49:AY79)</f>
        <v>6.5</v>
      </c>
      <c r="BB84" s="330">
        <f>MAX(AY49:AY79)</f>
        <v>15.1</v>
      </c>
      <c r="BE84" s="243"/>
      <c r="BF84" s="771" t="s">
        <v>279</v>
      </c>
      <c r="BG84" s="771"/>
      <c r="BH84" s="771"/>
      <c r="BI84" s="771"/>
      <c r="BJ84" s="771"/>
      <c r="BK84" s="240"/>
      <c r="BL84" s="244"/>
    </row>
    <row r="85" spans="1:64" s="172" customFormat="1" ht="12" x14ac:dyDescent="0.2">
      <c r="A85" s="171"/>
      <c r="C85" s="173">
        <f>MIN(C4:C34)</f>
        <v>8.3000000000000007</v>
      </c>
      <c r="E85" s="174" t="s">
        <v>70</v>
      </c>
      <c r="F85" s="173">
        <f>MIN(F4:F34)</f>
        <v>0.4</v>
      </c>
      <c r="G85" s="173">
        <f>MIN(G4:G34)</f>
        <v>8.3000000000000007</v>
      </c>
      <c r="H85" s="173">
        <f>MIN(H4:H34)</f>
        <v>6.2</v>
      </c>
      <c r="I85" s="173">
        <f>MIN(I4:I34)</f>
        <v>1.7</v>
      </c>
      <c r="J85" s="175"/>
      <c r="K85" s="176">
        <f>MIN(K4:K34)</f>
        <v>47</v>
      </c>
      <c r="L85" s="176">
        <f>MIN(L4:L34)</f>
        <v>83</v>
      </c>
      <c r="M85" s="176">
        <f>MIN(M4:M34)</f>
        <v>68</v>
      </c>
      <c r="N85" s="176">
        <f>MIN(N4:N34)</f>
        <v>2</v>
      </c>
      <c r="O85" s="177"/>
      <c r="P85" s="176">
        <f>MIN(P4:P34)</f>
        <v>990</v>
      </c>
      <c r="Q85" s="176">
        <f>MIN(Q4:Q34)</f>
        <v>996</v>
      </c>
      <c r="R85" s="173">
        <f>MIN(R4:R34)</f>
        <v>993.5</v>
      </c>
      <c r="S85" s="176">
        <f>MIN(S4:S34)</f>
        <v>2</v>
      </c>
      <c r="T85" s="171"/>
      <c r="U85" s="173">
        <f t="shared" ref="U85:AC85" si="24">MIN(U4:U34)</f>
        <v>0.8</v>
      </c>
      <c r="V85" s="173">
        <f t="shared" si="24"/>
        <v>4.5</v>
      </c>
      <c r="W85" s="173">
        <f t="shared" si="24"/>
        <v>6</v>
      </c>
      <c r="X85" s="173">
        <f t="shared" si="24"/>
        <v>0</v>
      </c>
      <c r="Y85" s="175">
        <f t="shared" si="24"/>
        <v>0</v>
      </c>
      <c r="Z85" s="173">
        <f t="shared" si="24"/>
        <v>0</v>
      </c>
      <c r="AA85" s="173">
        <f t="shared" si="24"/>
        <v>0.5</v>
      </c>
      <c r="AB85" s="173">
        <f t="shared" si="24"/>
        <v>0.3</v>
      </c>
      <c r="AC85" s="422">
        <f t="shared" si="24"/>
        <v>1.1904761904761902E-2</v>
      </c>
      <c r="AD85" s="173">
        <f>MIN(AE4:AE34)</f>
        <v>0.7</v>
      </c>
      <c r="AE85" s="173">
        <f>MIN(AD4:AD34)</f>
        <v>0.3666666666666667</v>
      </c>
      <c r="AF85" s="175">
        <f>MIN(AF4:AF4)</f>
        <v>0</v>
      </c>
      <c r="AG85" s="173">
        <f>MIN(AG4:AG34)</f>
        <v>-1.9</v>
      </c>
      <c r="AH85" s="173">
        <f>MIN(AH4:AH34)</f>
        <v>7.1</v>
      </c>
      <c r="AI85" s="173">
        <f>MIN(AI4:AI34)</f>
        <v>3.3</v>
      </c>
      <c r="AJ85" s="173">
        <f>MIN(AJ4:AJ34)</f>
        <v>0</v>
      </c>
      <c r="AK85" s="175"/>
      <c r="AL85" s="173"/>
      <c r="AM85" s="175"/>
      <c r="AO85" s="414"/>
      <c r="AP85" s="173">
        <f>MIN(AP4:AP34)</f>
        <v>0</v>
      </c>
      <c r="AQ85" s="173">
        <f>MIN(AQ4:AQ34)</f>
        <v>0</v>
      </c>
      <c r="AR85" s="175"/>
      <c r="AS85" s="173">
        <f t="shared" ref="AS85:AZ85" si="25">MIN(AS8:AS34)</f>
        <v>7.6333333333333355</v>
      </c>
      <c r="AT85" s="173">
        <f t="shared" si="25"/>
        <v>12.762499999999998</v>
      </c>
      <c r="AU85" s="173">
        <f t="shared" si="25"/>
        <v>10.389999999999999</v>
      </c>
      <c r="AV85" s="173">
        <f t="shared" si="25"/>
        <v>3.9214285714285708</v>
      </c>
      <c r="AW85" s="173">
        <f t="shared" si="25"/>
        <v>86.666666666666671</v>
      </c>
      <c r="AX85" s="176">
        <f t="shared" si="25"/>
        <v>1002.6</v>
      </c>
      <c r="AY85" s="173">
        <f t="shared" si="25"/>
        <v>3.8347826086956531</v>
      </c>
      <c r="AZ85" s="175">
        <f t="shared" si="25"/>
        <v>0</v>
      </c>
      <c r="BA85" s="173">
        <f>MIN(BA4:BA34)</f>
        <v>-3.3616666666666664</v>
      </c>
      <c r="BB85" s="173">
        <f>MIN(BB4:BB34)</f>
        <v>-1.533333333333335</v>
      </c>
      <c r="BC85" s="173">
        <f>MIN(BC4:BC34)</f>
        <v>-0.81666666666666776</v>
      </c>
      <c r="BD85" s="173">
        <f>MIN(BD4:BD34)</f>
        <v>-3.155999999999997</v>
      </c>
      <c r="BE85" s="175">
        <f t="shared" ref="BE85:BJ85" si="26">MIN(BE8:BE34)</f>
        <v>0</v>
      </c>
      <c r="BF85" s="173">
        <f t="shared" si="26"/>
        <v>2.5833416666666666</v>
      </c>
      <c r="BG85" s="173">
        <f t="shared" si="26"/>
        <v>2.3108695652173896</v>
      </c>
      <c r="BH85" s="173">
        <f t="shared" si="26"/>
        <v>-1.1549999999999976</v>
      </c>
      <c r="BI85" s="422">
        <f t="shared" si="26"/>
        <v>0.39375000000000004</v>
      </c>
      <c r="BJ85" s="422">
        <f t="shared" si="26"/>
        <v>0.50344788940146956</v>
      </c>
      <c r="BK85" s="177"/>
      <c r="BL85" s="178"/>
    </row>
    <row r="86" spans="1:64" s="172" customFormat="1" ht="12" x14ac:dyDescent="0.2">
      <c r="A86" s="171"/>
      <c r="B86" s="173">
        <f>MAX(B4:B34)</f>
        <v>14.2</v>
      </c>
      <c r="E86" s="174" t="s">
        <v>71</v>
      </c>
      <c r="F86" s="173">
        <f>MAX(F4:F34)</f>
        <v>12.8</v>
      </c>
      <c r="G86" s="173">
        <f>MAX(G4:G34)</f>
        <v>17.399999999999999</v>
      </c>
      <c r="H86" s="173">
        <f>MAX(H4:H34)</f>
        <v>15.3</v>
      </c>
      <c r="I86" s="173">
        <f>MAX(I4:I34)</f>
        <v>12.3</v>
      </c>
      <c r="J86" s="175"/>
      <c r="K86" s="176">
        <f>MAX(K4:K34)</f>
        <v>96</v>
      </c>
      <c r="L86" s="176">
        <f>MAX(L4:L34)</f>
        <v>98</v>
      </c>
      <c r="M86" s="176">
        <f>MAX(M4:M34)</f>
        <v>98</v>
      </c>
      <c r="N86" s="176">
        <f>MAX(N4:N34)</f>
        <v>38</v>
      </c>
      <c r="O86" s="177"/>
      <c r="P86" s="176">
        <f t="shared" ref="P86:AC86" si="27">MAX(P4:P34)</f>
        <v>1026</v>
      </c>
      <c r="Q86" s="176">
        <f t="shared" si="27"/>
        <v>1030.001</v>
      </c>
      <c r="R86" s="173">
        <f t="shared" si="27"/>
        <v>1028.0005000000001</v>
      </c>
      <c r="S86" s="176">
        <f t="shared" si="27"/>
        <v>16</v>
      </c>
      <c r="T86" s="177">
        <f t="shared" si="27"/>
        <v>0</v>
      </c>
      <c r="U86" s="173">
        <f t="shared" si="27"/>
        <v>10</v>
      </c>
      <c r="V86" s="173">
        <f t="shared" si="27"/>
        <v>22.8</v>
      </c>
      <c r="W86" s="173">
        <f t="shared" si="27"/>
        <v>32.200000000000003</v>
      </c>
      <c r="X86" s="173">
        <f t="shared" si="27"/>
        <v>0</v>
      </c>
      <c r="Y86" s="175">
        <f t="shared" si="27"/>
        <v>2</v>
      </c>
      <c r="Z86" s="173">
        <f t="shared" si="27"/>
        <v>13.4</v>
      </c>
      <c r="AA86" s="173">
        <f t="shared" si="27"/>
        <v>5</v>
      </c>
      <c r="AB86" s="173">
        <f t="shared" si="27"/>
        <v>1.6</v>
      </c>
      <c r="AC86" s="422">
        <f t="shared" si="27"/>
        <v>0.53174603174603174</v>
      </c>
      <c r="AD86" s="173">
        <f>MAX(AE4:AE34)</f>
        <v>15</v>
      </c>
      <c r="AE86" s="173">
        <f>MAX(AD4:AD34)</f>
        <v>2.2000000000000002</v>
      </c>
      <c r="AF86" s="175">
        <f>MAX(AF4:AF4)</f>
        <v>0</v>
      </c>
      <c r="AG86" s="173">
        <f>MAX(AG4:AG34)</f>
        <v>11.5</v>
      </c>
      <c r="AH86" s="173">
        <f>MAX(AH4:AH34)</f>
        <v>14.3</v>
      </c>
      <c r="AI86" s="173">
        <f>MAX(AI4:AI34)</f>
        <v>13.1</v>
      </c>
      <c r="AJ86" s="173">
        <f>MAX(AJ4:AJ34)</f>
        <v>13.200000000000001</v>
      </c>
      <c r="AK86" s="175"/>
      <c r="AL86" s="173"/>
      <c r="AM86" s="175"/>
      <c r="AO86" s="415"/>
      <c r="AP86" s="176">
        <f>MAX(AP4:AP34)</f>
        <v>7</v>
      </c>
      <c r="AQ86" s="173">
        <f>MAX(AQ4:AQ34)</f>
        <v>8</v>
      </c>
      <c r="AR86" s="177"/>
      <c r="AS86" s="173">
        <f t="shared" ref="AS86:AZ86" si="28">MAX(AS8:AS34)</f>
        <v>10.459999999999999</v>
      </c>
      <c r="AT86" s="173">
        <f t="shared" si="28"/>
        <v>15.219999999999999</v>
      </c>
      <c r="AU86" s="173">
        <f t="shared" si="28"/>
        <v>13.219999999999999</v>
      </c>
      <c r="AV86" s="173">
        <f t="shared" si="28"/>
        <v>5.129999999999999</v>
      </c>
      <c r="AW86" s="173">
        <f t="shared" si="28"/>
        <v>91.347826086956516</v>
      </c>
      <c r="AX86" s="176">
        <f t="shared" si="28"/>
        <v>1017.2143035714287</v>
      </c>
      <c r="AY86" s="173">
        <f t="shared" si="28"/>
        <v>4.7285714285714286</v>
      </c>
      <c r="AZ86" s="175">
        <f t="shared" si="28"/>
        <v>0</v>
      </c>
      <c r="BA86" s="173">
        <f>MAX(BA4:BA34)</f>
        <v>6.1759999999999975</v>
      </c>
      <c r="BB86" s="173">
        <f>MAX(BB4:BB34)</f>
        <v>5.5999999999999979</v>
      </c>
      <c r="BC86" s="173">
        <f>MAX(BC4:BC34)</f>
        <v>5.8879999999999981</v>
      </c>
      <c r="BD86" s="173">
        <f>MAX(BD4:BD34)</f>
        <v>6.8866666666666649</v>
      </c>
      <c r="BE86" s="175">
        <f t="shared" ref="BE86:BJ86" si="29">MAX(BE8:BE34)</f>
        <v>0</v>
      </c>
      <c r="BF86" s="173">
        <f t="shared" si="29"/>
        <v>3.8359999999999967</v>
      </c>
      <c r="BG86" s="173">
        <f t="shared" si="29"/>
        <v>3.4199999999999982</v>
      </c>
      <c r="BH86" s="173">
        <f t="shared" si="29"/>
        <v>5.1999999999976509E-3</v>
      </c>
      <c r="BI86" s="422">
        <f t="shared" si="29"/>
        <v>2.0062500000000001</v>
      </c>
      <c r="BJ86" s="422">
        <f t="shared" si="29"/>
        <v>0.98744577715724868</v>
      </c>
      <c r="BK86" s="177"/>
      <c r="BL86" s="178"/>
    </row>
    <row r="87" spans="1:64" ht="10.5" customHeight="1" x14ac:dyDescent="0.2">
      <c r="A87" s="67"/>
      <c r="B87" s="21"/>
      <c r="C87" s="140"/>
      <c r="D87" s="146"/>
      <c r="E87" s="4"/>
      <c r="F87" s="21"/>
      <c r="H87" s="13"/>
      <c r="J87" s="20"/>
      <c r="K87" s="21"/>
      <c r="L87" s="21"/>
      <c r="M87" s="21"/>
      <c r="N87" s="22"/>
      <c r="O87" s="20"/>
      <c r="P87" s="21"/>
      <c r="Q87" s="21"/>
      <c r="R87" s="21"/>
      <c r="S87" s="21"/>
      <c r="T87" s="67"/>
      <c r="U87" s="21"/>
      <c r="V87" s="21"/>
      <c r="W87" s="21"/>
      <c r="X87" s="21"/>
      <c r="Y87" s="67"/>
      <c r="Z87" s="21"/>
      <c r="AA87" s="21"/>
      <c r="AB87" s="21"/>
      <c r="AC87" s="21"/>
      <c r="AD87" s="21"/>
      <c r="AE87" s="21"/>
      <c r="AF87" s="67"/>
      <c r="AG87" s="21"/>
      <c r="AH87" s="21"/>
      <c r="AI87" s="21"/>
      <c r="AJ87" s="21"/>
      <c r="AK87" s="67"/>
      <c r="AL87" s="21"/>
      <c r="AM87" s="67"/>
      <c r="AO87" s="88"/>
      <c r="AR87" s="6"/>
      <c r="AS87" s="21"/>
      <c r="AT87" s="22"/>
      <c r="AU87" s="21"/>
      <c r="AV87" s="21"/>
      <c r="AW87" s="21"/>
      <c r="AX87" s="21"/>
      <c r="AZ87" s="6"/>
      <c r="BA87" s="25"/>
      <c r="BB87" s="21"/>
      <c r="BC87" s="21"/>
      <c r="BD87" s="21"/>
      <c r="BE87" s="67"/>
      <c r="BF87" s="21"/>
      <c r="BG87" s="21"/>
      <c r="BH87" s="21"/>
      <c r="BI87" s="21"/>
      <c r="BJ87" s="21"/>
      <c r="BK87" s="67"/>
      <c r="BL87" s="95"/>
    </row>
    <row r="88" spans="1:64" s="327" customFormat="1" ht="10.5" customHeight="1" x14ac:dyDescent="0.2">
      <c r="C88" s="328"/>
    </row>
    <row r="89" spans="1:64" s="327" customFormat="1" ht="1.5" customHeight="1" x14ac:dyDescent="0.2">
      <c r="C89" s="328"/>
    </row>
    <row r="90" spans="1:64" s="331" customFormat="1" ht="11.25" x14ac:dyDescent="0.2">
      <c r="A90" s="331" t="s">
        <v>167</v>
      </c>
      <c r="B90" s="148" t="s">
        <v>2</v>
      </c>
      <c r="C90" s="148" t="s">
        <v>3</v>
      </c>
      <c r="D90" s="148" t="s">
        <v>4</v>
      </c>
      <c r="E90" s="147" t="s">
        <v>5</v>
      </c>
      <c r="F90" s="331" t="s">
        <v>332</v>
      </c>
      <c r="G90" s="331" t="s">
        <v>333</v>
      </c>
      <c r="H90" s="331" t="s">
        <v>348</v>
      </c>
      <c r="I90" s="331" t="s">
        <v>347</v>
      </c>
      <c r="K90" s="331" t="s">
        <v>167</v>
      </c>
      <c r="L90" s="331" t="s">
        <v>167</v>
      </c>
      <c r="M90" s="147" t="s">
        <v>184</v>
      </c>
      <c r="N90" s="331" t="s">
        <v>167</v>
      </c>
      <c r="O90" s="331" t="s">
        <v>167</v>
      </c>
      <c r="P90" s="331" t="s">
        <v>167</v>
      </c>
      <c r="Q90" s="331" t="s">
        <v>167</v>
      </c>
      <c r="S90" s="331" t="s">
        <v>167</v>
      </c>
      <c r="U90" s="331" t="s">
        <v>204</v>
      </c>
      <c r="V90" s="331" t="s">
        <v>346</v>
      </c>
      <c r="W90" s="786" t="s">
        <v>229</v>
      </c>
      <c r="X90" s="786"/>
      <c r="Y90" s="331" t="s">
        <v>167</v>
      </c>
      <c r="Z90" s="147" t="s">
        <v>144</v>
      </c>
      <c r="AA90" s="147" t="s">
        <v>185</v>
      </c>
      <c r="AB90" s="147" t="s">
        <v>236</v>
      </c>
      <c r="AC90" s="147" t="s">
        <v>237</v>
      </c>
      <c r="AD90" s="331" t="s">
        <v>167</v>
      </c>
      <c r="AE90" s="278" t="s">
        <v>345</v>
      </c>
      <c r="AF90" s="331" t="s">
        <v>344</v>
      </c>
      <c r="AG90" s="147" t="s">
        <v>155</v>
      </c>
      <c r="AH90" s="147" t="s">
        <v>183</v>
      </c>
      <c r="AI90" s="331" t="s">
        <v>328</v>
      </c>
      <c r="AJ90" s="147" t="s">
        <v>117</v>
      </c>
      <c r="AK90" s="331" t="s">
        <v>167</v>
      </c>
      <c r="AL90" s="147" t="s">
        <v>118</v>
      </c>
      <c r="AM90" s="331" t="s">
        <v>329</v>
      </c>
      <c r="AN90" s="331" t="s">
        <v>168</v>
      </c>
      <c r="AO90" s="331" t="s">
        <v>329</v>
      </c>
      <c r="AQ90" s="147"/>
      <c r="AR90" s="331" t="s">
        <v>329</v>
      </c>
      <c r="AS90" s="331" t="s">
        <v>256</v>
      </c>
      <c r="AT90" s="331" t="s">
        <v>253</v>
      </c>
      <c r="AU90" s="331" t="s">
        <v>346</v>
      </c>
      <c r="AV90" s="147" t="s">
        <v>196</v>
      </c>
      <c r="AW90" s="147" t="s">
        <v>145</v>
      </c>
      <c r="AX90" s="147" t="s">
        <v>146</v>
      </c>
      <c r="AY90" s="147" t="s">
        <v>400</v>
      </c>
      <c r="AZ90" s="147" t="s">
        <v>124</v>
      </c>
      <c r="BA90" s="147" t="s">
        <v>145</v>
      </c>
      <c r="BB90" s="147" t="s">
        <v>146</v>
      </c>
      <c r="BC90" s="331" t="s">
        <v>330</v>
      </c>
      <c r="BD90" s="331" t="s">
        <v>331</v>
      </c>
      <c r="BE90" s="147" t="s">
        <v>327</v>
      </c>
      <c r="BF90" s="331" t="s">
        <v>167</v>
      </c>
      <c r="BG90" s="147" t="s">
        <v>163</v>
      </c>
      <c r="BH90" s="147" t="s">
        <v>399</v>
      </c>
      <c r="BI90" s="147" t="s">
        <v>401</v>
      </c>
      <c r="BJ90" s="147" t="s">
        <v>119</v>
      </c>
      <c r="BK90" s="331" t="s">
        <v>327</v>
      </c>
    </row>
    <row r="91" spans="1:64" ht="12.75" x14ac:dyDescent="0.2">
      <c r="A91" s="8">
        <f t="shared" ref="A91:A121" si="30">IF(ISBLANK(K4),NA(),N4)</f>
        <v>23</v>
      </c>
      <c r="B91" s="125">
        <f t="shared" ref="B91:B121" si="31">$F$39</f>
        <v>5</v>
      </c>
      <c r="C91" s="125">
        <f t="shared" ref="C91:C121" si="32">$G$39</f>
        <v>10.199999999999999</v>
      </c>
      <c r="D91" s="125">
        <f>AVERAGE(B91:C91)</f>
        <v>7.6</v>
      </c>
      <c r="E91" s="125">
        <f t="shared" ref="E91:E121" si="33">C91-B91</f>
        <v>5.1999999999999993</v>
      </c>
      <c r="F91" s="7">
        <v>6.8960000000000035</v>
      </c>
      <c r="G91" s="7">
        <v>12.2</v>
      </c>
      <c r="H91" s="7">
        <f>AVERAGE(F91:G91)</f>
        <v>9.5480000000000018</v>
      </c>
      <c r="I91" s="7">
        <f>G91-F91</f>
        <v>5.3039999999999958</v>
      </c>
      <c r="K91" s="7">
        <f t="shared" ref="K91:K121" si="34">IF(ISBLANK(G4),NA(),I4)</f>
        <v>5.0999999999999996</v>
      </c>
      <c r="L91" s="7">
        <f t="shared" ref="L91:L121" si="35">IF(ISBLANK(G4),NA(),AY49)</f>
        <v>12.05</v>
      </c>
      <c r="M91" s="370">
        <f t="shared" ref="M91:M121" si="36">IF(ISBLANK(U4),NA(),AY4)</f>
        <v>4</v>
      </c>
      <c r="N91" s="1">
        <f t="shared" ref="N91:N121" si="37">IF(ISBLANK(F4),NA(),BJ91)</f>
        <v>0.3666666666666667</v>
      </c>
      <c r="O91" s="7">
        <f t="shared" ref="O91:O121" si="38">IF(ISBLANK(M4),NA(),AW4)</f>
        <v>82</v>
      </c>
      <c r="P91" s="7">
        <f t="shared" ref="P91:P121" si="39">IF(ISBLANK(F4),NA(),AS4)</f>
        <v>9.5</v>
      </c>
      <c r="Q91" s="7">
        <f t="shared" ref="Q91:Q121" si="40">IF(ISBLANK(G4),NA(),AT4)</f>
        <v>14.6</v>
      </c>
      <c r="R91" s="7">
        <f t="shared" ref="R91:R121" si="41">IF(ISBLANK(H4),NA(),AU4)</f>
        <v>12.9</v>
      </c>
      <c r="S91" s="7">
        <f t="shared" ref="S91:S121" si="42">IF(ISBLANK(G4),NA(),AV4)</f>
        <v>5.0999999999999996</v>
      </c>
      <c r="T91" s="1">
        <v>32</v>
      </c>
      <c r="U91" s="333">
        <f t="shared" ref="U91:U121" si="43">$Z$39/$E$34</f>
        <v>2.1333333333333333</v>
      </c>
      <c r="V91" s="4">
        <v>1</v>
      </c>
      <c r="W91" s="7">
        <f t="shared" ref="W91:W121" si="44">0.273*V91</f>
        <v>0.27300000000000002</v>
      </c>
      <c r="X91" s="7">
        <f t="shared" ref="X91:X121" si="45">0.273*T91</f>
        <v>8.7360000000000007</v>
      </c>
      <c r="Y91" s="8">
        <f t="shared" ref="Y91:Y121" si="46">IF(ISBLANK(Q4),NA(),S4)</f>
        <v>7</v>
      </c>
      <c r="Z91" s="7">
        <f>IF(ISBLANK(Z4),NA(),SUM($Z$4:Z4))</f>
        <v>1.1000000000000001</v>
      </c>
      <c r="AA91" s="7">
        <f>$AB$48*E4</f>
        <v>2.1333333333333333</v>
      </c>
      <c r="AB91" s="26">
        <f>IF(ISBLANK(Z4),"",SUM($Z$4:Z4))</f>
        <v>1.1000000000000001</v>
      </c>
      <c r="AC91" s="115">
        <f>IF(ISBLANK(Z4),NA(),AB91/AA91)</f>
        <v>0.515625</v>
      </c>
      <c r="AD91" s="8">
        <f t="shared" ref="AD91:AD121" si="47">IF(ISBLANK(P4),NA(),AX4)</f>
        <v>1009.5</v>
      </c>
      <c r="AE91" s="610">
        <f t="shared" ref="AE91:AE121" si="48">IF(ISNA(AG91),"",AG91/AH91)</f>
        <v>1.4192782631586278</v>
      </c>
      <c r="AF91" s="524">
        <f t="shared" ref="AF91:AF121" si="49">IF(ISTEXT(BI49),NA(),IF(ISBLANK(BI49),NA(),BI49))</f>
        <v>0.26527777777777778</v>
      </c>
      <c r="AG91" s="22">
        <f>IF(ISBLANK(AP4),NA(),SUM($AP$4:AP4))</f>
        <v>3.5</v>
      </c>
      <c r="AH91" s="7">
        <f>SUM($AS$91:AS91)</f>
        <v>2.4660421362409162</v>
      </c>
      <c r="AI91" s="115">
        <f t="shared" ref="AI91:AI121" si="50">IF(ISBLANK(AP4),NA(),AG91/AH91)</f>
        <v>1.4192782631586278</v>
      </c>
      <c r="AJ91" s="124">
        <f t="shared" ref="AJ91:AJ121" si="51">IF(ISBLANK(F4),"",IF(Z4&gt;0.1,1,0))</f>
        <v>1</v>
      </c>
      <c r="AK91" s="8">
        <f t="shared" ref="AK91:AK121" si="52">IF(ISBLANK(P4),NA(),R4)</f>
        <v>1009.5</v>
      </c>
      <c r="AL91" s="124">
        <f t="shared" ref="AL91:AL121" si="53">IF(ISBLANK(Z4),"",IF(Z4&gt;0.9,1,0))</f>
        <v>1</v>
      </c>
      <c r="AM91" s="524">
        <f t="shared" ref="AM91:AM121" si="54">IF(ISTEXT(BH49),NA(),IF(ISBLANK(BH49),NA(),BH49))</f>
        <v>0.6777777777777777</v>
      </c>
      <c r="AN91" s="109">
        <f xml:space="preserve"> SUM(COUNTIF(AN4:AN34,"-"),COUNTIF(AN4:AN34,"*yy*"))</f>
        <v>22</v>
      </c>
      <c r="AO91" s="524">
        <f t="shared" ref="AO91:AO121" si="55">IF(ISTEXT(BG49),NA(),IF(ISBLANK(BG49),NA(),BG49))</f>
        <v>0.59861111111111109</v>
      </c>
      <c r="AR91" s="524">
        <f t="shared" ref="AR91:AR121" si="56">IF(ISTEXT(BF49),NA(),IF(ISBLANK(BF49),NA(),BF49))</f>
        <v>0.36458333333333331</v>
      </c>
      <c r="AS91" s="7">
        <f t="shared" ref="AS91:AS121" si="57">AT91/($AT$123/$AP$39)</f>
        <v>2.4660421362409162</v>
      </c>
      <c r="AT91" s="7">
        <v>8.5944718398024005</v>
      </c>
      <c r="AU91" s="4">
        <v>1</v>
      </c>
      <c r="AV91" s="127">
        <f t="shared" ref="AV91:AV121" si="58">IF(ISBLANK(AP4),"",IF(AP4&gt;0.25*AT91,1,0))</f>
        <v>1</v>
      </c>
      <c r="AW91" s="124">
        <f>IF(ISBLANK(F4),"",IF(AY49&lt;BC91,1,0))</f>
        <v>0</v>
      </c>
      <c r="AX91" s="124">
        <f>IF(ISBLANK(G4),"",IF(AY49&gt;BD91,1,0))</f>
        <v>1</v>
      </c>
      <c r="AY91" s="124">
        <f t="shared" ref="AY91:AY121" si="59">IF(ISBLANK(F4),"",IF(P4&gt;1013,1,0))</f>
        <v>0</v>
      </c>
      <c r="AZ91" s="125">
        <f t="shared" ref="AZ91:AZ121" si="60">$U$39</f>
        <v>4.593</v>
      </c>
      <c r="BA91" s="125">
        <f t="shared" ref="BA91:BA121" si="61">$BB$83</f>
        <v>5.8666666666666663</v>
      </c>
      <c r="BB91" s="125">
        <f t="shared" ref="BB91:BB121" si="62">$BC$83</f>
        <v>9.3333333333333321</v>
      </c>
      <c r="BC91" s="7">
        <v>7.78</v>
      </c>
      <c r="BD91" s="7">
        <v>11.316000000000001</v>
      </c>
      <c r="BE91" s="124"/>
      <c r="BF91" s="8">
        <f t="shared" ref="BF91:BF121" si="63">IF(ISBLANK(M4),NA(),M4)</f>
        <v>82</v>
      </c>
      <c r="BG91" s="21">
        <f t="shared" ref="BG91:BG121" si="64">IF(ISBLANK(H4),NA(),H4)</f>
        <v>12.9</v>
      </c>
      <c r="BH91" s="124">
        <f t="shared" ref="BH91:BH121" si="65">IF(ISBLANK(F4),"",IF(Q4&lt;1013,1,0))</f>
        <v>0</v>
      </c>
      <c r="BI91" s="124">
        <f>IF(ISBLANK(L4),"",IF(AQ4&gt;0.4,1,0))</f>
        <v>1</v>
      </c>
      <c r="BJ91" s="144">
        <f t="shared" ref="BJ91:BJ121" si="66">IF(ISBLANK(Z4),"",Z4/3)</f>
        <v>0.3666666666666667</v>
      </c>
      <c r="BL91" s="99">
        <v>1</v>
      </c>
    </row>
    <row r="92" spans="1:64" ht="12.75" x14ac:dyDescent="0.2">
      <c r="A92" s="8">
        <f t="shared" si="30"/>
        <v>24</v>
      </c>
      <c r="B92" s="125">
        <f t="shared" si="31"/>
        <v>5</v>
      </c>
      <c r="C92" s="125">
        <f t="shared" si="32"/>
        <v>10.199999999999999</v>
      </c>
      <c r="D92" s="125">
        <f t="shared" ref="D92:D121" si="67">AVERAGE(B92:C92)</f>
        <v>7.6</v>
      </c>
      <c r="E92" s="125">
        <f t="shared" si="33"/>
        <v>5.1999999999999993</v>
      </c>
      <c r="F92" s="7">
        <v>6.76</v>
      </c>
      <c r="G92" s="7">
        <v>12</v>
      </c>
      <c r="H92" s="7">
        <f t="shared" ref="H92:H120" si="68">AVERAGE(F92:G92)</f>
        <v>9.379999999999999</v>
      </c>
      <c r="I92" s="7">
        <f t="shared" ref="I92:I120" si="69">G92-F92</f>
        <v>5.24</v>
      </c>
      <c r="K92" s="7">
        <f t="shared" si="34"/>
        <v>6.5</v>
      </c>
      <c r="L92" s="7">
        <f t="shared" si="35"/>
        <v>11.95</v>
      </c>
      <c r="M92" s="370">
        <f t="shared" si="36"/>
        <v>4.55</v>
      </c>
      <c r="N92" s="1">
        <f t="shared" si="37"/>
        <v>9.9999999999999992E-2</v>
      </c>
      <c r="O92" s="7">
        <f t="shared" si="38"/>
        <v>83.5</v>
      </c>
      <c r="P92" s="7">
        <f t="shared" si="39"/>
        <v>9.1</v>
      </c>
      <c r="Q92" s="7">
        <f t="shared" si="40"/>
        <v>14.899999999999999</v>
      </c>
      <c r="R92" s="7">
        <f t="shared" si="41"/>
        <v>12.75</v>
      </c>
      <c r="S92" s="7">
        <f t="shared" si="42"/>
        <v>5.8</v>
      </c>
      <c r="T92" s="1">
        <v>33</v>
      </c>
      <c r="U92" s="333">
        <f t="shared" si="43"/>
        <v>2.1333333333333333</v>
      </c>
      <c r="V92" s="4">
        <v>2</v>
      </c>
      <c r="W92" s="7">
        <f t="shared" si="44"/>
        <v>0.54600000000000004</v>
      </c>
      <c r="X92" s="7">
        <f t="shared" si="45"/>
        <v>9.0090000000000003</v>
      </c>
      <c r="Y92" s="8">
        <f t="shared" si="46"/>
        <v>16</v>
      </c>
      <c r="Z92" s="7">
        <f>IF(ISBLANK(Z5),NA(),SUM($Z$4:Z5))</f>
        <v>1.4000000000000001</v>
      </c>
      <c r="AA92" s="7">
        <f t="shared" ref="AA92:AA121" si="70">$AB$48*E5</f>
        <v>4.2666666666666666</v>
      </c>
      <c r="AB92" s="26">
        <f>IF(ISBLANK(Z5),"",SUM($Z$4:Z5))</f>
        <v>1.4000000000000001</v>
      </c>
      <c r="AC92" s="115">
        <f t="shared" ref="AC92:AC121" si="71">IF(ISBLANK(Z5),NA(),AB92/AA92)</f>
        <v>0.32812500000000006</v>
      </c>
      <c r="AD92" s="8">
        <f t="shared" si="47"/>
        <v>1006.75</v>
      </c>
      <c r="AE92" s="610">
        <f t="shared" si="48"/>
        <v>1.5254578281564204</v>
      </c>
      <c r="AF92" s="524">
        <f t="shared" si="49"/>
        <v>0.29166666666666669</v>
      </c>
      <c r="AG92" s="22">
        <f>IF(ISBLANK(AP5),NA(),SUM($AP$4:AP5))</f>
        <v>7.5</v>
      </c>
      <c r="AH92" s="7">
        <f>SUM($AS$91:AS92)</f>
        <v>4.9165567618896837</v>
      </c>
      <c r="AI92" s="115">
        <f t="shared" si="50"/>
        <v>1.5254578281564204</v>
      </c>
      <c r="AJ92" s="124">
        <f t="shared" si="51"/>
        <v>1</v>
      </c>
      <c r="AK92" s="8">
        <f t="shared" si="52"/>
        <v>1004</v>
      </c>
      <c r="AL92" s="124">
        <f t="shared" si="53"/>
        <v>0</v>
      </c>
      <c r="AM92" s="524">
        <f t="shared" si="54"/>
        <v>0.56874999999999998</v>
      </c>
      <c r="AN92" s="45">
        <f t="array" ref="AN92">MAX(FREQUENCY(IF(AJ91:AJ121=0,ROW(91:121)),IF(AJ91:AJ121&lt;&gt;0,ROW(91:121))))</f>
        <v>12</v>
      </c>
      <c r="AO92" s="524">
        <f t="shared" si="55"/>
        <v>0.58333333333333337</v>
      </c>
      <c r="AP92" s="59" t="s">
        <v>113</v>
      </c>
      <c r="AQ92" s="447">
        <v>0.06</v>
      </c>
      <c r="AR92" s="524">
        <f t="shared" si="56"/>
        <v>0.1423611111111111</v>
      </c>
      <c r="AS92" s="7">
        <f t="shared" si="57"/>
        <v>2.450514625648768</v>
      </c>
      <c r="AT92" s="7">
        <v>8.5403564820129851</v>
      </c>
      <c r="AU92" s="4">
        <v>2</v>
      </c>
      <c r="AV92" s="127">
        <f t="shared" si="58"/>
        <v>1</v>
      </c>
      <c r="AW92" s="124">
        <f t="shared" ref="AW92:AW121" si="72">IF(ISBLANK(F5),"",IF(AY50&lt;BC92,1,0))</f>
        <v>0</v>
      </c>
      <c r="AX92" s="124">
        <f t="shared" ref="AX92:AX121" si="73">IF(ISBLANK(G5),"",IF(AY50&gt;BD92,1,0))</f>
        <v>1</v>
      </c>
      <c r="AY92" s="124">
        <f t="shared" si="59"/>
        <v>0</v>
      </c>
      <c r="AZ92" s="125">
        <f t="shared" si="60"/>
        <v>4.593</v>
      </c>
      <c r="BA92" s="125">
        <f t="shared" si="61"/>
        <v>5.8666666666666663</v>
      </c>
      <c r="BB92" s="125">
        <f t="shared" si="62"/>
        <v>9.3333333333333321</v>
      </c>
      <c r="BC92" s="7">
        <v>7.6333333333333373</v>
      </c>
      <c r="BD92" s="7">
        <v>11.126666666666669</v>
      </c>
      <c r="BE92" s="124"/>
      <c r="BF92" s="8">
        <f t="shared" si="63"/>
        <v>85</v>
      </c>
      <c r="BG92" s="21">
        <f t="shared" si="64"/>
        <v>12.6</v>
      </c>
      <c r="BH92" s="124">
        <f t="shared" si="65"/>
        <v>1</v>
      </c>
      <c r="BI92" s="124">
        <f t="shared" ref="BI92:BI121" si="74">IF(ISBLANK(L5),"",IF(AQ5&gt;0.4,1,0))</f>
        <v>1</v>
      </c>
      <c r="BJ92" s="144">
        <f t="shared" si="66"/>
        <v>9.9999999999999992E-2</v>
      </c>
      <c r="BL92" s="99">
        <v>2</v>
      </c>
    </row>
    <row r="93" spans="1:64" ht="12.75" x14ac:dyDescent="0.2">
      <c r="A93" s="8">
        <f t="shared" si="30"/>
        <v>17</v>
      </c>
      <c r="B93" s="125">
        <f t="shared" si="31"/>
        <v>5</v>
      </c>
      <c r="C93" s="125">
        <f t="shared" si="32"/>
        <v>10.199999999999999</v>
      </c>
      <c r="D93" s="125">
        <f t="shared" si="67"/>
        <v>7.6</v>
      </c>
      <c r="E93" s="125">
        <f t="shared" si="33"/>
        <v>5.1999999999999993</v>
      </c>
      <c r="F93" s="7">
        <v>6.6240000000000032</v>
      </c>
      <c r="G93" s="7">
        <v>11.8</v>
      </c>
      <c r="H93" s="7">
        <f t="shared" si="68"/>
        <v>9.2120000000000015</v>
      </c>
      <c r="I93" s="7">
        <f t="shared" si="69"/>
        <v>5.1759999999999975</v>
      </c>
      <c r="K93" s="7">
        <f t="shared" si="34"/>
        <v>4.5999999999999996</v>
      </c>
      <c r="L93" s="7">
        <f t="shared" si="35"/>
        <v>15.1</v>
      </c>
      <c r="M93" s="370">
        <f t="shared" si="36"/>
        <v>4.666666666666667</v>
      </c>
      <c r="N93" s="1">
        <f t="shared" si="37"/>
        <v>2.1999999999999997</v>
      </c>
      <c r="O93" s="7">
        <f t="shared" si="38"/>
        <v>84.666666666666671</v>
      </c>
      <c r="P93" s="7">
        <f t="shared" si="39"/>
        <v>10.333333333333334</v>
      </c>
      <c r="Q93" s="7">
        <f t="shared" si="40"/>
        <v>15.733333333333333</v>
      </c>
      <c r="R93" s="7">
        <f t="shared" si="41"/>
        <v>13.6</v>
      </c>
      <c r="S93" s="7">
        <f t="shared" si="42"/>
        <v>5.3999999999999995</v>
      </c>
      <c r="T93" s="1">
        <v>34</v>
      </c>
      <c r="U93" s="333">
        <f t="shared" si="43"/>
        <v>2.1333333333333333</v>
      </c>
      <c r="V93" s="4">
        <v>3</v>
      </c>
      <c r="W93" s="7">
        <f t="shared" si="44"/>
        <v>0.81900000000000006</v>
      </c>
      <c r="X93" s="7">
        <f t="shared" si="45"/>
        <v>9.282</v>
      </c>
      <c r="Y93" s="8">
        <f t="shared" si="46"/>
        <v>5</v>
      </c>
      <c r="Z93" s="7">
        <f>IF(ISBLANK(Z6),NA(),SUM($Z$4:Z6))</f>
        <v>8</v>
      </c>
      <c r="AA93" s="7">
        <f t="shared" si="70"/>
        <v>6.4</v>
      </c>
      <c r="AB93" s="26">
        <f>IF(ISBLANK(Z6),"",SUM($Z$4:Z6))</f>
        <v>8</v>
      </c>
      <c r="AC93" s="115">
        <f t="shared" si="71"/>
        <v>1.25</v>
      </c>
      <c r="AD93" s="8">
        <f t="shared" si="47"/>
        <v>1002.3333333333334</v>
      </c>
      <c r="AE93" s="610">
        <f t="shared" si="48"/>
        <v>1.0337760076912674</v>
      </c>
      <c r="AF93" s="524" t="e">
        <f t="shared" si="49"/>
        <v>#N/A</v>
      </c>
      <c r="AG93" s="22">
        <f>IF(ISBLANK(AP6),NA(),SUM($AP$4:AP6))</f>
        <v>7.6</v>
      </c>
      <c r="AH93" s="7">
        <f>SUM($AS$91:AS93)</f>
        <v>7.3516892861279342</v>
      </c>
      <c r="AI93" s="115">
        <f t="shared" si="50"/>
        <v>1.0337760076912674</v>
      </c>
      <c r="AJ93" s="124">
        <f t="shared" si="51"/>
        <v>1</v>
      </c>
      <c r="AK93" s="8">
        <f t="shared" si="52"/>
        <v>993.5</v>
      </c>
      <c r="AL93" s="124">
        <f t="shared" si="53"/>
        <v>1</v>
      </c>
      <c r="AM93" s="524">
        <f t="shared" si="54"/>
        <v>0.62708333333333333</v>
      </c>
      <c r="AN93" s="150">
        <f>COUNTIF(E72:E80, "&lt;-0.5")</f>
        <v>1</v>
      </c>
      <c r="AO93" s="524">
        <f t="shared" si="55"/>
        <v>0.61597222222222225</v>
      </c>
      <c r="AP93" s="59" t="s">
        <v>206</v>
      </c>
      <c r="AQ93" s="447">
        <v>0.04</v>
      </c>
      <c r="AR93" s="524" t="e">
        <f t="shared" si="56"/>
        <v>#N/A</v>
      </c>
      <c r="AS93" s="7">
        <f t="shared" si="57"/>
        <v>2.43513252423825</v>
      </c>
      <c r="AT93" s="7">
        <v>8.4867478937951049</v>
      </c>
      <c r="AU93" s="4">
        <v>3</v>
      </c>
      <c r="AV93" s="127">
        <f t="shared" si="58"/>
        <v>0</v>
      </c>
      <c r="AW93" s="124">
        <f t="shared" si="72"/>
        <v>0</v>
      </c>
      <c r="AX93" s="124">
        <f t="shared" si="73"/>
        <v>1</v>
      </c>
      <c r="AY93" s="124">
        <f t="shared" si="59"/>
        <v>0</v>
      </c>
      <c r="AZ93" s="125">
        <f t="shared" si="60"/>
        <v>4.593</v>
      </c>
      <c r="BA93" s="125">
        <f t="shared" si="61"/>
        <v>5.8666666666666663</v>
      </c>
      <c r="BB93" s="125">
        <f t="shared" si="62"/>
        <v>9.3333333333333321</v>
      </c>
      <c r="BC93" s="7">
        <v>7.486666666666669</v>
      </c>
      <c r="BD93" s="7">
        <v>10.937333333333335</v>
      </c>
      <c r="BE93" s="124"/>
      <c r="BF93" s="8">
        <f t="shared" si="63"/>
        <v>87</v>
      </c>
      <c r="BG93" s="21">
        <f t="shared" si="64"/>
        <v>15.3</v>
      </c>
      <c r="BH93" s="124">
        <f t="shared" si="65"/>
        <v>1</v>
      </c>
      <c r="BI93" s="124">
        <f t="shared" si="74"/>
        <v>1</v>
      </c>
      <c r="BJ93" s="144">
        <f t="shared" si="66"/>
        <v>2.1999999999999997</v>
      </c>
      <c r="BL93" s="99">
        <v>3</v>
      </c>
    </row>
    <row r="94" spans="1:64" ht="12.75" x14ac:dyDescent="0.2">
      <c r="A94" s="8">
        <f t="shared" si="30"/>
        <v>16</v>
      </c>
      <c r="B94" s="125">
        <f t="shared" si="31"/>
        <v>5</v>
      </c>
      <c r="C94" s="125">
        <f t="shared" si="32"/>
        <v>10.199999999999999</v>
      </c>
      <c r="D94" s="125">
        <f t="shared" si="67"/>
        <v>7.6</v>
      </c>
      <c r="E94" s="125">
        <f t="shared" si="33"/>
        <v>5.1999999999999993</v>
      </c>
      <c r="F94" s="7">
        <v>6.4880000000000031</v>
      </c>
      <c r="G94" s="7">
        <v>11.6</v>
      </c>
      <c r="H94" s="7">
        <f t="shared" si="68"/>
        <v>9.0440000000000005</v>
      </c>
      <c r="I94" s="7">
        <f t="shared" si="69"/>
        <v>5.1119999999999965</v>
      </c>
      <c r="K94" s="7">
        <f t="shared" si="34"/>
        <v>4.0999999999999996</v>
      </c>
      <c r="L94" s="7">
        <f t="shared" si="35"/>
        <v>13.45</v>
      </c>
      <c r="M94" s="370">
        <f t="shared" si="36"/>
        <v>4.4749999999999996</v>
      </c>
      <c r="N94" s="1">
        <f t="shared" si="37"/>
        <v>4.4666666666666668</v>
      </c>
      <c r="O94" s="7">
        <f t="shared" si="38"/>
        <v>86</v>
      </c>
      <c r="P94" s="7">
        <f t="shared" si="39"/>
        <v>10.6</v>
      </c>
      <c r="Q94" s="7">
        <f t="shared" si="40"/>
        <v>15.674999999999999</v>
      </c>
      <c r="R94" s="7">
        <f t="shared" si="41"/>
        <v>13.6</v>
      </c>
      <c r="S94" s="7">
        <f t="shared" si="42"/>
        <v>5.0749999999999993</v>
      </c>
      <c r="T94" s="1">
        <v>35</v>
      </c>
      <c r="U94" s="333">
        <f t="shared" si="43"/>
        <v>2.1333333333333333</v>
      </c>
      <c r="V94" s="4">
        <v>4</v>
      </c>
      <c r="W94" s="7">
        <f t="shared" si="44"/>
        <v>1.0920000000000001</v>
      </c>
      <c r="X94" s="7">
        <f t="shared" si="45"/>
        <v>9.5550000000000015</v>
      </c>
      <c r="Y94" s="8">
        <f t="shared" si="46"/>
        <v>12</v>
      </c>
      <c r="Z94" s="7">
        <f>IF(ISBLANK(Z7),NA(),SUM($Z$4:Z7))</f>
        <v>21.4</v>
      </c>
      <c r="AA94" s="7">
        <f t="shared" si="70"/>
        <v>8.5333333333333332</v>
      </c>
      <c r="AB94" s="26">
        <f>IF(ISBLANK(Z7),"",SUM($Z$4:Z7))</f>
        <v>21.4</v>
      </c>
      <c r="AC94" s="115">
        <f t="shared" si="71"/>
        <v>2.5078125</v>
      </c>
      <c r="AD94" s="8">
        <f t="shared" si="47"/>
        <v>1000.75</v>
      </c>
      <c r="AE94" s="610">
        <f t="shared" si="48"/>
        <v>0.93127105852439973</v>
      </c>
      <c r="AF94" s="524">
        <f t="shared" si="49"/>
        <v>0.35416666666666669</v>
      </c>
      <c r="AG94" s="22">
        <f>IF(ISBLANK(AP7),NA(),SUM($AP$4:AP7))</f>
        <v>9.1</v>
      </c>
      <c r="AH94" s="7">
        <f>SUM($AS$91:AS94)</f>
        <v>9.7715911137826641</v>
      </c>
      <c r="AI94" s="115">
        <f t="shared" si="50"/>
        <v>0.93127105852439973</v>
      </c>
      <c r="AJ94" s="124">
        <f t="shared" si="51"/>
        <v>1</v>
      </c>
      <c r="AK94" s="8">
        <f t="shared" si="52"/>
        <v>996</v>
      </c>
      <c r="AL94" s="124">
        <f t="shared" si="53"/>
        <v>1</v>
      </c>
      <c r="AM94" s="524">
        <f t="shared" si="54"/>
        <v>0.55833333333333335</v>
      </c>
      <c r="AN94" s="141">
        <f t="array" ref="AN94">MAX(FREQUENCY(IF(BI91:BI121=1,ROW(91:121)),IF(BI91:BI121&lt;&gt;1,ROW(91:121))))</f>
        <v>4</v>
      </c>
      <c r="AO94" s="524">
        <f t="shared" si="55"/>
        <v>0.53888888888888886</v>
      </c>
      <c r="AP94" s="449" t="s">
        <v>105</v>
      </c>
      <c r="AQ94" s="448">
        <v>0.06</v>
      </c>
      <c r="AR94" s="524">
        <f t="shared" si="56"/>
        <v>0.31944444444444448</v>
      </c>
      <c r="AS94" s="7">
        <f t="shared" si="57"/>
        <v>2.4199018276547295</v>
      </c>
      <c r="AT94" s="7">
        <v>8.433666970738706</v>
      </c>
      <c r="AU94" s="4">
        <v>4</v>
      </c>
      <c r="AV94" s="127">
        <f t="shared" si="58"/>
        <v>0</v>
      </c>
      <c r="AW94" s="124">
        <f t="shared" si="72"/>
        <v>0</v>
      </c>
      <c r="AX94" s="124">
        <f t="shared" si="73"/>
        <v>1</v>
      </c>
      <c r="AY94" s="124">
        <f t="shared" si="59"/>
        <v>0</v>
      </c>
      <c r="AZ94" s="125">
        <f t="shared" si="60"/>
        <v>4.593</v>
      </c>
      <c r="BA94" s="125">
        <f t="shared" si="61"/>
        <v>5.8666666666666663</v>
      </c>
      <c r="BB94" s="125">
        <f t="shared" si="62"/>
        <v>9.3333333333333321</v>
      </c>
      <c r="BC94" s="7">
        <v>7.34</v>
      </c>
      <c r="BD94" s="7">
        <v>10.748000000000001</v>
      </c>
      <c r="BE94" s="124"/>
      <c r="BF94" s="8">
        <f t="shared" si="63"/>
        <v>90</v>
      </c>
      <c r="BG94" s="21">
        <f t="shared" si="64"/>
        <v>13.6</v>
      </c>
      <c r="BH94" s="124">
        <f t="shared" si="65"/>
        <v>1</v>
      </c>
      <c r="BI94" s="124">
        <f t="shared" si="74"/>
        <v>1</v>
      </c>
      <c r="BJ94" s="144">
        <f t="shared" si="66"/>
        <v>4.4666666666666668</v>
      </c>
      <c r="BL94" s="99">
        <v>4</v>
      </c>
    </row>
    <row r="95" spans="1:64" ht="12.75" x14ac:dyDescent="0.2">
      <c r="A95" s="8">
        <f t="shared" si="30"/>
        <v>8</v>
      </c>
      <c r="B95" s="125">
        <f t="shared" si="31"/>
        <v>5</v>
      </c>
      <c r="C95" s="125">
        <f t="shared" si="32"/>
        <v>10.199999999999999</v>
      </c>
      <c r="D95" s="125">
        <f t="shared" si="67"/>
        <v>7.6</v>
      </c>
      <c r="E95" s="125">
        <f t="shared" si="33"/>
        <v>5.1999999999999993</v>
      </c>
      <c r="F95" s="7">
        <v>6.352000000000003</v>
      </c>
      <c r="G95" s="7">
        <v>11.4</v>
      </c>
      <c r="H95" s="7">
        <f t="shared" si="68"/>
        <v>8.8760000000000012</v>
      </c>
      <c r="I95" s="7">
        <f t="shared" si="69"/>
        <v>5.0479999999999974</v>
      </c>
      <c r="K95" s="7">
        <f t="shared" si="34"/>
        <v>3.5</v>
      </c>
      <c r="L95" s="7">
        <f t="shared" si="35"/>
        <v>11.65</v>
      </c>
      <c r="M95" s="370">
        <f t="shared" si="36"/>
        <v>4.2</v>
      </c>
      <c r="N95" s="1">
        <f t="shared" si="37"/>
        <v>0</v>
      </c>
      <c r="O95" s="7">
        <f t="shared" si="38"/>
        <v>87.6</v>
      </c>
      <c r="P95" s="7">
        <f t="shared" si="39"/>
        <v>10.459999999999999</v>
      </c>
      <c r="Q95" s="7">
        <f t="shared" si="40"/>
        <v>15.219999999999999</v>
      </c>
      <c r="R95" s="7">
        <f t="shared" si="41"/>
        <v>13.219999999999999</v>
      </c>
      <c r="S95" s="7">
        <f t="shared" si="42"/>
        <v>4.76</v>
      </c>
      <c r="T95" s="1">
        <v>36</v>
      </c>
      <c r="U95" s="333">
        <f t="shared" si="43"/>
        <v>2.1333333333333333</v>
      </c>
      <c r="V95" s="4">
        <v>5</v>
      </c>
      <c r="W95" s="7">
        <f t="shared" si="44"/>
        <v>1.3650000000000002</v>
      </c>
      <c r="X95" s="7">
        <f t="shared" si="45"/>
        <v>9.8280000000000012</v>
      </c>
      <c r="Y95" s="8">
        <f t="shared" si="46"/>
        <v>16</v>
      </c>
      <c r="Z95" s="7">
        <f>IF(ISBLANK(Z8),NA(),SUM($Z$4:Z8))</f>
        <v>21.4</v>
      </c>
      <c r="AA95" s="7">
        <f t="shared" si="70"/>
        <v>10.666666666666666</v>
      </c>
      <c r="AB95" s="26">
        <f>IF(ISBLANK(Z8),"",SUM($Z$4:Z8))</f>
        <v>21.4</v>
      </c>
      <c r="AC95" s="115">
        <f t="shared" si="71"/>
        <v>2.0062500000000001</v>
      </c>
      <c r="AD95" s="8">
        <f t="shared" si="47"/>
        <v>1002.6</v>
      </c>
      <c r="AE95" s="610">
        <f t="shared" si="48"/>
        <v>0.78840908610346905</v>
      </c>
      <c r="AF95" s="524">
        <f t="shared" si="49"/>
        <v>0.33888888888888885</v>
      </c>
      <c r="AG95" s="22">
        <f>IF(ISBLANK(AP8),NA(),SUM($AP$4:AP8))</f>
        <v>9.6</v>
      </c>
      <c r="AH95" s="7">
        <f>SUM($AS$91:AS95)</f>
        <v>12.176419791717262</v>
      </c>
      <c r="AI95" s="115">
        <f t="shared" si="50"/>
        <v>0.78840908610346905</v>
      </c>
      <c r="AJ95" s="124">
        <f t="shared" si="51"/>
        <v>0</v>
      </c>
      <c r="AK95" s="8">
        <f t="shared" si="52"/>
        <v>1010</v>
      </c>
      <c r="AL95" s="124">
        <f t="shared" si="53"/>
        <v>0</v>
      </c>
      <c r="AM95" s="524">
        <f t="shared" si="54"/>
        <v>0.73888888888888893</v>
      </c>
      <c r="AN95" s="141">
        <f t="array" ref="AN95">MAX(FREQUENCY(IF(BI91:BI121=0,ROW(91:121)),IF(BI91:BI121&lt;&gt;0,ROW(91:121))))</f>
        <v>12</v>
      </c>
      <c r="AO95" s="524">
        <f t="shared" si="55"/>
        <v>0.60416666666666663</v>
      </c>
      <c r="AP95" s="449" t="s">
        <v>207</v>
      </c>
      <c r="AQ95" s="448">
        <v>0.12</v>
      </c>
      <c r="AR95" s="524">
        <f t="shared" si="56"/>
        <v>0.1125</v>
      </c>
      <c r="AS95" s="7">
        <f t="shared" si="57"/>
        <v>2.4048286779345971</v>
      </c>
      <c r="AT95" s="7">
        <v>8.381135118625151</v>
      </c>
      <c r="AU95" s="4">
        <v>5</v>
      </c>
      <c r="AV95" s="127">
        <f t="shared" si="58"/>
        <v>0</v>
      </c>
      <c r="AW95" s="124">
        <f t="shared" si="72"/>
        <v>0</v>
      </c>
      <c r="AX95" s="124">
        <f t="shared" si="73"/>
        <v>1</v>
      </c>
      <c r="AY95" s="124">
        <f t="shared" si="59"/>
        <v>0</v>
      </c>
      <c r="AZ95" s="125">
        <f t="shared" si="60"/>
        <v>4.593</v>
      </c>
      <c r="BA95" s="125">
        <f t="shared" si="61"/>
        <v>5.8666666666666663</v>
      </c>
      <c r="BB95" s="125">
        <f t="shared" si="62"/>
        <v>9.3333333333333321</v>
      </c>
      <c r="BC95" s="7">
        <v>7.1933333333333369</v>
      </c>
      <c r="BD95" s="7">
        <v>10.558666666666669</v>
      </c>
      <c r="BE95" s="124"/>
      <c r="BF95" s="8">
        <f t="shared" si="63"/>
        <v>94</v>
      </c>
      <c r="BG95" s="21">
        <f t="shared" si="64"/>
        <v>11.7</v>
      </c>
      <c r="BH95" s="124">
        <f t="shared" si="65"/>
        <v>0</v>
      </c>
      <c r="BI95" s="124">
        <f t="shared" si="74"/>
        <v>0</v>
      </c>
      <c r="BJ95" s="144">
        <f t="shared" si="66"/>
        <v>0</v>
      </c>
      <c r="BL95" s="99">
        <v>5</v>
      </c>
    </row>
    <row r="96" spans="1:64" ht="12.75" x14ac:dyDescent="0.2">
      <c r="A96" s="8">
        <f t="shared" si="30"/>
        <v>22</v>
      </c>
      <c r="B96" s="125">
        <f t="shared" si="31"/>
        <v>5</v>
      </c>
      <c r="C96" s="125">
        <f t="shared" si="32"/>
        <v>10.199999999999999</v>
      </c>
      <c r="D96" s="125">
        <f t="shared" si="67"/>
        <v>7.6</v>
      </c>
      <c r="E96" s="125">
        <f t="shared" si="33"/>
        <v>5.1999999999999993</v>
      </c>
      <c r="F96" s="7">
        <v>6.2160000000000029</v>
      </c>
      <c r="G96" s="7">
        <v>11.2</v>
      </c>
      <c r="H96" s="7">
        <f t="shared" si="68"/>
        <v>8.708000000000002</v>
      </c>
      <c r="I96" s="7">
        <f t="shared" si="69"/>
        <v>4.9839999999999964</v>
      </c>
      <c r="K96" s="7">
        <f t="shared" si="34"/>
        <v>3</v>
      </c>
      <c r="L96" s="7">
        <f t="shared" si="35"/>
        <v>10</v>
      </c>
      <c r="M96" s="370">
        <f t="shared" si="36"/>
        <v>4.6000000000000005</v>
      </c>
      <c r="N96" s="1">
        <f t="shared" si="37"/>
        <v>0</v>
      </c>
      <c r="O96" s="7">
        <f t="shared" si="38"/>
        <v>86.666666666666671</v>
      </c>
      <c r="P96" s="7">
        <f t="shared" si="39"/>
        <v>10.133333333333333</v>
      </c>
      <c r="Q96" s="7">
        <f t="shared" si="40"/>
        <v>14.6</v>
      </c>
      <c r="R96" s="7">
        <f t="shared" si="41"/>
        <v>12.699999999999998</v>
      </c>
      <c r="S96" s="7">
        <f t="shared" si="42"/>
        <v>4.4666666666666659</v>
      </c>
      <c r="T96" s="1">
        <v>37</v>
      </c>
      <c r="U96" s="333">
        <f t="shared" si="43"/>
        <v>2.1333333333333333</v>
      </c>
      <c r="V96" s="4">
        <v>6</v>
      </c>
      <c r="W96" s="7">
        <f t="shared" si="44"/>
        <v>1.6380000000000001</v>
      </c>
      <c r="X96" s="7">
        <f t="shared" si="45"/>
        <v>10.101000000000001</v>
      </c>
      <c r="Y96" s="8">
        <f t="shared" si="46"/>
        <v>9</v>
      </c>
      <c r="Z96" s="7">
        <f>IF(ISBLANK(Z9),NA(),SUM($Z$4:Z9))</f>
        <v>21.4</v>
      </c>
      <c r="AA96" s="7">
        <f t="shared" si="70"/>
        <v>12.8</v>
      </c>
      <c r="AB96" s="26">
        <f>IF(ISBLANK(Z9),"",SUM($Z$4:Z9))</f>
        <v>21.4</v>
      </c>
      <c r="AC96" s="115">
        <f t="shared" si="71"/>
        <v>1.6718749999999998</v>
      </c>
      <c r="AD96" s="8">
        <f t="shared" si="47"/>
        <v>1005.75</v>
      </c>
      <c r="AE96" s="610">
        <f t="shared" si="48"/>
        <v>0.67964914833319767</v>
      </c>
      <c r="AF96" s="524">
        <f t="shared" si="49"/>
        <v>2.2916666666666669E-2</v>
      </c>
      <c r="AG96" s="22">
        <f>IF(ISBLANK(AP9),NA(),SUM($AP$4:AP9))</f>
        <v>9.9</v>
      </c>
      <c r="AH96" s="7">
        <f>SUM($AS$91:AS96)</f>
        <v>14.566339153487073</v>
      </c>
      <c r="AI96" s="115">
        <f t="shared" si="50"/>
        <v>0.67964914833319767</v>
      </c>
      <c r="AJ96" s="124">
        <f t="shared" si="51"/>
        <v>0</v>
      </c>
      <c r="AK96" s="8">
        <f t="shared" si="52"/>
        <v>1021.5</v>
      </c>
      <c r="AL96" s="124">
        <f t="shared" si="53"/>
        <v>0</v>
      </c>
      <c r="AM96" s="524">
        <f t="shared" si="54"/>
        <v>0.66736111111111107</v>
      </c>
      <c r="AN96" s="124">
        <f>COUNTIF(AU50:AU60, "&lt;-0.5")</f>
        <v>1</v>
      </c>
      <c r="AO96" s="524">
        <f t="shared" si="55"/>
        <v>0.5805555555555556</v>
      </c>
      <c r="AP96" s="449" t="s">
        <v>106</v>
      </c>
      <c r="AQ96" s="448">
        <v>0.1</v>
      </c>
      <c r="AR96" s="524">
        <f t="shared" si="56"/>
        <v>0.28819444444444448</v>
      </c>
      <c r="AS96" s="7">
        <f t="shared" si="57"/>
        <v>2.3899193617698109</v>
      </c>
      <c r="AT96" s="7">
        <v>8.3291742473789316</v>
      </c>
      <c r="AU96" s="4">
        <v>6</v>
      </c>
      <c r="AV96" s="127">
        <f t="shared" si="58"/>
        <v>0</v>
      </c>
      <c r="AW96" s="124">
        <f t="shared" si="72"/>
        <v>0</v>
      </c>
      <c r="AX96" s="124">
        <f t="shared" si="73"/>
        <v>0</v>
      </c>
      <c r="AY96" s="124">
        <f t="shared" si="59"/>
        <v>1</v>
      </c>
      <c r="AZ96" s="125">
        <f t="shared" si="60"/>
        <v>4.593</v>
      </c>
      <c r="BA96" s="125">
        <f t="shared" si="61"/>
        <v>5.8666666666666663</v>
      </c>
      <c r="BB96" s="125">
        <f t="shared" si="62"/>
        <v>9.3333333333333321</v>
      </c>
      <c r="BC96" s="7">
        <v>7.0466666666666686</v>
      </c>
      <c r="BD96" s="7">
        <v>10.369333333333335</v>
      </c>
      <c r="BE96" s="124"/>
      <c r="BF96" s="8">
        <f t="shared" si="63"/>
        <v>82</v>
      </c>
      <c r="BG96" s="21">
        <f t="shared" si="64"/>
        <v>10.1</v>
      </c>
      <c r="BH96" s="124">
        <f t="shared" si="65"/>
        <v>0</v>
      </c>
      <c r="BI96" s="124">
        <f t="shared" si="74"/>
        <v>0</v>
      </c>
      <c r="BJ96" s="144">
        <f t="shared" si="66"/>
        <v>0</v>
      </c>
      <c r="BL96" s="99">
        <v>6</v>
      </c>
    </row>
    <row r="97" spans="1:64" ht="12.75" x14ac:dyDescent="0.2">
      <c r="A97" s="8">
        <f t="shared" si="30"/>
        <v>13</v>
      </c>
      <c r="B97" s="125">
        <f t="shared" si="31"/>
        <v>5</v>
      </c>
      <c r="C97" s="125">
        <f t="shared" si="32"/>
        <v>10.199999999999999</v>
      </c>
      <c r="D97" s="125">
        <f t="shared" si="67"/>
        <v>7.6</v>
      </c>
      <c r="E97" s="125">
        <f t="shared" si="33"/>
        <v>5.1999999999999993</v>
      </c>
      <c r="F97" s="7">
        <v>6.08</v>
      </c>
      <c r="G97" s="7">
        <v>11</v>
      </c>
      <c r="H97" s="7">
        <f t="shared" si="68"/>
        <v>8.5399999999999991</v>
      </c>
      <c r="I97" s="7">
        <f t="shared" si="69"/>
        <v>4.92</v>
      </c>
      <c r="K97" s="7">
        <f t="shared" si="34"/>
        <v>2.9</v>
      </c>
      <c r="L97" s="7">
        <f t="shared" si="35"/>
        <v>11.05</v>
      </c>
      <c r="M97" s="370">
        <f t="shared" si="36"/>
        <v>4.7285714285714286</v>
      </c>
      <c r="N97" s="1">
        <f t="shared" si="37"/>
        <v>0</v>
      </c>
      <c r="O97" s="7">
        <f t="shared" si="38"/>
        <v>87.285714285714292</v>
      </c>
      <c r="P97" s="7">
        <f t="shared" si="39"/>
        <v>10.057142857142855</v>
      </c>
      <c r="Q97" s="7">
        <f t="shared" si="40"/>
        <v>14.299999999999999</v>
      </c>
      <c r="R97" s="7">
        <f t="shared" si="41"/>
        <v>12.442857142857141</v>
      </c>
      <c r="S97" s="7">
        <f t="shared" si="42"/>
        <v>4.242857142857142</v>
      </c>
      <c r="T97" s="1">
        <v>38</v>
      </c>
      <c r="U97" s="333">
        <f t="shared" si="43"/>
        <v>2.1333333333333333</v>
      </c>
      <c r="V97" s="4">
        <v>7</v>
      </c>
      <c r="W97" s="7">
        <f t="shared" si="44"/>
        <v>1.911</v>
      </c>
      <c r="X97" s="7">
        <f t="shared" si="45"/>
        <v>10.374000000000001</v>
      </c>
      <c r="Y97" s="8">
        <f t="shared" si="46"/>
        <v>9</v>
      </c>
      <c r="Z97" s="7">
        <f>IF(ISBLANK(Z10),NA(),SUM($Z$4:Z10))</f>
        <v>21.4</v>
      </c>
      <c r="AA97" s="7">
        <f t="shared" si="70"/>
        <v>14.933333333333334</v>
      </c>
      <c r="AB97" s="26">
        <f>IF(ISBLANK(Z10),"",SUM($Z$4:Z10))</f>
        <v>21.4</v>
      </c>
      <c r="AC97" s="115">
        <f t="shared" si="71"/>
        <v>1.4330357142857142</v>
      </c>
      <c r="AD97" s="8">
        <f t="shared" si="47"/>
        <v>1007.8571428571429</v>
      </c>
      <c r="AE97" s="610">
        <f t="shared" si="48"/>
        <v>0.58436316898136276</v>
      </c>
      <c r="AF97" s="524" t="e">
        <f t="shared" si="49"/>
        <v>#N/A</v>
      </c>
      <c r="AG97" s="22">
        <f>IF(ISBLANK(AP10),NA(),SUM($AP$4:AP10))</f>
        <v>9.9</v>
      </c>
      <c r="AH97" s="7">
        <f>SUM($AS$91:AS97)</f>
        <v>16.941519461702665</v>
      </c>
      <c r="AI97" s="115">
        <f t="shared" si="50"/>
        <v>0.58436316898136276</v>
      </c>
      <c r="AJ97" s="124">
        <f t="shared" si="51"/>
        <v>0</v>
      </c>
      <c r="AK97" s="8">
        <f t="shared" si="52"/>
        <v>1020.5</v>
      </c>
      <c r="AL97" s="124">
        <f t="shared" si="53"/>
        <v>0</v>
      </c>
      <c r="AM97" s="524" t="e">
        <f t="shared" si="54"/>
        <v>#N/A</v>
      </c>
      <c r="AN97" s="150">
        <f>COUNTIF(E48:E66,"&gt;0.5")</f>
        <v>4</v>
      </c>
      <c r="AO97" s="524">
        <f t="shared" si="55"/>
        <v>0.57777777777777783</v>
      </c>
      <c r="AP97" s="449" t="s">
        <v>208</v>
      </c>
      <c r="AQ97" s="448">
        <v>0.08</v>
      </c>
      <c r="AR97" s="524">
        <f t="shared" si="56"/>
        <v>8.4027777777777771E-2</v>
      </c>
      <c r="AS97" s="7">
        <f t="shared" si="57"/>
        <v>2.3751803082155907</v>
      </c>
      <c r="AT97" s="7">
        <v>8.2778067630786918</v>
      </c>
      <c r="AU97" s="4">
        <v>7</v>
      </c>
      <c r="AV97" s="127">
        <f t="shared" si="58"/>
        <v>0</v>
      </c>
      <c r="AW97" s="124">
        <f t="shared" si="72"/>
        <v>0</v>
      </c>
      <c r="AX97" s="124">
        <f t="shared" si="73"/>
        <v>1</v>
      </c>
      <c r="AY97" s="124">
        <f t="shared" si="59"/>
        <v>1</v>
      </c>
      <c r="AZ97" s="125">
        <f t="shared" si="60"/>
        <v>4.593</v>
      </c>
      <c r="BA97" s="125">
        <f t="shared" si="61"/>
        <v>5.8666666666666663</v>
      </c>
      <c r="BB97" s="125">
        <f t="shared" si="62"/>
        <v>9.3333333333333321</v>
      </c>
      <c r="BC97" s="7">
        <v>6.9</v>
      </c>
      <c r="BD97" s="7">
        <v>10.18</v>
      </c>
      <c r="BE97" s="124"/>
      <c r="BF97" s="8">
        <f t="shared" si="63"/>
        <v>91</v>
      </c>
      <c r="BG97" s="21">
        <f t="shared" si="64"/>
        <v>10.9</v>
      </c>
      <c r="BH97" s="124">
        <f t="shared" si="65"/>
        <v>0</v>
      </c>
      <c r="BI97" s="124">
        <f t="shared" si="74"/>
        <v>0</v>
      </c>
      <c r="BJ97" s="144">
        <f t="shared" si="66"/>
        <v>0</v>
      </c>
      <c r="BL97" s="99">
        <v>7</v>
      </c>
    </row>
    <row r="98" spans="1:64" ht="12.75" x14ac:dyDescent="0.2">
      <c r="A98" s="8">
        <f t="shared" si="30"/>
        <v>6</v>
      </c>
      <c r="B98" s="125">
        <f t="shared" si="31"/>
        <v>5</v>
      </c>
      <c r="C98" s="125">
        <f t="shared" si="32"/>
        <v>10.199999999999999</v>
      </c>
      <c r="D98" s="125">
        <f t="shared" si="67"/>
        <v>7.6</v>
      </c>
      <c r="E98" s="125">
        <f t="shared" si="33"/>
        <v>5.1999999999999993</v>
      </c>
      <c r="F98" s="7">
        <v>5.9440000000000026</v>
      </c>
      <c r="G98" s="7">
        <v>10.8</v>
      </c>
      <c r="H98" s="7">
        <f t="shared" si="68"/>
        <v>8.3720000000000017</v>
      </c>
      <c r="I98" s="7">
        <f t="shared" si="69"/>
        <v>4.8559999999999981</v>
      </c>
      <c r="K98" s="7">
        <f t="shared" si="34"/>
        <v>1.7</v>
      </c>
      <c r="L98" s="7">
        <f t="shared" si="35"/>
        <v>9.9499999999999993</v>
      </c>
      <c r="M98" s="370">
        <f t="shared" si="36"/>
        <v>4.5</v>
      </c>
      <c r="N98" s="1">
        <f t="shared" si="37"/>
        <v>0.3666666666666667</v>
      </c>
      <c r="O98" s="7">
        <f t="shared" si="38"/>
        <v>88.25</v>
      </c>
      <c r="P98" s="7">
        <f t="shared" si="39"/>
        <v>9.9374999999999982</v>
      </c>
      <c r="Q98" s="7">
        <f t="shared" si="40"/>
        <v>13.862499999999999</v>
      </c>
      <c r="R98" s="7">
        <f t="shared" si="41"/>
        <v>12.149999999999999</v>
      </c>
      <c r="S98" s="7">
        <f t="shared" si="42"/>
        <v>3.9249999999999994</v>
      </c>
      <c r="T98" s="1">
        <v>39</v>
      </c>
      <c r="U98" s="333">
        <f t="shared" si="43"/>
        <v>2.1333333333333333</v>
      </c>
      <c r="V98" s="4">
        <v>8</v>
      </c>
      <c r="W98" s="7">
        <f t="shared" si="44"/>
        <v>2.1840000000000002</v>
      </c>
      <c r="X98" s="7">
        <f t="shared" si="45"/>
        <v>10.647</v>
      </c>
      <c r="Y98" s="8">
        <f t="shared" si="46"/>
        <v>3</v>
      </c>
      <c r="Z98" s="7">
        <f>IF(ISBLANK(Z11),NA(),SUM($Z$4:Z11))</f>
        <v>22.5</v>
      </c>
      <c r="AA98" s="7">
        <f t="shared" si="70"/>
        <v>17.066666666666666</v>
      </c>
      <c r="AB98" s="26">
        <f>IF(ISBLANK(Z11),"",SUM($Z$4:Z11))</f>
        <v>22.5</v>
      </c>
      <c r="AC98" s="115">
        <f t="shared" si="71"/>
        <v>1.318359375</v>
      </c>
      <c r="AD98" s="8">
        <f t="shared" si="47"/>
        <v>1008.6875</v>
      </c>
      <c r="AE98" s="610">
        <f t="shared" si="48"/>
        <v>0.51289656265429284</v>
      </c>
      <c r="AF98" s="524">
        <f t="shared" si="49"/>
        <v>0.2722222222222222</v>
      </c>
      <c r="AG98" s="22">
        <f>IF(ISBLANK(AP11),NA(),SUM($AP$4:AP11))</f>
        <v>9.9</v>
      </c>
      <c r="AH98" s="7">
        <f>SUM($AS$91:AS98)</f>
        <v>19.302137547513432</v>
      </c>
      <c r="AI98" s="115">
        <f t="shared" si="50"/>
        <v>0.51289656265429284</v>
      </c>
      <c r="AJ98" s="124">
        <f t="shared" si="51"/>
        <v>1</v>
      </c>
      <c r="AK98" s="8">
        <f t="shared" si="52"/>
        <v>1014.5</v>
      </c>
      <c r="AL98" s="124">
        <f t="shared" si="53"/>
        <v>1</v>
      </c>
      <c r="AM98" s="524">
        <f t="shared" si="54"/>
        <v>0.61111111111111105</v>
      </c>
      <c r="AN98" s="150">
        <f>COUNTIF(E72:E80, "&gt;0.5")</f>
        <v>0</v>
      </c>
      <c r="AO98" s="524">
        <f t="shared" si="55"/>
        <v>0.57291666666666663</v>
      </c>
      <c r="AP98" s="449" t="s">
        <v>112</v>
      </c>
      <c r="AQ98" s="448">
        <v>0.06</v>
      </c>
      <c r="AR98" s="524">
        <f t="shared" si="56"/>
        <v>0.35555555555555557</v>
      </c>
      <c r="AS98" s="7">
        <f t="shared" si="57"/>
        <v>2.3606180858107653</v>
      </c>
      <c r="AT98" s="7">
        <v>8.2270555579212683</v>
      </c>
      <c r="AU98" s="4">
        <v>8</v>
      </c>
      <c r="AV98" s="127">
        <f t="shared" si="58"/>
        <v>0</v>
      </c>
      <c r="AW98" s="124">
        <f t="shared" si="72"/>
        <v>0</v>
      </c>
      <c r="AX98" s="124">
        <f t="shared" si="73"/>
        <v>0</v>
      </c>
      <c r="AY98" s="124">
        <f t="shared" si="59"/>
        <v>0</v>
      </c>
      <c r="AZ98" s="125">
        <f t="shared" si="60"/>
        <v>4.593</v>
      </c>
      <c r="BA98" s="125">
        <f t="shared" si="61"/>
        <v>5.8666666666666663</v>
      </c>
      <c r="BB98" s="125">
        <f t="shared" si="62"/>
        <v>9.3333333333333321</v>
      </c>
      <c r="BC98" s="7">
        <v>6.7533333333333365</v>
      </c>
      <c r="BD98" s="7">
        <v>9.9906666666666712</v>
      </c>
      <c r="BE98" s="124"/>
      <c r="BF98" s="8">
        <f t="shared" si="63"/>
        <v>95</v>
      </c>
      <c r="BG98" s="21">
        <f t="shared" si="64"/>
        <v>10.1</v>
      </c>
      <c r="BH98" s="124">
        <f t="shared" si="65"/>
        <v>0</v>
      </c>
      <c r="BI98" s="124">
        <f t="shared" si="74"/>
        <v>1</v>
      </c>
      <c r="BJ98" s="144">
        <f t="shared" si="66"/>
        <v>0.3666666666666667</v>
      </c>
      <c r="BL98" s="99">
        <v>8</v>
      </c>
    </row>
    <row r="99" spans="1:64" ht="12.75" x14ac:dyDescent="0.2">
      <c r="A99" s="8">
        <f t="shared" si="30"/>
        <v>23</v>
      </c>
      <c r="B99" s="125">
        <f t="shared" si="31"/>
        <v>5</v>
      </c>
      <c r="C99" s="125">
        <f t="shared" si="32"/>
        <v>10.199999999999999</v>
      </c>
      <c r="D99" s="125">
        <f t="shared" si="67"/>
        <v>7.6</v>
      </c>
      <c r="E99" s="125">
        <f t="shared" si="33"/>
        <v>5.1999999999999993</v>
      </c>
      <c r="F99" s="7">
        <v>5.8080000000000025</v>
      </c>
      <c r="G99" s="7">
        <v>10.6</v>
      </c>
      <c r="H99" s="7">
        <f t="shared" si="68"/>
        <v>8.2040000000000006</v>
      </c>
      <c r="I99" s="7">
        <f t="shared" si="69"/>
        <v>4.7919999999999972</v>
      </c>
      <c r="K99" s="7">
        <f t="shared" si="34"/>
        <v>4.7</v>
      </c>
      <c r="L99" s="7">
        <f t="shared" si="35"/>
        <v>12.25</v>
      </c>
      <c r="M99" s="370">
        <f t="shared" si="36"/>
        <v>4.333333333333333</v>
      </c>
      <c r="N99" s="1">
        <f t="shared" si="37"/>
        <v>0.3666666666666667</v>
      </c>
      <c r="O99" s="7">
        <f t="shared" si="38"/>
        <v>88.333333333333329</v>
      </c>
      <c r="P99" s="7">
        <f t="shared" si="39"/>
        <v>9.9333333333333318</v>
      </c>
      <c r="Q99" s="7">
        <f t="shared" si="40"/>
        <v>13.944444444444443</v>
      </c>
      <c r="R99" s="7">
        <f t="shared" si="41"/>
        <v>12.122222222222222</v>
      </c>
      <c r="S99" s="7">
        <f t="shared" si="42"/>
        <v>4.0111111111111102</v>
      </c>
      <c r="T99" s="1">
        <v>40</v>
      </c>
      <c r="U99" s="333">
        <f t="shared" si="43"/>
        <v>2.1333333333333333</v>
      </c>
      <c r="V99" s="4">
        <v>9</v>
      </c>
      <c r="W99" s="7">
        <f t="shared" si="44"/>
        <v>2.4570000000000003</v>
      </c>
      <c r="X99" s="7">
        <f t="shared" si="45"/>
        <v>10.920000000000002</v>
      </c>
      <c r="Y99" s="8">
        <f t="shared" si="46"/>
        <v>4</v>
      </c>
      <c r="Z99" s="7">
        <f>IF(ISBLANK(Z12),NA(),SUM($Z$4:Z12))</f>
        <v>23.6</v>
      </c>
      <c r="AA99" s="7">
        <f t="shared" si="70"/>
        <v>19.2</v>
      </c>
      <c r="AB99" s="26">
        <f>IF(ISBLANK(Z12),"",SUM($Z$4:Z12))</f>
        <v>23.6</v>
      </c>
      <c r="AC99" s="115">
        <f t="shared" si="71"/>
        <v>1.2291666666666667</v>
      </c>
      <c r="AD99" s="8">
        <f t="shared" si="47"/>
        <v>1009.5</v>
      </c>
      <c r="AE99" s="610">
        <f t="shared" si="48"/>
        <v>0.52659836938924287</v>
      </c>
      <c r="AF99" s="524">
        <f t="shared" si="49"/>
        <v>0.3298611111111111</v>
      </c>
      <c r="AG99" s="22">
        <f>IF(ISBLANK(AP12),NA(),SUM($AP$4:AP12))</f>
        <v>11.4</v>
      </c>
      <c r="AH99" s="7">
        <f>SUM($AS$91:AS99)</f>
        <v>21.648376946593856</v>
      </c>
      <c r="AI99" s="115">
        <f t="shared" si="50"/>
        <v>0.52659836938924287</v>
      </c>
      <c r="AJ99" s="124">
        <f t="shared" si="51"/>
        <v>1</v>
      </c>
      <c r="AK99" s="8">
        <f t="shared" si="52"/>
        <v>1016</v>
      </c>
      <c r="AL99" s="124">
        <f t="shared" si="53"/>
        <v>1</v>
      </c>
      <c r="AM99" s="524">
        <f t="shared" si="54"/>
        <v>0.65069444444444446</v>
      </c>
      <c r="AN99" s="7">
        <f>I39/3</f>
        <v>1.7333333333333332</v>
      </c>
      <c r="AO99" s="524">
        <f t="shared" si="55"/>
        <v>0.55763888888888891</v>
      </c>
      <c r="AP99" s="449" t="s">
        <v>209</v>
      </c>
      <c r="AQ99" s="448">
        <v>0.06</v>
      </c>
      <c r="AR99" s="524">
        <f t="shared" si="56"/>
        <v>3.125E-2</v>
      </c>
      <c r="AS99" s="7">
        <f t="shared" si="57"/>
        <v>2.3462393990804244</v>
      </c>
      <c r="AT99" s="7">
        <v>8.176943998032991</v>
      </c>
      <c r="AU99" s="4">
        <v>9</v>
      </c>
      <c r="AV99" s="127">
        <f t="shared" si="58"/>
        <v>0</v>
      </c>
      <c r="AW99" s="124">
        <f t="shared" si="72"/>
        <v>0</v>
      </c>
      <c r="AX99" s="124">
        <f t="shared" si="73"/>
        <v>1</v>
      </c>
      <c r="AY99" s="124">
        <f t="shared" si="59"/>
        <v>1</v>
      </c>
      <c r="AZ99" s="125">
        <f t="shared" si="60"/>
        <v>4.593</v>
      </c>
      <c r="BA99" s="125">
        <f t="shared" si="61"/>
        <v>5.8666666666666663</v>
      </c>
      <c r="BB99" s="125">
        <f t="shared" si="62"/>
        <v>9.3333333333333321</v>
      </c>
      <c r="BC99" s="7">
        <v>6.60666666666667</v>
      </c>
      <c r="BD99" s="7">
        <v>9.8013333333333392</v>
      </c>
      <c r="BE99" s="124"/>
      <c r="BF99" s="8">
        <f t="shared" si="63"/>
        <v>89</v>
      </c>
      <c r="BG99" s="21">
        <f t="shared" si="64"/>
        <v>11.9</v>
      </c>
      <c r="BH99" s="124">
        <f t="shared" si="65"/>
        <v>0</v>
      </c>
      <c r="BI99" s="124">
        <f t="shared" si="74"/>
        <v>1</v>
      </c>
      <c r="BJ99" s="144">
        <f t="shared" si="66"/>
        <v>0.3666666666666667</v>
      </c>
      <c r="BL99" s="99">
        <v>9</v>
      </c>
    </row>
    <row r="100" spans="1:64" ht="12.75" x14ac:dyDescent="0.2">
      <c r="A100" s="8">
        <f t="shared" si="30"/>
        <v>9</v>
      </c>
      <c r="B100" s="125">
        <f t="shared" si="31"/>
        <v>5</v>
      </c>
      <c r="C100" s="125">
        <f t="shared" si="32"/>
        <v>10.199999999999999</v>
      </c>
      <c r="D100" s="125">
        <f t="shared" si="67"/>
        <v>7.6</v>
      </c>
      <c r="E100" s="125">
        <f t="shared" si="33"/>
        <v>5.1999999999999993</v>
      </c>
      <c r="F100" s="7">
        <v>5.6720000000000024</v>
      </c>
      <c r="G100" s="7">
        <v>10.4</v>
      </c>
      <c r="H100" s="7">
        <f t="shared" si="68"/>
        <v>8.0360000000000014</v>
      </c>
      <c r="I100" s="7">
        <f t="shared" si="69"/>
        <v>4.727999999999998</v>
      </c>
      <c r="K100" s="7">
        <f t="shared" si="34"/>
        <v>4.4000000000000004</v>
      </c>
      <c r="L100" s="7">
        <f t="shared" si="35"/>
        <v>11.2</v>
      </c>
      <c r="M100" s="370">
        <f t="shared" si="36"/>
        <v>4.2200000000000006</v>
      </c>
      <c r="N100" s="1">
        <f t="shared" si="37"/>
        <v>0</v>
      </c>
      <c r="O100" s="7">
        <f t="shared" si="38"/>
        <v>88.9</v>
      </c>
      <c r="P100" s="7">
        <f t="shared" si="39"/>
        <v>9.84</v>
      </c>
      <c r="Q100" s="7">
        <f t="shared" si="40"/>
        <v>13.889999999999997</v>
      </c>
      <c r="R100" s="7">
        <f t="shared" si="41"/>
        <v>12.03</v>
      </c>
      <c r="S100" s="7">
        <f t="shared" si="42"/>
        <v>4.0499999999999989</v>
      </c>
      <c r="T100" s="1">
        <v>41</v>
      </c>
      <c r="U100" s="333">
        <f t="shared" si="43"/>
        <v>2.1333333333333333</v>
      </c>
      <c r="V100" s="4">
        <v>10</v>
      </c>
      <c r="W100" s="7">
        <f t="shared" si="44"/>
        <v>2.7300000000000004</v>
      </c>
      <c r="X100" s="7">
        <f t="shared" si="45"/>
        <v>11.193000000000001</v>
      </c>
      <c r="Y100" s="8">
        <f t="shared" si="46"/>
        <v>2</v>
      </c>
      <c r="Z100" s="7">
        <f>IF(ISBLANK(Z13),NA(),SUM($Z$4:Z13))</f>
        <v>23.6</v>
      </c>
      <c r="AA100" s="7">
        <f t="shared" si="70"/>
        <v>21.333333333333332</v>
      </c>
      <c r="AB100" s="26">
        <f>IF(ISBLANK(Z13),"",SUM($Z$4:Z13))</f>
        <v>23.6</v>
      </c>
      <c r="AC100" s="115">
        <f t="shared" si="71"/>
        <v>1.1062500000000002</v>
      </c>
      <c r="AD100" s="8">
        <f t="shared" si="47"/>
        <v>1010.35</v>
      </c>
      <c r="AE100" s="610">
        <f t="shared" si="48"/>
        <v>0.5587890250618549</v>
      </c>
      <c r="AF100" s="524">
        <f t="shared" si="49"/>
        <v>0.3354166666666667</v>
      </c>
      <c r="AG100" s="22">
        <f>IF(ISBLANK(AP13),NA(),SUM($AP$4:AP13))</f>
        <v>13.4</v>
      </c>
      <c r="AH100" s="7">
        <f>SUM($AS$91:AS100)</f>
        <v>23.980428030984847</v>
      </c>
      <c r="AI100" s="115">
        <f t="shared" si="50"/>
        <v>0.5587890250618549</v>
      </c>
      <c r="AJ100" s="124">
        <f t="shared" si="51"/>
        <v>0</v>
      </c>
      <c r="AK100" s="8">
        <f t="shared" si="52"/>
        <v>1018</v>
      </c>
      <c r="AL100" s="124">
        <f t="shared" si="53"/>
        <v>0</v>
      </c>
      <c r="AM100" s="524">
        <f t="shared" si="54"/>
        <v>0.64583333333333337</v>
      </c>
      <c r="AN100" s="150">
        <f>COUNTIF(E48:E66,"&lt;-0.5")</f>
        <v>4</v>
      </c>
      <c r="AO100" s="524">
        <f t="shared" si="55"/>
        <v>0.57361111111111118</v>
      </c>
      <c r="AP100" s="449" t="s">
        <v>111</v>
      </c>
      <c r="AQ100" s="448">
        <v>0.11</v>
      </c>
      <c r="AR100" s="524">
        <f t="shared" si="56"/>
        <v>0.14791666666666667</v>
      </c>
      <c r="AS100" s="7">
        <f t="shared" si="57"/>
        <v>2.3320510843909887</v>
      </c>
      <c r="AT100" s="7">
        <v>8.127495909024061</v>
      </c>
      <c r="AU100" s="4">
        <v>10</v>
      </c>
      <c r="AV100" s="127">
        <f t="shared" si="58"/>
        <v>0</v>
      </c>
      <c r="AW100" s="124">
        <f t="shared" si="72"/>
        <v>0</v>
      </c>
      <c r="AX100" s="124">
        <f t="shared" si="73"/>
        <v>1</v>
      </c>
      <c r="AY100" s="124">
        <f t="shared" si="59"/>
        <v>1</v>
      </c>
      <c r="AZ100" s="125">
        <f t="shared" si="60"/>
        <v>4.593</v>
      </c>
      <c r="BA100" s="125">
        <f t="shared" si="61"/>
        <v>5.8666666666666663</v>
      </c>
      <c r="BB100" s="125">
        <f t="shared" si="62"/>
        <v>9.3333333333333321</v>
      </c>
      <c r="BC100" s="7">
        <v>6.46</v>
      </c>
      <c r="BD100" s="7">
        <v>9.6120000000000054</v>
      </c>
      <c r="BE100" s="124"/>
      <c r="BF100" s="8">
        <f t="shared" si="63"/>
        <v>94</v>
      </c>
      <c r="BG100" s="21">
        <f t="shared" si="64"/>
        <v>11.2</v>
      </c>
      <c r="BH100" s="124">
        <f t="shared" si="65"/>
        <v>0</v>
      </c>
      <c r="BI100" s="124">
        <f t="shared" si="74"/>
        <v>0</v>
      </c>
      <c r="BJ100" s="144">
        <f t="shared" si="66"/>
        <v>0</v>
      </c>
      <c r="BL100" s="99">
        <v>10</v>
      </c>
    </row>
    <row r="101" spans="1:64" ht="12.75" x14ac:dyDescent="0.2">
      <c r="A101" s="8">
        <f t="shared" si="30"/>
        <v>5</v>
      </c>
      <c r="B101" s="125">
        <f t="shared" si="31"/>
        <v>5</v>
      </c>
      <c r="C101" s="125">
        <f t="shared" si="32"/>
        <v>10.199999999999999</v>
      </c>
      <c r="D101" s="125">
        <f t="shared" si="67"/>
        <v>7.6</v>
      </c>
      <c r="E101" s="125">
        <f t="shared" si="33"/>
        <v>5.1999999999999993</v>
      </c>
      <c r="F101" s="7">
        <v>5.5360000000000023</v>
      </c>
      <c r="G101" s="7">
        <v>10.199999999999999</v>
      </c>
      <c r="H101" s="7">
        <f t="shared" si="68"/>
        <v>7.8680000000000003</v>
      </c>
      <c r="I101" s="7">
        <f t="shared" si="69"/>
        <v>4.663999999999997</v>
      </c>
      <c r="K101" s="7">
        <f t="shared" si="34"/>
        <v>3.5</v>
      </c>
      <c r="L101" s="7">
        <f t="shared" si="35"/>
        <v>10.45</v>
      </c>
      <c r="M101" s="370">
        <f t="shared" si="36"/>
        <v>4.2636363636363646</v>
      </c>
      <c r="N101" s="1">
        <f t="shared" si="37"/>
        <v>0</v>
      </c>
      <c r="O101" s="7">
        <f t="shared" si="38"/>
        <v>89.63636363636364</v>
      </c>
      <c r="P101" s="7">
        <f t="shared" si="39"/>
        <v>9.7363636363636363</v>
      </c>
      <c r="Q101" s="7">
        <f t="shared" si="40"/>
        <v>13.736363636363633</v>
      </c>
      <c r="R101" s="7">
        <f t="shared" si="41"/>
        <v>11.836363636363636</v>
      </c>
      <c r="S101" s="7">
        <f t="shared" si="42"/>
        <v>3.9999999999999996</v>
      </c>
      <c r="T101" s="1">
        <v>42</v>
      </c>
      <c r="U101" s="333">
        <f t="shared" si="43"/>
        <v>2.1333333333333333</v>
      </c>
      <c r="V101" s="4">
        <v>11</v>
      </c>
      <c r="W101" s="7">
        <f t="shared" si="44"/>
        <v>3.0030000000000001</v>
      </c>
      <c r="X101" s="7">
        <f t="shared" si="45"/>
        <v>11.466000000000001</v>
      </c>
      <c r="Y101" s="8">
        <f t="shared" si="46"/>
        <v>2</v>
      </c>
      <c r="Z101" s="7">
        <f>IF(ISBLANK(Z14),NA(),SUM($Z$4:Z14))</f>
        <v>23.6</v>
      </c>
      <c r="AA101" s="7">
        <f t="shared" si="70"/>
        <v>23.466666666666665</v>
      </c>
      <c r="AB101" s="26">
        <f>IF(ISBLANK(Z14),"",SUM($Z$4:Z14))</f>
        <v>23.6</v>
      </c>
      <c r="AC101" s="115">
        <f t="shared" si="71"/>
        <v>1.0056818181818183</v>
      </c>
      <c r="AD101" s="8">
        <f t="shared" si="47"/>
        <v>1010.9545454545455</v>
      </c>
      <c r="AE101" s="610">
        <f t="shared" si="48"/>
        <v>0.50953499420367676</v>
      </c>
      <c r="AF101" s="524" t="e">
        <f t="shared" si="49"/>
        <v>#N/A</v>
      </c>
      <c r="AG101" s="22">
        <f>IF(ISBLANK(AP14),NA(),SUM($AP$4:AP14))</f>
        <v>13.4</v>
      </c>
      <c r="AH101" s="7">
        <f>SUM($AS$91:AS101)</f>
        <v>26.298488136113395</v>
      </c>
      <c r="AI101" s="115">
        <f t="shared" si="50"/>
        <v>0.50953499420367676</v>
      </c>
      <c r="AJ101" s="124">
        <f t="shared" si="51"/>
        <v>0</v>
      </c>
      <c r="AK101" s="8">
        <f t="shared" si="52"/>
        <v>1017</v>
      </c>
      <c r="AL101" s="124">
        <f t="shared" si="53"/>
        <v>0</v>
      </c>
      <c r="AM101" s="524" t="e">
        <f t="shared" si="54"/>
        <v>#N/A</v>
      </c>
      <c r="AN101" s="124">
        <f>COUNTIF(AU50:AU60, "&gt;0.5")</f>
        <v>1</v>
      </c>
      <c r="AO101" s="524">
        <f t="shared" si="55"/>
        <v>0.59375</v>
      </c>
      <c r="AP101" s="449" t="s">
        <v>210</v>
      </c>
      <c r="AQ101" s="450">
        <v>0.12</v>
      </c>
      <c r="AR101" s="524">
        <f t="shared" si="56"/>
        <v>0.34166666666666662</v>
      </c>
      <c r="AS101" s="7">
        <f t="shared" si="57"/>
        <v>2.318060105128549</v>
      </c>
      <c r="AT101" s="7">
        <v>8.0787355591844623</v>
      </c>
      <c r="AU101" s="4">
        <v>11</v>
      </c>
      <c r="AV101" s="127">
        <f t="shared" si="58"/>
        <v>0</v>
      </c>
      <c r="AW101" s="124">
        <f t="shared" si="72"/>
        <v>0</v>
      </c>
      <c r="AX101" s="124">
        <f t="shared" si="73"/>
        <v>1</v>
      </c>
      <c r="AY101" s="124">
        <f t="shared" si="59"/>
        <v>1</v>
      </c>
      <c r="AZ101" s="125">
        <f t="shared" si="60"/>
        <v>4.593</v>
      </c>
      <c r="BA101" s="125">
        <f t="shared" si="61"/>
        <v>5.8666666666666663</v>
      </c>
      <c r="BB101" s="125">
        <f t="shared" si="62"/>
        <v>9.3333333333333321</v>
      </c>
      <c r="BC101" s="7">
        <v>6.3133333333333361</v>
      </c>
      <c r="BD101" s="7">
        <v>9.4226666666666716</v>
      </c>
      <c r="BE101" s="124"/>
      <c r="BF101" s="8">
        <f t="shared" si="63"/>
        <v>97</v>
      </c>
      <c r="BG101" s="21">
        <f t="shared" si="64"/>
        <v>9.9</v>
      </c>
      <c r="BH101" s="124">
        <f t="shared" si="65"/>
        <v>0</v>
      </c>
      <c r="BI101" s="124">
        <f t="shared" si="74"/>
        <v>0</v>
      </c>
      <c r="BJ101" s="144">
        <f t="shared" si="66"/>
        <v>0</v>
      </c>
      <c r="BL101" s="99">
        <v>11</v>
      </c>
    </row>
    <row r="102" spans="1:64" ht="12.75" x14ac:dyDescent="0.2">
      <c r="A102" s="8">
        <f t="shared" si="30"/>
        <v>9</v>
      </c>
      <c r="B102" s="125">
        <f t="shared" si="31"/>
        <v>5</v>
      </c>
      <c r="C102" s="125">
        <f t="shared" si="32"/>
        <v>10.199999999999999</v>
      </c>
      <c r="D102" s="125">
        <f t="shared" si="67"/>
        <v>7.6</v>
      </c>
      <c r="E102" s="125">
        <f t="shared" si="33"/>
        <v>5.1999999999999993</v>
      </c>
      <c r="F102" s="7">
        <v>5.4</v>
      </c>
      <c r="G102" s="7">
        <v>10</v>
      </c>
      <c r="H102" s="7">
        <f t="shared" si="68"/>
        <v>7.7</v>
      </c>
      <c r="I102" s="7">
        <f t="shared" si="69"/>
        <v>4.5999999999999996</v>
      </c>
      <c r="K102" s="7">
        <f t="shared" si="34"/>
        <v>4.4000000000000004</v>
      </c>
      <c r="L102" s="7">
        <f t="shared" si="35"/>
        <v>13.3</v>
      </c>
      <c r="M102" s="370">
        <f t="shared" si="36"/>
        <v>4.2</v>
      </c>
      <c r="N102" s="1">
        <f t="shared" si="37"/>
        <v>0</v>
      </c>
      <c r="O102" s="7">
        <f t="shared" si="38"/>
        <v>90</v>
      </c>
      <c r="P102" s="7">
        <f t="shared" si="39"/>
        <v>9.85</v>
      </c>
      <c r="Q102" s="7">
        <f t="shared" si="40"/>
        <v>13.883333333333331</v>
      </c>
      <c r="R102" s="7">
        <f t="shared" si="41"/>
        <v>11.966666666666667</v>
      </c>
      <c r="S102" s="7">
        <f t="shared" si="42"/>
        <v>4.0333333333333323</v>
      </c>
      <c r="T102" s="1">
        <v>43</v>
      </c>
      <c r="U102" s="333">
        <f t="shared" si="43"/>
        <v>2.1333333333333333</v>
      </c>
      <c r="V102" s="4">
        <v>12</v>
      </c>
      <c r="W102" s="7">
        <f t="shared" si="44"/>
        <v>3.2760000000000002</v>
      </c>
      <c r="X102" s="7">
        <f t="shared" si="45"/>
        <v>11.739000000000001</v>
      </c>
      <c r="Y102" s="8">
        <f t="shared" si="46"/>
        <v>12</v>
      </c>
      <c r="Z102" s="7">
        <f>IF(ISBLANK(Z15),NA(),SUM($Z$4:Z15))</f>
        <v>23.6</v>
      </c>
      <c r="AA102" s="7">
        <f t="shared" si="70"/>
        <v>25.6</v>
      </c>
      <c r="AB102" s="26">
        <f>IF(ISBLANK(Z15),"",SUM($Z$4:Z15))</f>
        <v>23.6</v>
      </c>
      <c r="AC102" s="115">
        <f t="shared" si="71"/>
        <v>0.921875</v>
      </c>
      <c r="AD102" s="8">
        <f t="shared" si="47"/>
        <v>1012.0416666666666</v>
      </c>
      <c r="AE102" s="610">
        <f t="shared" si="48"/>
        <v>0.50344788940146956</v>
      </c>
      <c r="AF102" s="524" t="e">
        <f t="shared" si="49"/>
        <v>#N/A</v>
      </c>
      <c r="AG102" s="22">
        <f>IF(ISBLANK(AP15),NA(),SUM($AP$4:AP15))</f>
        <v>14.4</v>
      </c>
      <c r="AH102" s="7">
        <f>SUM($AS$91:AS102)</f>
        <v>28.602761682285774</v>
      </c>
      <c r="AI102" s="115">
        <f t="shared" si="50"/>
        <v>0.50344788940146956</v>
      </c>
      <c r="AJ102" s="124">
        <f t="shared" si="51"/>
        <v>0</v>
      </c>
      <c r="AK102" s="8">
        <f t="shared" si="52"/>
        <v>1024</v>
      </c>
      <c r="AL102" s="124">
        <f t="shared" si="53"/>
        <v>0</v>
      </c>
      <c r="AM102" s="524">
        <f t="shared" si="54"/>
        <v>0.60347222222222219</v>
      </c>
      <c r="AN102" s="141">
        <f t="array" ref="AN102">MAX(FREQUENCY(IF(AJ91:AJ121=1,ROW(91:121)),IF(AJ91:AJ121&lt;&gt;1,ROW(91:121))))</f>
        <v>4</v>
      </c>
      <c r="AO102" s="524">
        <f t="shared" si="55"/>
        <v>0.55694444444444446</v>
      </c>
      <c r="AP102" s="451" t="s">
        <v>110</v>
      </c>
      <c r="AQ102" s="450">
        <v>7.0000000000000007E-2</v>
      </c>
      <c r="AR102" s="524" t="e">
        <f t="shared" si="56"/>
        <v>#N/A</v>
      </c>
      <c r="AS102" s="7">
        <f t="shared" si="57"/>
        <v>2.30427354617238</v>
      </c>
      <c r="AT102" s="7">
        <v>8.0306876402234408</v>
      </c>
      <c r="AU102" s="4">
        <v>12</v>
      </c>
      <c r="AV102" s="127">
        <f t="shared" si="58"/>
        <v>0</v>
      </c>
      <c r="AW102" s="124">
        <f t="shared" si="72"/>
        <v>0</v>
      </c>
      <c r="AX102" s="124">
        <f t="shared" si="73"/>
        <v>1</v>
      </c>
      <c r="AY102" s="124">
        <f t="shared" si="59"/>
        <v>1</v>
      </c>
      <c r="AZ102" s="125">
        <f t="shared" si="60"/>
        <v>4.593</v>
      </c>
      <c r="BA102" s="125">
        <f t="shared" si="61"/>
        <v>5.8666666666666663</v>
      </c>
      <c r="BB102" s="125">
        <f t="shared" si="62"/>
        <v>9.3333333333333321</v>
      </c>
      <c r="BC102" s="7">
        <v>6.166666666666667</v>
      </c>
      <c r="BD102" s="7">
        <v>9.2333333333333343</v>
      </c>
      <c r="BE102" s="124"/>
      <c r="BF102" s="8">
        <f t="shared" si="63"/>
        <v>94</v>
      </c>
      <c r="BG102" s="21">
        <f t="shared" si="64"/>
        <v>13.4</v>
      </c>
      <c r="BH102" s="124">
        <f t="shared" si="65"/>
        <v>0</v>
      </c>
      <c r="BI102" s="124">
        <f t="shared" si="74"/>
        <v>0</v>
      </c>
      <c r="BJ102" s="144">
        <f t="shared" si="66"/>
        <v>0</v>
      </c>
      <c r="BL102" s="99">
        <v>12</v>
      </c>
    </row>
    <row r="103" spans="1:64" ht="12.75" x14ac:dyDescent="0.2">
      <c r="A103" s="8">
        <f t="shared" si="30"/>
        <v>19</v>
      </c>
      <c r="B103" s="125">
        <f t="shared" si="31"/>
        <v>5</v>
      </c>
      <c r="C103" s="125">
        <f t="shared" si="32"/>
        <v>10.199999999999999</v>
      </c>
      <c r="D103" s="125">
        <f t="shared" si="67"/>
        <v>7.6</v>
      </c>
      <c r="E103" s="125">
        <f t="shared" si="33"/>
        <v>5.1999999999999993</v>
      </c>
      <c r="F103" s="7">
        <v>5.2750000000000004</v>
      </c>
      <c r="G103" s="7">
        <v>9.9583333333333339</v>
      </c>
      <c r="H103" s="7">
        <f t="shared" si="68"/>
        <v>7.6166666666666671</v>
      </c>
      <c r="I103" s="7">
        <f t="shared" si="69"/>
        <v>4.6833333333333336</v>
      </c>
      <c r="K103" s="7">
        <f t="shared" si="34"/>
        <v>4.8</v>
      </c>
      <c r="L103" s="7">
        <f t="shared" si="35"/>
        <v>12.3</v>
      </c>
      <c r="M103" s="370">
        <f t="shared" si="36"/>
        <v>4.3076923076923084</v>
      </c>
      <c r="N103" s="1">
        <f t="shared" si="37"/>
        <v>0</v>
      </c>
      <c r="O103" s="7">
        <f t="shared" si="38"/>
        <v>90.15384615384616</v>
      </c>
      <c r="P103" s="7">
        <f t="shared" si="39"/>
        <v>9.8538461538461526</v>
      </c>
      <c r="Q103" s="7">
        <f t="shared" si="40"/>
        <v>13.946153846153843</v>
      </c>
      <c r="R103" s="7">
        <f t="shared" si="41"/>
        <v>11.953846153846154</v>
      </c>
      <c r="S103" s="7">
        <f t="shared" si="42"/>
        <v>4.0923076923076911</v>
      </c>
      <c r="T103" s="1">
        <v>44</v>
      </c>
      <c r="U103" s="333">
        <f t="shared" si="43"/>
        <v>2.1333333333333333</v>
      </c>
      <c r="V103" s="4">
        <v>13</v>
      </c>
      <c r="W103" s="7">
        <f t="shared" si="44"/>
        <v>3.5490000000000004</v>
      </c>
      <c r="X103" s="7">
        <f t="shared" si="45"/>
        <v>12.012</v>
      </c>
      <c r="Y103" s="8">
        <f t="shared" si="46"/>
        <v>4.0009999999999764</v>
      </c>
      <c r="Z103" s="7">
        <f>IF(ISBLANK(Z16),NA(),SUM($Z$4:Z16))</f>
        <v>23.6</v>
      </c>
      <c r="AA103" s="7">
        <f t="shared" si="70"/>
        <v>27.733333333333334</v>
      </c>
      <c r="AB103" s="26">
        <f>IF(ISBLANK(Z16),"",SUM($Z$4:Z16))</f>
        <v>23.6</v>
      </c>
      <c r="AC103" s="115">
        <f t="shared" si="71"/>
        <v>0.85096153846153844</v>
      </c>
      <c r="AD103" s="8">
        <f t="shared" si="47"/>
        <v>1013.2692692307693</v>
      </c>
      <c r="AE103" s="610">
        <f t="shared" si="48"/>
        <v>0.6927032387815929</v>
      </c>
      <c r="AF103" s="524">
        <f t="shared" si="49"/>
        <v>0.125</v>
      </c>
      <c r="AG103" s="22">
        <f>IF(ISBLANK(AP16),NA(),SUM($AP$4:AP16))</f>
        <v>21.4</v>
      </c>
      <c r="AH103" s="7">
        <f>SUM($AS$91:AS103)</f>
        <v>30.893460289922722</v>
      </c>
      <c r="AI103" s="115">
        <f t="shared" si="50"/>
        <v>0.6927032387815929</v>
      </c>
      <c r="AJ103" s="124">
        <f t="shared" si="51"/>
        <v>0</v>
      </c>
      <c r="AK103" s="8">
        <f t="shared" si="52"/>
        <v>1028.0005000000001</v>
      </c>
      <c r="AL103" s="124">
        <f t="shared" si="53"/>
        <v>0</v>
      </c>
      <c r="AM103" s="524">
        <f t="shared" si="54"/>
        <v>0.62222222222222223</v>
      </c>
      <c r="AN103" s="7">
        <f>I39/-3</f>
        <v>-1.7333333333333332</v>
      </c>
      <c r="AO103" s="524">
        <f t="shared" si="55"/>
        <v>0.54097222222222219</v>
      </c>
      <c r="AP103" s="451" t="s">
        <v>211</v>
      </c>
      <c r="AQ103" s="450">
        <v>0.06</v>
      </c>
      <c r="AR103" s="524">
        <f t="shared" si="56"/>
        <v>0.33333333333333331</v>
      </c>
      <c r="AS103" s="7">
        <f t="shared" si="57"/>
        <v>2.2906986076369491</v>
      </c>
      <c r="AT103" s="7">
        <v>7.9833772454596055</v>
      </c>
      <c r="AU103" s="4">
        <v>13</v>
      </c>
      <c r="AV103" s="127">
        <f t="shared" si="58"/>
        <v>1</v>
      </c>
      <c r="AW103" s="124">
        <f t="shared" si="72"/>
        <v>0</v>
      </c>
      <c r="AX103" s="124">
        <f t="shared" si="73"/>
        <v>1</v>
      </c>
      <c r="AY103" s="124">
        <f t="shared" si="59"/>
        <v>1</v>
      </c>
      <c r="AZ103" s="125">
        <f t="shared" si="60"/>
        <v>4.593</v>
      </c>
      <c r="BA103" s="125">
        <f t="shared" si="61"/>
        <v>5.8666666666666663</v>
      </c>
      <c r="BB103" s="125">
        <f t="shared" si="62"/>
        <v>9.3333333333333321</v>
      </c>
      <c r="BC103" s="7">
        <v>6.0555555555555562</v>
      </c>
      <c r="BD103" s="7">
        <v>9.1777777777777789</v>
      </c>
      <c r="BE103" s="124"/>
      <c r="BF103" s="8">
        <f t="shared" si="63"/>
        <v>92</v>
      </c>
      <c r="BG103" s="21">
        <f t="shared" si="64"/>
        <v>11.8</v>
      </c>
      <c r="BH103" s="124">
        <f t="shared" si="65"/>
        <v>0</v>
      </c>
      <c r="BI103" s="124">
        <f t="shared" si="74"/>
        <v>0</v>
      </c>
      <c r="BJ103" s="144">
        <f t="shared" si="66"/>
        <v>0</v>
      </c>
      <c r="BL103" s="99">
        <v>13</v>
      </c>
    </row>
    <row r="104" spans="1:64" ht="12.75" x14ac:dyDescent="0.2">
      <c r="A104" s="8">
        <f t="shared" si="30"/>
        <v>6</v>
      </c>
      <c r="B104" s="125">
        <f t="shared" si="31"/>
        <v>5</v>
      </c>
      <c r="C104" s="125">
        <f t="shared" si="32"/>
        <v>10.199999999999999</v>
      </c>
      <c r="D104" s="125">
        <f t="shared" si="67"/>
        <v>7.6</v>
      </c>
      <c r="E104" s="125">
        <f t="shared" si="33"/>
        <v>5.1999999999999993</v>
      </c>
      <c r="F104" s="7">
        <v>5.15</v>
      </c>
      <c r="G104" s="7">
        <v>9.9166666666666679</v>
      </c>
      <c r="H104" s="7">
        <f t="shared" si="68"/>
        <v>7.5333333333333341</v>
      </c>
      <c r="I104" s="7">
        <f t="shared" si="69"/>
        <v>4.7666666666666675</v>
      </c>
      <c r="K104" s="7">
        <f t="shared" si="34"/>
        <v>1.7</v>
      </c>
      <c r="L104" s="7">
        <f t="shared" si="35"/>
        <v>9.15</v>
      </c>
      <c r="M104" s="370">
        <f t="shared" si="36"/>
        <v>4.3571428571428577</v>
      </c>
      <c r="N104" s="1">
        <f t="shared" si="37"/>
        <v>0</v>
      </c>
      <c r="O104" s="7">
        <f t="shared" si="38"/>
        <v>90.571428571428569</v>
      </c>
      <c r="P104" s="7">
        <f t="shared" si="39"/>
        <v>9.7428571428571438</v>
      </c>
      <c r="Q104" s="7">
        <f t="shared" si="40"/>
        <v>13.664285714285711</v>
      </c>
      <c r="R104" s="7">
        <f t="shared" si="41"/>
        <v>11.75</v>
      </c>
      <c r="S104" s="7">
        <f t="shared" si="42"/>
        <v>3.9214285714285708</v>
      </c>
      <c r="T104" s="1">
        <v>45</v>
      </c>
      <c r="U104" s="333">
        <f t="shared" si="43"/>
        <v>2.1333333333333333</v>
      </c>
      <c r="V104" s="4">
        <v>14</v>
      </c>
      <c r="W104" s="7">
        <f t="shared" si="44"/>
        <v>3.8220000000000001</v>
      </c>
      <c r="X104" s="7">
        <f t="shared" si="45"/>
        <v>12.285</v>
      </c>
      <c r="Y104" s="8">
        <f t="shared" si="46"/>
        <v>5</v>
      </c>
      <c r="Z104" s="7">
        <f>IF(ISBLANK(Z17),NA(),SUM($Z$4:Z17))</f>
        <v>23.6</v>
      </c>
      <c r="AA104" s="7">
        <f t="shared" si="70"/>
        <v>29.866666666666667</v>
      </c>
      <c r="AB104" s="26">
        <f>IF(ISBLANK(Z17),"",SUM($Z$4:Z17))</f>
        <v>23.6</v>
      </c>
      <c r="AC104" s="115">
        <f t="shared" si="71"/>
        <v>0.79017857142857151</v>
      </c>
      <c r="AD104" s="8">
        <f t="shared" si="47"/>
        <v>1014.0000357142857</v>
      </c>
      <c r="AE104" s="610">
        <f t="shared" si="48"/>
        <v>0.64514567441728954</v>
      </c>
      <c r="AF104" s="524" t="e">
        <f t="shared" si="49"/>
        <v>#N/A</v>
      </c>
      <c r="AG104" s="22">
        <f>IF(ISBLANK(AP17),NA(),SUM($AP$4:AP17))</f>
        <v>21.4</v>
      </c>
      <c r="AH104" s="7">
        <f>SUM($AS$91:AS104)</f>
        <v>33.170802887780305</v>
      </c>
      <c r="AI104" s="115">
        <f t="shared" si="50"/>
        <v>0.64514567441728954</v>
      </c>
      <c r="AJ104" s="124">
        <f t="shared" si="51"/>
        <v>0</v>
      </c>
      <c r="AK104" s="8">
        <f t="shared" si="52"/>
        <v>1023.5</v>
      </c>
      <c r="AL104" s="124">
        <f t="shared" si="53"/>
        <v>0</v>
      </c>
      <c r="AM104" s="524" t="e">
        <f t="shared" si="54"/>
        <v>#N/A</v>
      </c>
      <c r="AN104" s="25">
        <f>AP39/E34</f>
        <v>2.2666666666666666</v>
      </c>
      <c r="AO104" s="524">
        <f t="shared" si="55"/>
        <v>0.65625</v>
      </c>
      <c r="AP104" s="451" t="s">
        <v>114</v>
      </c>
      <c r="AQ104" s="452">
        <v>0.03</v>
      </c>
      <c r="AR104" s="524">
        <f t="shared" si="56"/>
        <v>0.29166666666666669</v>
      </c>
      <c r="AS104" s="7">
        <f t="shared" si="57"/>
        <v>2.2773425978575839</v>
      </c>
      <c r="AT104" s="7">
        <v>7.9368298453750894</v>
      </c>
      <c r="AU104" s="4">
        <v>14</v>
      </c>
      <c r="AV104" s="127">
        <f t="shared" si="58"/>
        <v>0</v>
      </c>
      <c r="AW104" s="124">
        <f t="shared" si="72"/>
        <v>0</v>
      </c>
      <c r="AX104" s="124">
        <f t="shared" si="73"/>
        <v>1</v>
      </c>
      <c r="AY104" s="124">
        <f t="shared" si="59"/>
        <v>1</v>
      </c>
      <c r="AZ104" s="125">
        <f t="shared" si="60"/>
        <v>4.593</v>
      </c>
      <c r="BA104" s="125">
        <f t="shared" si="61"/>
        <v>5.8666666666666663</v>
      </c>
      <c r="BB104" s="125">
        <f t="shared" si="62"/>
        <v>9.3333333333333321</v>
      </c>
      <c r="BC104" s="7">
        <v>5.9444444444444446</v>
      </c>
      <c r="BD104" s="7">
        <v>9.1222222222222236</v>
      </c>
      <c r="BE104" s="124"/>
      <c r="BF104" s="8">
        <f t="shared" si="63"/>
        <v>96</v>
      </c>
      <c r="BG104" s="21">
        <f t="shared" si="64"/>
        <v>9.1</v>
      </c>
      <c r="BH104" s="124">
        <f t="shared" si="65"/>
        <v>0</v>
      </c>
      <c r="BI104" s="124">
        <f t="shared" si="74"/>
        <v>0</v>
      </c>
      <c r="BJ104" s="144">
        <f t="shared" si="66"/>
        <v>0</v>
      </c>
      <c r="BL104" s="99">
        <v>14</v>
      </c>
    </row>
    <row r="105" spans="1:64" ht="12.75" x14ac:dyDescent="0.2">
      <c r="A105" s="8">
        <f t="shared" si="30"/>
        <v>22</v>
      </c>
      <c r="B105" s="125">
        <f t="shared" si="31"/>
        <v>5</v>
      </c>
      <c r="C105" s="125">
        <f t="shared" si="32"/>
        <v>10.199999999999999</v>
      </c>
      <c r="D105" s="125">
        <f t="shared" si="67"/>
        <v>7.6</v>
      </c>
      <c r="E105" s="125">
        <f t="shared" si="33"/>
        <v>5.1999999999999993</v>
      </c>
      <c r="F105" s="7">
        <v>5.0250000000000004</v>
      </c>
      <c r="G105" s="7">
        <v>9.875</v>
      </c>
      <c r="H105" s="7">
        <f t="shared" si="68"/>
        <v>7.45</v>
      </c>
      <c r="I105" s="7">
        <f t="shared" si="69"/>
        <v>4.8499999999999996</v>
      </c>
      <c r="K105" s="7">
        <f t="shared" si="34"/>
        <v>5.3</v>
      </c>
      <c r="L105" s="7">
        <f t="shared" si="35"/>
        <v>8.4499999999999993</v>
      </c>
      <c r="M105" s="370">
        <f t="shared" si="36"/>
        <v>4.4400000000000004</v>
      </c>
      <c r="N105" s="1">
        <f t="shared" si="37"/>
        <v>0</v>
      </c>
      <c r="O105" s="7">
        <f t="shared" si="38"/>
        <v>90.333333333333329</v>
      </c>
      <c r="P105" s="7">
        <f t="shared" si="39"/>
        <v>9.48</v>
      </c>
      <c r="Q105" s="7">
        <f t="shared" si="40"/>
        <v>13.493333333333331</v>
      </c>
      <c r="R105" s="7">
        <f t="shared" si="41"/>
        <v>11.54</v>
      </c>
      <c r="S105" s="7">
        <f t="shared" si="42"/>
        <v>4.0133333333333328</v>
      </c>
      <c r="T105" s="1">
        <v>46</v>
      </c>
      <c r="U105" s="333">
        <f t="shared" si="43"/>
        <v>2.1333333333333333</v>
      </c>
      <c r="V105" s="4">
        <v>15</v>
      </c>
      <c r="W105" s="7">
        <f t="shared" si="44"/>
        <v>4.0950000000000006</v>
      </c>
      <c r="X105" s="7">
        <f t="shared" si="45"/>
        <v>12.558000000000002</v>
      </c>
      <c r="Y105" s="8">
        <f t="shared" si="46"/>
        <v>5</v>
      </c>
      <c r="Z105" s="7">
        <f>IF(ISBLANK(Z18),NA(),SUM($Z$4:Z18))</f>
        <v>23.6</v>
      </c>
      <c r="AA105" s="7">
        <f t="shared" si="70"/>
        <v>32</v>
      </c>
      <c r="AB105" s="26">
        <f>IF(ISBLANK(Z18),"",SUM($Z$4:Z18))</f>
        <v>23.6</v>
      </c>
      <c r="AC105" s="115">
        <f t="shared" si="71"/>
        <v>0.73750000000000004</v>
      </c>
      <c r="AD105" s="8">
        <f t="shared" si="47"/>
        <v>1014.3000333333333</v>
      </c>
      <c r="AE105" s="610">
        <f t="shared" si="48"/>
        <v>0.78735678140905907</v>
      </c>
      <c r="AF105" s="524">
        <f t="shared" si="49"/>
        <v>0.32916666666666666</v>
      </c>
      <c r="AG105" s="22">
        <f>IF(ISBLANK(AP18),NA(),SUM($AP$4:AP18))</f>
        <v>27.9</v>
      </c>
      <c r="AH105" s="7">
        <f>SUM($AS$91:AS105)</f>
        <v>35.435015813377476</v>
      </c>
      <c r="AI105" s="115">
        <f t="shared" si="50"/>
        <v>0.78735678140905907</v>
      </c>
      <c r="AJ105" s="124">
        <f t="shared" si="51"/>
        <v>0</v>
      </c>
      <c r="AK105" s="8">
        <f t="shared" si="52"/>
        <v>1018.5</v>
      </c>
      <c r="AL105" s="124">
        <f t="shared" si="53"/>
        <v>0</v>
      </c>
      <c r="AM105" s="524">
        <f t="shared" si="54"/>
        <v>0.63611111111111118</v>
      </c>
      <c r="AN105" s="1">
        <f t="array" ref="AN105">MAX(IF(F4:F34=$F$85,E4:E34,0))</f>
        <v>28</v>
      </c>
      <c r="AO105" s="524">
        <f t="shared" si="55"/>
        <v>0.53749999999999998</v>
      </c>
      <c r="AP105" s="451" t="s">
        <v>212</v>
      </c>
      <c r="AQ105" s="450">
        <v>0.01</v>
      </c>
      <c r="AR105" s="524">
        <f t="shared" si="56"/>
        <v>8.3333333333333329E-2</v>
      </c>
      <c r="AS105" s="7">
        <f t="shared" si="57"/>
        <v>2.2642129255971706</v>
      </c>
      <c r="AT105" s="7">
        <v>7.891071260454896</v>
      </c>
      <c r="AU105" s="4">
        <v>15</v>
      </c>
      <c r="AV105" s="127">
        <f t="shared" si="58"/>
        <v>1</v>
      </c>
      <c r="AW105" s="124">
        <f t="shared" si="72"/>
        <v>0</v>
      </c>
      <c r="AX105" s="124">
        <f t="shared" si="73"/>
        <v>0</v>
      </c>
      <c r="AY105" s="124">
        <f t="shared" si="59"/>
        <v>1</v>
      </c>
      <c r="AZ105" s="125">
        <f t="shared" si="60"/>
        <v>4.593</v>
      </c>
      <c r="BA105" s="125">
        <f t="shared" si="61"/>
        <v>5.8666666666666663</v>
      </c>
      <c r="BB105" s="125">
        <f t="shared" si="62"/>
        <v>9.3333333333333321</v>
      </c>
      <c r="BC105" s="7">
        <v>5.8333333333333339</v>
      </c>
      <c r="BD105" s="7">
        <v>9.0666666666666682</v>
      </c>
      <c r="BE105" s="124"/>
      <c r="BF105" s="8">
        <f t="shared" si="63"/>
        <v>87</v>
      </c>
      <c r="BG105" s="21">
        <f t="shared" si="64"/>
        <v>8.6</v>
      </c>
      <c r="BH105" s="124">
        <f t="shared" si="65"/>
        <v>0</v>
      </c>
      <c r="BI105" s="124">
        <f t="shared" si="74"/>
        <v>0</v>
      </c>
      <c r="BJ105" s="144">
        <f t="shared" si="66"/>
        <v>0</v>
      </c>
      <c r="BL105" s="99">
        <v>15</v>
      </c>
    </row>
    <row r="106" spans="1:64" ht="12.75" x14ac:dyDescent="0.2">
      <c r="A106" s="8">
        <f t="shared" si="30"/>
        <v>10</v>
      </c>
      <c r="B106" s="125">
        <f t="shared" si="31"/>
        <v>5</v>
      </c>
      <c r="C106" s="125">
        <f t="shared" si="32"/>
        <v>10.199999999999999</v>
      </c>
      <c r="D106" s="125">
        <f t="shared" si="67"/>
        <v>7.6</v>
      </c>
      <c r="E106" s="125">
        <f t="shared" si="33"/>
        <v>5.1999999999999993</v>
      </c>
      <c r="F106" s="7">
        <v>4.9000000000000004</v>
      </c>
      <c r="G106" s="7">
        <v>9.8333333333333357</v>
      </c>
      <c r="H106" s="7">
        <f t="shared" si="68"/>
        <v>7.366666666666668</v>
      </c>
      <c r="I106" s="7">
        <f t="shared" si="69"/>
        <v>4.9333333333333353</v>
      </c>
      <c r="K106" s="7">
        <f t="shared" si="34"/>
        <v>3.5</v>
      </c>
      <c r="L106" s="7">
        <f t="shared" si="35"/>
        <v>6.5500000000000007</v>
      </c>
      <c r="M106" s="370">
        <f t="shared" si="36"/>
        <v>4.3625000000000007</v>
      </c>
      <c r="N106" s="1">
        <f t="shared" si="37"/>
        <v>0</v>
      </c>
      <c r="O106" s="7">
        <f t="shared" si="38"/>
        <v>90.5</v>
      </c>
      <c r="P106" s="7">
        <f t="shared" si="39"/>
        <v>9.1875000000000018</v>
      </c>
      <c r="Q106" s="7">
        <f t="shared" si="40"/>
        <v>13.168749999999998</v>
      </c>
      <c r="R106" s="7">
        <f t="shared" si="41"/>
        <v>11.231249999999999</v>
      </c>
      <c r="S106" s="7">
        <f t="shared" si="42"/>
        <v>3.9812499999999993</v>
      </c>
      <c r="T106" s="1">
        <v>47</v>
      </c>
      <c r="U106" s="333">
        <f t="shared" si="43"/>
        <v>2.1333333333333333</v>
      </c>
      <c r="V106" s="4">
        <v>16</v>
      </c>
      <c r="W106" s="7">
        <f t="shared" si="44"/>
        <v>4.3680000000000003</v>
      </c>
      <c r="X106" s="7">
        <f t="shared" si="45"/>
        <v>12.831000000000001</v>
      </c>
      <c r="Y106" s="8">
        <f t="shared" si="46"/>
        <v>2</v>
      </c>
      <c r="Z106" s="7">
        <f>IF(ISBLANK(Z19),NA(),SUM($Z$4:Z19))</f>
        <v>23.6</v>
      </c>
      <c r="AA106" s="7">
        <f t="shared" si="70"/>
        <v>34.133333333333333</v>
      </c>
      <c r="AB106" s="26">
        <f>IF(ISBLANK(Z19),"",SUM($Z$4:Z19))</f>
        <v>23.6</v>
      </c>
      <c r="AC106" s="115">
        <f t="shared" si="71"/>
        <v>0.69140625</v>
      </c>
      <c r="AD106" s="8">
        <f t="shared" si="47"/>
        <v>1014.46878125</v>
      </c>
      <c r="AE106" s="610">
        <f t="shared" si="48"/>
        <v>0.7933910703253062</v>
      </c>
      <c r="AF106" s="524">
        <f t="shared" si="49"/>
        <v>0.28749999999999998</v>
      </c>
      <c r="AG106" s="22">
        <f>IF(ISBLANK(AP19),NA(),SUM($AP$4:AP19))</f>
        <v>29.9</v>
      </c>
      <c r="AH106" s="7">
        <f>SUM($AS$91:AS106)</f>
        <v>37.68633290483141</v>
      </c>
      <c r="AI106" s="115">
        <f t="shared" si="50"/>
        <v>0.7933910703253062</v>
      </c>
      <c r="AJ106" s="124">
        <f t="shared" si="51"/>
        <v>0</v>
      </c>
      <c r="AK106" s="8">
        <f t="shared" si="52"/>
        <v>1017</v>
      </c>
      <c r="AL106" s="124">
        <f t="shared" si="53"/>
        <v>0</v>
      </c>
      <c r="AM106" s="524">
        <f t="shared" si="54"/>
        <v>0.64375000000000004</v>
      </c>
      <c r="AN106" s="1">
        <f t="array" ref="AN106">MAX(IF(G4:G34=$G$86,E4:E34,0))</f>
        <v>3</v>
      </c>
      <c r="AO106" s="524">
        <f t="shared" si="55"/>
        <v>0.30694444444444441</v>
      </c>
      <c r="AP106" s="451" t="s">
        <v>128</v>
      </c>
      <c r="AQ106" s="450">
        <v>0.01</v>
      </c>
      <c r="AR106" s="524">
        <f t="shared" si="56"/>
        <v>0.14652777777777778</v>
      </c>
      <c r="AS106" s="7">
        <f t="shared" si="57"/>
        <v>2.2513170914539353</v>
      </c>
      <c r="AT106" s="7">
        <v>7.8461276312419148</v>
      </c>
      <c r="AU106" s="4">
        <v>16</v>
      </c>
      <c r="AV106" s="127">
        <f t="shared" si="58"/>
        <v>1</v>
      </c>
      <c r="AW106" s="124">
        <f t="shared" si="72"/>
        <v>0</v>
      </c>
      <c r="AX106" s="124">
        <f t="shared" si="73"/>
        <v>0</v>
      </c>
      <c r="AY106" s="124">
        <f t="shared" si="59"/>
        <v>1</v>
      </c>
      <c r="AZ106" s="125">
        <f t="shared" si="60"/>
        <v>4.593</v>
      </c>
      <c r="BA106" s="125">
        <f t="shared" si="61"/>
        <v>5.8666666666666663</v>
      </c>
      <c r="BB106" s="125">
        <f t="shared" si="62"/>
        <v>9.3333333333333321</v>
      </c>
      <c r="BC106" s="7">
        <v>5.7222222222222232</v>
      </c>
      <c r="BD106" s="7">
        <v>9.0111111111111128</v>
      </c>
      <c r="BE106" s="124"/>
      <c r="BF106" s="8">
        <f t="shared" si="63"/>
        <v>93</v>
      </c>
      <c r="BG106" s="21">
        <f t="shared" si="64"/>
        <v>6.6</v>
      </c>
      <c r="BH106" s="124">
        <f t="shared" si="65"/>
        <v>0</v>
      </c>
      <c r="BI106" s="124">
        <f t="shared" si="74"/>
        <v>0</v>
      </c>
      <c r="BJ106" s="144">
        <f t="shared" si="66"/>
        <v>0</v>
      </c>
      <c r="BL106" s="99">
        <v>16</v>
      </c>
    </row>
    <row r="107" spans="1:64" ht="12.75" x14ac:dyDescent="0.2">
      <c r="A107" s="8">
        <f t="shared" si="30"/>
        <v>26</v>
      </c>
      <c r="B107" s="125">
        <f t="shared" si="31"/>
        <v>5</v>
      </c>
      <c r="C107" s="125">
        <f t="shared" si="32"/>
        <v>10.199999999999999</v>
      </c>
      <c r="D107" s="125">
        <f t="shared" si="67"/>
        <v>7.6</v>
      </c>
      <c r="E107" s="125">
        <f t="shared" si="33"/>
        <v>5.1999999999999993</v>
      </c>
      <c r="F107" s="7">
        <v>4.7750000000000004</v>
      </c>
      <c r="G107" s="7">
        <v>9.7916666666666696</v>
      </c>
      <c r="H107" s="7">
        <f t="shared" si="68"/>
        <v>7.283333333333335</v>
      </c>
      <c r="I107" s="7">
        <f t="shared" si="69"/>
        <v>5.0166666666666693</v>
      </c>
      <c r="K107" s="7">
        <f t="shared" si="34"/>
        <v>5.8</v>
      </c>
      <c r="L107" s="7">
        <f t="shared" si="35"/>
        <v>11.2</v>
      </c>
      <c r="M107" s="370">
        <f t="shared" si="36"/>
        <v>4.3000000000000007</v>
      </c>
      <c r="N107" s="1">
        <f t="shared" si="37"/>
        <v>0</v>
      </c>
      <c r="O107" s="7">
        <f t="shared" si="38"/>
        <v>90.352941176470594</v>
      </c>
      <c r="P107" s="7">
        <f t="shared" si="39"/>
        <v>9.1352941176470619</v>
      </c>
      <c r="Q107" s="7">
        <f t="shared" si="40"/>
        <v>13.223529411764703</v>
      </c>
      <c r="R107" s="7">
        <f t="shared" si="41"/>
        <v>11.217647058823529</v>
      </c>
      <c r="S107" s="7">
        <f t="shared" si="42"/>
        <v>4.0882352941176459</v>
      </c>
      <c r="T107" s="1">
        <v>48</v>
      </c>
      <c r="U107" s="333">
        <f t="shared" si="43"/>
        <v>2.1333333333333333</v>
      </c>
      <c r="V107" s="4">
        <v>17</v>
      </c>
      <c r="W107" s="7">
        <f t="shared" si="44"/>
        <v>4.641</v>
      </c>
      <c r="X107" s="7">
        <f t="shared" si="45"/>
        <v>13.104000000000001</v>
      </c>
      <c r="Y107" s="8">
        <f t="shared" si="46"/>
        <v>4</v>
      </c>
      <c r="Z107" s="7">
        <f>IF(ISBLANK(Z20),NA(),SUM($Z$4:Z20))</f>
        <v>23.6</v>
      </c>
      <c r="AA107" s="7">
        <f t="shared" si="70"/>
        <v>36.266666666666666</v>
      </c>
      <c r="AB107" s="26">
        <f>IF(ISBLANK(Z20),"",SUM($Z$4:Z20))</f>
        <v>23.6</v>
      </c>
      <c r="AC107" s="115">
        <f t="shared" si="71"/>
        <v>0.65073529411764708</v>
      </c>
      <c r="AD107" s="8">
        <f t="shared" si="47"/>
        <v>1014.6765000000001</v>
      </c>
      <c r="AE107" s="610">
        <f t="shared" si="48"/>
        <v>0.79899820986718628</v>
      </c>
      <c r="AF107" s="524">
        <f t="shared" si="49"/>
        <v>0.30555555555555552</v>
      </c>
      <c r="AG107" s="22">
        <f>IF(ISBLANK(AP20),NA(),SUM($AP$4:AP20))</f>
        <v>31.9</v>
      </c>
      <c r="AH107" s="7">
        <f>SUM($AS$91:AS107)</f>
        <v>39.924995583284954</v>
      </c>
      <c r="AI107" s="115">
        <f>IF(ISBLANK(AP20),NA(),AG107/AH107)</f>
        <v>0.79899820986718628</v>
      </c>
      <c r="AJ107" s="124">
        <f t="shared" si="51"/>
        <v>0</v>
      </c>
      <c r="AK107" s="8">
        <f t="shared" si="52"/>
        <v>1018</v>
      </c>
      <c r="AL107" s="124">
        <f t="shared" si="53"/>
        <v>0</v>
      </c>
      <c r="AM107" s="524">
        <f t="shared" si="54"/>
        <v>0.66666666666666663</v>
      </c>
      <c r="AN107" s="7">
        <f>C85-G39</f>
        <v>-1.8999999999999986</v>
      </c>
      <c r="AO107" s="524">
        <f t="shared" si="55"/>
        <v>0.52777777777777779</v>
      </c>
      <c r="AP107" s="449" t="s">
        <v>213</v>
      </c>
      <c r="AQ107" s="448">
        <v>0.01</v>
      </c>
      <c r="AR107" s="524" t="e">
        <f t="shared" si="56"/>
        <v>#N/A</v>
      </c>
      <c r="AS107" s="7">
        <f t="shared" si="57"/>
        <v>2.2386626784535455</v>
      </c>
      <c r="AT107" s="7">
        <v>7.8020253855492028</v>
      </c>
      <c r="AU107" s="4">
        <v>17</v>
      </c>
      <c r="AV107" s="127">
        <f t="shared" si="58"/>
        <v>1</v>
      </c>
      <c r="AW107" s="124">
        <f t="shared" si="72"/>
        <v>0</v>
      </c>
      <c r="AX107" s="124">
        <f t="shared" si="73"/>
        <v>1</v>
      </c>
      <c r="AY107" s="124">
        <f t="shared" si="59"/>
        <v>1</v>
      </c>
      <c r="AZ107" s="125">
        <f t="shared" si="60"/>
        <v>4.593</v>
      </c>
      <c r="BA107" s="125">
        <f t="shared" si="61"/>
        <v>5.8666666666666663</v>
      </c>
      <c r="BB107" s="125">
        <f t="shared" si="62"/>
        <v>9.3333333333333321</v>
      </c>
      <c r="BC107" s="7">
        <v>5.6111111111111116</v>
      </c>
      <c r="BD107" s="7">
        <v>8.9555555555555575</v>
      </c>
      <c r="BE107" s="124"/>
      <c r="BF107" s="8">
        <f t="shared" si="63"/>
        <v>88</v>
      </c>
      <c r="BG107" s="21">
        <f t="shared" si="64"/>
        <v>11</v>
      </c>
      <c r="BH107" s="124">
        <f t="shared" si="65"/>
        <v>0</v>
      </c>
      <c r="BI107" s="124">
        <f>IF(ISBLANK(L20),"",IF(AQ20&gt;0.4,1,0))</f>
        <v>0</v>
      </c>
      <c r="BJ107" s="144">
        <f t="shared" si="66"/>
        <v>0</v>
      </c>
      <c r="BL107" s="99">
        <v>17</v>
      </c>
    </row>
    <row r="108" spans="1:64" ht="12.75" x14ac:dyDescent="0.2">
      <c r="A108" s="8">
        <f t="shared" si="30"/>
        <v>23</v>
      </c>
      <c r="B108" s="125">
        <f t="shared" si="31"/>
        <v>5</v>
      </c>
      <c r="C108" s="125">
        <f t="shared" si="32"/>
        <v>10.199999999999999</v>
      </c>
      <c r="D108" s="125">
        <f t="shared" si="67"/>
        <v>7.6</v>
      </c>
      <c r="E108" s="125">
        <f t="shared" si="33"/>
        <v>5.1999999999999993</v>
      </c>
      <c r="F108" s="7">
        <v>4.6500000000000004</v>
      </c>
      <c r="G108" s="7">
        <v>9.75</v>
      </c>
      <c r="H108" s="7">
        <f t="shared" si="68"/>
        <v>7.2</v>
      </c>
      <c r="I108" s="7">
        <f t="shared" si="69"/>
        <v>5.0999999999999996</v>
      </c>
      <c r="K108" s="7">
        <f t="shared" si="34"/>
        <v>5.7</v>
      </c>
      <c r="L108" s="7">
        <f t="shared" si="35"/>
        <v>11.75</v>
      </c>
      <c r="M108" s="370">
        <f t="shared" si="36"/>
        <v>4.3277777777777784</v>
      </c>
      <c r="N108" s="1">
        <f t="shared" si="37"/>
        <v>0</v>
      </c>
      <c r="O108" s="7">
        <f t="shared" si="38"/>
        <v>90.055555555555557</v>
      </c>
      <c r="P108" s="7">
        <f t="shared" si="39"/>
        <v>9.1222222222222253</v>
      </c>
      <c r="Q108" s="7">
        <f t="shared" si="40"/>
        <v>13.299999999999997</v>
      </c>
      <c r="R108" s="7">
        <f t="shared" si="41"/>
        <v>11.227777777777778</v>
      </c>
      <c r="S108" s="7">
        <f t="shared" si="42"/>
        <v>4.1777777777777771</v>
      </c>
      <c r="T108" s="1">
        <v>49</v>
      </c>
      <c r="U108" s="333">
        <f t="shared" si="43"/>
        <v>2.1333333333333333</v>
      </c>
      <c r="V108" s="4">
        <v>18</v>
      </c>
      <c r="W108" s="7">
        <f t="shared" si="44"/>
        <v>4.9140000000000006</v>
      </c>
      <c r="X108" s="7">
        <f t="shared" si="45"/>
        <v>13.377000000000001</v>
      </c>
      <c r="Y108" s="8">
        <f t="shared" si="46"/>
        <v>3</v>
      </c>
      <c r="Z108" s="7">
        <f>IF(ISBLANK(Z21),NA(),SUM($Z$4:Z21))</f>
        <v>23.6</v>
      </c>
      <c r="AA108" s="7">
        <f t="shared" si="70"/>
        <v>38.4</v>
      </c>
      <c r="AB108" s="26">
        <f>IF(ISBLANK(Z21),"",SUM($Z$4:Z21))</f>
        <v>23.6</v>
      </c>
      <c r="AC108" s="115">
        <f t="shared" si="71"/>
        <v>0.61458333333333337</v>
      </c>
      <c r="AD108" s="8">
        <f t="shared" si="47"/>
        <v>1014.8333611111112</v>
      </c>
      <c r="AE108" s="610">
        <f t="shared" si="48"/>
        <v>0.85169473049340194</v>
      </c>
      <c r="AF108" s="524">
        <f t="shared" si="49"/>
        <v>0.35347222222222219</v>
      </c>
      <c r="AG108" s="22">
        <f>IF(ISBLANK(AP21),NA(),SUM($AP$4:AP21))</f>
        <v>35.9</v>
      </c>
      <c r="AH108" s="7">
        <f>SUM($AS$91:AS108)</f>
        <v>42.151252925097339</v>
      </c>
      <c r="AI108" s="115">
        <f t="shared" si="50"/>
        <v>0.85169473049340194</v>
      </c>
      <c r="AJ108" s="124">
        <f t="shared" si="51"/>
        <v>0</v>
      </c>
      <c r="AK108" s="8">
        <f t="shared" si="52"/>
        <v>1017.5</v>
      </c>
      <c r="AL108" s="124">
        <f t="shared" si="53"/>
        <v>0</v>
      </c>
      <c r="AM108" s="524">
        <f t="shared" si="54"/>
        <v>0.63749999999999996</v>
      </c>
      <c r="AN108" s="124">
        <f t="array" ref="AN108">SUM(IF(Z4:Z34&gt;10,1,0))</f>
        <v>1</v>
      </c>
      <c r="AO108" s="524">
        <f t="shared" si="55"/>
        <v>0.56527777777777777</v>
      </c>
      <c r="AP108" s="303"/>
      <c r="AQ108" s="303"/>
      <c r="AR108" s="524">
        <f t="shared" si="56"/>
        <v>0.22916666666666666</v>
      </c>
      <c r="AS108" s="7">
        <f t="shared" si="57"/>
        <v>2.2262573418123823</v>
      </c>
      <c r="AT108" s="7">
        <v>7.7587912027836694</v>
      </c>
      <c r="AU108" s="4">
        <v>18</v>
      </c>
      <c r="AV108" s="127">
        <f t="shared" si="58"/>
        <v>1</v>
      </c>
      <c r="AW108" s="124">
        <f t="shared" si="72"/>
        <v>0</v>
      </c>
      <c r="AX108" s="124">
        <f t="shared" si="73"/>
        <v>1</v>
      </c>
      <c r="AY108" s="124">
        <f t="shared" si="59"/>
        <v>1</v>
      </c>
      <c r="AZ108" s="125">
        <f t="shared" si="60"/>
        <v>4.593</v>
      </c>
      <c r="BA108" s="125">
        <f t="shared" si="61"/>
        <v>5.8666666666666663</v>
      </c>
      <c r="BB108" s="125">
        <f t="shared" si="62"/>
        <v>9.3333333333333321</v>
      </c>
      <c r="BC108" s="7">
        <v>5.5</v>
      </c>
      <c r="BD108" s="7">
        <v>8.9</v>
      </c>
      <c r="BE108" s="124"/>
      <c r="BF108" s="8">
        <f t="shared" si="63"/>
        <v>85</v>
      </c>
      <c r="BG108" s="21">
        <f t="shared" si="64"/>
        <v>11.4</v>
      </c>
      <c r="BH108" s="124">
        <f t="shared" si="65"/>
        <v>0</v>
      </c>
      <c r="BI108" s="124">
        <f t="shared" si="74"/>
        <v>0</v>
      </c>
      <c r="BJ108" s="144">
        <f t="shared" si="66"/>
        <v>0</v>
      </c>
      <c r="BL108" s="99">
        <v>18</v>
      </c>
    </row>
    <row r="109" spans="1:64" ht="12.75" x14ac:dyDescent="0.2">
      <c r="A109" s="8">
        <f t="shared" si="30"/>
        <v>14</v>
      </c>
      <c r="B109" s="125">
        <f t="shared" si="31"/>
        <v>5</v>
      </c>
      <c r="C109" s="125">
        <f t="shared" si="32"/>
        <v>10.199999999999999</v>
      </c>
      <c r="D109" s="125">
        <f t="shared" si="67"/>
        <v>7.6</v>
      </c>
      <c r="E109" s="125">
        <f t="shared" si="33"/>
        <v>5.1999999999999993</v>
      </c>
      <c r="F109" s="7">
        <v>4.5250000000000004</v>
      </c>
      <c r="G109" s="7">
        <v>9.7083333333333375</v>
      </c>
      <c r="H109" s="7">
        <f t="shared" si="68"/>
        <v>7.1166666666666689</v>
      </c>
      <c r="I109" s="7">
        <f t="shared" si="69"/>
        <v>5.1833333333333371</v>
      </c>
      <c r="K109" s="7">
        <f t="shared" si="34"/>
        <v>6.3</v>
      </c>
      <c r="L109" s="7">
        <f t="shared" si="35"/>
        <v>9.65</v>
      </c>
      <c r="M109" s="370">
        <f t="shared" si="36"/>
        <v>4.2263157894736851</v>
      </c>
      <c r="N109" s="1">
        <f t="shared" si="37"/>
        <v>0</v>
      </c>
      <c r="O109" s="7">
        <f t="shared" si="38"/>
        <v>90.10526315789474</v>
      </c>
      <c r="P109" s="7">
        <f t="shared" si="39"/>
        <v>8.9842105263157919</v>
      </c>
      <c r="Q109" s="7">
        <f t="shared" si="40"/>
        <v>13.273684210526314</v>
      </c>
      <c r="R109" s="7">
        <f t="shared" si="41"/>
        <v>11.126315789473685</v>
      </c>
      <c r="S109" s="7">
        <f t="shared" si="42"/>
        <v>4.2894736842105257</v>
      </c>
      <c r="T109" s="1">
        <v>50</v>
      </c>
      <c r="U109" s="333">
        <f t="shared" si="43"/>
        <v>2.1333333333333333</v>
      </c>
      <c r="V109" s="4">
        <v>19</v>
      </c>
      <c r="W109" s="7">
        <f t="shared" si="44"/>
        <v>5.1870000000000003</v>
      </c>
      <c r="X109" s="7">
        <f t="shared" si="45"/>
        <v>13.65</v>
      </c>
      <c r="Y109" s="8">
        <f t="shared" si="46"/>
        <v>3</v>
      </c>
      <c r="Z109" s="7">
        <f>IF(ISBLANK(Z22),NA(),SUM($Z$4:Z22))</f>
        <v>23.6</v>
      </c>
      <c r="AA109" s="7">
        <f t="shared" si="70"/>
        <v>40.533333333333331</v>
      </c>
      <c r="AB109" s="26">
        <f>IF(ISBLANK(Z22),"",SUM($Z$4:Z22))</f>
        <v>23.6</v>
      </c>
      <c r="AC109" s="115">
        <f t="shared" si="71"/>
        <v>0.58223684210526327</v>
      </c>
      <c r="AD109" s="8">
        <f t="shared" si="47"/>
        <v>1014.9737105263159</v>
      </c>
      <c r="AE109" s="610">
        <f t="shared" si="48"/>
        <v>0.92189037599648527</v>
      </c>
      <c r="AF109" s="524">
        <f t="shared" si="49"/>
        <v>0.39583333333333331</v>
      </c>
      <c r="AG109" s="22">
        <f>IF(ISBLANK(AP22),NA(),SUM($AP$4:AP22))</f>
        <v>40.9</v>
      </c>
      <c r="AH109" s="7">
        <f>SUM($AS$91:AS109)</f>
        <v>44.365361722960358</v>
      </c>
      <c r="AI109" s="115">
        <f t="shared" si="50"/>
        <v>0.92189037599648527</v>
      </c>
      <c r="AJ109" s="124">
        <f t="shared" si="51"/>
        <v>0</v>
      </c>
      <c r="AK109" s="8">
        <f t="shared" si="52"/>
        <v>1017.5</v>
      </c>
      <c r="AL109" s="124">
        <f t="shared" si="53"/>
        <v>0</v>
      </c>
      <c r="AM109" s="524">
        <f t="shared" si="54"/>
        <v>0.65</v>
      </c>
      <c r="AO109" s="524">
        <f t="shared" si="55"/>
        <v>0.60624999999999996</v>
      </c>
      <c r="AP109" s="423" t="s">
        <v>129</v>
      </c>
      <c r="AQ109" s="453">
        <f>MAX(AQ92:AQ107)</f>
        <v>0.12</v>
      </c>
      <c r="AR109" s="524">
        <f t="shared" si="56"/>
        <v>0.33333333333333331</v>
      </c>
      <c r="AS109" s="7">
        <f t="shared" si="57"/>
        <v>2.2141087978630178</v>
      </c>
      <c r="AT109" s="7">
        <v>7.7164519753499601</v>
      </c>
      <c r="AU109" s="4">
        <v>19</v>
      </c>
      <c r="AV109" s="127">
        <f t="shared" si="58"/>
        <v>1</v>
      </c>
      <c r="AW109" s="124">
        <f t="shared" si="72"/>
        <v>0</v>
      </c>
      <c r="AX109" s="124">
        <f t="shared" si="73"/>
        <v>1</v>
      </c>
      <c r="AY109" s="124">
        <f t="shared" si="59"/>
        <v>1</v>
      </c>
      <c r="AZ109" s="125">
        <f t="shared" si="60"/>
        <v>4.593</v>
      </c>
      <c r="BA109" s="125">
        <f t="shared" si="61"/>
        <v>5.8666666666666663</v>
      </c>
      <c r="BB109" s="125">
        <f t="shared" si="62"/>
        <v>9.3333333333333321</v>
      </c>
      <c r="BC109" s="7">
        <v>5.3888888888888902</v>
      </c>
      <c r="BD109" s="7">
        <v>8.8444444444444485</v>
      </c>
      <c r="BE109" s="124"/>
      <c r="BF109" s="8">
        <f t="shared" si="63"/>
        <v>91</v>
      </c>
      <c r="BG109" s="21">
        <f t="shared" si="64"/>
        <v>9.3000000000000007</v>
      </c>
      <c r="BH109" s="124">
        <f t="shared" si="65"/>
        <v>0</v>
      </c>
      <c r="BI109" s="124">
        <f t="shared" si="74"/>
        <v>0</v>
      </c>
      <c r="BJ109" s="144">
        <f t="shared" si="66"/>
        <v>0</v>
      </c>
      <c r="BL109" s="99">
        <v>19</v>
      </c>
    </row>
    <row r="110" spans="1:64" ht="12.75" x14ac:dyDescent="0.2">
      <c r="A110" s="8">
        <f t="shared" si="30"/>
        <v>2</v>
      </c>
      <c r="B110" s="125">
        <f t="shared" si="31"/>
        <v>5</v>
      </c>
      <c r="C110" s="125">
        <f t="shared" si="32"/>
        <v>10.199999999999999</v>
      </c>
      <c r="D110" s="125">
        <f t="shared" si="67"/>
        <v>7.6</v>
      </c>
      <c r="E110" s="125">
        <f t="shared" si="33"/>
        <v>5.1999999999999993</v>
      </c>
      <c r="F110" s="7">
        <v>4.4000000000000004</v>
      </c>
      <c r="G110" s="7">
        <v>9.6666666666666714</v>
      </c>
      <c r="H110" s="7">
        <f t="shared" si="68"/>
        <v>7.0333333333333359</v>
      </c>
      <c r="I110" s="7">
        <f t="shared" si="69"/>
        <v>5.266666666666671</v>
      </c>
      <c r="K110" s="7">
        <f t="shared" si="34"/>
        <v>4.4000000000000004</v>
      </c>
      <c r="L110" s="7">
        <f t="shared" si="35"/>
        <v>6.6000000000000005</v>
      </c>
      <c r="M110" s="370">
        <f t="shared" si="36"/>
        <v>4.0550000000000006</v>
      </c>
      <c r="N110" s="1">
        <f t="shared" si="37"/>
        <v>0</v>
      </c>
      <c r="O110" s="7">
        <f t="shared" si="38"/>
        <v>90.5</v>
      </c>
      <c r="P110" s="7">
        <f t="shared" si="39"/>
        <v>8.7550000000000026</v>
      </c>
      <c r="Q110" s="7">
        <f t="shared" si="40"/>
        <v>13.049999999999997</v>
      </c>
      <c r="R110" s="7">
        <f t="shared" si="41"/>
        <v>10.9</v>
      </c>
      <c r="S110" s="7">
        <f t="shared" si="42"/>
        <v>4.2949999999999999</v>
      </c>
      <c r="T110" s="1">
        <v>51</v>
      </c>
      <c r="U110" s="333">
        <f t="shared" si="43"/>
        <v>2.1333333333333333</v>
      </c>
      <c r="V110" s="4">
        <v>20</v>
      </c>
      <c r="W110" s="7">
        <f t="shared" si="44"/>
        <v>5.4600000000000009</v>
      </c>
      <c r="X110" s="7">
        <f t="shared" si="45"/>
        <v>13.923000000000002</v>
      </c>
      <c r="Y110" s="8">
        <f t="shared" si="46"/>
        <v>3</v>
      </c>
      <c r="Z110" s="7">
        <f>IF(ISBLANK(Z23),NA(),SUM($Z$4:Z23))</f>
        <v>23.6</v>
      </c>
      <c r="AA110" s="7">
        <f t="shared" si="70"/>
        <v>42.666666666666664</v>
      </c>
      <c r="AB110" s="26">
        <f>IF(ISBLANK(Z23),"",SUM($Z$4:Z23))</f>
        <v>23.6</v>
      </c>
      <c r="AC110" s="115">
        <f t="shared" si="71"/>
        <v>0.55312500000000009</v>
      </c>
      <c r="AD110" s="8">
        <f t="shared" si="47"/>
        <v>1015.1500250000001</v>
      </c>
      <c r="AE110" s="610">
        <f t="shared" si="48"/>
        <v>0.94271580870768523</v>
      </c>
      <c r="AF110" s="524" t="e">
        <f t="shared" si="49"/>
        <v>#N/A</v>
      </c>
      <c r="AG110" s="22">
        <f>IF(ISBLANK(AP23),NA(),SUM($AP$4:AP23))</f>
        <v>43.9</v>
      </c>
      <c r="AH110" s="7">
        <f>SUM($AS$91:AS110)</f>
        <v>46.567586535097973</v>
      </c>
      <c r="AI110" s="115">
        <f t="shared" si="50"/>
        <v>0.94271580870768523</v>
      </c>
      <c r="AJ110" s="124">
        <f t="shared" si="51"/>
        <v>0</v>
      </c>
      <c r="AK110" s="8">
        <f t="shared" si="52"/>
        <v>1018.5</v>
      </c>
      <c r="AL110" s="124">
        <f t="shared" si="53"/>
        <v>0</v>
      </c>
      <c r="AM110" s="524" t="e">
        <f t="shared" si="54"/>
        <v>#N/A</v>
      </c>
      <c r="AO110" s="524">
        <f t="shared" si="55"/>
        <v>0.62638888888888888</v>
      </c>
      <c r="AR110" s="524">
        <f t="shared" si="56"/>
        <v>0.29305555555555557</v>
      </c>
      <c r="AS110" s="7">
        <f t="shared" si="57"/>
        <v>2.2022248121376173</v>
      </c>
      <c r="AT110" s="7">
        <v>7.675034767119584</v>
      </c>
      <c r="AU110" s="4">
        <v>20</v>
      </c>
      <c r="AV110" s="127">
        <f t="shared" si="58"/>
        <v>1</v>
      </c>
      <c r="AW110" s="124">
        <f t="shared" si="72"/>
        <v>0</v>
      </c>
      <c r="AX110" s="124">
        <f t="shared" si="73"/>
        <v>0</v>
      </c>
      <c r="AY110" s="124">
        <f t="shared" si="59"/>
        <v>1</v>
      </c>
      <c r="AZ110" s="125">
        <f t="shared" si="60"/>
        <v>4.593</v>
      </c>
      <c r="BA110" s="125">
        <f t="shared" si="61"/>
        <v>5.8666666666666663</v>
      </c>
      <c r="BB110" s="125">
        <f t="shared" si="62"/>
        <v>9.3333333333333321</v>
      </c>
      <c r="BC110" s="7">
        <v>5.2777777777777786</v>
      </c>
      <c r="BD110" s="7">
        <v>8.7888888888888932</v>
      </c>
      <c r="BE110" s="124"/>
      <c r="BF110" s="8">
        <f t="shared" si="63"/>
        <v>98</v>
      </c>
      <c r="BG110" s="21">
        <f t="shared" si="64"/>
        <v>6.6</v>
      </c>
      <c r="BH110" s="124">
        <f t="shared" si="65"/>
        <v>0</v>
      </c>
      <c r="BI110" s="124">
        <f t="shared" si="74"/>
        <v>0</v>
      </c>
      <c r="BJ110" s="144">
        <f t="shared" si="66"/>
        <v>0</v>
      </c>
      <c r="BL110" s="99">
        <v>20</v>
      </c>
    </row>
    <row r="111" spans="1:64" ht="12.75" x14ac:dyDescent="0.2">
      <c r="A111" s="8">
        <f t="shared" si="30"/>
        <v>2</v>
      </c>
      <c r="B111" s="125">
        <f t="shared" si="31"/>
        <v>5</v>
      </c>
      <c r="C111" s="125">
        <f t="shared" si="32"/>
        <v>10.199999999999999</v>
      </c>
      <c r="D111" s="125">
        <f t="shared" si="67"/>
        <v>7.6</v>
      </c>
      <c r="E111" s="125">
        <f t="shared" si="33"/>
        <v>5.1999999999999993</v>
      </c>
      <c r="F111" s="7">
        <v>4.2750000000000004</v>
      </c>
      <c r="G111" s="7">
        <v>9.6250000000000053</v>
      </c>
      <c r="H111" s="7">
        <f t="shared" si="68"/>
        <v>6.9500000000000028</v>
      </c>
      <c r="I111" s="7">
        <f t="shared" si="69"/>
        <v>5.350000000000005</v>
      </c>
      <c r="K111" s="7">
        <f t="shared" si="34"/>
        <v>4.0999999999999996</v>
      </c>
      <c r="L111" s="7">
        <f t="shared" si="35"/>
        <v>8.0500000000000007</v>
      </c>
      <c r="M111" s="370">
        <f t="shared" si="36"/>
        <v>4.0285714285714294</v>
      </c>
      <c r="N111" s="1">
        <f t="shared" si="37"/>
        <v>0</v>
      </c>
      <c r="O111" s="7">
        <f t="shared" si="38"/>
        <v>90.857142857142861</v>
      </c>
      <c r="P111" s="7">
        <f t="shared" si="39"/>
        <v>8.6238095238095269</v>
      </c>
      <c r="Q111" s="7">
        <f t="shared" si="40"/>
        <v>12.909523809523808</v>
      </c>
      <c r="R111" s="7">
        <f t="shared" si="41"/>
        <v>10.790476190476189</v>
      </c>
      <c r="S111" s="7">
        <f t="shared" si="42"/>
        <v>4.2857142857142847</v>
      </c>
      <c r="T111" s="1">
        <v>52</v>
      </c>
      <c r="U111" s="333">
        <f t="shared" si="43"/>
        <v>2.1333333333333333</v>
      </c>
      <c r="V111" s="4">
        <v>21</v>
      </c>
      <c r="W111" s="7">
        <f t="shared" si="44"/>
        <v>5.7330000000000005</v>
      </c>
      <c r="X111" s="7">
        <f t="shared" si="45"/>
        <v>14.196000000000002</v>
      </c>
      <c r="Y111" s="8">
        <f t="shared" si="46"/>
        <v>3</v>
      </c>
      <c r="Z111" s="7">
        <f>IF(ISBLANK(Z24),NA(),SUM($Z$4:Z24))</f>
        <v>23.6</v>
      </c>
      <c r="AA111" s="7">
        <f t="shared" si="70"/>
        <v>44.8</v>
      </c>
      <c r="AB111" s="26">
        <f>IF(ISBLANK(Z24),"",SUM($Z$4:Z24))</f>
        <v>23.6</v>
      </c>
      <c r="AC111" s="115">
        <f t="shared" si="71"/>
        <v>0.5267857142857143</v>
      </c>
      <c r="AD111" s="8">
        <f t="shared" si="47"/>
        <v>1015.1666904761905</v>
      </c>
      <c r="AE111" s="610">
        <f t="shared" si="48"/>
        <v>0.91061606567545561</v>
      </c>
      <c r="AF111" s="524" t="e">
        <f t="shared" si="49"/>
        <v>#N/A</v>
      </c>
      <c r="AG111" s="22">
        <f>IF(ISBLANK(AP24),NA(),SUM($AP$4:AP24))</f>
        <v>44.4</v>
      </c>
      <c r="AH111" s="7">
        <f>SUM($AS$91:AS111)</f>
        <v>48.758199721708181</v>
      </c>
      <c r="AI111" s="115">
        <f t="shared" si="50"/>
        <v>0.91061606567545561</v>
      </c>
      <c r="AJ111" s="124">
        <f t="shared" si="51"/>
        <v>0</v>
      </c>
      <c r="AK111" s="8">
        <f t="shared" si="52"/>
        <v>1015.5</v>
      </c>
      <c r="AL111" s="124">
        <f t="shared" si="53"/>
        <v>0</v>
      </c>
      <c r="AM111" s="524">
        <f t="shared" si="54"/>
        <v>0.60138888888888886</v>
      </c>
      <c r="AO111" s="524">
        <f t="shared" si="55"/>
        <v>0.53749999999999998</v>
      </c>
      <c r="AQ111" s="377">
        <f>SUM(AQ92:AQ107)</f>
        <v>1.0000000000000002</v>
      </c>
      <c r="AR111" s="524">
        <f t="shared" si="56"/>
        <v>9.2361111111111116E-2</v>
      </c>
      <c r="AS111" s="7">
        <f t="shared" si="57"/>
        <v>2.1906131866102041</v>
      </c>
      <c r="AT111" s="7">
        <v>7.6345667689685852</v>
      </c>
      <c r="AU111" s="4">
        <v>21</v>
      </c>
      <c r="AV111" s="127">
        <f t="shared" si="58"/>
        <v>0</v>
      </c>
      <c r="AW111" s="124">
        <f t="shared" si="72"/>
        <v>0</v>
      </c>
      <c r="AX111" s="124">
        <f t="shared" si="73"/>
        <v>0</v>
      </c>
      <c r="AY111" s="124">
        <f t="shared" si="59"/>
        <v>1</v>
      </c>
      <c r="AZ111" s="125">
        <f t="shared" si="60"/>
        <v>4.593</v>
      </c>
      <c r="BA111" s="125">
        <f t="shared" si="61"/>
        <v>5.8666666666666663</v>
      </c>
      <c r="BB111" s="125">
        <f t="shared" si="62"/>
        <v>9.3333333333333321</v>
      </c>
      <c r="BC111" s="7">
        <v>5.1666666666666679</v>
      </c>
      <c r="BD111" s="7">
        <v>8.7333333333333378</v>
      </c>
      <c r="BE111" s="124"/>
      <c r="BF111" s="8">
        <f t="shared" si="63"/>
        <v>98</v>
      </c>
      <c r="BG111" s="21">
        <f t="shared" si="64"/>
        <v>8.6</v>
      </c>
      <c r="BH111" s="124">
        <f t="shared" si="65"/>
        <v>0</v>
      </c>
      <c r="BI111" s="124">
        <f t="shared" si="74"/>
        <v>0</v>
      </c>
      <c r="BJ111" s="144">
        <f t="shared" si="66"/>
        <v>0</v>
      </c>
      <c r="BL111" s="99">
        <v>21</v>
      </c>
    </row>
    <row r="112" spans="1:64" ht="12.75" x14ac:dyDescent="0.2">
      <c r="A112" s="8">
        <f t="shared" si="30"/>
        <v>7</v>
      </c>
      <c r="B112" s="125">
        <f t="shared" si="31"/>
        <v>5</v>
      </c>
      <c r="C112" s="125">
        <f t="shared" si="32"/>
        <v>10.199999999999999</v>
      </c>
      <c r="D112" s="125">
        <f t="shared" si="67"/>
        <v>7.6</v>
      </c>
      <c r="E112" s="125">
        <f t="shared" si="33"/>
        <v>5.1999999999999993</v>
      </c>
      <c r="F112" s="7">
        <v>4.1500000000000004</v>
      </c>
      <c r="G112" s="7">
        <v>9.5833333333333393</v>
      </c>
      <c r="H112" s="7">
        <f t="shared" si="68"/>
        <v>6.8666666666666698</v>
      </c>
      <c r="I112" s="7">
        <f t="shared" si="69"/>
        <v>5.4333333333333389</v>
      </c>
      <c r="K112" s="7">
        <f t="shared" si="34"/>
        <v>6.2</v>
      </c>
      <c r="L112" s="7">
        <f t="shared" si="35"/>
        <v>9.4</v>
      </c>
      <c r="M112" s="370">
        <f t="shared" si="36"/>
        <v>3.9090909090909096</v>
      </c>
      <c r="N112" s="1">
        <f t="shared" si="37"/>
        <v>0.16666666666666666</v>
      </c>
      <c r="O112" s="7">
        <f t="shared" si="38"/>
        <v>91.13636363636364</v>
      </c>
      <c r="P112" s="7">
        <f t="shared" si="39"/>
        <v>8.5181818181818212</v>
      </c>
      <c r="Q112" s="7">
        <f t="shared" si="40"/>
        <v>12.890909090909089</v>
      </c>
      <c r="R112" s="7">
        <f t="shared" si="41"/>
        <v>10.772727272727273</v>
      </c>
      <c r="S112" s="7">
        <f t="shared" si="42"/>
        <v>4.3727272727272721</v>
      </c>
      <c r="T112" s="1">
        <v>53</v>
      </c>
      <c r="U112" s="333">
        <f t="shared" si="43"/>
        <v>2.1333333333333333</v>
      </c>
      <c r="V112" s="4">
        <v>22</v>
      </c>
      <c r="W112" s="7">
        <f t="shared" si="44"/>
        <v>6.0060000000000002</v>
      </c>
      <c r="X112" s="7">
        <f t="shared" si="45"/>
        <v>14.469000000000001</v>
      </c>
      <c r="Y112" s="8">
        <f t="shared" si="46"/>
        <v>9</v>
      </c>
      <c r="Z112" s="7">
        <f>IF(ISBLANK(Z25),NA(),SUM($Z$4:Z25))</f>
        <v>24.1</v>
      </c>
      <c r="AA112" s="7">
        <f t="shared" si="70"/>
        <v>46.93333333333333</v>
      </c>
      <c r="AB112" s="26">
        <f>IF(ISBLANK(Z25),"",SUM($Z$4:Z25))</f>
        <v>24.1</v>
      </c>
      <c r="AC112" s="115">
        <f t="shared" si="71"/>
        <v>0.51349431818181823</v>
      </c>
      <c r="AD112" s="8">
        <f t="shared" si="47"/>
        <v>1015.3636590909092</v>
      </c>
      <c r="AE112" s="610">
        <f t="shared" si="48"/>
        <v>0.87165675884576932</v>
      </c>
      <c r="AF112" s="524" t="e">
        <f t="shared" si="49"/>
        <v>#N/A</v>
      </c>
      <c r="AG112" s="22">
        <f>IF(ISBLANK(AP25),NA(),SUM($AP$4:AP25))</f>
        <v>44.4</v>
      </c>
      <c r="AH112" s="7">
        <f>SUM($AS$91:AS112)</f>
        <v>50.937481467812631</v>
      </c>
      <c r="AI112" s="115">
        <f t="shared" si="50"/>
        <v>0.87165675884576932</v>
      </c>
      <c r="AJ112" s="124">
        <f t="shared" si="51"/>
        <v>1</v>
      </c>
      <c r="AK112" s="8">
        <f t="shared" si="52"/>
        <v>1019.5</v>
      </c>
      <c r="AL112" s="124">
        <f t="shared" si="53"/>
        <v>0</v>
      </c>
      <c r="AM112" s="524" t="e">
        <f t="shared" si="54"/>
        <v>#N/A</v>
      </c>
      <c r="AO112" s="524">
        <f t="shared" si="55"/>
        <v>0.63055555555555554</v>
      </c>
      <c r="AR112" s="524" t="e">
        <f t="shared" si="56"/>
        <v>#N/A</v>
      </c>
      <c r="AS112" s="7">
        <f t="shared" si="57"/>
        <v>2.1792817461044502</v>
      </c>
      <c r="AT112" s="7">
        <v>7.5950752514069473</v>
      </c>
      <c r="AU112" s="4">
        <v>22</v>
      </c>
      <c r="AV112" s="127">
        <f t="shared" si="58"/>
        <v>0</v>
      </c>
      <c r="AW112" s="124">
        <f t="shared" si="72"/>
        <v>0</v>
      </c>
      <c r="AX112" s="124">
        <f t="shared" si="73"/>
        <v>1</v>
      </c>
      <c r="AY112" s="124">
        <f t="shared" si="59"/>
        <v>1</v>
      </c>
      <c r="AZ112" s="125">
        <f t="shared" si="60"/>
        <v>4.593</v>
      </c>
      <c r="BA112" s="125">
        <f t="shared" si="61"/>
        <v>5.8666666666666663</v>
      </c>
      <c r="BB112" s="125">
        <f t="shared" si="62"/>
        <v>9.3333333333333321</v>
      </c>
      <c r="BC112" s="7">
        <v>5.0555555555555571</v>
      </c>
      <c r="BD112" s="7">
        <v>8.6777777777777825</v>
      </c>
      <c r="BE112" s="124"/>
      <c r="BF112" s="8">
        <f t="shared" si="63"/>
        <v>97</v>
      </c>
      <c r="BG112" s="21">
        <f t="shared" si="64"/>
        <v>10.4</v>
      </c>
      <c r="BH112" s="124">
        <f t="shared" si="65"/>
        <v>0</v>
      </c>
      <c r="BI112" s="124">
        <f t="shared" si="74"/>
        <v>1</v>
      </c>
      <c r="BJ112" s="144">
        <f t="shared" si="66"/>
        <v>0.16666666666666666</v>
      </c>
      <c r="BL112" s="99">
        <v>22</v>
      </c>
    </row>
    <row r="113" spans="1:64" ht="12.75" x14ac:dyDescent="0.2">
      <c r="A113" s="8">
        <f t="shared" si="30"/>
        <v>6</v>
      </c>
      <c r="B113" s="125">
        <f t="shared" si="31"/>
        <v>5</v>
      </c>
      <c r="C113" s="125">
        <f t="shared" si="32"/>
        <v>10.199999999999999</v>
      </c>
      <c r="D113" s="125">
        <f t="shared" si="67"/>
        <v>7.6</v>
      </c>
      <c r="E113" s="125">
        <f t="shared" si="33"/>
        <v>5.1999999999999993</v>
      </c>
      <c r="F113" s="7">
        <v>4.0250000000000004</v>
      </c>
      <c r="G113" s="7">
        <v>9.5416666666666732</v>
      </c>
      <c r="H113" s="7">
        <f t="shared" si="68"/>
        <v>6.7833333333333368</v>
      </c>
      <c r="I113" s="7">
        <f t="shared" si="69"/>
        <v>5.5166666666666728</v>
      </c>
      <c r="K113" s="7">
        <f t="shared" si="34"/>
        <v>7</v>
      </c>
      <c r="L113" s="7">
        <f t="shared" si="35"/>
        <v>6.5</v>
      </c>
      <c r="M113" s="370">
        <f t="shared" si="36"/>
        <v>3.8347826086956531</v>
      </c>
      <c r="N113" s="1">
        <f t="shared" si="37"/>
        <v>0</v>
      </c>
      <c r="O113" s="7">
        <f t="shared" si="38"/>
        <v>91.347826086956516</v>
      </c>
      <c r="P113" s="7">
        <f t="shared" si="39"/>
        <v>8.2782608695652193</v>
      </c>
      <c r="Q113" s="7">
        <f t="shared" si="40"/>
        <v>12.765217391304347</v>
      </c>
      <c r="R113" s="7">
        <f t="shared" si="41"/>
        <v>10.6</v>
      </c>
      <c r="S113" s="7">
        <f t="shared" si="42"/>
        <v>4.4869565217391303</v>
      </c>
      <c r="T113" s="1">
        <v>54</v>
      </c>
      <c r="U113" s="333">
        <f t="shared" si="43"/>
        <v>2.1333333333333333</v>
      </c>
      <c r="V113" s="4">
        <v>23</v>
      </c>
      <c r="W113" s="7">
        <f t="shared" si="44"/>
        <v>6.2790000000000008</v>
      </c>
      <c r="X113" s="7">
        <f t="shared" si="45"/>
        <v>14.742000000000001</v>
      </c>
      <c r="Y113" s="8">
        <f t="shared" si="46"/>
        <v>5</v>
      </c>
      <c r="Z113" s="7">
        <f>IF(ISBLANK(Z26),NA(),SUM($Z$4:Z26))</f>
        <v>24.1</v>
      </c>
      <c r="AA113" s="7">
        <f t="shared" si="70"/>
        <v>49.066666666666663</v>
      </c>
      <c r="AB113" s="26">
        <f>IF(ISBLANK(Z26),"",SUM($Z$4:Z26))</f>
        <v>24.1</v>
      </c>
      <c r="AC113" s="115">
        <f t="shared" si="71"/>
        <v>0.49116847826086962</v>
      </c>
      <c r="AD113" s="8">
        <f t="shared" si="47"/>
        <v>1015.847847826087</v>
      </c>
      <c r="AE113" s="610">
        <f t="shared" si="48"/>
        <v>0.88314404143217462</v>
      </c>
      <c r="AF113" s="524">
        <f t="shared" si="49"/>
        <v>0.36249999999999999</v>
      </c>
      <c r="AG113" s="22">
        <f>IF(ISBLANK(AP26),NA(),SUM($AP$4:AP26))</f>
        <v>46.9</v>
      </c>
      <c r="AH113" s="7">
        <f>SUM($AS$91:AS113)</f>
        <v>53.105719791692572</v>
      </c>
      <c r="AI113" s="115">
        <f t="shared" si="50"/>
        <v>0.88314404143217462</v>
      </c>
      <c r="AJ113" s="124">
        <f t="shared" si="51"/>
        <v>0</v>
      </c>
      <c r="AK113" s="8">
        <f t="shared" si="52"/>
        <v>1026.5</v>
      </c>
      <c r="AL113" s="124">
        <f t="shared" si="53"/>
        <v>0</v>
      </c>
      <c r="AM113" s="524">
        <f t="shared" si="54"/>
        <v>0.67222222222222217</v>
      </c>
      <c r="AO113" s="524">
        <f t="shared" si="55"/>
        <v>0.63402777777777775</v>
      </c>
      <c r="AR113" s="524">
        <f t="shared" si="56"/>
        <v>0.23541666666666669</v>
      </c>
      <c r="AS113" s="7">
        <f t="shared" si="57"/>
        <v>2.168238323879943</v>
      </c>
      <c r="AT113" s="7">
        <v>7.5565875143448977</v>
      </c>
      <c r="AU113" s="4">
        <v>23</v>
      </c>
      <c r="AV113" s="127">
        <f t="shared" si="58"/>
        <v>1</v>
      </c>
      <c r="AW113" s="124">
        <f t="shared" si="72"/>
        <v>0</v>
      </c>
      <c r="AX113" s="124">
        <f t="shared" si="73"/>
        <v>0</v>
      </c>
      <c r="AY113" s="124">
        <f t="shared" si="59"/>
        <v>1</v>
      </c>
      <c r="AZ113" s="125">
        <f t="shared" si="60"/>
        <v>4.593</v>
      </c>
      <c r="BA113" s="125">
        <f t="shared" si="61"/>
        <v>5.8666666666666663</v>
      </c>
      <c r="BB113" s="125">
        <f t="shared" si="62"/>
        <v>9.3333333333333321</v>
      </c>
      <c r="BC113" s="7">
        <v>4.9444444444444455</v>
      </c>
      <c r="BD113" s="7">
        <v>8.6222222222222271</v>
      </c>
      <c r="BE113" s="124"/>
      <c r="BF113" s="8">
        <f t="shared" si="63"/>
        <v>96</v>
      </c>
      <c r="BG113" s="21">
        <f t="shared" si="64"/>
        <v>6.8</v>
      </c>
      <c r="BH113" s="124">
        <f t="shared" si="65"/>
        <v>0</v>
      </c>
      <c r="BI113" s="124">
        <f t="shared" si="74"/>
        <v>0</v>
      </c>
      <c r="BJ113" s="144">
        <f t="shared" si="66"/>
        <v>0</v>
      </c>
      <c r="BL113" s="99">
        <v>23</v>
      </c>
    </row>
    <row r="114" spans="1:64" ht="12.75" x14ac:dyDescent="0.2">
      <c r="A114" s="8">
        <f t="shared" si="30"/>
        <v>19</v>
      </c>
      <c r="B114" s="125">
        <f t="shared" si="31"/>
        <v>5</v>
      </c>
      <c r="C114" s="125">
        <f t="shared" si="32"/>
        <v>10.199999999999999</v>
      </c>
      <c r="D114" s="125">
        <f t="shared" si="67"/>
        <v>7.6</v>
      </c>
      <c r="E114" s="125">
        <f t="shared" si="33"/>
        <v>5.1999999999999993</v>
      </c>
      <c r="F114" s="7">
        <v>3.9</v>
      </c>
      <c r="G114" s="7">
        <v>9.5</v>
      </c>
      <c r="H114" s="7">
        <f t="shared" si="68"/>
        <v>6.7</v>
      </c>
      <c r="I114" s="7">
        <f t="shared" si="69"/>
        <v>5.6</v>
      </c>
      <c r="K114" s="7">
        <f t="shared" si="34"/>
        <v>4</v>
      </c>
      <c r="L114" s="7">
        <f t="shared" si="35"/>
        <v>10.7</v>
      </c>
      <c r="M114" s="370">
        <f t="shared" si="36"/>
        <v>3.9208333333333343</v>
      </c>
      <c r="N114" s="1">
        <f t="shared" si="37"/>
        <v>0</v>
      </c>
      <c r="O114" s="7">
        <f t="shared" si="38"/>
        <v>91.333333333333329</v>
      </c>
      <c r="P114" s="7">
        <f t="shared" si="39"/>
        <v>8.2958333333333361</v>
      </c>
      <c r="Q114" s="7">
        <f t="shared" si="40"/>
        <v>12.762499999999998</v>
      </c>
      <c r="R114" s="7">
        <f t="shared" si="41"/>
        <v>10.5875</v>
      </c>
      <c r="S114" s="7">
        <f t="shared" si="42"/>
        <v>4.4666666666666659</v>
      </c>
      <c r="T114" s="1">
        <v>55</v>
      </c>
      <c r="U114" s="333">
        <f t="shared" si="43"/>
        <v>2.1333333333333333</v>
      </c>
      <c r="V114" s="4">
        <v>24</v>
      </c>
      <c r="W114" s="7">
        <f t="shared" si="44"/>
        <v>6.5520000000000005</v>
      </c>
      <c r="X114" s="7">
        <f t="shared" si="45"/>
        <v>15.015000000000001</v>
      </c>
      <c r="Y114" s="8">
        <f t="shared" si="46"/>
        <v>7</v>
      </c>
      <c r="Z114" s="7">
        <f>IF(ISBLANK(Z27),NA(),SUM($Z$4:Z27))</f>
        <v>24.1</v>
      </c>
      <c r="AA114" s="7">
        <f t="shared" si="70"/>
        <v>51.2</v>
      </c>
      <c r="AB114" s="26">
        <f>IF(ISBLANK(Z27),"",SUM($Z$4:Z27))</f>
        <v>24.1</v>
      </c>
      <c r="AC114" s="115">
        <f t="shared" si="71"/>
        <v>0.470703125</v>
      </c>
      <c r="AD114" s="8">
        <f t="shared" si="47"/>
        <v>1016.2500208333335</v>
      </c>
      <c r="AE114" s="610">
        <f t="shared" si="48"/>
        <v>0.88485629994802528</v>
      </c>
      <c r="AF114" s="524">
        <f t="shared" si="49"/>
        <v>0.27152777777777776</v>
      </c>
      <c r="AG114" s="22">
        <f>IF(ISBLANK(AP27),NA(),SUM($AP$4:AP27))</f>
        <v>48.9</v>
      </c>
      <c r="AH114" s="7">
        <f>SUM($AS$91:AS114)</f>
        <v>55.26321053810917</v>
      </c>
      <c r="AI114" s="115">
        <f t="shared" si="50"/>
        <v>0.88485629994802528</v>
      </c>
      <c r="AJ114" s="124">
        <f t="shared" si="51"/>
        <v>0</v>
      </c>
      <c r="AK114" s="8">
        <f t="shared" si="52"/>
        <v>1025.5</v>
      </c>
      <c r="AL114" s="124">
        <f t="shared" si="53"/>
        <v>0</v>
      </c>
      <c r="AM114" s="524">
        <f t="shared" si="54"/>
        <v>0.65625</v>
      </c>
      <c r="AO114" s="524">
        <f t="shared" si="55"/>
        <v>0.57847222222222217</v>
      </c>
      <c r="AR114" s="524">
        <f t="shared" si="56"/>
        <v>4.1666666666666664E-2</v>
      </c>
      <c r="AS114" s="7">
        <f t="shared" si="57"/>
        <v>2.1574907464166002</v>
      </c>
      <c r="AT114" s="7">
        <v>7.5191308340646499</v>
      </c>
      <c r="AU114" s="4">
        <v>24</v>
      </c>
      <c r="AV114" s="127">
        <f t="shared" si="58"/>
        <v>1</v>
      </c>
      <c r="AW114" s="124">
        <f t="shared" si="72"/>
        <v>0</v>
      </c>
      <c r="AX114" s="124">
        <f t="shared" si="73"/>
        <v>1</v>
      </c>
      <c r="AY114" s="124">
        <f t="shared" si="59"/>
        <v>1</v>
      </c>
      <c r="AZ114" s="125">
        <f t="shared" si="60"/>
        <v>4.593</v>
      </c>
      <c r="BA114" s="125">
        <f t="shared" si="61"/>
        <v>5.8666666666666663</v>
      </c>
      <c r="BB114" s="125">
        <f t="shared" si="62"/>
        <v>9.3333333333333321</v>
      </c>
      <c r="BC114" s="7">
        <v>4.8333333333333339</v>
      </c>
      <c r="BD114" s="7">
        <v>8.5666666666666664</v>
      </c>
      <c r="BE114" s="124"/>
      <c r="BF114" s="8">
        <f t="shared" si="63"/>
        <v>91</v>
      </c>
      <c r="BG114" s="21">
        <f t="shared" si="64"/>
        <v>10.3</v>
      </c>
      <c r="BH114" s="124">
        <f t="shared" si="65"/>
        <v>0</v>
      </c>
      <c r="BI114" s="124">
        <f t="shared" si="74"/>
        <v>0</v>
      </c>
      <c r="BJ114" s="144">
        <f t="shared" si="66"/>
        <v>0</v>
      </c>
      <c r="BL114" s="99">
        <v>24</v>
      </c>
    </row>
    <row r="115" spans="1:64" ht="12.75" x14ac:dyDescent="0.2">
      <c r="A115" s="8">
        <f t="shared" si="30"/>
        <v>34</v>
      </c>
      <c r="B115" s="125">
        <f t="shared" si="31"/>
        <v>5</v>
      </c>
      <c r="C115" s="125">
        <f t="shared" si="32"/>
        <v>10.199999999999999</v>
      </c>
      <c r="D115" s="125">
        <f t="shared" si="67"/>
        <v>7.6</v>
      </c>
      <c r="E115" s="125">
        <f t="shared" si="33"/>
        <v>5.1999999999999993</v>
      </c>
      <c r="F115" s="7">
        <v>3.8654166666666665</v>
      </c>
      <c r="G115" s="7">
        <v>9.4187499999999993</v>
      </c>
      <c r="H115" s="7">
        <f t="shared" si="68"/>
        <v>6.6420833333333329</v>
      </c>
      <c r="I115" s="7">
        <f t="shared" si="69"/>
        <v>5.5533333333333328</v>
      </c>
      <c r="K115" s="7">
        <f t="shared" si="34"/>
        <v>5.8</v>
      </c>
      <c r="L115" s="7">
        <f t="shared" si="35"/>
        <v>10.1</v>
      </c>
      <c r="M115" s="370">
        <f t="shared" si="36"/>
        <v>4.0320000000000009</v>
      </c>
      <c r="N115" s="1">
        <f t="shared" si="37"/>
        <v>0</v>
      </c>
      <c r="O115" s="7">
        <f t="shared" si="38"/>
        <v>90.8</v>
      </c>
      <c r="P115" s="7">
        <f t="shared" si="39"/>
        <v>8.2520000000000024</v>
      </c>
      <c r="Q115" s="7">
        <f t="shared" si="40"/>
        <v>12.771999999999998</v>
      </c>
      <c r="R115" s="7">
        <f t="shared" si="41"/>
        <v>10.592000000000001</v>
      </c>
      <c r="S115" s="7">
        <f t="shared" si="42"/>
        <v>4.5199999999999996</v>
      </c>
      <c r="T115" s="1">
        <v>56</v>
      </c>
      <c r="U115" s="333">
        <f t="shared" si="43"/>
        <v>2.1333333333333333</v>
      </c>
      <c r="V115" s="4">
        <v>25</v>
      </c>
      <c r="W115" s="7">
        <f t="shared" si="44"/>
        <v>6.8250000000000002</v>
      </c>
      <c r="X115" s="7">
        <f t="shared" si="45"/>
        <v>15.288</v>
      </c>
      <c r="Y115" s="8">
        <f t="shared" si="46"/>
        <v>10</v>
      </c>
      <c r="Z115" s="7">
        <f>IF(ISBLANK(Z28),NA(),SUM($Z$4:Z28))</f>
        <v>24.1</v>
      </c>
      <c r="AA115" s="7">
        <f t="shared" si="70"/>
        <v>53.333333333333336</v>
      </c>
      <c r="AB115" s="26">
        <f>IF(ISBLANK(Z28),"",SUM($Z$4:Z28))</f>
        <v>24.1</v>
      </c>
      <c r="AC115" s="115">
        <f t="shared" si="71"/>
        <v>0.45187500000000003</v>
      </c>
      <c r="AD115" s="8">
        <f t="shared" si="47"/>
        <v>1016.6000200000001</v>
      </c>
      <c r="AE115" s="610">
        <f t="shared" si="48"/>
        <v>0.93885661696663725</v>
      </c>
      <c r="AF115" s="524">
        <f t="shared" si="49"/>
        <v>0.24861111111111112</v>
      </c>
      <c r="AG115" s="22">
        <f>IF(ISBLANK(AP28),NA(),SUM($AP$4:AP28))</f>
        <v>53.9</v>
      </c>
      <c r="AH115" s="7">
        <f>SUM($AS$91:AS115)</f>
        <v>57.410257355533304</v>
      </c>
      <c r="AI115" s="115">
        <f t="shared" si="50"/>
        <v>0.93885661696663725</v>
      </c>
      <c r="AJ115" s="124">
        <f t="shared" si="51"/>
        <v>0</v>
      </c>
      <c r="AK115" s="8">
        <f t="shared" si="52"/>
        <v>1025</v>
      </c>
      <c r="AL115" s="124">
        <f t="shared" si="53"/>
        <v>0</v>
      </c>
      <c r="AM115" s="524">
        <f t="shared" si="54"/>
        <v>0.57986111111111105</v>
      </c>
      <c r="AO115" s="524">
        <f t="shared" si="55"/>
        <v>0.55555555555555558</v>
      </c>
      <c r="AR115" s="524" t="e">
        <f t="shared" si="56"/>
        <v>#N/A</v>
      </c>
      <c r="AS115" s="7">
        <f t="shared" si="57"/>
        <v>2.1470468174241368</v>
      </c>
      <c r="AT115" s="7">
        <v>7.4827324074913522</v>
      </c>
      <c r="AU115" s="4">
        <v>25</v>
      </c>
      <c r="AV115" s="127">
        <f t="shared" si="58"/>
        <v>1</v>
      </c>
      <c r="AW115" s="124">
        <f t="shared" si="72"/>
        <v>0</v>
      </c>
      <c r="AX115" s="124">
        <f t="shared" si="73"/>
        <v>1</v>
      </c>
      <c r="AY115" s="124">
        <f t="shared" si="59"/>
        <v>1</v>
      </c>
      <c r="AZ115" s="125">
        <f t="shared" si="60"/>
        <v>4.593</v>
      </c>
      <c r="BA115" s="125">
        <f t="shared" si="61"/>
        <v>5.8666666666666663</v>
      </c>
      <c r="BB115" s="125">
        <f t="shared" si="62"/>
        <v>9.3333333333333321</v>
      </c>
      <c r="BC115" s="7">
        <v>4.790972222222222</v>
      </c>
      <c r="BD115" s="7">
        <v>8.4931944444444447</v>
      </c>
      <c r="BF115" s="8">
        <f t="shared" si="63"/>
        <v>78</v>
      </c>
      <c r="BG115" s="21">
        <f t="shared" si="64"/>
        <v>10.7</v>
      </c>
      <c r="BH115" s="124">
        <f t="shared" si="65"/>
        <v>0</v>
      </c>
      <c r="BI115" s="124">
        <f t="shared" si="74"/>
        <v>0</v>
      </c>
      <c r="BJ115" s="144">
        <f t="shared" si="66"/>
        <v>0</v>
      </c>
      <c r="BL115" s="99">
        <v>25</v>
      </c>
    </row>
    <row r="116" spans="1:64" ht="12.75" x14ac:dyDescent="0.2">
      <c r="A116" s="8">
        <f t="shared" si="30"/>
        <v>24</v>
      </c>
      <c r="B116" s="125">
        <f t="shared" si="31"/>
        <v>5</v>
      </c>
      <c r="C116" s="125">
        <f t="shared" si="32"/>
        <v>10.199999999999999</v>
      </c>
      <c r="D116" s="125">
        <f t="shared" si="67"/>
        <v>7.6</v>
      </c>
      <c r="E116" s="125">
        <f t="shared" si="33"/>
        <v>5.1999999999999993</v>
      </c>
      <c r="F116" s="7">
        <v>3.8308333333333331</v>
      </c>
      <c r="G116" s="7">
        <v>9.3375000000000004</v>
      </c>
      <c r="H116" s="7">
        <f t="shared" si="68"/>
        <v>6.5841666666666665</v>
      </c>
      <c r="I116" s="7">
        <f t="shared" si="69"/>
        <v>5.5066666666666677</v>
      </c>
      <c r="K116" s="7">
        <f t="shared" si="34"/>
        <v>6.2</v>
      </c>
      <c r="L116" s="7">
        <f t="shared" si="35"/>
        <v>9.6</v>
      </c>
      <c r="M116" s="370">
        <f t="shared" si="36"/>
        <v>4.1730769230769242</v>
      </c>
      <c r="N116" s="1">
        <f t="shared" si="37"/>
        <v>0</v>
      </c>
      <c r="O116" s="7">
        <f t="shared" si="38"/>
        <v>90.384615384615387</v>
      </c>
      <c r="P116" s="7">
        <f t="shared" si="39"/>
        <v>8.1846153846153857</v>
      </c>
      <c r="Q116" s="7">
        <f t="shared" si="40"/>
        <v>12.769230769230766</v>
      </c>
      <c r="R116" s="7">
        <f t="shared" si="41"/>
        <v>10.565384615384614</v>
      </c>
      <c r="S116" s="7">
        <f t="shared" si="42"/>
        <v>4.5846153846153843</v>
      </c>
      <c r="T116" s="1">
        <v>57</v>
      </c>
      <c r="U116" s="333">
        <f t="shared" si="43"/>
        <v>2.1333333333333333</v>
      </c>
      <c r="V116" s="4">
        <v>26</v>
      </c>
      <c r="W116" s="7">
        <f t="shared" si="44"/>
        <v>7.0980000000000008</v>
      </c>
      <c r="X116" s="7">
        <f t="shared" si="45"/>
        <v>15.561000000000002</v>
      </c>
      <c r="Y116" s="8">
        <f t="shared" si="46"/>
        <v>11</v>
      </c>
      <c r="Z116" s="7">
        <f>IF(ISBLANK(Z29),NA(),SUM($Z$4:Z29))</f>
        <v>24.1</v>
      </c>
      <c r="AA116" s="7">
        <f t="shared" si="70"/>
        <v>55.466666666666669</v>
      </c>
      <c r="AB116" s="26">
        <f>IF(ISBLANK(Z29),"",SUM($Z$4:Z29))</f>
        <v>24.1</v>
      </c>
      <c r="AC116" s="115">
        <f t="shared" si="71"/>
        <v>0.43449519230769235</v>
      </c>
      <c r="AD116" s="8">
        <f t="shared" si="47"/>
        <v>1016.9038653846154</v>
      </c>
      <c r="AE116" s="610">
        <f t="shared" si="48"/>
        <v>0.92195814633412798</v>
      </c>
      <c r="AF116" s="524">
        <f t="shared" si="49"/>
        <v>0.33750000000000002</v>
      </c>
      <c r="AG116" s="22">
        <f>IF(ISBLANK(AP29),NA(),SUM($AP$4:AP29))</f>
        <v>54.9</v>
      </c>
      <c r="AH116" s="7">
        <f>SUM($AS$91:AS116)</f>
        <v>59.547171656644402</v>
      </c>
      <c r="AI116" s="115">
        <f t="shared" si="50"/>
        <v>0.92195814633412798</v>
      </c>
      <c r="AJ116" s="124">
        <f t="shared" si="51"/>
        <v>0</v>
      </c>
      <c r="AK116" s="8">
        <f t="shared" si="52"/>
        <v>1024.5</v>
      </c>
      <c r="AL116" s="124">
        <f t="shared" si="53"/>
        <v>0</v>
      </c>
      <c r="AM116" s="524">
        <f t="shared" si="54"/>
        <v>0.58888888888888891</v>
      </c>
      <c r="AO116" s="524">
        <f t="shared" si="55"/>
        <v>0.59097222222222223</v>
      </c>
      <c r="AR116" s="524">
        <f t="shared" si="56"/>
        <v>7.2916666666666671E-2</v>
      </c>
      <c r="AS116" s="7">
        <f t="shared" si="57"/>
        <v>2.1369143011111005</v>
      </c>
      <c r="AT116" s="7">
        <v>7.4474192938835397</v>
      </c>
      <c r="AU116" s="4">
        <v>26</v>
      </c>
      <c r="AV116" s="127">
        <f t="shared" si="58"/>
        <v>0</v>
      </c>
      <c r="AW116" s="124">
        <f t="shared" si="72"/>
        <v>0</v>
      </c>
      <c r="AX116" s="124">
        <f t="shared" si="73"/>
        <v>1</v>
      </c>
      <c r="AY116" s="124">
        <f t="shared" si="59"/>
        <v>1</v>
      </c>
      <c r="AZ116" s="125">
        <f t="shared" si="60"/>
        <v>4.593</v>
      </c>
      <c r="BA116" s="125">
        <f t="shared" si="61"/>
        <v>5.8666666666666663</v>
      </c>
      <c r="BB116" s="125">
        <f t="shared" si="62"/>
        <v>9.3333333333333321</v>
      </c>
      <c r="BC116" s="7">
        <v>4.74861111111111</v>
      </c>
      <c r="BD116" s="7">
        <v>8.4197222222222212</v>
      </c>
      <c r="BF116" s="8">
        <f t="shared" si="63"/>
        <v>80</v>
      </c>
      <c r="BG116" s="21">
        <f t="shared" si="64"/>
        <v>9.9</v>
      </c>
      <c r="BH116" s="124">
        <f t="shared" si="65"/>
        <v>0</v>
      </c>
      <c r="BI116" s="124">
        <f t="shared" si="74"/>
        <v>0</v>
      </c>
      <c r="BJ116" s="144">
        <f t="shared" si="66"/>
        <v>0</v>
      </c>
      <c r="BL116" s="99">
        <v>26</v>
      </c>
    </row>
    <row r="117" spans="1:64" ht="12.75" x14ac:dyDescent="0.2">
      <c r="A117" s="8">
        <f t="shared" si="30"/>
        <v>38</v>
      </c>
      <c r="B117" s="125">
        <f t="shared" si="31"/>
        <v>5</v>
      </c>
      <c r="C117" s="125">
        <f t="shared" si="32"/>
        <v>10.199999999999999</v>
      </c>
      <c r="D117" s="125">
        <f t="shared" si="67"/>
        <v>7.6</v>
      </c>
      <c r="E117" s="125">
        <f t="shared" si="33"/>
        <v>5.1999999999999993</v>
      </c>
      <c r="F117" s="7">
        <v>3.7962500000000001</v>
      </c>
      <c r="G117" s="7">
        <v>9.2562499999999996</v>
      </c>
      <c r="H117" s="7">
        <f t="shared" si="68"/>
        <v>6.5262500000000001</v>
      </c>
      <c r="I117" s="7">
        <f t="shared" si="69"/>
        <v>5.4599999999999991</v>
      </c>
      <c r="K117" s="7">
        <f t="shared" si="34"/>
        <v>9.6999999999999993</v>
      </c>
      <c r="L117" s="7">
        <f t="shared" si="35"/>
        <v>8.4500000000000011</v>
      </c>
      <c r="M117" s="370">
        <f t="shared" si="36"/>
        <v>4.2925925925925936</v>
      </c>
      <c r="N117" s="1">
        <f t="shared" si="37"/>
        <v>9.9999999999999992E-2</v>
      </c>
      <c r="O117" s="7">
        <f t="shared" si="38"/>
        <v>89.555555555555557</v>
      </c>
      <c r="P117" s="7">
        <f t="shared" si="39"/>
        <v>8.0148148148148159</v>
      </c>
      <c r="Q117" s="7">
        <f t="shared" si="40"/>
        <v>12.788888888888888</v>
      </c>
      <c r="R117" s="7">
        <f t="shared" si="41"/>
        <v>10.562962962962963</v>
      </c>
      <c r="S117" s="7">
        <f t="shared" si="42"/>
        <v>4.7740740740740728</v>
      </c>
      <c r="T117" s="1">
        <v>58</v>
      </c>
      <c r="U117" s="333">
        <f t="shared" si="43"/>
        <v>2.1333333333333333</v>
      </c>
      <c r="V117" s="4">
        <v>27</v>
      </c>
      <c r="W117" s="7">
        <f t="shared" si="44"/>
        <v>7.3710000000000004</v>
      </c>
      <c r="X117" s="7">
        <f t="shared" si="45"/>
        <v>15.834000000000001</v>
      </c>
      <c r="Y117" s="8">
        <f t="shared" si="46"/>
        <v>15</v>
      </c>
      <c r="Z117" s="7">
        <f>IF(ISBLANK(Z30),NA(),SUM($Z$4:Z30))</f>
        <v>24.400000000000002</v>
      </c>
      <c r="AA117" s="7">
        <f t="shared" si="70"/>
        <v>57.6</v>
      </c>
      <c r="AB117" s="26">
        <f>IF(ISBLANK(Z30),"",SUM($Z$4:Z30))</f>
        <v>24.400000000000002</v>
      </c>
      <c r="AC117" s="115">
        <f t="shared" si="71"/>
        <v>0.42361111111111116</v>
      </c>
      <c r="AD117" s="8">
        <f t="shared" si="47"/>
        <v>1017.0740925925927</v>
      </c>
      <c r="AE117" s="610">
        <f t="shared" si="48"/>
        <v>0.98744577715724868</v>
      </c>
      <c r="AF117" s="524">
        <f t="shared" si="49"/>
        <v>0.36180555555555555</v>
      </c>
      <c r="AG117" s="22">
        <f>IF(ISBLANK(AP30),NA(),SUM($AP$4:AP30))</f>
        <v>60.9</v>
      </c>
      <c r="AH117" s="7">
        <f>SUM($AS$91:AS117)</f>
        <v>61.6742725614004</v>
      </c>
      <c r="AI117" s="115">
        <f t="shared" si="50"/>
        <v>0.98744577715724868</v>
      </c>
      <c r="AJ117" s="124">
        <f t="shared" si="51"/>
        <v>1</v>
      </c>
      <c r="AK117" s="8">
        <f t="shared" si="52"/>
        <v>1021.5</v>
      </c>
      <c r="AL117" s="124">
        <f t="shared" si="53"/>
        <v>0</v>
      </c>
      <c r="AM117" s="524">
        <f t="shared" si="54"/>
        <v>0.58402777777777781</v>
      </c>
      <c r="AO117" s="524">
        <f t="shared" si="55"/>
        <v>0.43263888888888885</v>
      </c>
      <c r="AR117" s="524" t="e">
        <f t="shared" si="56"/>
        <v>#N/A</v>
      </c>
      <c r="AS117" s="7">
        <f t="shared" si="57"/>
        <v>2.1271009047559972</v>
      </c>
      <c r="AT117" s="7">
        <v>7.4132183540912786</v>
      </c>
      <c r="AU117" s="4">
        <v>27</v>
      </c>
      <c r="AV117" s="127">
        <f t="shared" si="58"/>
        <v>1</v>
      </c>
      <c r="AW117" s="124">
        <f t="shared" si="72"/>
        <v>0</v>
      </c>
      <c r="AX117" s="124">
        <f t="shared" si="73"/>
        <v>1</v>
      </c>
      <c r="AY117" s="124">
        <f t="shared" si="59"/>
        <v>1</v>
      </c>
      <c r="AZ117" s="125">
        <f t="shared" si="60"/>
        <v>4.593</v>
      </c>
      <c r="BA117" s="125">
        <f t="shared" si="61"/>
        <v>5.8666666666666663</v>
      </c>
      <c r="BB117" s="125">
        <f t="shared" si="62"/>
        <v>9.3333333333333321</v>
      </c>
      <c r="BC117" s="7">
        <v>4.7062499999999998</v>
      </c>
      <c r="BD117" s="7">
        <v>8.3462499999999995</v>
      </c>
      <c r="BF117" s="8">
        <f t="shared" si="63"/>
        <v>68</v>
      </c>
      <c r="BG117" s="21">
        <f t="shared" si="64"/>
        <v>10.5</v>
      </c>
      <c r="BH117" s="124">
        <f t="shared" si="65"/>
        <v>0</v>
      </c>
      <c r="BI117" s="124">
        <f t="shared" si="74"/>
        <v>1</v>
      </c>
      <c r="BJ117" s="144">
        <f t="shared" si="66"/>
        <v>9.9999999999999992E-2</v>
      </c>
      <c r="BL117" s="99">
        <v>27</v>
      </c>
    </row>
    <row r="118" spans="1:64" ht="12.75" x14ac:dyDescent="0.2">
      <c r="A118" s="8">
        <f t="shared" si="30"/>
        <v>23</v>
      </c>
      <c r="B118" s="125">
        <f t="shared" si="31"/>
        <v>5</v>
      </c>
      <c r="C118" s="125">
        <f t="shared" si="32"/>
        <v>10.199999999999999</v>
      </c>
      <c r="D118" s="125">
        <f t="shared" si="67"/>
        <v>7.6</v>
      </c>
      <c r="E118" s="125">
        <f t="shared" si="33"/>
        <v>5.1999999999999993</v>
      </c>
      <c r="F118" s="7">
        <v>3.7616666666666663</v>
      </c>
      <c r="G118" s="7">
        <v>9.1750000000000007</v>
      </c>
      <c r="H118" s="7">
        <f t="shared" si="68"/>
        <v>6.4683333333333337</v>
      </c>
      <c r="I118" s="7">
        <f t="shared" si="69"/>
        <v>5.413333333333334</v>
      </c>
      <c r="K118" s="7">
        <f t="shared" si="34"/>
        <v>12.3</v>
      </c>
      <c r="L118" s="7">
        <f t="shared" si="35"/>
        <v>6.55</v>
      </c>
      <c r="M118" s="370">
        <f t="shared" si="36"/>
        <v>4.260714285714287</v>
      </c>
      <c r="N118" s="1">
        <f t="shared" si="37"/>
        <v>0</v>
      </c>
      <c r="O118" s="7">
        <f t="shared" si="38"/>
        <v>89.285714285714292</v>
      </c>
      <c r="P118" s="7">
        <f t="shared" si="39"/>
        <v>7.7428571428571447</v>
      </c>
      <c r="Q118" s="7">
        <f t="shared" si="40"/>
        <v>12.785714285714283</v>
      </c>
      <c r="R118" s="7">
        <f t="shared" si="41"/>
        <v>10.407142857142857</v>
      </c>
      <c r="S118" s="7">
        <f t="shared" si="42"/>
        <v>5.0428571428571427</v>
      </c>
      <c r="T118" s="1">
        <v>59</v>
      </c>
      <c r="U118" s="333">
        <f t="shared" si="43"/>
        <v>2.1333333333333333</v>
      </c>
      <c r="V118" s="4">
        <v>28</v>
      </c>
      <c r="W118" s="7">
        <f t="shared" si="44"/>
        <v>7.6440000000000001</v>
      </c>
      <c r="X118" s="7">
        <f t="shared" si="45"/>
        <v>16.107000000000003</v>
      </c>
      <c r="Y118" s="8">
        <f t="shared" si="46"/>
        <v>14</v>
      </c>
      <c r="Z118" s="7">
        <f>IF(ISBLANK(Z31),NA(),SUM($Z$4:Z31))</f>
        <v>24.400000000000002</v>
      </c>
      <c r="AA118" s="7">
        <f t="shared" si="70"/>
        <v>59.733333333333334</v>
      </c>
      <c r="AB118" s="26">
        <f>IF(ISBLANK(Z31),"",SUM($Z$4:Z31))</f>
        <v>24.400000000000002</v>
      </c>
      <c r="AC118" s="115">
        <f t="shared" si="71"/>
        <v>0.4084821428571429</v>
      </c>
      <c r="AD118" s="8">
        <f t="shared" si="47"/>
        <v>1017.2143035714287</v>
      </c>
      <c r="AE118" s="610">
        <f t="shared" si="48"/>
        <v>0.95936964791051582</v>
      </c>
      <c r="AF118" s="524">
        <f t="shared" si="49"/>
        <v>0.40277777777777773</v>
      </c>
      <c r="AG118" s="22">
        <f>IF(ISBLANK(AP31),NA(),SUM($AP$4:AP31))</f>
        <v>61.199999999999996</v>
      </c>
      <c r="AH118" s="7">
        <f>SUM($AS$91:AS118)</f>
        <v>63.791886822031671</v>
      </c>
      <c r="AI118" s="115">
        <f t="shared" si="50"/>
        <v>0.95936964791051582</v>
      </c>
      <c r="AJ118" s="124">
        <f t="shared" si="51"/>
        <v>0</v>
      </c>
      <c r="AK118" s="8">
        <f t="shared" si="52"/>
        <v>1021</v>
      </c>
      <c r="AL118" s="124">
        <f t="shared" si="53"/>
        <v>0</v>
      </c>
      <c r="AM118" s="524">
        <f t="shared" si="54"/>
        <v>0.625</v>
      </c>
      <c r="AO118" s="524">
        <f t="shared" si="55"/>
        <v>0.625</v>
      </c>
      <c r="AR118" s="524">
        <f t="shared" si="56"/>
        <v>0.26319444444444445</v>
      </c>
      <c r="AS118" s="7">
        <f t="shared" si="57"/>
        <v>2.1176142606312678</v>
      </c>
      <c r="AT118" s="7">
        <v>7.3801561875589181</v>
      </c>
      <c r="AU118" s="4">
        <v>28</v>
      </c>
      <c r="AV118" s="127">
        <f t="shared" si="58"/>
        <v>0</v>
      </c>
      <c r="AW118" s="124">
        <f t="shared" si="72"/>
        <v>0</v>
      </c>
      <c r="AX118" s="124">
        <f t="shared" si="73"/>
        <v>0</v>
      </c>
      <c r="AY118" s="124">
        <f t="shared" si="59"/>
        <v>1</v>
      </c>
      <c r="AZ118" s="125">
        <f t="shared" si="60"/>
        <v>4.593</v>
      </c>
      <c r="BA118" s="125">
        <f t="shared" si="61"/>
        <v>5.8666666666666663</v>
      </c>
      <c r="BB118" s="125">
        <f t="shared" si="62"/>
        <v>9.3333333333333321</v>
      </c>
      <c r="BC118" s="7">
        <v>4.6638888888888888</v>
      </c>
      <c r="BD118" s="7">
        <v>8.272777777777776</v>
      </c>
      <c r="BF118" s="8">
        <f t="shared" si="63"/>
        <v>82</v>
      </c>
      <c r="BG118" s="21">
        <f t="shared" si="64"/>
        <v>6.2</v>
      </c>
      <c r="BH118" s="124">
        <f t="shared" si="65"/>
        <v>0</v>
      </c>
      <c r="BI118" s="124">
        <f t="shared" si="74"/>
        <v>0</v>
      </c>
      <c r="BJ118" s="144">
        <f t="shared" si="66"/>
        <v>0</v>
      </c>
      <c r="BL118" s="99">
        <v>28</v>
      </c>
    </row>
    <row r="119" spans="1:64" ht="12.75" x14ac:dyDescent="0.2">
      <c r="A119" s="8">
        <f t="shared" si="30"/>
        <v>24</v>
      </c>
      <c r="B119" s="125">
        <f t="shared" si="31"/>
        <v>5</v>
      </c>
      <c r="C119" s="125">
        <f t="shared" si="32"/>
        <v>10.199999999999999</v>
      </c>
      <c r="D119" s="125">
        <f t="shared" si="67"/>
        <v>7.6</v>
      </c>
      <c r="E119" s="125">
        <f t="shared" si="33"/>
        <v>5.1999999999999993</v>
      </c>
      <c r="F119" s="7">
        <v>3.7270833333333329</v>
      </c>
      <c r="G119" s="7">
        <v>9.09375</v>
      </c>
      <c r="H119" s="7">
        <f t="shared" si="68"/>
        <v>6.4104166666666664</v>
      </c>
      <c r="I119" s="7">
        <f t="shared" si="69"/>
        <v>5.3666666666666671</v>
      </c>
      <c r="K119" s="7">
        <f t="shared" si="34"/>
        <v>7</v>
      </c>
      <c r="L119" s="7">
        <f t="shared" si="35"/>
        <v>9.8000000000000007</v>
      </c>
      <c r="M119" s="370">
        <f t="shared" si="36"/>
        <v>4.4586206896551737</v>
      </c>
      <c r="N119" s="1">
        <f t="shared" si="37"/>
        <v>0.26666666666666666</v>
      </c>
      <c r="O119" s="7">
        <f t="shared" si="38"/>
        <v>88.965517241379317</v>
      </c>
      <c r="P119" s="7">
        <f t="shared" si="39"/>
        <v>7.6931034482758642</v>
      </c>
      <c r="Q119" s="7">
        <f t="shared" si="40"/>
        <v>12.803448275862067</v>
      </c>
      <c r="R119" s="7">
        <f t="shared" si="41"/>
        <v>10.444827586206896</v>
      </c>
      <c r="S119" s="7">
        <f t="shared" si="42"/>
        <v>5.1103448275862062</v>
      </c>
      <c r="T119" s="1">
        <v>60</v>
      </c>
      <c r="U119" s="333">
        <f t="shared" si="43"/>
        <v>2.1333333333333333</v>
      </c>
      <c r="V119" s="4">
        <v>29</v>
      </c>
      <c r="W119" s="7">
        <f t="shared" si="44"/>
        <v>7.9170000000000007</v>
      </c>
      <c r="X119" s="7">
        <f t="shared" si="45"/>
        <v>16.380000000000003</v>
      </c>
      <c r="Y119" s="8">
        <f t="shared" si="46"/>
        <v>14</v>
      </c>
      <c r="Z119" s="7">
        <f>IF(ISBLANK(Z32),NA(),SUM($Z$4:Z32))</f>
        <v>25.200000000000003</v>
      </c>
      <c r="AA119" s="7">
        <f t="shared" si="70"/>
        <v>61.866666666666667</v>
      </c>
      <c r="AB119" s="26">
        <f>IF(ISBLANK(Z32),"",SUM($Z$4:Z32))</f>
        <v>25.200000000000003</v>
      </c>
      <c r="AC119" s="115">
        <f t="shared" si="71"/>
        <v>0.40732758620689657</v>
      </c>
      <c r="AD119" s="8">
        <f t="shared" si="47"/>
        <v>1016.931051724138</v>
      </c>
      <c r="AE119" s="610">
        <f t="shared" si="48"/>
        <v>0.93019234620042701</v>
      </c>
      <c r="AF119" s="524">
        <f t="shared" si="49"/>
        <v>2.0833333333333333E-3</v>
      </c>
      <c r="AG119" s="22">
        <f>IF(ISBLANK(AP32),NA(),SUM($AP$4:AP32))</f>
        <v>61.3</v>
      </c>
      <c r="AH119" s="7">
        <f>SUM($AS$91:AS119)</f>
        <v>65.900348729371061</v>
      </c>
      <c r="AI119" s="115">
        <f t="shared" si="50"/>
        <v>0.93019234620042701</v>
      </c>
      <c r="AJ119" s="124">
        <f t="shared" si="51"/>
        <v>1</v>
      </c>
      <c r="AK119" s="8">
        <f t="shared" si="52"/>
        <v>1009</v>
      </c>
      <c r="AL119" s="124">
        <f t="shared" si="53"/>
        <v>0</v>
      </c>
      <c r="AM119" s="524">
        <f t="shared" si="54"/>
        <v>0.7680555555555556</v>
      </c>
      <c r="AO119" s="524">
        <f t="shared" si="55"/>
        <v>0.58472222222222225</v>
      </c>
      <c r="AR119" s="524">
        <f t="shared" si="56"/>
        <v>0.29166666666666669</v>
      </c>
      <c r="AS119" s="7">
        <f t="shared" si="57"/>
        <v>2.1084619073393864</v>
      </c>
      <c r="AT119" s="7">
        <v>7.3482590672790105</v>
      </c>
      <c r="AU119" s="4">
        <v>29</v>
      </c>
      <c r="AV119" s="127">
        <f t="shared" si="58"/>
        <v>0</v>
      </c>
      <c r="AW119" s="124">
        <f t="shared" si="72"/>
        <v>0</v>
      </c>
      <c r="AX119" s="124">
        <f t="shared" si="73"/>
        <v>1</v>
      </c>
      <c r="AY119" s="124">
        <f t="shared" si="59"/>
        <v>0</v>
      </c>
      <c r="AZ119" s="125">
        <f t="shared" si="60"/>
        <v>4.593</v>
      </c>
      <c r="BA119" s="125">
        <f t="shared" si="61"/>
        <v>5.8666666666666663</v>
      </c>
      <c r="BB119" s="125">
        <f t="shared" si="62"/>
        <v>9.3333333333333321</v>
      </c>
      <c r="BC119" s="7">
        <v>4.6215277777777768</v>
      </c>
      <c r="BD119" s="7">
        <v>8.1993055555555525</v>
      </c>
      <c r="BF119" s="8">
        <f t="shared" si="63"/>
        <v>80</v>
      </c>
      <c r="BG119" s="21">
        <f t="shared" si="64"/>
        <v>11.5</v>
      </c>
      <c r="BH119" s="124">
        <f t="shared" si="65"/>
        <v>0</v>
      </c>
      <c r="BI119" s="124">
        <f t="shared" si="74"/>
        <v>1</v>
      </c>
      <c r="BJ119" s="144">
        <f t="shared" si="66"/>
        <v>0.26666666666666666</v>
      </c>
      <c r="BL119" s="99">
        <v>29</v>
      </c>
    </row>
    <row r="120" spans="1:64" ht="12.75" x14ac:dyDescent="0.2">
      <c r="A120" s="8">
        <f t="shared" si="30"/>
        <v>15</v>
      </c>
      <c r="B120" s="125">
        <f t="shared" si="31"/>
        <v>5</v>
      </c>
      <c r="C120" s="125">
        <f t="shared" si="32"/>
        <v>10.199999999999999</v>
      </c>
      <c r="D120" s="125">
        <f t="shared" si="67"/>
        <v>7.6</v>
      </c>
      <c r="E120" s="125">
        <f t="shared" si="33"/>
        <v>5.1999999999999993</v>
      </c>
      <c r="F120" s="7">
        <v>3.6924999999999999</v>
      </c>
      <c r="G120" s="7">
        <v>9.0124999999999993</v>
      </c>
      <c r="H120" s="7">
        <f t="shared" si="68"/>
        <v>6.3524999999999991</v>
      </c>
      <c r="I120" s="7">
        <f t="shared" si="69"/>
        <v>5.3199999999999994</v>
      </c>
      <c r="K120" s="7">
        <f t="shared" si="34"/>
        <v>5.7</v>
      </c>
      <c r="L120" s="7">
        <f t="shared" si="35"/>
        <v>8.75</v>
      </c>
      <c r="M120" s="370">
        <f t="shared" si="36"/>
        <v>4.536666666666668</v>
      </c>
      <c r="N120" s="1">
        <f t="shared" si="37"/>
        <v>0</v>
      </c>
      <c r="O120" s="7">
        <f t="shared" si="38"/>
        <v>88.533333333333331</v>
      </c>
      <c r="P120" s="7">
        <f t="shared" si="39"/>
        <v>7.6333333333333355</v>
      </c>
      <c r="Q120" s="7">
        <f t="shared" si="40"/>
        <v>12.763333333333332</v>
      </c>
      <c r="R120" s="7">
        <f t="shared" si="41"/>
        <v>10.389999999999999</v>
      </c>
      <c r="S120" s="7">
        <f t="shared" si="42"/>
        <v>5.129999999999999</v>
      </c>
      <c r="T120" s="1">
        <v>61</v>
      </c>
      <c r="U120" s="333">
        <f t="shared" si="43"/>
        <v>2.1333333333333333</v>
      </c>
      <c r="V120" s="4">
        <v>30</v>
      </c>
      <c r="W120" s="7">
        <f t="shared" si="44"/>
        <v>8.1900000000000013</v>
      </c>
      <c r="X120" s="7">
        <f t="shared" si="45"/>
        <v>16.653000000000002</v>
      </c>
      <c r="Y120" s="8">
        <f t="shared" si="46"/>
        <v>12</v>
      </c>
      <c r="Z120" s="7">
        <f>IF(ISBLANK(Z33),NA(),SUM($Z$4:Z33))</f>
        <v>25.200000000000003</v>
      </c>
      <c r="AA120" s="7">
        <f t="shared" si="70"/>
        <v>64</v>
      </c>
      <c r="AB120" s="26">
        <f>IF(ISBLANK(Z33),"",SUM($Z$4:Z33))</f>
        <v>25.200000000000003</v>
      </c>
      <c r="AC120" s="115">
        <f t="shared" si="71"/>
        <v>0.39375000000000004</v>
      </c>
      <c r="AD120" s="8">
        <f t="shared" si="47"/>
        <v>1016.9000166666667</v>
      </c>
      <c r="AE120" s="610">
        <f t="shared" si="48"/>
        <v>0.96029411764705896</v>
      </c>
      <c r="AF120" s="524" t="e">
        <f t="shared" si="49"/>
        <v>#N/A</v>
      </c>
      <c r="AG120" s="22">
        <f>IF(ISBLANK(AP33),NA(),SUM($AP$4:AP33))</f>
        <v>65.3</v>
      </c>
      <c r="AH120" s="7">
        <f>SUM($AS$91:AS120)</f>
        <v>67.999999999999986</v>
      </c>
      <c r="AI120" s="115">
        <f t="shared" si="50"/>
        <v>0.96029411764705896</v>
      </c>
      <c r="AJ120" s="124">
        <f t="shared" si="51"/>
        <v>0</v>
      </c>
      <c r="AK120" s="8">
        <f t="shared" si="52"/>
        <v>1016</v>
      </c>
      <c r="AL120" s="124">
        <f t="shared" si="53"/>
        <v>0</v>
      </c>
      <c r="AM120" s="524">
        <f t="shared" si="54"/>
        <v>0.62013888888888891</v>
      </c>
      <c r="AO120" s="524">
        <f t="shared" si="55"/>
        <v>0.58194444444444449</v>
      </c>
      <c r="AR120" s="524">
        <f t="shared" si="56"/>
        <v>7.9861111111111105E-2</v>
      </c>
      <c r="AS120" s="7">
        <f t="shared" si="57"/>
        <v>2.0996512706289314</v>
      </c>
      <c r="AT120" s="7">
        <v>7.3175528729338648</v>
      </c>
      <c r="AU120" s="4">
        <v>30</v>
      </c>
      <c r="AV120" s="127">
        <f t="shared" si="58"/>
        <v>1</v>
      </c>
      <c r="AW120" s="124">
        <f t="shared" si="72"/>
        <v>0</v>
      </c>
      <c r="AX120" s="124">
        <f t="shared" si="73"/>
        <v>1</v>
      </c>
      <c r="AY120" s="124">
        <f t="shared" si="59"/>
        <v>0</v>
      </c>
      <c r="AZ120" s="125">
        <f t="shared" si="60"/>
        <v>4.593</v>
      </c>
      <c r="BA120" s="125">
        <f t="shared" si="61"/>
        <v>5.8666666666666663</v>
      </c>
      <c r="BB120" s="125">
        <f t="shared" si="62"/>
        <v>9.3333333333333321</v>
      </c>
      <c r="BC120" s="7">
        <v>4.5791666666666648</v>
      </c>
      <c r="BD120" s="7">
        <v>8.125833333333329</v>
      </c>
      <c r="BF120" s="8">
        <f t="shared" si="63"/>
        <v>76</v>
      </c>
      <c r="BG120" s="21">
        <f t="shared" si="64"/>
        <v>8.8000000000000007</v>
      </c>
      <c r="BH120" s="124">
        <f t="shared" si="65"/>
        <v>0</v>
      </c>
      <c r="BI120" s="124">
        <f t="shared" si="74"/>
        <v>1</v>
      </c>
      <c r="BJ120" s="144">
        <f t="shared" si="66"/>
        <v>0</v>
      </c>
      <c r="BL120" s="99">
        <v>30</v>
      </c>
    </row>
    <row r="121" spans="1:64" ht="12.75" customHeight="1" x14ac:dyDescent="0.2">
      <c r="A121" s="8" t="e">
        <f t="shared" si="30"/>
        <v>#N/A</v>
      </c>
      <c r="B121" s="125">
        <f t="shared" si="31"/>
        <v>5</v>
      </c>
      <c r="C121" s="125">
        <f t="shared" si="32"/>
        <v>10.199999999999999</v>
      </c>
      <c r="D121" s="125">
        <f t="shared" si="67"/>
        <v>7.6</v>
      </c>
      <c r="E121" s="125">
        <f t="shared" si="33"/>
        <v>5.1999999999999993</v>
      </c>
      <c r="F121" s="7"/>
      <c r="G121" s="7"/>
      <c r="H121" s="7"/>
      <c r="I121" s="7"/>
      <c r="K121" s="7" t="e">
        <f t="shared" si="34"/>
        <v>#N/A</v>
      </c>
      <c r="L121" s="7" t="e">
        <f t="shared" si="35"/>
        <v>#N/A</v>
      </c>
      <c r="M121" s="370" t="e">
        <f t="shared" si="36"/>
        <v>#N/A</v>
      </c>
      <c r="N121" s="1" t="e">
        <f t="shared" si="37"/>
        <v>#N/A</v>
      </c>
      <c r="O121" s="7" t="e">
        <f t="shared" si="38"/>
        <v>#N/A</v>
      </c>
      <c r="P121" s="7" t="e">
        <f t="shared" si="39"/>
        <v>#N/A</v>
      </c>
      <c r="Q121" s="7" t="e">
        <f t="shared" si="40"/>
        <v>#N/A</v>
      </c>
      <c r="R121" s="7" t="e">
        <f t="shared" si="41"/>
        <v>#N/A</v>
      </c>
      <c r="S121" s="7" t="e">
        <f t="shared" si="42"/>
        <v>#N/A</v>
      </c>
      <c r="T121" s="1">
        <v>62</v>
      </c>
      <c r="U121" s="333">
        <f t="shared" si="43"/>
        <v>2.1333333333333333</v>
      </c>
      <c r="V121" s="4">
        <v>31</v>
      </c>
      <c r="W121" s="7">
        <f t="shared" si="44"/>
        <v>8.463000000000001</v>
      </c>
      <c r="X121" s="7">
        <f t="shared" si="45"/>
        <v>16.926000000000002</v>
      </c>
      <c r="Y121" s="8" t="e">
        <f t="shared" si="46"/>
        <v>#N/A</v>
      </c>
      <c r="Z121" s="7" t="e">
        <f>IF(ISBLANK(Z34),NA(),SUM($Z$4:Z34))</f>
        <v>#N/A</v>
      </c>
      <c r="AA121" s="7">
        <f t="shared" si="70"/>
        <v>64</v>
      </c>
      <c r="AB121" s="26">
        <f>IF(ISBLANK(Z6),"",SUM($Z$4:Z34))</f>
        <v>25.200000000000003</v>
      </c>
      <c r="AC121" s="115" t="e">
        <f t="shared" si="71"/>
        <v>#N/A</v>
      </c>
      <c r="AD121" s="8" t="e">
        <f t="shared" si="47"/>
        <v>#N/A</v>
      </c>
      <c r="AE121" s="610" t="str">
        <f t="shared" si="48"/>
        <v/>
      </c>
      <c r="AF121" s="524" t="e">
        <f t="shared" si="49"/>
        <v>#N/A</v>
      </c>
      <c r="AG121" s="22" t="e">
        <f>IF(ISBLANK(AP34),NA(),SUM($AP$4:AP34))</f>
        <v>#N/A</v>
      </c>
      <c r="AH121" s="7">
        <f>SUM($AS$91:AS121)</f>
        <v>67.999999999999986</v>
      </c>
      <c r="AI121" s="115" t="e">
        <f t="shared" si="50"/>
        <v>#N/A</v>
      </c>
      <c r="AJ121" s="124" t="str">
        <f t="shared" si="51"/>
        <v/>
      </c>
      <c r="AK121" s="8" t="e">
        <f t="shared" si="52"/>
        <v>#N/A</v>
      </c>
      <c r="AL121" s="124" t="str">
        <f t="shared" si="53"/>
        <v/>
      </c>
      <c r="AM121" s="524" t="e">
        <f t="shared" si="54"/>
        <v>#N/A</v>
      </c>
      <c r="AO121" s="524" t="e">
        <f t="shared" si="55"/>
        <v>#N/A</v>
      </c>
      <c r="AR121" s="524" t="e">
        <f t="shared" si="56"/>
        <v>#N/A</v>
      </c>
      <c r="AS121" s="7">
        <f t="shared" si="57"/>
        <v>0</v>
      </c>
      <c r="AT121" s="7"/>
      <c r="AU121" s="4">
        <v>31</v>
      </c>
      <c r="AV121" s="127" t="str">
        <f t="shared" si="58"/>
        <v/>
      </c>
      <c r="AW121" s="124" t="str">
        <f t="shared" si="72"/>
        <v/>
      </c>
      <c r="AX121" s="124" t="str">
        <f t="shared" si="73"/>
        <v/>
      </c>
      <c r="AY121" s="124" t="str">
        <f t="shared" si="59"/>
        <v/>
      </c>
      <c r="AZ121" s="125">
        <f t="shared" si="60"/>
        <v>4.593</v>
      </c>
      <c r="BA121" s="125">
        <f t="shared" si="61"/>
        <v>5.8666666666666663</v>
      </c>
      <c r="BB121" s="125">
        <f t="shared" si="62"/>
        <v>9.3333333333333321</v>
      </c>
      <c r="BF121" s="8" t="e">
        <f t="shared" si="63"/>
        <v>#N/A</v>
      </c>
      <c r="BG121" s="21" t="e">
        <f t="shared" si="64"/>
        <v>#N/A</v>
      </c>
      <c r="BH121" s="124" t="str">
        <f t="shared" si="65"/>
        <v/>
      </c>
      <c r="BI121" s="124" t="str">
        <f t="shared" si="74"/>
        <v/>
      </c>
      <c r="BJ121" s="144" t="str">
        <f t="shared" si="66"/>
        <v/>
      </c>
      <c r="BL121" s="99"/>
    </row>
    <row r="122" spans="1:64" ht="6" customHeight="1" x14ac:dyDescent="0.2">
      <c r="C122" s="1"/>
      <c r="D122" s="125"/>
      <c r="E122" s="125"/>
      <c r="F122" s="125"/>
      <c r="G122" s="125"/>
      <c r="H122" s="21"/>
      <c r="I122" s="7"/>
      <c r="K122" s="7"/>
      <c r="M122" s="8"/>
      <c r="N122" s="8"/>
      <c r="P122" s="125"/>
      <c r="R122" s="8"/>
      <c r="S122" s="8"/>
      <c r="U122" s="333"/>
      <c r="V122" s="4"/>
      <c r="W122" s="7"/>
      <c r="Z122" s="7"/>
      <c r="AA122" s="7"/>
      <c r="AB122" s="127"/>
      <c r="AC122" s="7"/>
      <c r="AD122" s="115"/>
      <c r="AE122" s="115"/>
      <c r="AG122" s="22"/>
      <c r="AH122" s="8"/>
      <c r="AI122" s="115"/>
      <c r="AJ122" s="124"/>
      <c r="AK122" s="67"/>
      <c r="AL122" s="124"/>
      <c r="AQ122" s="7"/>
      <c r="AS122" s="7"/>
      <c r="AT122" s="7"/>
      <c r="AU122" s="8"/>
      <c r="AV122" s="127"/>
      <c r="AW122" s="124"/>
      <c r="AX122" s="124"/>
      <c r="AY122" s="124"/>
      <c r="AZ122" s="127"/>
      <c r="BA122" s="125"/>
      <c r="BG122" s="127"/>
      <c r="BH122" s="124"/>
      <c r="BI122" s="124"/>
      <c r="BJ122" s="144"/>
      <c r="BL122" s="99"/>
    </row>
    <row r="123" spans="1:64" ht="12.75" x14ac:dyDescent="0.2">
      <c r="C123" s="1"/>
      <c r="R123" s="8"/>
      <c r="S123" s="8"/>
      <c r="V123" s="11" t="s">
        <v>4</v>
      </c>
      <c r="W123" s="7">
        <f>IF(Z38&lt;1,"",AVERAGE(AB4:AB33))</f>
        <v>0.81666666666666676</v>
      </c>
      <c r="X123" s="7">
        <f>MAX(AB4:AB34)</f>
        <v>1.6</v>
      </c>
      <c r="AH123" s="115">
        <f>MIN(AE95:AE121)</f>
        <v>0.50344788940146956</v>
      </c>
      <c r="AI123" s="115">
        <f>MAX(AE95:AE121)</f>
        <v>0.98744577715724868</v>
      </c>
      <c r="AJ123" s="117"/>
      <c r="AK123" s="240"/>
      <c r="AL123" s="117"/>
      <c r="AS123" s="7">
        <f>SUM(AS91:AS121)</f>
        <v>67.999999999999986</v>
      </c>
      <c r="AT123" s="7">
        <f>SUM(AT91:AT121)</f>
        <v>236.98868584517518</v>
      </c>
      <c r="AV123" s="124"/>
      <c r="AW123" s="124"/>
      <c r="AX123" s="124"/>
      <c r="AY123" s="124"/>
      <c r="AZ123" s="124"/>
      <c r="BA123" s="124"/>
      <c r="BE123" s="124"/>
      <c r="BG123" s="7"/>
      <c r="BH123" s="124"/>
      <c r="BL123" s="4"/>
    </row>
    <row r="124" spans="1:64" s="95" customFormat="1" ht="18.75" customHeight="1" x14ac:dyDescent="0.2">
      <c r="C124" s="116"/>
      <c r="R124" s="325"/>
      <c r="S124" s="325"/>
      <c r="AY124" s="326"/>
      <c r="AZ124" s="326"/>
      <c r="BA124" s="326"/>
      <c r="BB124" s="326"/>
      <c r="BC124" s="326"/>
      <c r="BD124" s="326"/>
      <c r="BE124" s="326"/>
      <c r="BF124" s="326"/>
      <c r="BH124" s="326"/>
      <c r="BL124" s="81"/>
    </row>
    <row r="125" spans="1:64" ht="12.75" hidden="1" x14ac:dyDescent="0.2">
      <c r="AY125" s="124"/>
      <c r="AZ125" s="124"/>
      <c r="BA125" s="124"/>
      <c r="BB125" s="124"/>
      <c r="BC125" s="124"/>
      <c r="BD125" s="124"/>
      <c r="BE125" s="124"/>
      <c r="BF125" s="124"/>
      <c r="BG125" s="124"/>
      <c r="BH125" s="124"/>
    </row>
    <row r="126" spans="1:64" ht="12.75" hidden="1" x14ac:dyDescent="0.2">
      <c r="AY126" s="124"/>
      <c r="AZ126" s="124"/>
      <c r="BA126" s="124"/>
      <c r="BB126" s="124"/>
      <c r="BC126" s="124"/>
      <c r="BD126" s="124"/>
      <c r="BE126" s="124"/>
      <c r="BF126" s="124"/>
      <c r="BG126" s="124"/>
      <c r="BH126" s="124"/>
    </row>
    <row r="127" spans="1:64" ht="12.75" hidden="1" x14ac:dyDescent="0.2">
      <c r="AY127" s="124"/>
      <c r="AZ127" s="124"/>
      <c r="BA127" s="124"/>
      <c r="BB127" s="124"/>
      <c r="BC127" s="124"/>
      <c r="BD127" s="124"/>
      <c r="BE127" s="124"/>
      <c r="BF127" s="124"/>
      <c r="BG127" s="124"/>
      <c r="BH127" s="124"/>
    </row>
    <row r="128" spans="1:64" ht="12.75" hidden="1" x14ac:dyDescent="0.2">
      <c r="AY128" s="124"/>
      <c r="AZ128" s="124"/>
      <c r="BA128" s="124"/>
      <c r="BB128" s="124"/>
      <c r="BC128" s="124"/>
      <c r="BD128" s="124"/>
      <c r="BE128" s="124"/>
      <c r="BF128" s="124"/>
      <c r="BG128" s="124"/>
      <c r="BH128" s="124"/>
    </row>
    <row r="129" spans="13:60" ht="12.75" hidden="1" x14ac:dyDescent="0.2">
      <c r="AY129" s="124"/>
      <c r="AZ129" s="124"/>
      <c r="BA129" s="124"/>
      <c r="BB129" s="124"/>
      <c r="BC129" s="124"/>
      <c r="BD129" s="124"/>
      <c r="BE129" s="124"/>
      <c r="BF129" s="124"/>
      <c r="BG129" s="124"/>
      <c r="BH129" s="124"/>
    </row>
    <row r="130" spans="13:60" ht="12.75" hidden="1" x14ac:dyDescent="0.2"/>
    <row r="131" spans="13:60" ht="12.75" hidden="1" x14ac:dyDescent="0.2"/>
    <row r="132" spans="13:60" ht="12.75" hidden="1" x14ac:dyDescent="0.2"/>
    <row r="133" spans="13:60" ht="12.75" hidden="1" x14ac:dyDescent="0.2"/>
    <row r="134" spans="13:60" ht="12.75" hidden="1" x14ac:dyDescent="0.2">
      <c r="M134" s="10"/>
    </row>
  </sheetData>
  <sheetCalcPr fullCalcOnLoad="1"/>
  <mergeCells count="173">
    <mergeCell ref="Q73:AB73"/>
    <mergeCell ref="AP73:AQ75"/>
    <mergeCell ref="AG73:AJ73"/>
    <mergeCell ref="AG74:AJ74"/>
    <mergeCell ref="AH75:AI75"/>
    <mergeCell ref="Q74:AB75"/>
    <mergeCell ref="Q80:AB80"/>
    <mergeCell ref="Q81:AB81"/>
    <mergeCell ref="H50:I50"/>
    <mergeCell ref="H51:I51"/>
    <mergeCell ref="Q50:R50"/>
    <mergeCell ref="Q51:R51"/>
    <mergeCell ref="H74:H75"/>
    <mergeCell ref="Q77:AB77"/>
    <mergeCell ref="Q76:AB76"/>
    <mergeCell ref="H57:I58"/>
    <mergeCell ref="K57:N57"/>
    <mergeCell ref="P57:S57"/>
    <mergeCell ref="BF84:BJ84"/>
    <mergeCell ref="BB81:BC81"/>
    <mergeCell ref="W90:X90"/>
    <mergeCell ref="AP82:AQ84"/>
    <mergeCell ref="AG81:AJ81"/>
    <mergeCell ref="AP76:AQ78"/>
    <mergeCell ref="AH79:AI79"/>
    <mergeCell ref="AG78:AJ78"/>
    <mergeCell ref="Q78:AB78"/>
    <mergeCell ref="Q79:AB79"/>
    <mergeCell ref="AP79:AQ81"/>
    <mergeCell ref="B82:D82"/>
    <mergeCell ref="H82:H83"/>
    <mergeCell ref="AH82:AI82"/>
    <mergeCell ref="B83:D83"/>
    <mergeCell ref="Q83:AB83"/>
    <mergeCell ref="Q82:AB82"/>
    <mergeCell ref="B80:D80"/>
    <mergeCell ref="H80:H81"/>
    <mergeCell ref="B76:D76"/>
    <mergeCell ref="H76:H77"/>
    <mergeCell ref="B77:D77"/>
    <mergeCell ref="B81:D81"/>
    <mergeCell ref="H78:H79"/>
    <mergeCell ref="B79:D79"/>
    <mergeCell ref="B78:D78"/>
    <mergeCell ref="B73:D73"/>
    <mergeCell ref="B72:D72"/>
    <mergeCell ref="B71:D71"/>
    <mergeCell ref="B75:D75"/>
    <mergeCell ref="B74:D74"/>
    <mergeCell ref="B68:D68"/>
    <mergeCell ref="H68:I68"/>
    <mergeCell ref="B69:D69"/>
    <mergeCell ref="AP69:AQ72"/>
    <mergeCell ref="H69:I69"/>
    <mergeCell ref="AG71:AJ71"/>
    <mergeCell ref="H70:I70"/>
    <mergeCell ref="H71:I71"/>
    <mergeCell ref="AH72:AI72"/>
    <mergeCell ref="B66:D66"/>
    <mergeCell ref="H66:I66"/>
    <mergeCell ref="AG66:AJ66"/>
    <mergeCell ref="B67:D67"/>
    <mergeCell ref="H67:I67"/>
    <mergeCell ref="AG67:AJ67"/>
    <mergeCell ref="B63:D63"/>
    <mergeCell ref="H63:I63"/>
    <mergeCell ref="AS63:AT63"/>
    <mergeCell ref="B64:D64"/>
    <mergeCell ref="H64:I64"/>
    <mergeCell ref="AG64:AJ64"/>
    <mergeCell ref="AP63:AQ68"/>
    <mergeCell ref="AH65:AI65"/>
    <mergeCell ref="AH68:AI68"/>
    <mergeCell ref="B65:D65"/>
    <mergeCell ref="B61:D61"/>
    <mergeCell ref="B62:D62"/>
    <mergeCell ref="H62:I62"/>
    <mergeCell ref="AS62:AT62"/>
    <mergeCell ref="AP60:AQ62"/>
    <mergeCell ref="AH60:AI60"/>
    <mergeCell ref="AS60:AT60"/>
    <mergeCell ref="AS59:AT59"/>
    <mergeCell ref="AP59:AQ59"/>
    <mergeCell ref="B59:D59"/>
    <mergeCell ref="H59:I59"/>
    <mergeCell ref="AA54:AA55"/>
    <mergeCell ref="B60:D60"/>
    <mergeCell ref="H60:I60"/>
    <mergeCell ref="AG59:AJ59"/>
    <mergeCell ref="AC57:AE57"/>
    <mergeCell ref="V57:V58"/>
    <mergeCell ref="W57:W58"/>
    <mergeCell ref="AS58:AT58"/>
    <mergeCell ref="AS57:AT57"/>
    <mergeCell ref="X57:X58"/>
    <mergeCell ref="AS52:AT52"/>
    <mergeCell ref="AS53:AT53"/>
    <mergeCell ref="AA52:AA53"/>
    <mergeCell ref="AH57:AI57"/>
    <mergeCell ref="AG52:AJ52"/>
    <mergeCell ref="AS54:AT54"/>
    <mergeCell ref="AS55:AT55"/>
    <mergeCell ref="AG56:AJ56"/>
    <mergeCell ref="AS56:AT56"/>
    <mergeCell ref="B57:D57"/>
    <mergeCell ref="B58:D58"/>
    <mergeCell ref="B56:D56"/>
    <mergeCell ref="B55:D55"/>
    <mergeCell ref="B54:D54"/>
    <mergeCell ref="B53:D53"/>
    <mergeCell ref="B52:D52"/>
    <mergeCell ref="AP53:AQ53"/>
    <mergeCell ref="AP52:AQ52"/>
    <mergeCell ref="Z54:Z55"/>
    <mergeCell ref="Q53:R53"/>
    <mergeCell ref="Q52:R52"/>
    <mergeCell ref="Z52:Z53"/>
    <mergeCell ref="AH53:AI53"/>
    <mergeCell ref="AD51:AD52"/>
    <mergeCell ref="AG51:AJ51"/>
    <mergeCell ref="B48:D48"/>
    <mergeCell ref="B50:D50"/>
    <mergeCell ref="B51:D51"/>
    <mergeCell ref="B49:D49"/>
    <mergeCell ref="AS48:AU48"/>
    <mergeCell ref="Z49:AA49"/>
    <mergeCell ref="AA50:AA51"/>
    <mergeCell ref="Z50:Z51"/>
    <mergeCell ref="AC50:AD50"/>
    <mergeCell ref="AC51:AC52"/>
    <mergeCell ref="AS50:AT50"/>
    <mergeCell ref="AG49:AJ49"/>
    <mergeCell ref="AS51:AT51"/>
    <mergeCell ref="BF46:BJ46"/>
    <mergeCell ref="BF47:BJ47"/>
    <mergeCell ref="AY47:BD47"/>
    <mergeCell ref="AS49:AT49"/>
    <mergeCell ref="AH50:AI50"/>
    <mergeCell ref="AA46:AA47"/>
    <mergeCell ref="B47:D47"/>
    <mergeCell ref="B36:C36"/>
    <mergeCell ref="BA36:BB36"/>
    <mergeCell ref="AS46:AX46"/>
    <mergeCell ref="B42:C42"/>
    <mergeCell ref="B46:E46"/>
    <mergeCell ref="Z46:Z47"/>
    <mergeCell ref="AN1:AN2"/>
    <mergeCell ref="AP1:AP2"/>
    <mergeCell ref="AQ1:AQ2"/>
    <mergeCell ref="P1:S1"/>
    <mergeCell ref="B38:C38"/>
    <mergeCell ref="BA38:BB38"/>
    <mergeCell ref="AS1:AY1"/>
    <mergeCell ref="B1:B2"/>
    <mergeCell ref="C1:C2"/>
    <mergeCell ref="F1:I1"/>
    <mergeCell ref="K1:N1"/>
    <mergeCell ref="K48:N48"/>
    <mergeCell ref="BF1:BJ1"/>
    <mergeCell ref="D4:D43"/>
    <mergeCell ref="BA37:BB37"/>
    <mergeCell ref="BA39:BB39"/>
    <mergeCell ref="BA40:BB40"/>
    <mergeCell ref="BA1:BD1"/>
    <mergeCell ref="AP56:AQ58"/>
    <mergeCell ref="AG58:AJ58"/>
    <mergeCell ref="U57:U58"/>
    <mergeCell ref="Z57:AB57"/>
    <mergeCell ref="U1:X1"/>
    <mergeCell ref="AG1:AJ1"/>
    <mergeCell ref="AD1:AE1"/>
    <mergeCell ref="Z1:AC1"/>
    <mergeCell ref="AL1:AL2"/>
  </mergeCells>
  <phoneticPr fontId="4" type="noConversion"/>
  <conditionalFormatting sqref="C4:C34">
    <cfRule type="cellIs" dxfId="272" priority="1" stopIfTrue="1" operator="notEqual">
      <formula>G4</formula>
    </cfRule>
  </conditionalFormatting>
  <conditionalFormatting sqref="AC4:AC34">
    <cfRule type="cellIs" dxfId="271" priority="2" stopIfTrue="1" operator="equal">
      <formula>$AC$86</formula>
    </cfRule>
    <cfRule type="cellIs" dxfId="270" priority="3" stopIfTrue="1" operator="equal">
      <formula>0</formula>
    </cfRule>
    <cfRule type="expression" dxfId="269" priority="4" stopIfTrue="1">
      <formula>Z4=0.1</formula>
    </cfRule>
  </conditionalFormatting>
  <conditionalFormatting sqref="W46:W53">
    <cfRule type="expression" dxfId="268" priority="5" stopIfTrue="1">
      <formula>X46=$X$55</formula>
    </cfRule>
  </conditionalFormatting>
  <conditionalFormatting sqref="B4:B34">
    <cfRule type="cellIs" dxfId="267" priority="6" stopIfTrue="1" operator="notEqual">
      <formula>F4</formula>
    </cfRule>
  </conditionalFormatting>
  <conditionalFormatting sqref="AP92:AP107">
    <cfRule type="expression" dxfId="266" priority="7" stopIfTrue="1">
      <formula>AQ92=$AQ$109</formula>
    </cfRule>
  </conditionalFormatting>
  <conditionalFormatting sqref="BG49:BG79">
    <cfRule type="expression" dxfId="265" priority="8" stopIfTrue="1">
      <formula>IF(J4=1,1,0)</formula>
    </cfRule>
  </conditionalFormatting>
  <conditionalFormatting sqref="B72:D80 B48:C66 D48 D51:D52 D54:D66">
    <cfRule type="expression" dxfId="264" priority="9" stopIfTrue="1">
      <formula>IF(F48&gt;0.5,1,0)</formula>
    </cfRule>
    <cfRule type="expression" dxfId="263" priority="10" stopIfTrue="1">
      <formula>IF(F48&lt;0.2,1,0)</formula>
    </cfRule>
  </conditionalFormatting>
  <conditionalFormatting sqref="AS50:AT60">
    <cfRule type="expression" dxfId="262" priority="11" stopIfTrue="1">
      <formula>IF(AV50&gt;0.5,1,0)</formula>
    </cfRule>
    <cfRule type="expression" dxfId="261" priority="12" stopIfTrue="1">
      <formula>IF(AV50&lt;0.2,1,0)</formula>
    </cfRule>
  </conditionalFormatting>
  <conditionalFormatting sqref="BD35">
    <cfRule type="cellIs" dxfId="260" priority="13" stopIfTrue="1" operator="equal">
      <formula>#REF!</formula>
    </cfRule>
    <cfRule type="expression" dxfId="259" priority="14" stopIfTrue="1">
      <formula>AY123=1</formula>
    </cfRule>
    <cfRule type="expression" dxfId="258" priority="15" stopIfTrue="1">
      <formula>BH123=1</formula>
    </cfRule>
  </conditionalFormatting>
  <conditionalFormatting sqref="F4:F34">
    <cfRule type="cellIs" dxfId="257" priority="16" stopIfTrue="1" operator="equal">
      <formula>$F$85</formula>
    </cfRule>
    <cfRule type="cellIs" dxfId="256" priority="17" stopIfTrue="1" operator="equal">
      <formula>$F$86</formula>
    </cfRule>
    <cfRule type="expression" dxfId="255" priority="18" stopIfTrue="1">
      <formula>IF(B4&lt;0,1,0)</formula>
    </cfRule>
  </conditionalFormatting>
  <conditionalFormatting sqref="BF49:BF79">
    <cfRule type="cellIs" dxfId="254" priority="19" stopIfTrue="1" operator="greaterThan">
      <formula>0.9</formula>
    </cfRule>
    <cfRule type="expression" dxfId="253" priority="20" stopIfTrue="1">
      <formula>IF(O4=1,1,0)</formula>
    </cfRule>
  </conditionalFormatting>
  <conditionalFormatting sqref="D53">
    <cfRule type="expression" dxfId="252" priority="21" stopIfTrue="1">
      <formula>IF(H50&gt;0.5,1,0)</formula>
    </cfRule>
    <cfRule type="expression" dxfId="251" priority="22" stopIfTrue="1">
      <formula>IF(H50&lt;0.2,1,0)</formula>
    </cfRule>
  </conditionalFormatting>
  <conditionalFormatting sqref="D49:D50">
    <cfRule type="expression" dxfId="250" priority="23" stopIfTrue="1">
      <formula>IF(L53&gt;0.5,1,0)</formula>
    </cfRule>
    <cfRule type="expression" dxfId="249" priority="24" stopIfTrue="1">
      <formula>IF(L53&lt;0.2,1,0)</formula>
    </cfRule>
  </conditionalFormatting>
  <conditionalFormatting sqref="BA49:BA79">
    <cfRule type="cellIs" dxfId="248" priority="25" stopIfTrue="1" operator="equal">
      <formula>$BB$86</formula>
    </cfRule>
    <cfRule type="expression" dxfId="247" priority="26" stopIfTrue="1">
      <formula>IF(AX91=1,1,0)</formula>
    </cfRule>
    <cfRule type="expression" dxfId="246" priority="27" stopIfTrue="1">
      <formula>IF(AW91=1,1,0)</formula>
    </cfRule>
  </conditionalFormatting>
  <conditionalFormatting sqref="AQ92:AQ107">
    <cfRule type="cellIs" dxfId="245" priority="28" stopIfTrue="1" operator="equal">
      <formula>$AQ$109</formula>
    </cfRule>
  </conditionalFormatting>
  <conditionalFormatting sqref="AB91:AB121">
    <cfRule type="cellIs" dxfId="244" priority="29" stopIfTrue="1" operator="equal">
      <formula>0</formula>
    </cfRule>
  </conditionalFormatting>
  <conditionalFormatting sqref="AE4:AE34">
    <cfRule type="cellIs" dxfId="243" priority="30" stopIfTrue="1" operator="equal">
      <formula>$AD$86</formula>
    </cfRule>
    <cfRule type="cellIs" dxfId="242" priority="31" stopIfTrue="1" operator="equal">
      <formula>0</formula>
    </cfRule>
  </conditionalFormatting>
  <conditionalFormatting sqref="AY49:AZ79">
    <cfRule type="cellIs" dxfId="241" priority="32" stopIfTrue="1" operator="equal">
      <formula>$BA$84</formula>
    </cfRule>
    <cfRule type="cellIs" dxfId="240" priority="33" stopIfTrue="1" operator="equal">
      <formula>$BB$84</formula>
    </cfRule>
  </conditionalFormatting>
  <conditionalFormatting sqref="AW4:AW34 BI35">
    <cfRule type="cellIs" dxfId="239" priority="34" stopIfTrue="1" operator="equal">
      <formula>$AW$85</formula>
    </cfRule>
    <cfRule type="cellIs" dxfId="238" priority="35" stopIfTrue="1" operator="equal">
      <formula>$AW$86</formula>
    </cfRule>
  </conditionalFormatting>
  <conditionalFormatting sqref="BC35 BD4:BD34">
    <cfRule type="cellIs" dxfId="237" priority="36" stopIfTrue="1" operator="equal">
      <formula>$BD$85</formula>
    </cfRule>
    <cfRule type="cellIs" dxfId="236" priority="37" stopIfTrue="1" operator="equal">
      <formula>$BD$86</formula>
    </cfRule>
  </conditionalFormatting>
  <conditionalFormatting sqref="BC49:BC80">
    <cfRule type="cellIs" dxfId="235" priority="38" stopIfTrue="1" operator="equal">
      <formula>$AU$85</formula>
    </cfRule>
    <cfRule type="cellIs" dxfId="234" priority="39" stopIfTrue="1" operator="equal">
      <formula>$AU$86</formula>
    </cfRule>
  </conditionalFormatting>
  <conditionalFormatting sqref="BD49:BD80">
    <cfRule type="cellIs" dxfId="233" priority="40" stopIfTrue="1" operator="equal">
      <formula>#REF!</formula>
    </cfRule>
    <cfRule type="cellIs" dxfId="232" priority="41" stopIfTrue="1" operator="equal">
      <formula>#REF!</formula>
    </cfRule>
  </conditionalFormatting>
  <conditionalFormatting sqref="BF35 BF4:BG34">
    <cfRule type="cellIs" dxfId="231" priority="42" stopIfTrue="1" operator="equal">
      <formula>$BF$85</formula>
    </cfRule>
    <cfRule type="cellIs" dxfId="230" priority="43" stopIfTrue="1" operator="equal">
      <formula>$BF$86</formula>
    </cfRule>
  </conditionalFormatting>
  <conditionalFormatting sqref="BG35">
    <cfRule type="cellIs" dxfId="229" priority="44" stopIfTrue="1" operator="equal">
      <formula>$BG$85</formula>
    </cfRule>
    <cfRule type="cellIs" dxfId="228" priority="45" stopIfTrue="1" operator="equal">
      <formula>$BG$86</formula>
    </cfRule>
  </conditionalFormatting>
  <conditionalFormatting sqref="BH4:BH35">
    <cfRule type="cellIs" dxfId="227" priority="46" stopIfTrue="1" operator="equal">
      <formula>$BH$85</formula>
    </cfRule>
    <cfRule type="cellIs" dxfId="226" priority="47" stopIfTrue="1" operator="equal">
      <formula>$BH$86</formula>
    </cfRule>
  </conditionalFormatting>
  <conditionalFormatting sqref="BA4:BA35 BB4:BB34">
    <cfRule type="cellIs" dxfId="225" priority="48" stopIfTrue="1" operator="equal">
      <formula>$BA$85</formula>
    </cfRule>
    <cfRule type="cellIs" dxfId="224" priority="49" stopIfTrue="1" operator="equal">
      <formula>$BA$86</formula>
    </cfRule>
  </conditionalFormatting>
  <conditionalFormatting sqref="BF80">
    <cfRule type="cellIs" dxfId="223" priority="50" stopIfTrue="1" operator="greaterThan">
      <formula>0.9</formula>
    </cfRule>
  </conditionalFormatting>
  <conditionalFormatting sqref="BG80">
    <cfRule type="cellIs" dxfId="222" priority="51" stopIfTrue="1" operator="lessThan">
      <formula>0.3</formula>
    </cfRule>
  </conditionalFormatting>
  <conditionalFormatting sqref="BJ8:BJ35">
    <cfRule type="cellIs" dxfId="221" priority="52" stopIfTrue="1" operator="equal">
      <formula>$BJ$85</formula>
    </cfRule>
    <cfRule type="cellIs" dxfId="220" priority="53" stopIfTrue="1" operator="equal">
      <formula>$BJ$86</formula>
    </cfRule>
  </conditionalFormatting>
  <conditionalFormatting sqref="BI4:BI34">
    <cfRule type="cellIs" dxfId="219" priority="54" stopIfTrue="1" operator="equal">
      <formula>$BI$86</formula>
    </cfRule>
    <cfRule type="cellIs" dxfId="218" priority="55" stopIfTrue="1" operator="equal">
      <formula>$BI$85</formula>
    </cfRule>
  </conditionalFormatting>
  <conditionalFormatting sqref="AY35:AZ35">
    <cfRule type="cellIs" dxfId="217" priority="56" stopIfTrue="1" operator="equal">
      <formula>$AY$85</formula>
    </cfRule>
    <cfRule type="cellIs" dxfId="216" priority="57" stopIfTrue="1" operator="equal">
      <formula>$AY$86</formula>
    </cfRule>
  </conditionalFormatting>
  <conditionalFormatting sqref="AY4:AY34">
    <cfRule type="cellIs" dxfId="215" priority="58" stopIfTrue="1" operator="equal">
      <formula>$AY$85</formula>
    </cfRule>
    <cfRule type="cellIs" dxfId="214" priority="59" stopIfTrue="1" operator="equal">
      <formula>$AY$86</formula>
    </cfRule>
  </conditionalFormatting>
  <conditionalFormatting sqref="AM4:AM34 X4:X34">
    <cfRule type="cellIs" dxfId="213" priority="60" stopIfTrue="1" operator="equal">
      <formula>10</formula>
    </cfRule>
    <cfRule type="cellIs" priority="61" stopIfTrue="1" operator="equal">
      <formula>0</formula>
    </cfRule>
  </conditionalFormatting>
  <conditionalFormatting sqref="AK4:AK34">
    <cfRule type="cellIs" dxfId="212" priority="62" stopIfTrue="1" operator="equal">
      <formula>$AH$86</formula>
    </cfRule>
    <cfRule type="cellIs" dxfId="211" priority="63" stopIfTrue="1" operator="equal">
      <formula>$AH$85</formula>
    </cfRule>
  </conditionalFormatting>
  <conditionalFormatting sqref="AR4:AR34">
    <cfRule type="cellIs" dxfId="210" priority="64" stopIfTrue="1" operator="equal">
      <formula>$M$92</formula>
    </cfRule>
  </conditionalFormatting>
  <conditionalFormatting sqref="AV50:AV60 F72:F80 F48:F66">
    <cfRule type="cellIs" dxfId="209" priority="65" stopIfTrue="1" operator="between">
      <formula>0.45</formula>
      <formula>0.55</formula>
    </cfRule>
  </conditionalFormatting>
  <conditionalFormatting sqref="AS8:AS34">
    <cfRule type="cellIs" dxfId="208" priority="66" stopIfTrue="1" operator="equal">
      <formula>$AS$85</formula>
    </cfRule>
    <cfRule type="cellIs" dxfId="207" priority="67" stopIfTrue="1" operator="equal">
      <formula>$AS$86</formula>
    </cfRule>
  </conditionalFormatting>
  <conditionalFormatting sqref="AI4:AI35">
    <cfRule type="cellIs" dxfId="206" priority="68" stopIfTrue="1" operator="equal">
      <formula>$AI$85</formula>
    </cfRule>
    <cfRule type="cellIs" dxfId="205" priority="69" stopIfTrue="1" operator="equal">
      <formula>$AI$86</formula>
    </cfRule>
  </conditionalFormatting>
  <conditionalFormatting sqref="AJ4:AJ35">
    <cfRule type="cellIs" dxfId="204" priority="70" stopIfTrue="1" operator="equal">
      <formula>$AJ$85</formula>
    </cfRule>
    <cfRule type="cellIs" dxfId="203" priority="71" stopIfTrue="1" operator="equal">
      <formula>$AJ$86</formula>
    </cfRule>
  </conditionalFormatting>
  <conditionalFormatting sqref="AT4:AT35">
    <cfRule type="cellIs" dxfId="202" priority="72" stopIfTrue="1" operator="equal">
      <formula>$AT$85</formula>
    </cfRule>
    <cfRule type="cellIs" dxfId="201" priority="73" stopIfTrue="1" operator="equal">
      <formula>$AT$86</formula>
    </cfRule>
  </conditionalFormatting>
  <conditionalFormatting sqref="AU4:AU35">
    <cfRule type="cellIs" dxfId="200" priority="74" stopIfTrue="1" operator="equal">
      <formula>$AU$85</formula>
    </cfRule>
    <cfRule type="cellIs" dxfId="199" priority="75" stopIfTrue="1" operator="equal">
      <formula>$AU$86</formula>
    </cfRule>
  </conditionalFormatting>
  <conditionalFormatting sqref="AV35:AW35 AV4:AV34">
    <cfRule type="cellIs" dxfId="198" priority="76" stopIfTrue="1" operator="equal">
      <formula>$AV$85</formula>
    </cfRule>
    <cfRule type="cellIs" dxfId="197" priority="77" stopIfTrue="1" operator="equal">
      <formula>$AV$86</formula>
    </cfRule>
  </conditionalFormatting>
  <conditionalFormatting sqref="AX4:AX35">
    <cfRule type="cellIs" dxfId="196" priority="78" stopIfTrue="1" operator="equal">
      <formula>$AX$85</formula>
    </cfRule>
    <cfRule type="cellIs" dxfId="195" priority="79" stopIfTrue="1" operator="equal">
      <formula>$AX$86</formula>
    </cfRule>
  </conditionalFormatting>
  <conditionalFormatting sqref="AG4:AG34">
    <cfRule type="cellIs" dxfId="194" priority="80" stopIfTrue="1" operator="equal">
      <formula>$AG$85</formula>
    </cfRule>
    <cfRule type="cellIs" dxfId="193" priority="81" stopIfTrue="1" operator="equal">
      <formula>$AG$86</formula>
    </cfRule>
  </conditionalFormatting>
  <conditionalFormatting sqref="AH4:AH35">
    <cfRule type="cellIs" dxfId="192" priority="82" stopIfTrue="1" operator="equal">
      <formula>$AH$85</formula>
    </cfRule>
    <cfRule type="cellIs" dxfId="191" priority="83" stopIfTrue="1" operator="equal">
      <formula>$AH$86</formula>
    </cfRule>
  </conditionalFormatting>
  <conditionalFormatting sqref="AP4:AP34">
    <cfRule type="cellIs" dxfId="190" priority="84" stopIfTrue="1" operator="equal">
      <formula>$AP$86</formula>
    </cfRule>
    <cfRule type="cellIs" dxfId="189" priority="85" stopIfTrue="1" operator="equal">
      <formula>0.001</formula>
    </cfRule>
  </conditionalFormatting>
  <conditionalFormatting sqref="BH49:BH79">
    <cfRule type="cellIs" dxfId="188" priority="86" stopIfTrue="1" operator="greaterThan">
      <formula>0.9</formula>
    </cfRule>
  </conditionalFormatting>
  <conditionalFormatting sqref="BI49:BI79">
    <cfRule type="cellIs" dxfId="187" priority="87" stopIfTrue="1" operator="greaterThan">
      <formula>0.5</formula>
    </cfRule>
  </conditionalFormatting>
  <conditionalFormatting sqref="X46:X53">
    <cfRule type="cellIs" dxfId="186" priority="88" stopIfTrue="1" operator="equal">
      <formula>$X$55</formula>
    </cfRule>
  </conditionalFormatting>
  <conditionalFormatting sqref="L4:L34">
    <cfRule type="cellIs" dxfId="185" priority="89" stopIfTrue="1" operator="equal">
      <formula>98</formula>
    </cfRule>
    <cfRule type="cellIs" dxfId="184" priority="90" stopIfTrue="1" operator="equal">
      <formula>$L$85</formula>
    </cfRule>
    <cfRule type="cellIs" dxfId="183" priority="91" stopIfTrue="1" operator="equal">
      <formula>$L$86</formula>
    </cfRule>
  </conditionalFormatting>
  <conditionalFormatting sqref="K4:K34">
    <cfRule type="cellIs" dxfId="182" priority="92" stopIfTrue="1" operator="equal">
      <formula>$K$85</formula>
    </cfRule>
    <cfRule type="cellIs" dxfId="181" priority="93" stopIfTrue="1" operator="equal">
      <formula>$K$86</formula>
    </cfRule>
  </conditionalFormatting>
  <conditionalFormatting sqref="I4:I34">
    <cfRule type="cellIs" dxfId="180" priority="94" stopIfTrue="1" operator="equal">
      <formula>$I$85</formula>
    </cfRule>
    <cfRule type="cellIs" dxfId="179" priority="95" stopIfTrue="1" operator="equal">
      <formula>$I$86</formula>
    </cfRule>
  </conditionalFormatting>
  <conditionalFormatting sqref="N4:N34">
    <cfRule type="cellIs" dxfId="178" priority="96" stopIfTrue="1" operator="equal">
      <formula>$N$85</formula>
    </cfRule>
    <cfRule type="cellIs" dxfId="177" priority="97" stopIfTrue="1" operator="equal">
      <formula>$N$86</formula>
    </cfRule>
  </conditionalFormatting>
  <conditionalFormatting sqref="AA34:AB34 AA4:AA33 AB6:AB33">
    <cfRule type="cellIs" dxfId="176" priority="98" stopIfTrue="1" operator="equal">
      <formula>$AA$86</formula>
    </cfRule>
  </conditionalFormatting>
  <conditionalFormatting sqref="P4:P34">
    <cfRule type="cellIs" dxfId="175" priority="99" stopIfTrue="1" operator="equal">
      <formula>$P$85</formula>
    </cfRule>
    <cfRule type="cellIs" dxfId="174" priority="100" stopIfTrue="1" operator="equal">
      <formula>$P$86</formula>
    </cfRule>
  </conditionalFormatting>
  <conditionalFormatting sqref="S4:S34">
    <cfRule type="cellIs" dxfId="173" priority="101" stopIfTrue="1" operator="equal">
      <formula>$S$85</formula>
    </cfRule>
    <cfRule type="cellIs" dxfId="172" priority="102" stopIfTrue="1" operator="equal">
      <formula>$S$86</formula>
    </cfRule>
  </conditionalFormatting>
  <conditionalFormatting sqref="R4:R34">
    <cfRule type="cellIs" dxfId="171" priority="103" stopIfTrue="1" operator="equal">
      <formula>$R$85</formula>
    </cfRule>
    <cfRule type="cellIs" dxfId="170" priority="104" stopIfTrue="1" operator="equal">
      <formula>$R$86</formula>
    </cfRule>
  </conditionalFormatting>
  <conditionalFormatting sqref="Q4:Q34">
    <cfRule type="cellIs" dxfId="169" priority="105" stopIfTrue="1" operator="equal">
      <formula>$Q$85</formula>
    </cfRule>
    <cfRule type="cellIs" dxfId="168" priority="106" stopIfTrue="1" operator="equal">
      <formula>$Q$86</formula>
    </cfRule>
  </conditionalFormatting>
  <conditionalFormatting sqref="U49:U50 U47 U53:U56">
    <cfRule type="cellIs" dxfId="167" priority="107" stopIfTrue="1" operator="equal">
      <formula>$W$86</formula>
    </cfRule>
    <cfRule type="cellIs" dxfId="166" priority="108" stopIfTrue="1" operator="equal">
      <formula>$W$85</formula>
    </cfRule>
  </conditionalFormatting>
  <conditionalFormatting sqref="H4:H35">
    <cfRule type="cellIs" dxfId="165" priority="109" stopIfTrue="1" operator="equal">
      <formula>$H$85</formula>
    </cfRule>
    <cfRule type="cellIs" dxfId="164" priority="110" stopIfTrue="1" operator="equal">
      <formula>$H$86</formula>
    </cfRule>
  </conditionalFormatting>
  <conditionalFormatting sqref="M4:M34">
    <cfRule type="cellIs" dxfId="163" priority="111" stopIfTrue="1" operator="equal">
      <formula>$M$85</formula>
    </cfRule>
    <cfRule type="cellIs" dxfId="162" priority="112" stopIfTrue="1" operator="equal">
      <formula>$M$86</formula>
    </cfRule>
  </conditionalFormatting>
  <conditionalFormatting sqref="AB4:AB5">
    <cfRule type="cellIs" dxfId="161" priority="113" stopIfTrue="1" operator="equal">
      <formula>$X$123</formula>
    </cfRule>
  </conditionalFormatting>
  <conditionalFormatting sqref="G4:G34">
    <cfRule type="cellIs" dxfId="160" priority="114" stopIfTrue="1" operator="equal">
      <formula>$G$86</formula>
    </cfRule>
    <cfRule type="cellIs" dxfId="159" priority="115" stopIfTrue="1" operator="equal">
      <formula>$G$85</formula>
    </cfRule>
    <cfRule type="cellIs" dxfId="158" priority="116" stopIfTrue="1" operator="greaterThan">
      <formula>25</formula>
    </cfRule>
  </conditionalFormatting>
  <conditionalFormatting sqref="AD4:AD34">
    <cfRule type="cellIs" dxfId="157" priority="117" stopIfTrue="1" operator="equal">
      <formula>$AE$86</formula>
    </cfRule>
    <cfRule type="cellIs" dxfId="156" priority="118" stopIfTrue="1" operator="equal">
      <formula>$AE$85</formula>
    </cfRule>
  </conditionalFormatting>
  <conditionalFormatting sqref="AQ4:AQ34">
    <cfRule type="cellIs" dxfId="155" priority="119" stopIfTrue="1" operator="equal">
      <formula>0</formula>
    </cfRule>
    <cfRule type="cellIs" dxfId="154" priority="120" stopIfTrue="1" operator="equal">
      <formula>$AQ$86</formula>
    </cfRule>
    <cfRule type="cellIs" dxfId="153" priority="121" stopIfTrue="1" operator="between">
      <formula>0.1</formula>
      <formula>0.4</formula>
    </cfRule>
  </conditionalFormatting>
  <conditionalFormatting sqref="U4:U34">
    <cfRule type="cellIs" dxfId="152" priority="122" stopIfTrue="1" operator="equal">
      <formula>$U$86</formula>
    </cfRule>
    <cfRule type="cellIs" dxfId="151" priority="123" stopIfTrue="1" operator="equal">
      <formula>$U$85</formula>
    </cfRule>
  </conditionalFormatting>
  <conditionalFormatting sqref="V4:V34">
    <cfRule type="cellIs" dxfId="150" priority="124" stopIfTrue="1" operator="equal">
      <formula>$V$86</formula>
    </cfRule>
    <cfRule type="cellIs" dxfId="149" priority="125" stopIfTrue="1" operator="equal">
      <formula>$V$85</formula>
    </cfRule>
  </conditionalFormatting>
  <conditionalFormatting sqref="W4:W34">
    <cfRule type="cellIs" dxfId="148" priority="126" stopIfTrue="1" operator="equal">
      <formula>$W$86</formula>
    </cfRule>
    <cfRule type="cellIs" dxfId="147" priority="127" stopIfTrue="1" operator="equal">
      <formula>$W$85</formula>
    </cfRule>
  </conditionalFormatting>
  <conditionalFormatting sqref="Z4:Z34">
    <cfRule type="cellIs" dxfId="146" priority="128" stopIfTrue="1" operator="equal">
      <formula>0</formula>
    </cfRule>
    <cfRule type="cellIs" dxfId="145" priority="129" stopIfTrue="1" operator="equal">
      <formula>$Z$86</formula>
    </cfRule>
    <cfRule type="cellIs" dxfId="144" priority="130" stopIfTrue="1" operator="lessThan">
      <formula>0.2</formula>
    </cfRule>
  </conditionalFormatting>
  <conditionalFormatting sqref="E48:E66 AU50:AU60">
    <cfRule type="cellIs" dxfId="143" priority="131" stopIfTrue="1" operator="notBetween">
      <formula>-0.5</formula>
      <formula>0.5</formula>
    </cfRule>
    <cfRule type="cellIs" dxfId="142" priority="132" stopIfTrue="1" operator="between">
      <formula>-0.2</formula>
      <formula>0.2</formula>
    </cfRule>
  </conditionalFormatting>
  <conditionalFormatting sqref="E72:E80">
    <cfRule type="cellIs" dxfId="141" priority="133" stopIfTrue="1" operator="notBetween">
      <formula>-0.5</formula>
      <formula>0.5</formula>
    </cfRule>
    <cfRule type="cellIs" dxfId="140" priority="134" stopIfTrue="1" operator="between">
      <formula>-0.2</formula>
      <formula>0.2</formula>
    </cfRule>
  </conditionalFormatting>
  <conditionalFormatting sqref="BC4:BC34">
    <cfRule type="cellIs" dxfId="139" priority="135" stopIfTrue="1" operator="equal">
      <formula>$BC$85</formula>
    </cfRule>
    <cfRule type="cellIs" dxfId="138" priority="136" stopIfTrue="1" operator="equal">
      <formula>$BC$86</formula>
    </cfRule>
  </conditionalFormatting>
  <pageMargins left="0.75" right="0.75" top="1" bottom="1" header="0.5" footer="0.5"/>
  <pageSetup paperSize="9" orientation="portrait" horizontalDpi="4294967293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 enableFormatConditionsCalculation="0">
    <tabColor indexed="44"/>
  </sheetPr>
  <dimension ref="AA7"/>
  <sheetViews>
    <sheetView zoomScale="75" workbookViewId="0"/>
  </sheetViews>
  <sheetFormatPr defaultRowHeight="12.75" x14ac:dyDescent="0.2"/>
  <sheetData>
    <row r="7" spans="27:27" ht="15.75" x14ac:dyDescent="0.25">
      <c r="AA7" s="614" t="s">
        <v>504</v>
      </c>
    </row>
  </sheetData>
  <phoneticPr fontId="4" type="noConversion"/>
  <pageMargins left="0.75" right="0.75" top="1" bottom="1" header="0.5" footer="0.5"/>
  <headerFooter alignWithMargins="0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 enableFormatConditionsCalculation="0">
    <tabColor indexed="40"/>
  </sheetPr>
  <dimension ref="A1:CK134"/>
  <sheetViews>
    <sheetView zoomScale="90" workbookViewId="0">
      <pane xSplit="1" topLeftCell="B1" activePane="topRight" state="frozen"/>
      <selection activeCell="AN72" sqref="AN72"/>
      <selection pane="topRight"/>
    </sheetView>
  </sheetViews>
  <sheetFormatPr defaultRowHeight="0" customHeight="1" zeroHeight="1" x14ac:dyDescent="0.2"/>
  <cols>
    <col min="1" max="1" width="2.85546875" style="1" customWidth="1"/>
    <col min="2" max="2" width="5.140625" style="1" customWidth="1"/>
    <col min="3" max="3" width="5.140625" style="7" customWidth="1"/>
    <col min="4" max="4" width="13" style="1" customWidth="1"/>
    <col min="5" max="5" width="8.85546875" style="1" customWidth="1"/>
    <col min="6" max="9" width="9.28515625" style="1" customWidth="1"/>
    <col min="10" max="10" width="0.7109375" style="1" customWidth="1"/>
    <col min="11" max="13" width="8.5703125" style="1" customWidth="1"/>
    <col min="14" max="14" width="7.85546875" style="1" customWidth="1"/>
    <col min="15" max="15" width="1" style="1" customWidth="1"/>
    <col min="16" max="17" width="7.28515625" style="1" customWidth="1"/>
    <col min="18" max="18" width="8.5703125" style="1" customWidth="1"/>
    <col min="19" max="19" width="7.140625" style="1" customWidth="1"/>
    <col min="20" max="20" width="0.7109375" style="1" customWidth="1"/>
    <col min="21" max="22" width="9.28515625" style="1" customWidth="1"/>
    <col min="23" max="23" width="9.7109375" style="1" customWidth="1"/>
    <col min="24" max="24" width="9.28515625" style="1" customWidth="1"/>
    <col min="25" max="25" width="0.85546875" style="1" customWidth="1"/>
    <col min="26" max="26" width="10.42578125" style="1" customWidth="1"/>
    <col min="27" max="27" width="9.42578125" style="1" customWidth="1"/>
    <col min="28" max="28" width="10.5703125" style="1" customWidth="1"/>
    <col min="29" max="29" width="9.28515625" style="1" customWidth="1"/>
    <col min="30" max="30" width="9.85546875" style="1" customWidth="1"/>
    <col min="31" max="31" width="10.140625" style="1" customWidth="1"/>
    <col min="32" max="32" width="0.85546875" style="1" customWidth="1"/>
    <col min="33" max="34" width="8.42578125" style="1" customWidth="1"/>
    <col min="35" max="35" width="8.85546875" style="1" customWidth="1"/>
    <col min="36" max="36" width="8.42578125" style="1" customWidth="1"/>
    <col min="37" max="37" width="0.5703125" style="1" customWidth="1"/>
    <col min="38" max="38" width="8.140625" style="1" customWidth="1"/>
    <col min="39" max="39" width="0.42578125" style="1" customWidth="1"/>
    <col min="40" max="40" width="43.42578125" style="1" customWidth="1"/>
    <col min="41" max="41" width="0.7109375" style="1" customWidth="1"/>
    <col min="42" max="43" width="7.85546875" style="1" customWidth="1"/>
    <col min="44" max="44" width="0.7109375" style="1" customWidth="1"/>
    <col min="45" max="48" width="8.85546875" style="1" customWidth="1"/>
    <col min="49" max="49" width="8.5703125" style="1" customWidth="1"/>
    <col min="50" max="51" width="9.140625" style="1" customWidth="1"/>
    <col min="52" max="52" width="0.5703125" style="1" customWidth="1"/>
    <col min="53" max="53" width="8.28515625" style="1" customWidth="1"/>
    <col min="54" max="54" width="7.7109375" style="1" customWidth="1"/>
    <col min="55" max="55" width="8.5703125" style="1" customWidth="1"/>
    <col min="56" max="56" width="8.85546875" style="1" customWidth="1"/>
    <col min="57" max="57" width="0.5703125" style="1" customWidth="1"/>
    <col min="58" max="62" width="8.85546875" style="1" customWidth="1"/>
    <col min="63" max="63" width="1" style="1" customWidth="1"/>
    <col min="64" max="64" width="2.140625" style="1" customWidth="1"/>
    <col min="65" max="89" width="1.140625" style="1" hidden="1" customWidth="1"/>
    <col min="90" max="91" width="0" style="1" hidden="1" customWidth="1"/>
    <col min="92" max="16384" width="9.140625" style="1"/>
  </cols>
  <sheetData>
    <row r="1" spans="1:64" ht="13.5" customHeight="1" x14ac:dyDescent="0.2">
      <c r="A1" s="88">
        <v>1</v>
      </c>
      <c r="B1" s="676" t="s">
        <v>100</v>
      </c>
      <c r="C1" s="677" t="s">
        <v>99</v>
      </c>
      <c r="D1" s="109">
        <f ca="1">D2/E1</f>
        <v>70.374134286814979</v>
      </c>
      <c r="E1" s="98">
        <f ca="1">COUNT(A3:BL88)</f>
        <v>2498</v>
      </c>
      <c r="F1" s="678" t="s">
        <v>186</v>
      </c>
      <c r="G1" s="678"/>
      <c r="H1" s="678"/>
      <c r="I1" s="678"/>
      <c r="J1" s="6"/>
      <c r="K1" s="679" t="s">
        <v>147</v>
      </c>
      <c r="L1" s="679"/>
      <c r="M1" s="679"/>
      <c r="N1" s="680"/>
      <c r="O1" s="2"/>
      <c r="P1" s="664" t="s">
        <v>0</v>
      </c>
      <c r="Q1" s="664"/>
      <c r="R1" s="664"/>
      <c r="S1" s="665"/>
      <c r="T1" s="3"/>
      <c r="U1" s="666" t="s">
        <v>139</v>
      </c>
      <c r="V1" s="666"/>
      <c r="W1" s="666"/>
      <c r="X1" s="666"/>
      <c r="Y1" s="86"/>
      <c r="Z1" s="674" t="s">
        <v>107</v>
      </c>
      <c r="AA1" s="674"/>
      <c r="AB1" s="674"/>
      <c r="AC1" s="675"/>
      <c r="AD1" s="673" t="s">
        <v>198</v>
      </c>
      <c r="AE1" s="673"/>
      <c r="AF1" s="137"/>
      <c r="AG1" s="672" t="s">
        <v>157</v>
      </c>
      <c r="AH1" s="672"/>
      <c r="AI1" s="672"/>
      <c r="AJ1" s="672"/>
      <c r="AK1" s="6"/>
      <c r="AL1" s="690" t="s">
        <v>252</v>
      </c>
      <c r="AM1" s="86"/>
      <c r="AN1" s="667" t="s">
        <v>1</v>
      </c>
      <c r="AO1" s="399"/>
      <c r="AP1" s="691" t="s">
        <v>122</v>
      </c>
      <c r="AQ1" s="671" t="s">
        <v>192</v>
      </c>
      <c r="AR1" s="86"/>
      <c r="AS1" s="670" t="s">
        <v>12</v>
      </c>
      <c r="AT1" s="670"/>
      <c r="AU1" s="670"/>
      <c r="AV1" s="670"/>
      <c r="AW1" s="670"/>
      <c r="AX1" s="670"/>
      <c r="AY1" s="670"/>
      <c r="AZ1" s="6"/>
      <c r="BA1" s="667" t="s">
        <v>366</v>
      </c>
      <c r="BB1" s="667"/>
      <c r="BC1" s="667"/>
      <c r="BD1" s="667"/>
      <c r="BE1" s="67"/>
      <c r="BF1" s="667" t="s">
        <v>20</v>
      </c>
      <c r="BG1" s="667"/>
      <c r="BH1" s="667"/>
      <c r="BI1" s="667"/>
      <c r="BJ1" s="667"/>
      <c r="BK1" s="88"/>
      <c r="BL1" s="78"/>
    </row>
    <row r="2" spans="1:64" ht="12.75" customHeight="1" x14ac:dyDescent="0.2">
      <c r="A2" s="67"/>
      <c r="B2" s="676"/>
      <c r="C2" s="677"/>
      <c r="D2" s="104">
        <f ca="1">SUM(A3:BL88)</f>
        <v>175794.5874484638</v>
      </c>
      <c r="E2" s="292" t="s">
        <v>150</v>
      </c>
      <c r="F2" s="468" t="s">
        <v>101</v>
      </c>
      <c r="G2" s="469" t="s">
        <v>102</v>
      </c>
      <c r="H2" s="470" t="s">
        <v>156</v>
      </c>
      <c r="I2" s="471" t="s">
        <v>5</v>
      </c>
      <c r="J2" s="6"/>
      <c r="K2" s="212" t="s">
        <v>2</v>
      </c>
      <c r="L2" s="213" t="s">
        <v>3</v>
      </c>
      <c r="M2" s="395" t="s">
        <v>156</v>
      </c>
      <c r="N2" s="398" t="s">
        <v>5</v>
      </c>
      <c r="O2" s="20"/>
      <c r="P2" s="264" t="s">
        <v>2</v>
      </c>
      <c r="Q2" s="258" t="s">
        <v>3</v>
      </c>
      <c r="R2" s="265" t="s">
        <v>4</v>
      </c>
      <c r="S2" s="4" t="s">
        <v>5</v>
      </c>
      <c r="T2" s="67"/>
      <c r="U2" s="217" t="s">
        <v>156</v>
      </c>
      <c r="V2" s="97" t="s">
        <v>3</v>
      </c>
      <c r="W2" s="97" t="s">
        <v>154</v>
      </c>
      <c r="X2" s="217" t="s">
        <v>104</v>
      </c>
      <c r="Y2" s="133"/>
      <c r="Z2" s="424" t="s">
        <v>152</v>
      </c>
      <c r="AA2" s="458" t="s">
        <v>108</v>
      </c>
      <c r="AB2" s="458" t="s">
        <v>197</v>
      </c>
      <c r="AC2" s="508" t="s">
        <v>141</v>
      </c>
      <c r="AD2" s="179" t="s">
        <v>4</v>
      </c>
      <c r="AE2" s="179" t="s">
        <v>3</v>
      </c>
      <c r="AF2" s="68"/>
      <c r="AG2" s="299" t="s">
        <v>2</v>
      </c>
      <c r="AH2" s="309" t="s">
        <v>3</v>
      </c>
      <c r="AI2" s="308" t="s">
        <v>156</v>
      </c>
      <c r="AJ2" s="99" t="s">
        <v>5</v>
      </c>
      <c r="AK2" s="310"/>
      <c r="AL2" s="690"/>
      <c r="AM2" s="86"/>
      <c r="AN2" s="667"/>
      <c r="AO2" s="399"/>
      <c r="AP2" s="692"/>
      <c r="AQ2" s="671"/>
      <c r="AR2" s="86"/>
      <c r="AS2" s="181" t="s">
        <v>21</v>
      </c>
      <c r="AT2" s="294" t="s">
        <v>22</v>
      </c>
      <c r="AU2" s="295" t="s">
        <v>23</v>
      </c>
      <c r="AV2" s="365" t="s">
        <v>24</v>
      </c>
      <c r="AW2" s="263" t="s">
        <v>187</v>
      </c>
      <c r="AX2" s="374" t="s">
        <v>188</v>
      </c>
      <c r="AY2" s="371" t="s">
        <v>124</v>
      </c>
      <c r="AZ2" s="6"/>
      <c r="BA2" s="181" t="s">
        <v>21</v>
      </c>
      <c r="BB2" s="294" t="s">
        <v>22</v>
      </c>
      <c r="BC2" s="295" t="s">
        <v>23</v>
      </c>
      <c r="BD2" s="365" t="s">
        <v>24</v>
      </c>
      <c r="BE2" s="67"/>
      <c r="BF2" s="181" t="s">
        <v>21</v>
      </c>
      <c r="BG2" s="294" t="s">
        <v>25</v>
      </c>
      <c r="BH2" s="365" t="s">
        <v>24</v>
      </c>
      <c r="BI2" s="179" t="s">
        <v>7</v>
      </c>
      <c r="BJ2" s="419" t="s">
        <v>196</v>
      </c>
      <c r="BK2" s="88"/>
      <c r="BL2" s="78"/>
    </row>
    <row r="3" spans="1:64" ht="1.5" customHeight="1" x14ac:dyDescent="0.2">
      <c r="A3" s="67"/>
      <c r="B3" s="128"/>
      <c r="C3" s="283"/>
      <c r="D3" s="67"/>
      <c r="E3" s="68"/>
      <c r="F3" s="68"/>
      <c r="G3" s="68"/>
      <c r="H3" s="68"/>
      <c r="I3" s="68"/>
      <c r="J3" s="6"/>
      <c r="K3" s="68"/>
      <c r="L3" s="68"/>
      <c r="M3" s="68"/>
      <c r="N3" s="84"/>
      <c r="O3" s="20"/>
      <c r="P3" s="257"/>
      <c r="Q3" s="68"/>
      <c r="R3" s="68"/>
      <c r="S3" s="68"/>
      <c r="T3" s="67"/>
      <c r="U3" s="63"/>
      <c r="V3" s="63"/>
      <c r="W3" s="63"/>
      <c r="X3" s="63"/>
      <c r="Y3" s="67"/>
      <c r="Z3" s="425"/>
      <c r="AA3" s="500"/>
      <c r="AB3" s="500"/>
      <c r="AC3" s="509"/>
      <c r="AD3" s="63"/>
      <c r="AE3" s="63"/>
      <c r="AF3" s="67"/>
      <c r="AG3" s="63"/>
      <c r="AH3" s="63"/>
      <c r="AI3" s="63"/>
      <c r="AJ3" s="63"/>
      <c r="AK3" s="67"/>
      <c r="AL3" s="132"/>
      <c r="AM3" s="6"/>
      <c r="AN3" s="67"/>
      <c r="AO3" s="88"/>
      <c r="AP3" s="63"/>
      <c r="AQ3" s="63"/>
      <c r="AR3" s="67"/>
      <c r="AS3" s="67"/>
      <c r="AT3" s="67"/>
      <c r="AU3" s="67"/>
      <c r="AV3" s="366"/>
      <c r="AW3" s="67"/>
      <c r="AX3" s="375"/>
      <c r="AY3" s="372"/>
      <c r="AZ3" s="6"/>
      <c r="BA3" s="67"/>
      <c r="BB3" s="67"/>
      <c r="BC3" s="6"/>
      <c r="BD3" s="366"/>
      <c r="BE3" s="67"/>
      <c r="BF3" s="67"/>
      <c r="BG3" s="67"/>
      <c r="BH3" s="366"/>
      <c r="BI3" s="6"/>
      <c r="BJ3" s="87"/>
      <c r="BK3" s="88"/>
      <c r="BL3" s="78"/>
    </row>
    <row r="4" spans="1:64" ht="12.75" customHeight="1" x14ac:dyDescent="0.2">
      <c r="A4" s="433">
        <v>1</v>
      </c>
      <c r="B4" s="131">
        <v>9.6</v>
      </c>
      <c r="C4" s="282">
        <v>10.7</v>
      </c>
      <c r="D4" s="685" t="s">
        <v>425</v>
      </c>
      <c r="E4" s="121">
        <v>1</v>
      </c>
      <c r="F4" s="23">
        <v>5.9</v>
      </c>
      <c r="G4" s="23">
        <v>11.6</v>
      </c>
      <c r="H4" s="26">
        <v>9.5</v>
      </c>
      <c r="I4" s="23">
        <v>5.7</v>
      </c>
      <c r="J4" s="6">
        <f>IF(C4=G4,0,1)</f>
        <v>1</v>
      </c>
      <c r="K4" s="24">
        <v>66</v>
      </c>
      <c r="L4" s="24">
        <v>93</v>
      </c>
      <c r="M4" s="27">
        <v>81</v>
      </c>
      <c r="N4" s="24">
        <v>27</v>
      </c>
      <c r="O4" s="50">
        <f>IF(B4=F4,0,1)</f>
        <v>1</v>
      </c>
      <c r="P4" s="24">
        <v>1005</v>
      </c>
      <c r="Q4" s="24">
        <v>1009</v>
      </c>
      <c r="R4" s="24">
        <f>IF(AND(P4&gt;900,P4&lt;1100),AVERAGE(P4:Q4),"")</f>
        <v>1007</v>
      </c>
      <c r="S4" s="24">
        <f>IF(AND(P4&gt;800,P4&lt;1100),Q4-P4,"")</f>
        <v>4</v>
      </c>
      <c r="T4" s="50"/>
      <c r="U4" s="143">
        <v>4.2</v>
      </c>
      <c r="V4" s="143">
        <v>20.6</v>
      </c>
      <c r="W4" s="26">
        <v>28.6</v>
      </c>
      <c r="X4" s="123" t="s">
        <v>110</v>
      </c>
      <c r="Y4" s="324">
        <f>IF(OR(H4&lt;-20,H4&gt;40),"",IF(AQ4&lt;0.5,0,IF(Z4=0,0,IF(Z4&lt;1,1,2))))</f>
        <v>2</v>
      </c>
      <c r="Z4" s="426">
        <v>6.1</v>
      </c>
      <c r="AA4" s="38">
        <v>1.7</v>
      </c>
      <c r="AB4" s="38">
        <v>0.5</v>
      </c>
      <c r="AC4" s="510">
        <f>IF(AND(Z4&lt;300,Z4&gt;0),Z4/$Z$38,"")</f>
        <v>0.10854092526690393</v>
      </c>
      <c r="AD4" s="7">
        <f>IF(OR(Z4&lt;0.3,Z4&gt;300),"",Z4/AQ4)</f>
        <v>0.87142857142857133</v>
      </c>
      <c r="AE4" s="145">
        <v>3.4</v>
      </c>
      <c r="AF4" s="56"/>
      <c r="AG4" s="7">
        <v>4.2</v>
      </c>
      <c r="AH4" s="7">
        <v>10</v>
      </c>
      <c r="AI4" s="7">
        <v>6.5</v>
      </c>
      <c r="AJ4" s="7">
        <f>IF(AND(AG4&gt;-40,AG4&lt;30),AH4-AG4,"")</f>
        <v>5.8</v>
      </c>
      <c r="AK4" s="54"/>
      <c r="AL4" s="27" t="s">
        <v>772</v>
      </c>
      <c r="AM4" s="134"/>
      <c r="AN4" s="23" t="s">
        <v>773</v>
      </c>
      <c r="AO4" s="400"/>
      <c r="AP4" s="123">
        <v>1</v>
      </c>
      <c r="AQ4" s="123">
        <v>7</v>
      </c>
      <c r="AR4" s="134"/>
      <c r="AS4" s="26">
        <f>IF(ISBLANK(F4),"",(AVERAGE($F$4:F4)))</f>
        <v>5.9</v>
      </c>
      <c r="AT4" s="25">
        <f>IF(ISBLANK(G4),"",(AVERAGE($G$4:G4)))</f>
        <v>11.6</v>
      </c>
      <c r="AU4" s="25">
        <f>IF(ISBLANK(H4),"",(AVERAGE($H$4:H4)))</f>
        <v>9.5</v>
      </c>
      <c r="AV4" s="367">
        <f>IF(ISBLANK(G4),"",(AVERAGE($I$4:I4)))</f>
        <v>5.7</v>
      </c>
      <c r="AW4" s="22">
        <f>IF(ISBLANK(M4),"",AVERAGE($M$4:M4))</f>
        <v>81</v>
      </c>
      <c r="AX4" s="376">
        <f>IF(ISBLANK(P4),"",(AVERAGE($R$4:R4)))</f>
        <v>1007</v>
      </c>
      <c r="AY4" s="368">
        <f>IF(ISBLANK(U4),"",(AVERAGE($U$4:U4)))</f>
        <v>4.2</v>
      </c>
      <c r="AZ4" s="6"/>
      <c r="BA4" s="25">
        <f>IF(ISBLANK(F4),"",F4-F91)</f>
        <v>2.2420833333333343</v>
      </c>
      <c r="BB4" s="25">
        <f>IF(ISBLANK(G4),"",G4-G91)</f>
        <v>2.6687499999999993</v>
      </c>
      <c r="BC4" s="25">
        <f>IF(ISBLANK(G4),"",AVERAGE(BA4:BB4))</f>
        <v>2.4554166666666668</v>
      </c>
      <c r="BD4" s="367">
        <f>IF(ISBLANK(G4),"",BB4-BA4)</f>
        <v>0.42666666666666497</v>
      </c>
      <c r="BE4" s="67"/>
      <c r="BF4" s="25">
        <f>IF(ISBLANK(F4),"",AS4-AVERAGE($F$91:F91))</f>
        <v>2.2420833333333343</v>
      </c>
      <c r="BG4" s="25">
        <f>IF(ISBLANK(G4),"",AT4-AVERAGE($G$91:G91))</f>
        <v>2.6687499999999993</v>
      </c>
      <c r="BH4" s="367">
        <f>IF(ISBLANK(G4),"",BG4-BF4)</f>
        <v>0.42666666666666497</v>
      </c>
      <c r="BI4" s="115">
        <f t="shared" ref="BI4:BI33" si="0">IF(ISBLANK(Z4),"",AB91/AA91)</f>
        <v>2.8651515151515152</v>
      </c>
      <c r="BJ4" s="115">
        <f t="shared" ref="BJ4:BJ34" si="1">IF(ISBLANK(AP4),"",AG91/AH91)</f>
        <v>0.6262304077121944</v>
      </c>
      <c r="BK4" s="402"/>
      <c r="BL4" s="572">
        <v>1</v>
      </c>
    </row>
    <row r="5" spans="1:64" ht="12.75" customHeight="1" x14ac:dyDescent="0.2">
      <c r="A5" s="394">
        <f t="shared" ref="A5:A33" si="2">SUM(A4+1)</f>
        <v>2</v>
      </c>
      <c r="B5" s="131">
        <v>2.7</v>
      </c>
      <c r="C5" s="282">
        <v>6.9</v>
      </c>
      <c r="D5" s="685"/>
      <c r="E5" s="97">
        <f t="shared" ref="E5:E33" si="3">SUM(E4+1)</f>
        <v>2</v>
      </c>
      <c r="F5" s="23">
        <v>2.7</v>
      </c>
      <c r="G5" s="23">
        <v>8.1</v>
      </c>
      <c r="H5" s="26">
        <v>5.3</v>
      </c>
      <c r="I5" s="23">
        <v>5.4</v>
      </c>
      <c r="J5" s="6">
        <f t="shared" ref="J5:J34" si="4">IF(C5=G5,0,1)</f>
        <v>1</v>
      </c>
      <c r="K5" s="24">
        <v>77</v>
      </c>
      <c r="L5" s="24">
        <v>95</v>
      </c>
      <c r="M5" s="27">
        <v>88</v>
      </c>
      <c r="N5" s="24">
        <v>18</v>
      </c>
      <c r="O5" s="50">
        <f t="shared" ref="O5:O34" si="5">IF(B5=F5,0,1)</f>
        <v>0</v>
      </c>
      <c r="P5" s="24">
        <v>1006</v>
      </c>
      <c r="Q5" s="24">
        <v>1014</v>
      </c>
      <c r="R5" s="24">
        <f t="shared" ref="R5:R34" si="6">IF(AND(P5&gt;900,P5&lt;1100),AVERAGE(P5:Q5),"")</f>
        <v>1010</v>
      </c>
      <c r="S5" s="24">
        <f t="shared" ref="S5:S34" si="7">IF(AND(P5&gt;800,P5&lt;1100),Q5-P5,"")</f>
        <v>8</v>
      </c>
      <c r="T5" s="50"/>
      <c r="U5" s="143">
        <v>4.4000000000000004</v>
      </c>
      <c r="V5" s="143">
        <v>16.3</v>
      </c>
      <c r="W5" s="26">
        <v>24.4</v>
      </c>
      <c r="X5" s="123" t="s">
        <v>110</v>
      </c>
      <c r="Y5" s="324">
        <f t="shared" ref="Y5:Y34" si="8">IF(OR(H5&lt;-20,H5&gt;40),"",IF(AQ5&lt;0.5,0,IF(Z5=0,0,IF(Z5&lt;1,1,2))))</f>
        <v>1</v>
      </c>
      <c r="Z5" s="426">
        <v>0.3</v>
      </c>
      <c r="AA5" s="38">
        <v>0.3</v>
      </c>
      <c r="AB5" s="38" t="s">
        <v>8</v>
      </c>
      <c r="AC5" s="510">
        <f t="shared" ref="AC5:AC34" si="9">IF(AND(Z5&lt;300,Z5&gt;0),Z5/$Z$38,"")</f>
        <v>5.3380782918149476E-3</v>
      </c>
      <c r="AD5" s="7">
        <f t="shared" ref="AD5:AD34" si="10">IF(OR(Z5&lt;0.3,Z5&gt;300),"",Z5/AQ5)</f>
        <v>0.3</v>
      </c>
      <c r="AE5" s="145" t="s">
        <v>8</v>
      </c>
      <c r="AF5" s="56"/>
      <c r="AG5" s="7">
        <v>1.3</v>
      </c>
      <c r="AH5" s="7">
        <v>6.4</v>
      </c>
      <c r="AI5" s="7">
        <v>3.5</v>
      </c>
      <c r="AJ5" s="7">
        <f t="shared" ref="AJ5:AJ34" si="11">IF(AND(AG5&gt;-40,AG5&lt;30),AH5-AG5,"")</f>
        <v>5.1000000000000005</v>
      </c>
      <c r="AK5" s="54"/>
      <c r="AL5" s="123" t="s">
        <v>774</v>
      </c>
      <c r="AM5" s="134"/>
      <c r="AN5" s="391" t="s">
        <v>775</v>
      </c>
      <c r="AO5" s="400"/>
      <c r="AP5" s="123">
        <v>5</v>
      </c>
      <c r="AQ5" s="123">
        <v>1</v>
      </c>
      <c r="AR5" s="134"/>
      <c r="AS5" s="26">
        <f>IF(ISBLANK(F5),"",(AVERAGE($F$4:F5)))</f>
        <v>4.3000000000000007</v>
      </c>
      <c r="AT5" s="26">
        <f>IF(ISBLANK(G5),"",(AVERAGE($G$4:G5)))</f>
        <v>9.85</v>
      </c>
      <c r="AU5" s="25">
        <f>IF(ISBLANK(H5),"",(AVERAGE($H$4:H5)))</f>
        <v>7.4</v>
      </c>
      <c r="AV5" s="368">
        <f>IF(ISBLANK(G5),"",(AVERAGE($I$4:I5)))</f>
        <v>5.5500000000000007</v>
      </c>
      <c r="AW5" s="22">
        <f>IF(ISBLANK(M5),"",AVERAGE($M$4:M5))</f>
        <v>84.5</v>
      </c>
      <c r="AX5" s="376">
        <f>IF(ISBLANK(P5),"",(AVERAGE($R$4:R5)))</f>
        <v>1008.5</v>
      </c>
      <c r="AY5" s="368">
        <f>IF(ISBLANK(U5),"",(AVERAGE($U$4:U5)))</f>
        <v>4.3000000000000007</v>
      </c>
      <c r="AZ5" s="6"/>
      <c r="BA5" s="25">
        <f t="shared" ref="BA5:BA34" si="12">IF(ISBLANK(F5),"",F5-F92)</f>
        <v>-0.92333333333333245</v>
      </c>
      <c r="BB5" s="25">
        <f t="shared" ref="BB5:BB34" si="13">IF(ISBLANK(G5),"",G5-G92)</f>
        <v>-0.74999999999999467</v>
      </c>
      <c r="BC5" s="25">
        <f>IF(ISBLANK(G5),"",AVERAGE(BA5:BB5))</f>
        <v>-0.83666666666666356</v>
      </c>
      <c r="BD5" s="367">
        <f>IF(ISBLANK(G5),"",BB5-BA5)</f>
        <v>0.17333333333333778</v>
      </c>
      <c r="BE5" s="72"/>
      <c r="BF5" s="25">
        <f>IF(ISBLANK(F5),"",AS5-AVERAGE($F$91:F92))</f>
        <v>0.6593750000000016</v>
      </c>
      <c r="BG5" s="25">
        <f>IF(ISBLANK(G5),"",AT5-AVERAGE($G$91:G92))</f>
        <v>0.9593750000000032</v>
      </c>
      <c r="BH5" s="367">
        <f t="shared" ref="BH5:BH10" si="14">IF(ISBLANK(G5),"",BG5-BF5)</f>
        <v>0.3000000000000016</v>
      </c>
      <c r="BI5" s="115">
        <f t="shared" si="0"/>
        <v>1.5030303030303029</v>
      </c>
      <c r="BJ5" s="115">
        <f t="shared" si="1"/>
        <v>1.8823392078426053</v>
      </c>
      <c r="BK5" s="420"/>
      <c r="BL5" s="572">
        <v>2</v>
      </c>
    </row>
    <row r="6" spans="1:64" ht="12.75" customHeight="1" x14ac:dyDescent="0.2">
      <c r="A6" s="394">
        <f t="shared" si="2"/>
        <v>3</v>
      </c>
      <c r="B6" s="131">
        <v>7.3</v>
      </c>
      <c r="C6" s="282">
        <v>11.3</v>
      </c>
      <c r="D6" s="685"/>
      <c r="E6" s="97">
        <f t="shared" si="3"/>
        <v>3</v>
      </c>
      <c r="F6" s="23">
        <v>7.7</v>
      </c>
      <c r="G6" s="23">
        <v>11.3</v>
      </c>
      <c r="H6" s="26">
        <v>9.9</v>
      </c>
      <c r="I6" s="23">
        <v>3.6</v>
      </c>
      <c r="J6" s="6">
        <f t="shared" si="4"/>
        <v>0</v>
      </c>
      <c r="K6" s="24">
        <v>56</v>
      </c>
      <c r="L6" s="24">
        <v>94</v>
      </c>
      <c r="M6" s="27">
        <v>78</v>
      </c>
      <c r="N6" s="24">
        <v>38</v>
      </c>
      <c r="O6" s="50">
        <f t="shared" si="5"/>
        <v>1</v>
      </c>
      <c r="P6" s="24">
        <v>1000</v>
      </c>
      <c r="Q6" s="24">
        <v>1006</v>
      </c>
      <c r="R6" s="24">
        <f t="shared" si="6"/>
        <v>1003</v>
      </c>
      <c r="S6" s="24">
        <f t="shared" si="7"/>
        <v>6</v>
      </c>
      <c r="T6" s="50"/>
      <c r="U6" s="143">
        <v>7</v>
      </c>
      <c r="V6" s="143">
        <v>16.100000000000001</v>
      </c>
      <c r="W6" s="26">
        <v>23.5</v>
      </c>
      <c r="X6" s="123" t="s">
        <v>110</v>
      </c>
      <c r="Y6" s="324">
        <f t="shared" si="8"/>
        <v>1</v>
      </c>
      <c r="Z6" s="426">
        <v>0.5</v>
      </c>
      <c r="AA6" s="38">
        <v>0.3</v>
      </c>
      <c r="AB6" s="38">
        <v>0.3</v>
      </c>
      <c r="AC6" s="510">
        <f t="shared" si="9"/>
        <v>8.8967971530249136E-3</v>
      </c>
      <c r="AD6" s="7">
        <f t="shared" si="10"/>
        <v>0.5</v>
      </c>
      <c r="AE6" s="145" t="s">
        <v>8</v>
      </c>
      <c r="AF6" s="56"/>
      <c r="AG6" s="7">
        <v>2.2000000000000002</v>
      </c>
      <c r="AH6" s="7">
        <v>9.9</v>
      </c>
      <c r="AI6" s="7">
        <v>6.1</v>
      </c>
      <c r="AJ6" s="7">
        <f t="shared" si="11"/>
        <v>7.7</v>
      </c>
      <c r="AK6" s="54"/>
      <c r="AL6" s="123" t="s">
        <v>242</v>
      </c>
      <c r="AM6" s="134"/>
      <c r="AN6" s="391" t="s">
        <v>776</v>
      </c>
      <c r="AO6" s="401"/>
      <c r="AP6" s="123">
        <v>1.5</v>
      </c>
      <c r="AQ6" s="123">
        <v>1</v>
      </c>
      <c r="AR6" s="134"/>
      <c r="AS6" s="26">
        <f>IF(ISBLANK(F6),"",(AVERAGE($F$4:F6)))</f>
        <v>5.4333333333333336</v>
      </c>
      <c r="AT6" s="26">
        <f>IF(ISBLANK(G6),"",(AVERAGE($G$4:G6)))</f>
        <v>10.333333333333334</v>
      </c>
      <c r="AU6" s="25">
        <f>IF(ISBLANK(H6),"",(AVERAGE($H$4:H6)))</f>
        <v>8.2333333333333343</v>
      </c>
      <c r="AV6" s="368">
        <f>IF(ISBLANK(G6),"",(AVERAGE($I$4:I6)))</f>
        <v>4.9000000000000004</v>
      </c>
      <c r="AW6" s="22">
        <f>IF(ISBLANK(M6),"",AVERAGE($M$4:M6))</f>
        <v>82.333333333333329</v>
      </c>
      <c r="AX6" s="376">
        <f>IF(ISBLANK(P6),"",(AVERAGE($R$4:R6)))</f>
        <v>1006.6666666666666</v>
      </c>
      <c r="AY6" s="368">
        <f>IF(ISBLANK(U6),"",(AVERAGE($U$4:U6)))</f>
        <v>5.2</v>
      </c>
      <c r="AZ6" s="6"/>
      <c r="BA6" s="25">
        <f t="shared" si="12"/>
        <v>4.1112500000000001</v>
      </c>
      <c r="BB6" s="25">
        <f t="shared" si="13"/>
        <v>2.5312500000000071</v>
      </c>
      <c r="BC6" s="25">
        <f>IF(ISBLANK(G6),"",AVERAGE(BA6:BB6))</f>
        <v>3.3212500000000036</v>
      </c>
      <c r="BD6" s="367">
        <f t="shared" ref="BD6:BD34" si="15">IF(ISBLANK(G6),"",BB6-BA6)</f>
        <v>-1.579999999999993</v>
      </c>
      <c r="BE6" s="72"/>
      <c r="BF6" s="25">
        <f>IF(ISBLANK(F6),"",AS6-AVERAGE($F$91:F93))</f>
        <v>1.8100000000000009</v>
      </c>
      <c r="BG6" s="25">
        <f>IF(ISBLANK(G6),"",AT6-AVERAGE($G$91:G93))</f>
        <v>1.4833333333333378</v>
      </c>
      <c r="BH6" s="367">
        <f t="shared" si="14"/>
        <v>-0.32666666666666311</v>
      </c>
      <c r="BI6" s="115">
        <f t="shared" si="0"/>
        <v>1.0803030303030303</v>
      </c>
      <c r="BJ6" s="115">
        <f t="shared" si="1"/>
        <v>1.5715765047272165</v>
      </c>
      <c r="BK6" s="402"/>
      <c r="BL6" s="572">
        <v>3</v>
      </c>
    </row>
    <row r="7" spans="1:64" ht="12.75" customHeight="1" x14ac:dyDescent="0.2">
      <c r="A7" s="394">
        <f t="shared" si="2"/>
        <v>4</v>
      </c>
      <c r="B7" s="131">
        <v>7.3</v>
      </c>
      <c r="C7" s="282">
        <v>9.3000000000000007</v>
      </c>
      <c r="D7" s="685"/>
      <c r="E7" s="97">
        <f t="shared" si="3"/>
        <v>4</v>
      </c>
      <c r="F7" s="23">
        <v>3.9</v>
      </c>
      <c r="G7" s="23">
        <v>9.3000000000000007</v>
      </c>
      <c r="H7" s="26">
        <v>7.5</v>
      </c>
      <c r="I7" s="23">
        <v>5.4</v>
      </c>
      <c r="J7" s="6">
        <f t="shared" si="4"/>
        <v>0</v>
      </c>
      <c r="K7" s="24">
        <v>73</v>
      </c>
      <c r="L7" s="24">
        <v>85</v>
      </c>
      <c r="M7" s="27">
        <v>79</v>
      </c>
      <c r="N7" s="24">
        <v>12</v>
      </c>
      <c r="O7" s="50">
        <f t="shared" si="5"/>
        <v>1</v>
      </c>
      <c r="P7" s="24">
        <v>996</v>
      </c>
      <c r="Q7" s="24">
        <v>1004</v>
      </c>
      <c r="R7" s="24">
        <f t="shared" si="6"/>
        <v>1000</v>
      </c>
      <c r="S7" s="24">
        <f t="shared" si="7"/>
        <v>8</v>
      </c>
      <c r="T7" s="50"/>
      <c r="U7" s="143">
        <v>5.3</v>
      </c>
      <c r="V7" s="143">
        <v>11.8</v>
      </c>
      <c r="W7" s="26">
        <v>16.8</v>
      </c>
      <c r="X7" s="123" t="s">
        <v>110</v>
      </c>
      <c r="Y7" s="324">
        <f t="shared" si="8"/>
        <v>1</v>
      </c>
      <c r="Z7" s="426">
        <v>0.3</v>
      </c>
      <c r="AA7" s="38" t="s">
        <v>8</v>
      </c>
      <c r="AB7" s="38" t="s">
        <v>8</v>
      </c>
      <c r="AC7" s="510">
        <f t="shared" si="9"/>
        <v>5.3380782918149476E-3</v>
      </c>
      <c r="AD7" s="7">
        <f t="shared" si="10"/>
        <v>0.6</v>
      </c>
      <c r="AE7" s="145" t="s">
        <v>8</v>
      </c>
      <c r="AF7" s="56"/>
      <c r="AG7" s="7">
        <v>1.4</v>
      </c>
      <c r="AH7" s="7">
        <v>6.1</v>
      </c>
      <c r="AI7" s="7">
        <v>4.0999999999999996</v>
      </c>
      <c r="AJ7" s="7">
        <f t="shared" si="11"/>
        <v>4.6999999999999993</v>
      </c>
      <c r="AK7" s="54"/>
      <c r="AL7" s="123" t="s">
        <v>262</v>
      </c>
      <c r="AM7" s="134"/>
      <c r="AN7" s="391" t="s">
        <v>777</v>
      </c>
      <c r="AO7" s="401"/>
      <c r="AP7" s="123">
        <v>0.1</v>
      </c>
      <c r="AQ7" s="123">
        <v>0.5</v>
      </c>
      <c r="AR7" s="134"/>
      <c r="AS7" s="26">
        <f>IF(ISBLANK(F7),"",(AVERAGE($F$4:F7)))</f>
        <v>5.05</v>
      </c>
      <c r="AT7" s="26">
        <f>IF(ISBLANK(G7),"",(AVERAGE($G$4:G7)))</f>
        <v>10.074999999999999</v>
      </c>
      <c r="AU7" s="25">
        <f>IF(ISBLANK(H7),"",(AVERAGE($H$4:H7)))</f>
        <v>8.0500000000000007</v>
      </c>
      <c r="AV7" s="368">
        <f>IF(ISBLANK(G7),"",(AVERAGE($I$4:I7)))</f>
        <v>5.0250000000000004</v>
      </c>
      <c r="AW7" s="22">
        <f>IF(ISBLANK(M7),"",AVERAGE($M$4:M7))</f>
        <v>81.5</v>
      </c>
      <c r="AX7" s="376">
        <f>IF(ISBLANK(P7),"",(AVERAGE($R$4:R7)))</f>
        <v>1005</v>
      </c>
      <c r="AY7" s="368">
        <f>IF(ISBLANK(U7),"",(AVERAGE($U$4:U7)))</f>
        <v>5.2250000000000005</v>
      </c>
      <c r="AZ7" s="6"/>
      <c r="BA7" s="25">
        <f t="shared" si="12"/>
        <v>0.3458333333333341</v>
      </c>
      <c r="BB7" s="25">
        <f t="shared" si="13"/>
        <v>0.61250000000000782</v>
      </c>
      <c r="BC7" s="25">
        <f t="shared" ref="BC7:BC34" si="16">IF(ISBLANK(G7),"",AVERAGE(BA7:BB7))</f>
        <v>0.47916666666667096</v>
      </c>
      <c r="BD7" s="367">
        <f t="shared" si="15"/>
        <v>0.26666666666667371</v>
      </c>
      <c r="BE7" s="72"/>
      <c r="BF7" s="25">
        <f>IF(ISBLANK(F7),"",AS7-AVERAGE($F$91:F94))</f>
        <v>1.4439583333333341</v>
      </c>
      <c r="BG7" s="25">
        <f>IF(ISBLANK(G7),"",AT7-AVERAGE($G$91:G94))</f>
        <v>1.2656250000000036</v>
      </c>
      <c r="BH7" s="367">
        <f t="shared" si="14"/>
        <v>-0.17833333333333057</v>
      </c>
      <c r="BI7" s="115">
        <f t="shared" si="0"/>
        <v>0.84545454545454546</v>
      </c>
      <c r="BJ7" s="115">
        <f t="shared" si="1"/>
        <v>1.196586000286469</v>
      </c>
      <c r="BK7" s="402"/>
      <c r="BL7" s="572">
        <v>4</v>
      </c>
    </row>
    <row r="8" spans="1:64" ht="12.75" customHeight="1" x14ac:dyDescent="0.2">
      <c r="A8" s="278">
        <f t="shared" si="2"/>
        <v>5</v>
      </c>
      <c r="B8" s="131">
        <v>2.2999999999999998</v>
      </c>
      <c r="C8" s="282">
        <v>6.9</v>
      </c>
      <c r="D8" s="685"/>
      <c r="E8" s="99">
        <f t="shared" si="3"/>
        <v>5</v>
      </c>
      <c r="F8" s="23">
        <v>2.2999999999999998</v>
      </c>
      <c r="G8" s="23">
        <v>6.9</v>
      </c>
      <c r="H8" s="26">
        <v>4.2</v>
      </c>
      <c r="I8" s="23">
        <v>4.5999999999999996</v>
      </c>
      <c r="J8" s="6">
        <f t="shared" si="4"/>
        <v>0</v>
      </c>
      <c r="K8" s="24">
        <v>57</v>
      </c>
      <c r="L8" s="24">
        <v>84</v>
      </c>
      <c r="M8" s="27">
        <v>75</v>
      </c>
      <c r="N8" s="24">
        <v>27</v>
      </c>
      <c r="O8" s="50">
        <f t="shared" si="5"/>
        <v>0</v>
      </c>
      <c r="P8" s="24">
        <v>1002</v>
      </c>
      <c r="Q8" s="24">
        <v>1007</v>
      </c>
      <c r="R8" s="24">
        <f t="shared" si="6"/>
        <v>1004.5</v>
      </c>
      <c r="S8" s="24">
        <f t="shared" si="7"/>
        <v>5</v>
      </c>
      <c r="T8" s="50"/>
      <c r="U8" s="143">
        <v>6.1</v>
      </c>
      <c r="V8" s="143">
        <v>15.9</v>
      </c>
      <c r="W8" s="26">
        <v>21.5</v>
      </c>
      <c r="X8" s="123" t="s">
        <v>110</v>
      </c>
      <c r="Y8" s="324">
        <f t="shared" si="8"/>
        <v>0</v>
      </c>
      <c r="Z8" s="426">
        <v>0</v>
      </c>
      <c r="AA8" s="38" t="s">
        <v>619</v>
      </c>
      <c r="AB8" s="38" t="s">
        <v>619</v>
      </c>
      <c r="AC8" s="510" t="str">
        <f t="shared" si="9"/>
        <v/>
      </c>
      <c r="AD8" s="7" t="str">
        <f t="shared" si="10"/>
        <v/>
      </c>
      <c r="AE8" s="145" t="s">
        <v>619</v>
      </c>
      <c r="AF8" s="56"/>
      <c r="AG8" s="7">
        <v>-1.2</v>
      </c>
      <c r="AH8" s="7">
        <v>1.8</v>
      </c>
      <c r="AI8" s="7">
        <v>0</v>
      </c>
      <c r="AJ8" s="7">
        <f t="shared" si="11"/>
        <v>3</v>
      </c>
      <c r="AK8" s="54"/>
      <c r="AL8" s="123" t="s">
        <v>778</v>
      </c>
      <c r="AM8" s="134"/>
      <c r="AN8" s="23" t="s">
        <v>8</v>
      </c>
      <c r="AO8" s="401"/>
      <c r="AP8" s="123">
        <v>4</v>
      </c>
      <c r="AQ8" s="123">
        <v>0</v>
      </c>
      <c r="AR8" s="134"/>
      <c r="AS8" s="26">
        <f>IF(ISBLANK(F8),"",(AVERAGE($F$4:F8)))</f>
        <v>4.5</v>
      </c>
      <c r="AT8" s="26">
        <f>IF(ISBLANK(G8),"",(AVERAGE($G$4:G8)))</f>
        <v>9.44</v>
      </c>
      <c r="AU8" s="25">
        <f>IF(ISBLANK(H8),"",(AVERAGE($H$4:H8)))</f>
        <v>7.2800000000000011</v>
      </c>
      <c r="AV8" s="368">
        <f>IF(ISBLANK(G8),"",(AVERAGE($I$4:I8)))</f>
        <v>4.9400000000000004</v>
      </c>
      <c r="AW8" s="22">
        <f>IF(ISBLANK(M8),"",AVERAGE($M$4:M8))</f>
        <v>80.2</v>
      </c>
      <c r="AX8" s="376">
        <f>IF(ISBLANK(P8),"",(AVERAGE($R$4:R8)))</f>
        <v>1004.9</v>
      </c>
      <c r="AY8" s="368">
        <f>IF(ISBLANK(U8),"",(AVERAGE($U$4:U8)))</f>
        <v>5.4</v>
      </c>
      <c r="AZ8" s="6"/>
      <c r="BA8" s="25">
        <f t="shared" si="12"/>
        <v>-1.2195833333333326</v>
      </c>
      <c r="BB8" s="25">
        <f t="shared" si="13"/>
        <v>-1.7062499999999918</v>
      </c>
      <c r="BC8" s="25">
        <f t="shared" si="16"/>
        <v>-1.4629166666666622</v>
      </c>
      <c r="BD8" s="367">
        <f t="shared" si="15"/>
        <v>-0.48666666666665925</v>
      </c>
      <c r="BE8" s="72"/>
      <c r="BF8" s="25">
        <f>IF(ISBLANK(F8),"",AS8-AVERAGE($F$91:F95))</f>
        <v>0.91125000000000123</v>
      </c>
      <c r="BG8" s="25">
        <f>IF(ISBLANK(G8),"",AT8-AVERAGE($G$91:G95))</f>
        <v>0.6712500000000059</v>
      </c>
      <c r="BH8" s="367">
        <f t="shared" si="14"/>
        <v>-0.23999999999999533</v>
      </c>
      <c r="BI8" s="115">
        <f t="shared" si="0"/>
        <v>0.67636363636363628</v>
      </c>
      <c r="BJ8" s="115">
        <f t="shared" si="1"/>
        <v>1.4636880629086721</v>
      </c>
      <c r="BK8" s="420"/>
      <c r="BL8" s="572">
        <v>5</v>
      </c>
    </row>
    <row r="9" spans="1:64" ht="12.75" customHeight="1" x14ac:dyDescent="0.2">
      <c r="A9" s="278">
        <f t="shared" si="2"/>
        <v>6</v>
      </c>
      <c r="B9" s="131">
        <v>2.6</v>
      </c>
      <c r="C9" s="282">
        <v>6.6</v>
      </c>
      <c r="D9" s="685"/>
      <c r="E9" s="99">
        <f t="shared" si="3"/>
        <v>6</v>
      </c>
      <c r="F9" s="23">
        <v>2.6</v>
      </c>
      <c r="G9" s="23">
        <v>6.6</v>
      </c>
      <c r="H9" s="26">
        <v>4.5999999999999996</v>
      </c>
      <c r="I9" s="23">
        <v>4</v>
      </c>
      <c r="J9" s="6">
        <f t="shared" si="4"/>
        <v>0</v>
      </c>
      <c r="K9" s="24">
        <v>71</v>
      </c>
      <c r="L9" s="24">
        <v>87</v>
      </c>
      <c r="M9" s="27">
        <v>80</v>
      </c>
      <c r="N9" s="24">
        <v>16</v>
      </c>
      <c r="O9" s="50">
        <f t="shared" si="5"/>
        <v>0</v>
      </c>
      <c r="P9" s="24">
        <v>1005</v>
      </c>
      <c r="Q9" s="24">
        <v>1009</v>
      </c>
      <c r="R9" s="24">
        <f t="shared" si="6"/>
        <v>1007</v>
      </c>
      <c r="S9" s="24">
        <f t="shared" si="7"/>
        <v>4</v>
      </c>
      <c r="T9" s="50"/>
      <c r="U9" s="143">
        <v>5.7</v>
      </c>
      <c r="V9" s="143">
        <v>12.1</v>
      </c>
      <c r="W9" s="26">
        <v>15.2</v>
      </c>
      <c r="X9" s="123" t="s">
        <v>110</v>
      </c>
      <c r="Y9" s="324">
        <f t="shared" si="8"/>
        <v>0</v>
      </c>
      <c r="Z9" s="426">
        <v>0</v>
      </c>
      <c r="AA9" s="38" t="s">
        <v>619</v>
      </c>
      <c r="AB9" s="38" t="s">
        <v>619</v>
      </c>
      <c r="AC9" s="510" t="str">
        <f t="shared" si="9"/>
        <v/>
      </c>
      <c r="AD9" s="7" t="str">
        <f t="shared" si="10"/>
        <v/>
      </c>
      <c r="AE9" s="145" t="s">
        <v>619</v>
      </c>
      <c r="AF9" s="56"/>
      <c r="AG9" s="7">
        <v>-0.5</v>
      </c>
      <c r="AH9" s="7">
        <v>3.6</v>
      </c>
      <c r="AI9" s="7">
        <v>1.5</v>
      </c>
      <c r="AJ9" s="7">
        <f t="shared" si="11"/>
        <v>4.0999999999999996</v>
      </c>
      <c r="AK9" s="54"/>
      <c r="AL9" s="123" t="s">
        <v>779</v>
      </c>
      <c r="AM9" s="134"/>
      <c r="AN9" s="302" t="s">
        <v>780</v>
      </c>
      <c r="AO9" s="401"/>
      <c r="AP9" s="123">
        <v>2</v>
      </c>
      <c r="AQ9" s="123">
        <v>0.5</v>
      </c>
      <c r="AR9" s="134"/>
      <c r="AS9" s="26">
        <f>IF(ISBLANK(F9),"",(AVERAGE($F$4:F9)))</f>
        <v>4.1833333333333336</v>
      </c>
      <c r="AT9" s="26">
        <f>IF(ISBLANK(G9),"",(AVERAGE($G$4:G9)))</f>
        <v>8.9666666666666668</v>
      </c>
      <c r="AU9" s="25">
        <f>IF(ISBLANK(H9),"",(AVERAGE($H$4:H9)))</f>
        <v>6.8333333333333348</v>
      </c>
      <c r="AV9" s="368">
        <f>IF(ISBLANK(G9),"",(AVERAGE($I$4:I9)))</f>
        <v>4.7833333333333341</v>
      </c>
      <c r="AW9" s="22">
        <f>IF(ISBLANK(M9),"",AVERAGE($M$4:M9))</f>
        <v>80.166666666666671</v>
      </c>
      <c r="AX9" s="376">
        <f>IF(ISBLANK(P9),"",(AVERAGE($R$4:R9)))</f>
        <v>1005.25</v>
      </c>
      <c r="AY9" s="368">
        <f>IF(ISBLANK(U9),"",(AVERAGE($U$4:U9)))</f>
        <v>5.45</v>
      </c>
      <c r="AZ9" s="6"/>
      <c r="BA9" s="25">
        <f t="shared" si="12"/>
        <v>-0.88499999999999979</v>
      </c>
      <c r="BB9" s="25">
        <f t="shared" si="13"/>
        <v>-1.9249999999999918</v>
      </c>
      <c r="BC9" s="25">
        <f t="shared" si="16"/>
        <v>-1.4049999999999958</v>
      </c>
      <c r="BD9" s="367">
        <f t="shared" si="15"/>
        <v>-1.039999999999992</v>
      </c>
      <c r="BE9" s="72"/>
      <c r="BF9" s="25">
        <f>IF(ISBLANK(F9),"",AS9-AVERAGE($F$91:F96))</f>
        <v>0.61187500000000128</v>
      </c>
      <c r="BG9" s="25">
        <f>IF(ISBLANK(G9),"",AT9-AVERAGE($G$91:G96))</f>
        <v>0.23854166666667354</v>
      </c>
      <c r="BH9" s="367">
        <f t="shared" si="14"/>
        <v>-0.37333333333332774</v>
      </c>
      <c r="BI9" s="115">
        <f t="shared" si="0"/>
        <v>0.5636363636363636</v>
      </c>
      <c r="BJ9" s="115">
        <f t="shared" si="1"/>
        <v>1.4324959266867383</v>
      </c>
      <c r="BK9" s="402"/>
      <c r="BL9" s="572">
        <v>6</v>
      </c>
    </row>
    <row r="10" spans="1:64" ht="12.75" customHeight="1" x14ac:dyDescent="0.2">
      <c r="A10" s="278">
        <f t="shared" si="2"/>
        <v>7</v>
      </c>
      <c r="B10" s="131">
        <v>5.2</v>
      </c>
      <c r="C10" s="282">
        <v>8.6999999999999993</v>
      </c>
      <c r="D10" s="685"/>
      <c r="E10" s="99">
        <f t="shared" si="3"/>
        <v>7</v>
      </c>
      <c r="F10" s="23">
        <v>4.5</v>
      </c>
      <c r="G10" s="23">
        <v>8.6999999999999993</v>
      </c>
      <c r="H10" s="26">
        <v>7.1</v>
      </c>
      <c r="I10" s="23">
        <v>4.2</v>
      </c>
      <c r="J10" s="6">
        <f t="shared" si="4"/>
        <v>0</v>
      </c>
      <c r="K10" s="24">
        <v>45</v>
      </c>
      <c r="L10" s="24">
        <v>89</v>
      </c>
      <c r="M10" s="27">
        <v>66</v>
      </c>
      <c r="N10" s="24">
        <v>44</v>
      </c>
      <c r="O10" s="50">
        <f t="shared" si="5"/>
        <v>1</v>
      </c>
      <c r="P10" s="24">
        <v>1002</v>
      </c>
      <c r="Q10" s="24">
        <v>1020</v>
      </c>
      <c r="R10" s="24">
        <f t="shared" si="6"/>
        <v>1011</v>
      </c>
      <c r="S10" s="24">
        <f t="shared" si="7"/>
        <v>18</v>
      </c>
      <c r="T10" s="50"/>
      <c r="U10" s="143">
        <v>7.9</v>
      </c>
      <c r="V10" s="143">
        <v>20.100000000000001</v>
      </c>
      <c r="W10" s="26">
        <v>32</v>
      </c>
      <c r="X10" s="123" t="s">
        <v>114</v>
      </c>
      <c r="Y10" s="324">
        <f t="shared" si="8"/>
        <v>0</v>
      </c>
      <c r="Z10" s="426">
        <v>0.3</v>
      </c>
      <c r="AA10" s="38" t="s">
        <v>8</v>
      </c>
      <c r="AB10" s="38" t="s">
        <v>8</v>
      </c>
      <c r="AC10" s="510">
        <f t="shared" si="9"/>
        <v>5.3380782918149476E-3</v>
      </c>
      <c r="AD10" s="7">
        <f t="shared" si="10"/>
        <v>1</v>
      </c>
      <c r="AE10" s="145" t="s">
        <v>8</v>
      </c>
      <c r="AF10" s="56"/>
      <c r="AG10" s="7">
        <v>-2.9</v>
      </c>
      <c r="AH10" s="7">
        <v>5.8</v>
      </c>
      <c r="AI10" s="7">
        <v>0.9</v>
      </c>
      <c r="AJ10" s="7">
        <f t="shared" si="11"/>
        <v>8.6999999999999993</v>
      </c>
      <c r="AK10" s="54"/>
      <c r="AL10" s="123" t="s">
        <v>322</v>
      </c>
      <c r="AM10" s="134"/>
      <c r="AN10" s="391" t="s">
        <v>781</v>
      </c>
      <c r="AO10" s="400"/>
      <c r="AP10" s="123">
        <v>5.5</v>
      </c>
      <c r="AQ10" s="123">
        <v>0.3</v>
      </c>
      <c r="AR10" s="134"/>
      <c r="AS10" s="26">
        <f>IF(ISBLANK(F10),"",(AVERAGE($F$4:F10)))</f>
        <v>4.2285714285714286</v>
      </c>
      <c r="AT10" s="26">
        <f>IF(ISBLANK(G10),"",(AVERAGE($G$4:G10)))</f>
        <v>8.9285714285714288</v>
      </c>
      <c r="AU10" s="25">
        <f>IF(ISBLANK(H10),"",(AVERAGE($H$4:H10)))</f>
        <v>6.8714285714285728</v>
      </c>
      <c r="AV10" s="368">
        <f>IF(ISBLANK(G10),"",(AVERAGE($I$4:I10)))</f>
        <v>4.7000000000000011</v>
      </c>
      <c r="AW10" s="22">
        <f>IF(ISBLANK(M10),"",AVERAGE($M$4:M10))</f>
        <v>78.142857142857139</v>
      </c>
      <c r="AX10" s="376">
        <f>IF(ISBLANK(P10),"",(AVERAGE($R$4:R10)))</f>
        <v>1006.0714285714286</v>
      </c>
      <c r="AY10" s="368">
        <f>IF(ISBLANK(U10),"",(AVERAGE($U$4:U10)))</f>
        <v>5.8</v>
      </c>
      <c r="AZ10" s="6"/>
      <c r="BA10" s="25">
        <f t="shared" si="12"/>
        <v>1.0495833333333344</v>
      </c>
      <c r="BB10" s="25">
        <f t="shared" si="13"/>
        <v>0.25625000000000853</v>
      </c>
      <c r="BC10" s="25">
        <f t="shared" si="16"/>
        <v>0.65291666666667147</v>
      </c>
      <c r="BD10" s="367">
        <f t="shared" si="15"/>
        <v>-0.7933333333333259</v>
      </c>
      <c r="BE10" s="72"/>
      <c r="BF10" s="25">
        <f>IF(ISBLANK(F10),"",AS10-AVERAGE($F$91:F97))</f>
        <v>0.67440476190476284</v>
      </c>
      <c r="BG10" s="25">
        <f>IF(ISBLANK(G10),"",AT10-AVERAGE($G$91:G97))</f>
        <v>0.24107142857143415</v>
      </c>
      <c r="BH10" s="367">
        <f t="shared" si="14"/>
        <v>-0.43333333333332869</v>
      </c>
      <c r="BI10" s="115">
        <f t="shared" si="0"/>
        <v>0.50324675324675316</v>
      </c>
      <c r="BJ10" s="115">
        <f t="shared" si="1"/>
        <v>1.727272110601666</v>
      </c>
      <c r="BK10" s="402"/>
      <c r="BL10" s="572">
        <v>7</v>
      </c>
    </row>
    <row r="11" spans="1:64" ht="12.75" customHeight="1" x14ac:dyDescent="0.2">
      <c r="A11" s="278">
        <f t="shared" si="2"/>
        <v>8</v>
      </c>
      <c r="B11" s="131">
        <v>3.6</v>
      </c>
      <c r="C11" s="282">
        <v>12.7</v>
      </c>
      <c r="D11" s="685"/>
      <c r="E11" s="99">
        <f t="shared" si="3"/>
        <v>8</v>
      </c>
      <c r="F11" s="23">
        <v>3.8</v>
      </c>
      <c r="G11" s="23">
        <v>12.7</v>
      </c>
      <c r="H11" s="26">
        <v>8.8000000000000007</v>
      </c>
      <c r="I11" s="23">
        <v>8.9</v>
      </c>
      <c r="J11" s="6">
        <f t="shared" si="4"/>
        <v>0</v>
      </c>
      <c r="K11" s="24">
        <v>67</v>
      </c>
      <c r="L11" s="24">
        <v>87</v>
      </c>
      <c r="M11" s="27">
        <v>79</v>
      </c>
      <c r="N11" s="24">
        <v>20</v>
      </c>
      <c r="O11" s="50">
        <f t="shared" si="5"/>
        <v>1</v>
      </c>
      <c r="P11" s="24">
        <v>1001</v>
      </c>
      <c r="Q11" s="24">
        <v>1020</v>
      </c>
      <c r="R11" s="24">
        <f t="shared" si="6"/>
        <v>1010.5</v>
      </c>
      <c r="S11" s="24">
        <f t="shared" si="7"/>
        <v>19</v>
      </c>
      <c r="T11" s="50"/>
      <c r="U11" s="143">
        <v>9.5</v>
      </c>
      <c r="V11" s="143">
        <v>22.5</v>
      </c>
      <c r="W11" s="26">
        <v>36.5</v>
      </c>
      <c r="X11" s="123" t="s">
        <v>110</v>
      </c>
      <c r="Y11" s="324">
        <f t="shared" si="8"/>
        <v>1</v>
      </c>
      <c r="Z11" s="426">
        <v>0.8</v>
      </c>
      <c r="AA11" s="38">
        <v>0.8</v>
      </c>
      <c r="AB11" s="38">
        <v>0.3</v>
      </c>
      <c r="AC11" s="510">
        <f t="shared" si="9"/>
        <v>1.4234875444839862E-2</v>
      </c>
      <c r="AD11" s="7">
        <f t="shared" si="10"/>
        <v>0.8</v>
      </c>
      <c r="AE11" s="145">
        <v>1.2</v>
      </c>
      <c r="AF11" s="56"/>
      <c r="AG11" s="7">
        <v>-1.3</v>
      </c>
      <c r="AH11" s="7">
        <v>9.6</v>
      </c>
      <c r="AI11" s="7">
        <v>5.3</v>
      </c>
      <c r="AJ11" s="7">
        <f t="shared" si="11"/>
        <v>10.9</v>
      </c>
      <c r="AK11" s="54"/>
      <c r="AL11" s="123" t="s">
        <v>239</v>
      </c>
      <c r="AM11" s="134"/>
      <c r="AN11" s="391" t="s">
        <v>782</v>
      </c>
      <c r="AO11" s="400"/>
      <c r="AP11" s="540">
        <v>0</v>
      </c>
      <c r="AQ11" s="123">
        <v>1</v>
      </c>
      <c r="AR11" s="134"/>
      <c r="AS11" s="26">
        <f>IF(ISBLANK(F11),"",(AVERAGE($F$4:F11)))</f>
        <v>4.1749999999999998</v>
      </c>
      <c r="AT11" s="26">
        <f>IF(ISBLANK(G11),"",(AVERAGE($G$4:G11)))</f>
        <v>9.4</v>
      </c>
      <c r="AU11" s="25">
        <f>IF(ISBLANK(H11),"",(AVERAGE($H$4:H11)))</f>
        <v>7.1125000000000007</v>
      </c>
      <c r="AV11" s="368">
        <f>IF(ISBLANK(G11),"",(AVERAGE($I$4:I11)))</f>
        <v>5.2250000000000005</v>
      </c>
      <c r="AW11" s="22">
        <f>IF(ISBLANK(M11),"",AVERAGE($M$4:M11))</f>
        <v>78.25</v>
      </c>
      <c r="AX11" s="376">
        <f>IF(ISBLANK(P11),"",(AVERAGE($R$4:R11)))</f>
        <v>1006.625</v>
      </c>
      <c r="AY11" s="368">
        <f>IF(ISBLANK(U11),"",(AVERAGE($U$4:U11)))</f>
        <v>6.2625000000000002</v>
      </c>
      <c r="AZ11" s="6"/>
      <c r="BA11" s="25">
        <f t="shared" si="12"/>
        <v>0.38416666666666766</v>
      </c>
      <c r="BB11" s="25">
        <f t="shared" si="13"/>
        <v>4.3375000000000092</v>
      </c>
      <c r="BC11" s="25">
        <f t="shared" si="16"/>
        <v>2.3608333333333382</v>
      </c>
      <c r="BD11" s="367">
        <f t="shared" si="15"/>
        <v>3.9533333333333416</v>
      </c>
      <c r="BE11" s="72"/>
      <c r="BF11" s="25">
        <f>IF(ISBLANK(F11),"",AS11-AVERAGE($F$91:F98))</f>
        <v>0.63812500000000094</v>
      </c>
      <c r="BG11" s="25">
        <f>IF(ISBLANK(G11),"",AT11-AVERAGE($G$91:G98))</f>
        <v>0.75312500000000604</v>
      </c>
      <c r="BH11" s="367">
        <f t="shared" ref="BH11:BH20" si="17">IF(ISBLANK(G11),"",BG11-BF11)</f>
        <v>0.1150000000000051</v>
      </c>
      <c r="BI11" s="115">
        <f t="shared" si="0"/>
        <v>0.487310606060606</v>
      </c>
      <c r="BJ11" s="115">
        <f t="shared" si="1"/>
        <v>1.5137793224215972</v>
      </c>
      <c r="BK11" s="420"/>
      <c r="BL11" s="572">
        <v>8</v>
      </c>
    </row>
    <row r="12" spans="1:64" ht="12.75" customHeight="1" x14ac:dyDescent="0.2">
      <c r="A12" s="278">
        <f t="shared" si="2"/>
        <v>9</v>
      </c>
      <c r="B12" s="131">
        <v>3.7</v>
      </c>
      <c r="C12" s="282">
        <v>7.6</v>
      </c>
      <c r="D12" s="685"/>
      <c r="E12" s="99">
        <f t="shared" si="3"/>
        <v>9</v>
      </c>
      <c r="F12" s="23">
        <v>1.9</v>
      </c>
      <c r="G12" s="23">
        <v>7.6</v>
      </c>
      <c r="H12" s="26">
        <v>5</v>
      </c>
      <c r="I12" s="23">
        <v>5.7</v>
      </c>
      <c r="J12" s="6">
        <f t="shared" si="4"/>
        <v>0</v>
      </c>
      <c r="K12" s="24">
        <v>58</v>
      </c>
      <c r="L12" s="24">
        <v>77</v>
      </c>
      <c r="M12" s="27">
        <v>68</v>
      </c>
      <c r="N12" s="24">
        <v>19</v>
      </c>
      <c r="O12" s="50">
        <f t="shared" si="5"/>
        <v>1</v>
      </c>
      <c r="P12" s="24">
        <v>1006</v>
      </c>
      <c r="Q12" s="24">
        <v>1014</v>
      </c>
      <c r="R12" s="24">
        <f t="shared" si="6"/>
        <v>1010</v>
      </c>
      <c r="S12" s="24">
        <f t="shared" si="7"/>
        <v>8</v>
      </c>
      <c r="T12" s="50"/>
      <c r="U12" s="143">
        <v>6.5</v>
      </c>
      <c r="V12" s="143">
        <v>15.2</v>
      </c>
      <c r="W12" s="26">
        <v>21.3</v>
      </c>
      <c r="X12" s="123" t="s">
        <v>114</v>
      </c>
      <c r="Y12" s="324">
        <f t="shared" si="8"/>
        <v>0</v>
      </c>
      <c r="Z12" s="426">
        <v>0</v>
      </c>
      <c r="AA12" s="38" t="s">
        <v>619</v>
      </c>
      <c r="AB12" s="38" t="s">
        <v>619</v>
      </c>
      <c r="AC12" s="510" t="str">
        <f t="shared" si="9"/>
        <v/>
      </c>
      <c r="AD12" s="7" t="str">
        <f t="shared" si="10"/>
        <v/>
      </c>
      <c r="AE12" s="145" t="s">
        <v>619</v>
      </c>
      <c r="AF12" s="56"/>
      <c r="AG12" s="7">
        <v>-1.8</v>
      </c>
      <c r="AH12" s="7">
        <v>1.4</v>
      </c>
      <c r="AI12" s="7">
        <v>-0.4</v>
      </c>
      <c r="AJ12" s="7">
        <f t="shared" si="11"/>
        <v>3.2</v>
      </c>
      <c r="AK12" s="54"/>
      <c r="AL12" s="123" t="s">
        <v>783</v>
      </c>
      <c r="AM12" s="134"/>
      <c r="AN12" s="51" t="s">
        <v>8</v>
      </c>
      <c r="AO12" s="400"/>
      <c r="AP12" s="123">
        <v>6</v>
      </c>
      <c r="AQ12" s="123">
        <v>0</v>
      </c>
      <c r="AR12" s="134"/>
      <c r="AS12" s="26">
        <f>IF(ISBLANK(F12),"",(AVERAGE($F$4:F12)))</f>
        <v>3.9222222222222221</v>
      </c>
      <c r="AT12" s="26">
        <f>IF(ISBLANK(G12),"",(AVERAGE($G$4:G12)))</f>
        <v>9.1999999999999993</v>
      </c>
      <c r="AU12" s="25">
        <f>IF(ISBLANK(H12),"",(AVERAGE($H$4:H12)))</f>
        <v>6.8777777777777782</v>
      </c>
      <c r="AV12" s="368">
        <f>IF(ISBLANK(G12),"",(AVERAGE($I$4:I12)))</f>
        <v>5.2777777777777786</v>
      </c>
      <c r="AW12" s="22">
        <f>IF(ISBLANK(M12),"",AVERAGE($M$4:M12))</f>
        <v>77.111111111111114</v>
      </c>
      <c r="AX12" s="376">
        <f>IF(ISBLANK(P12),"",(AVERAGE($R$4:R12)))</f>
        <v>1007</v>
      </c>
      <c r="AY12" s="368">
        <f>IF(ISBLANK(U12),"",(AVERAGE($U$4:U12)))</f>
        <v>6.2888888888888888</v>
      </c>
      <c r="AZ12" s="6"/>
      <c r="BA12" s="25">
        <f t="shared" si="12"/>
        <v>-1.4812500000000002</v>
      </c>
      <c r="BB12" s="25">
        <f t="shared" si="13"/>
        <v>-0.6812499999999897</v>
      </c>
      <c r="BC12" s="25">
        <f t="shared" si="16"/>
        <v>-1.0812499999999949</v>
      </c>
      <c r="BD12" s="367">
        <f t="shared" si="15"/>
        <v>0.80000000000001048</v>
      </c>
      <c r="BE12" s="72"/>
      <c r="BF12" s="25">
        <f>IF(ISBLANK(F12),"",AS12-AVERAGE($F$91:F99))</f>
        <v>0.40263888888888966</v>
      </c>
      <c r="BG12" s="25">
        <f>IF(ISBLANK(G12),"",AT12-AVERAGE($G$91:G99))</f>
        <v>0.59375000000000533</v>
      </c>
      <c r="BH12" s="367">
        <f t="shared" si="17"/>
        <v>0.19111111111111567</v>
      </c>
      <c r="BI12" s="115">
        <f t="shared" si="0"/>
        <v>0.43316498316498314</v>
      </c>
      <c r="BJ12" s="115">
        <f t="shared" si="1"/>
        <v>1.7709968286034934</v>
      </c>
      <c r="BK12" s="402"/>
      <c r="BL12" s="572">
        <v>9</v>
      </c>
    </row>
    <row r="13" spans="1:64" ht="12.75" customHeight="1" x14ac:dyDescent="0.2">
      <c r="A13" s="278">
        <f t="shared" si="2"/>
        <v>10</v>
      </c>
      <c r="B13" s="131">
        <v>0.3</v>
      </c>
      <c r="C13" s="282">
        <v>5.0999999999999996</v>
      </c>
      <c r="D13" s="685"/>
      <c r="E13" s="99">
        <f t="shared" si="3"/>
        <v>10</v>
      </c>
      <c r="F13" s="23">
        <v>0.3</v>
      </c>
      <c r="G13" s="23">
        <v>5.0999999999999996</v>
      </c>
      <c r="H13" s="26">
        <v>2.6</v>
      </c>
      <c r="I13" s="23">
        <v>4.8</v>
      </c>
      <c r="J13" s="6">
        <f t="shared" si="4"/>
        <v>0</v>
      </c>
      <c r="K13" s="24">
        <v>69</v>
      </c>
      <c r="L13" s="24">
        <v>84</v>
      </c>
      <c r="M13" s="27">
        <v>78</v>
      </c>
      <c r="N13" s="24">
        <v>15</v>
      </c>
      <c r="O13" s="50">
        <f t="shared" si="5"/>
        <v>0</v>
      </c>
      <c r="P13" s="24">
        <v>1014</v>
      </c>
      <c r="Q13" s="24">
        <v>1016</v>
      </c>
      <c r="R13" s="24">
        <f t="shared" si="6"/>
        <v>1015</v>
      </c>
      <c r="S13" s="24">
        <f t="shared" si="7"/>
        <v>2</v>
      </c>
      <c r="T13" s="50"/>
      <c r="U13" s="143">
        <v>4.7</v>
      </c>
      <c r="V13" s="143">
        <v>8.6999999999999993</v>
      </c>
      <c r="W13" s="26">
        <v>12.8</v>
      </c>
      <c r="X13" s="123" t="s">
        <v>110</v>
      </c>
      <c r="Y13" s="324">
        <f t="shared" si="8"/>
        <v>0</v>
      </c>
      <c r="Z13" s="426">
        <v>0</v>
      </c>
      <c r="AA13" s="38" t="s">
        <v>619</v>
      </c>
      <c r="AB13" s="38" t="s">
        <v>619</v>
      </c>
      <c r="AC13" s="510" t="str">
        <f t="shared" si="9"/>
        <v/>
      </c>
      <c r="AD13" s="7" t="str">
        <f t="shared" si="10"/>
        <v/>
      </c>
      <c r="AE13" s="145" t="s">
        <v>619</v>
      </c>
      <c r="AF13" s="56"/>
      <c r="AG13" s="7">
        <v>-2.5</v>
      </c>
      <c r="AH13" s="7">
        <v>0.6</v>
      </c>
      <c r="AI13" s="7">
        <v>-1</v>
      </c>
      <c r="AJ13" s="7">
        <f t="shared" si="11"/>
        <v>3.1</v>
      </c>
      <c r="AK13" s="54"/>
      <c r="AL13" s="123" t="s">
        <v>561</v>
      </c>
      <c r="AM13" s="134"/>
      <c r="AN13" s="51" t="s">
        <v>8</v>
      </c>
      <c r="AO13" s="400"/>
      <c r="AP13" s="123">
        <v>6.5</v>
      </c>
      <c r="AQ13" s="123">
        <v>0</v>
      </c>
      <c r="AR13" s="134"/>
      <c r="AS13" s="26">
        <f>IF(ISBLANK(F13),"",(AVERAGE($F$4:F13)))</f>
        <v>3.5599999999999996</v>
      </c>
      <c r="AT13" s="26">
        <f>IF(ISBLANK(G13),"",(AVERAGE($G$4:G13)))</f>
        <v>8.7899999999999991</v>
      </c>
      <c r="AU13" s="25">
        <f>IF(ISBLANK(H13),"",(AVERAGE($H$4:H13)))</f>
        <v>6.45</v>
      </c>
      <c r="AV13" s="368">
        <f>IF(ISBLANK(G13),"",(AVERAGE($I$4:I13)))</f>
        <v>5.23</v>
      </c>
      <c r="AW13" s="22">
        <f>IF(ISBLANK(M13),"",AVERAGE($M$4:M13))</f>
        <v>77.2</v>
      </c>
      <c r="AX13" s="376">
        <f>IF(ISBLANK(P13),"",(AVERAGE($R$4:R13)))</f>
        <v>1007.8</v>
      </c>
      <c r="AY13" s="368">
        <f>IF(ISBLANK(U13),"",(AVERAGE($U$4:U13)))</f>
        <v>6.1300000000000008</v>
      </c>
      <c r="AZ13" s="6"/>
      <c r="BA13" s="25">
        <f t="shared" si="12"/>
        <v>-3.0466666666666655</v>
      </c>
      <c r="BB13" s="25">
        <f t="shared" si="13"/>
        <v>-3.099999999999989</v>
      </c>
      <c r="BC13" s="25">
        <f t="shared" si="16"/>
        <v>-3.073333333333327</v>
      </c>
      <c r="BD13" s="367">
        <f t="shared" si="15"/>
        <v>-5.3333333333323463E-2</v>
      </c>
      <c r="BE13" s="72"/>
      <c r="BF13" s="25">
        <f>IF(ISBLANK(F13),"",AS13-AVERAGE($F$91:F100))</f>
        <v>5.7708333333333695E-2</v>
      </c>
      <c r="BG13" s="25">
        <f>IF(ISBLANK(G13),"",AT13-AVERAGE($G$91:G100))</f>
        <v>0.22437500000000554</v>
      </c>
      <c r="BH13" s="367">
        <f t="shared" si="17"/>
        <v>0.16666666666667185</v>
      </c>
      <c r="BI13" s="115">
        <f t="shared" si="0"/>
        <v>0.38984848484848483</v>
      </c>
      <c r="BJ13" s="115">
        <f t="shared" si="1"/>
        <v>2.0096214113614193</v>
      </c>
      <c r="BK13" s="402"/>
      <c r="BL13" s="572">
        <v>10</v>
      </c>
    </row>
    <row r="14" spans="1:64" ht="12.75" customHeight="1" x14ac:dyDescent="0.2">
      <c r="A14" s="278">
        <f t="shared" si="2"/>
        <v>11</v>
      </c>
      <c r="B14" s="131">
        <v>3</v>
      </c>
      <c r="C14" s="282">
        <v>8.6</v>
      </c>
      <c r="D14" s="685"/>
      <c r="E14" s="99">
        <f t="shared" si="3"/>
        <v>11</v>
      </c>
      <c r="F14" s="23">
        <v>3</v>
      </c>
      <c r="G14" s="23">
        <v>8.6</v>
      </c>
      <c r="H14" s="26">
        <v>6.6</v>
      </c>
      <c r="I14" s="23">
        <v>5.5</v>
      </c>
      <c r="J14" s="6">
        <f t="shared" si="4"/>
        <v>0</v>
      </c>
      <c r="K14" s="24">
        <v>75</v>
      </c>
      <c r="L14" s="24">
        <v>93</v>
      </c>
      <c r="M14" s="27">
        <v>84</v>
      </c>
      <c r="N14" s="24">
        <v>18</v>
      </c>
      <c r="O14" s="50">
        <f t="shared" si="5"/>
        <v>0</v>
      </c>
      <c r="P14" s="24">
        <v>1001</v>
      </c>
      <c r="Q14" s="24">
        <v>1016</v>
      </c>
      <c r="R14" s="24">
        <f t="shared" si="6"/>
        <v>1008.5</v>
      </c>
      <c r="S14" s="24">
        <f t="shared" si="7"/>
        <v>15</v>
      </c>
      <c r="T14" s="50"/>
      <c r="U14" s="143">
        <v>5.7</v>
      </c>
      <c r="V14" s="143">
        <v>15.9</v>
      </c>
      <c r="W14" s="26">
        <v>22.5</v>
      </c>
      <c r="X14" s="123" t="s">
        <v>111</v>
      </c>
      <c r="Y14" s="324">
        <f t="shared" si="8"/>
        <v>2</v>
      </c>
      <c r="Z14" s="426">
        <v>5.6</v>
      </c>
      <c r="AA14" s="38">
        <v>5.3</v>
      </c>
      <c r="AB14" s="38">
        <v>2</v>
      </c>
      <c r="AC14" s="510">
        <f t="shared" si="9"/>
        <v>9.9644128113879016E-2</v>
      </c>
      <c r="AD14" s="7">
        <f t="shared" si="10"/>
        <v>2.8</v>
      </c>
      <c r="AE14" s="145">
        <v>20</v>
      </c>
      <c r="AF14" s="56"/>
      <c r="AG14" s="7">
        <v>0.3</v>
      </c>
      <c r="AH14" s="7">
        <v>7</v>
      </c>
      <c r="AI14" s="7">
        <v>4.2</v>
      </c>
      <c r="AJ14" s="7">
        <f t="shared" si="11"/>
        <v>6.7</v>
      </c>
      <c r="AK14" s="54"/>
      <c r="AL14" s="123" t="s">
        <v>239</v>
      </c>
      <c r="AM14" s="134"/>
      <c r="AN14" s="51" t="s">
        <v>784</v>
      </c>
      <c r="AO14" s="400"/>
      <c r="AP14" s="123">
        <v>0</v>
      </c>
      <c r="AQ14" s="123">
        <v>2</v>
      </c>
      <c r="AR14" s="134"/>
      <c r="AS14" s="26">
        <f>IF(ISBLANK(F14),"",(AVERAGE($F$4:F14)))</f>
        <v>3.5090909090909084</v>
      </c>
      <c r="AT14" s="26">
        <f>IF(ISBLANK(G14),"",(AVERAGE($G$4:G14)))</f>
        <v>8.7727272727272716</v>
      </c>
      <c r="AU14" s="25">
        <f>IF(ISBLANK(H14),"",(AVERAGE($H$4:H14)))</f>
        <v>6.463636363636363</v>
      </c>
      <c r="AV14" s="368">
        <f>IF(ISBLANK(G14),"",(AVERAGE($I$4:I14)))</f>
        <v>5.2545454545454549</v>
      </c>
      <c r="AW14" s="22">
        <f>IF(ISBLANK(M14),"",AVERAGE($M$4:M14))</f>
        <v>77.818181818181813</v>
      </c>
      <c r="AX14" s="376">
        <f>IF(ISBLANK(P14),"",(AVERAGE($R$4:R14)))</f>
        <v>1007.8636363636364</v>
      </c>
      <c r="AY14" s="368">
        <f>IF(ISBLANK(U14),"",(AVERAGE($U$4:U14)))</f>
        <v>6.0909090909090908</v>
      </c>
      <c r="AZ14" s="6"/>
      <c r="BA14" s="25">
        <f t="shared" si="12"/>
        <v>-0.31208333333333194</v>
      </c>
      <c r="BB14" s="25">
        <f t="shared" si="13"/>
        <v>0.48125000000001172</v>
      </c>
      <c r="BC14" s="25">
        <f t="shared" si="16"/>
        <v>8.4583333333339894E-2</v>
      </c>
      <c r="BD14" s="367">
        <f t="shared" si="15"/>
        <v>0.79333333333334366</v>
      </c>
      <c r="BE14" s="72"/>
      <c r="BF14" s="25">
        <f>IF(ISBLANK(F14),"",AS14-AVERAGE($F$91:F101))</f>
        <v>2.4090909090908941E-2</v>
      </c>
      <c r="BG14" s="25">
        <f>IF(ISBLANK(G14),"",AT14-AVERAGE($G$91:G101))</f>
        <v>0.24772727272727835</v>
      </c>
      <c r="BH14" s="367">
        <f t="shared" si="17"/>
        <v>0.22363636363636941</v>
      </c>
      <c r="BI14" s="115">
        <f t="shared" si="0"/>
        <v>0.59352617079889802</v>
      </c>
      <c r="BJ14" s="115">
        <f t="shared" si="1"/>
        <v>1.8295107742197818</v>
      </c>
      <c r="BK14" s="402"/>
      <c r="BL14" s="572">
        <v>11</v>
      </c>
    </row>
    <row r="15" spans="1:64" ht="12.75" customHeight="1" x14ac:dyDescent="0.2">
      <c r="A15" s="278">
        <f t="shared" si="2"/>
        <v>12</v>
      </c>
      <c r="B15" s="131">
        <v>2.7</v>
      </c>
      <c r="C15" s="282">
        <v>7.9</v>
      </c>
      <c r="D15" s="685"/>
      <c r="E15" s="99">
        <f t="shared" si="3"/>
        <v>12</v>
      </c>
      <c r="F15" s="23">
        <v>2.7</v>
      </c>
      <c r="G15" s="23">
        <v>9.9</v>
      </c>
      <c r="H15" s="26">
        <v>6.3</v>
      </c>
      <c r="I15" s="23">
        <v>7.2</v>
      </c>
      <c r="J15" s="6">
        <f t="shared" si="4"/>
        <v>1</v>
      </c>
      <c r="K15" s="24">
        <v>72</v>
      </c>
      <c r="L15" s="24">
        <v>94</v>
      </c>
      <c r="M15" s="27">
        <v>87</v>
      </c>
      <c r="N15" s="24">
        <v>22</v>
      </c>
      <c r="O15" s="50">
        <f t="shared" si="5"/>
        <v>0</v>
      </c>
      <c r="P15" s="24">
        <v>988</v>
      </c>
      <c r="Q15" s="24">
        <v>1008</v>
      </c>
      <c r="R15" s="24">
        <f t="shared" si="6"/>
        <v>998</v>
      </c>
      <c r="S15" s="24">
        <f t="shared" si="7"/>
        <v>20</v>
      </c>
      <c r="T15" s="50"/>
      <c r="U15" s="143">
        <v>7.5</v>
      </c>
      <c r="V15" s="143">
        <v>22.5</v>
      </c>
      <c r="W15" s="26">
        <v>40.9</v>
      </c>
      <c r="X15" s="123" t="s">
        <v>110</v>
      </c>
      <c r="Y15" s="324">
        <f t="shared" si="8"/>
        <v>2</v>
      </c>
      <c r="Z15" s="426">
        <v>4.9000000000000004</v>
      </c>
      <c r="AA15" s="38">
        <v>1.7</v>
      </c>
      <c r="AB15" s="38">
        <v>0.6</v>
      </c>
      <c r="AC15" s="510">
        <f t="shared" si="9"/>
        <v>8.7188612099644153E-2</v>
      </c>
      <c r="AD15" s="7">
        <f t="shared" si="10"/>
        <v>0.98000000000000009</v>
      </c>
      <c r="AE15" s="145">
        <v>2.5</v>
      </c>
      <c r="AF15" s="56"/>
      <c r="AG15" s="7">
        <v>1.5</v>
      </c>
      <c r="AH15" s="7">
        <v>9</v>
      </c>
      <c r="AI15" s="7">
        <v>4.2</v>
      </c>
      <c r="AJ15" s="7">
        <f t="shared" si="11"/>
        <v>7.5</v>
      </c>
      <c r="AK15" s="54"/>
      <c r="AL15" s="123" t="s">
        <v>783</v>
      </c>
      <c r="AM15" s="134"/>
      <c r="AN15" s="51" t="s">
        <v>785</v>
      </c>
      <c r="AO15" s="400"/>
      <c r="AP15" s="123">
        <v>6</v>
      </c>
      <c r="AQ15" s="123">
        <v>5</v>
      </c>
      <c r="AR15" s="134"/>
      <c r="AS15" s="26">
        <f>IF(ISBLANK(F15),"",(AVERAGE($F$4:F15)))</f>
        <v>3.4416666666666664</v>
      </c>
      <c r="AT15" s="26">
        <f>IF(ISBLANK(G15),"",(AVERAGE($G$4:G15)))</f>
        <v>8.8666666666666654</v>
      </c>
      <c r="AU15" s="25">
        <f>IF(ISBLANK(H15),"",(AVERAGE($H$4:H15)))</f>
        <v>6.4499999999999993</v>
      </c>
      <c r="AV15" s="368">
        <f>IF(ISBLANK(G15),"",(AVERAGE($I$4:I15)))</f>
        <v>5.416666666666667</v>
      </c>
      <c r="AW15" s="22">
        <f>IF(ISBLANK(M15),"",AVERAGE($M$4:M15))</f>
        <v>78.583333333333329</v>
      </c>
      <c r="AX15" s="376">
        <f>IF(ISBLANK(P15),"",(AVERAGE($R$4:R15)))</f>
        <v>1007.0416666666666</v>
      </c>
      <c r="AY15" s="368">
        <f>IF(ISBLANK(U15),"",(AVERAGE($U$4:U15)))</f>
        <v>6.208333333333333</v>
      </c>
      <c r="AZ15" s="6"/>
      <c r="BA15" s="25">
        <f t="shared" si="12"/>
        <v>-0.57749999999999968</v>
      </c>
      <c r="BB15" s="25">
        <f t="shared" si="13"/>
        <v>1.8625000000000131</v>
      </c>
      <c r="BC15" s="25">
        <f t="shared" si="16"/>
        <v>0.64250000000000673</v>
      </c>
      <c r="BD15" s="367">
        <f t="shared" si="15"/>
        <v>2.4400000000000128</v>
      </c>
      <c r="BE15" s="72"/>
      <c r="BF15" s="25">
        <f>IF(ISBLANK(F15),"",AS15-AVERAGE($F$91:F102))</f>
        <v>-2.6041666666666519E-2</v>
      </c>
      <c r="BG15" s="25">
        <f>IF(ISBLANK(G15),"",AT15-AVERAGE($G$91:G102))</f>
        <v>0.38229166666667247</v>
      </c>
      <c r="BH15" s="367">
        <f t="shared" si="17"/>
        <v>0.40833333333333899</v>
      </c>
      <c r="BI15" s="115">
        <f t="shared" si="0"/>
        <v>0.73585858585858577</v>
      </c>
      <c r="BJ15" s="115">
        <f t="shared" si="1"/>
        <v>1.9981726461478111</v>
      </c>
      <c r="BK15" s="402"/>
      <c r="BL15" s="572">
        <v>12</v>
      </c>
    </row>
    <row r="16" spans="1:64" ht="12.75" customHeight="1" x14ac:dyDescent="0.2">
      <c r="A16" s="278">
        <f t="shared" si="2"/>
        <v>13</v>
      </c>
      <c r="B16" s="131">
        <v>6.4</v>
      </c>
      <c r="C16" s="282">
        <v>8</v>
      </c>
      <c r="D16" s="685"/>
      <c r="E16" s="99">
        <f t="shared" si="3"/>
        <v>13</v>
      </c>
      <c r="F16" s="23">
        <v>4.4000000000000004</v>
      </c>
      <c r="G16" s="23">
        <v>11.6</v>
      </c>
      <c r="H16" s="26">
        <v>7.6</v>
      </c>
      <c r="I16" s="23">
        <v>7.2</v>
      </c>
      <c r="J16" s="6">
        <f t="shared" si="4"/>
        <v>1</v>
      </c>
      <c r="K16" s="24">
        <v>57</v>
      </c>
      <c r="L16" s="24">
        <v>96</v>
      </c>
      <c r="M16" s="27">
        <v>75</v>
      </c>
      <c r="N16" s="24">
        <v>39</v>
      </c>
      <c r="O16" s="50">
        <f t="shared" si="5"/>
        <v>1</v>
      </c>
      <c r="P16" s="24">
        <v>985</v>
      </c>
      <c r="Q16" s="24">
        <v>995</v>
      </c>
      <c r="R16" s="24">
        <f t="shared" si="6"/>
        <v>990</v>
      </c>
      <c r="S16" s="24">
        <f t="shared" si="7"/>
        <v>10</v>
      </c>
      <c r="T16" s="50"/>
      <c r="U16" s="143">
        <v>9.6</v>
      </c>
      <c r="V16" s="143">
        <v>20.8</v>
      </c>
      <c r="W16" s="26">
        <v>32.200000000000003</v>
      </c>
      <c r="X16" s="123" t="s">
        <v>110</v>
      </c>
      <c r="Y16" s="324">
        <f t="shared" si="8"/>
        <v>2</v>
      </c>
      <c r="Z16" s="426">
        <v>9.1</v>
      </c>
      <c r="AA16" s="38">
        <v>4.9000000000000004</v>
      </c>
      <c r="AB16" s="38">
        <v>3</v>
      </c>
      <c r="AC16" s="510">
        <f t="shared" si="9"/>
        <v>0.16192170818505341</v>
      </c>
      <c r="AD16" s="7">
        <f t="shared" si="10"/>
        <v>3.0333333333333332</v>
      </c>
      <c r="AE16" s="145">
        <v>30</v>
      </c>
      <c r="AF16" s="56"/>
      <c r="AG16" s="7">
        <v>-1.3</v>
      </c>
      <c r="AH16" s="7">
        <v>10.9</v>
      </c>
      <c r="AI16" s="7">
        <v>3.2</v>
      </c>
      <c r="AJ16" s="7">
        <f t="shared" si="11"/>
        <v>12.200000000000001</v>
      </c>
      <c r="AK16" s="54"/>
      <c r="AL16" s="123" t="s">
        <v>786</v>
      </c>
      <c r="AM16" s="134"/>
      <c r="AN16" s="633" t="s">
        <v>787</v>
      </c>
      <c r="AO16" s="400"/>
      <c r="AP16" s="123">
        <v>5</v>
      </c>
      <c r="AQ16" s="123">
        <v>3</v>
      </c>
      <c r="AR16" s="134"/>
      <c r="AS16" s="26">
        <f>IF(ISBLANK(F16),"",(AVERAGE($F$4:F16)))</f>
        <v>3.5153846153846149</v>
      </c>
      <c r="AT16" s="26">
        <f>IF(ISBLANK(G16),"",(AVERAGE($G$4:G16)))</f>
        <v>9.0769230769230766</v>
      </c>
      <c r="AU16" s="25">
        <f>IF(ISBLANK(H16),"",(AVERAGE($H$4:H16)))</f>
        <v>6.5384615384615374</v>
      </c>
      <c r="AV16" s="368">
        <f>IF(ISBLANK(G16),"",(AVERAGE($I$4:I16)))</f>
        <v>5.5538461538461537</v>
      </c>
      <c r="AW16" s="22">
        <f>IF(ISBLANK(M16),"",AVERAGE($M$4:M16))</f>
        <v>78.307692307692307</v>
      </c>
      <c r="AX16" s="376">
        <f>IF(ISBLANK(P16),"",(AVERAGE($R$4:R16)))</f>
        <v>1005.7307692307693</v>
      </c>
      <c r="AY16" s="368">
        <f>IF(ISBLANK(U16),"",(AVERAGE($U$4:U16)))</f>
        <v>6.4692307692307685</v>
      </c>
      <c r="AZ16" s="6"/>
      <c r="BA16" s="25">
        <f t="shared" si="12"/>
        <v>1.1570833333333352</v>
      </c>
      <c r="BB16" s="25">
        <f t="shared" si="13"/>
        <v>3.6437500000000123</v>
      </c>
      <c r="BC16" s="25">
        <f t="shared" si="16"/>
        <v>2.4004166666666737</v>
      </c>
      <c r="BD16" s="367">
        <f t="shared" si="15"/>
        <v>2.486666666666677</v>
      </c>
      <c r="BE16" s="72"/>
      <c r="BF16" s="25">
        <f>IF(ISBLANK(F16),"",AS16-AVERAGE($F$91:F103))</f>
        <v>6.4967948717948421E-2</v>
      </c>
      <c r="BG16" s="25">
        <f>IF(ISBLANK(G16),"",AT16-AVERAGE($G$91:G103))</f>
        <v>0.63317307692308411</v>
      </c>
      <c r="BH16" s="367">
        <f t="shared" si="17"/>
        <v>0.56820512820513569</v>
      </c>
      <c r="BI16" s="115">
        <f t="shared" si="0"/>
        <v>1.008041958041958</v>
      </c>
      <c r="BJ16" s="115">
        <f t="shared" si="1"/>
        <v>2.0924281692255562</v>
      </c>
      <c r="BK16" s="402"/>
      <c r="BL16" s="572">
        <v>13</v>
      </c>
    </row>
    <row r="17" spans="1:64" ht="12.75" customHeight="1" x14ac:dyDescent="0.2">
      <c r="A17" s="278">
        <f t="shared" si="2"/>
        <v>14</v>
      </c>
      <c r="B17" s="131">
        <v>4.3</v>
      </c>
      <c r="C17" s="282">
        <v>5.9</v>
      </c>
      <c r="D17" s="685"/>
      <c r="E17" s="99">
        <f t="shared" si="3"/>
        <v>14</v>
      </c>
      <c r="F17" s="23">
        <v>4</v>
      </c>
      <c r="G17" s="23">
        <v>5.9</v>
      </c>
      <c r="H17" s="26">
        <v>4.9000000000000004</v>
      </c>
      <c r="I17" s="23">
        <v>1.9</v>
      </c>
      <c r="J17" s="6">
        <f t="shared" si="4"/>
        <v>0</v>
      </c>
      <c r="K17" s="24">
        <v>67</v>
      </c>
      <c r="L17" s="24">
        <v>80</v>
      </c>
      <c r="M17" s="27">
        <v>75</v>
      </c>
      <c r="N17" s="24">
        <v>13</v>
      </c>
      <c r="O17" s="50">
        <f t="shared" si="5"/>
        <v>1</v>
      </c>
      <c r="P17" s="24">
        <v>991</v>
      </c>
      <c r="Q17" s="24">
        <v>998</v>
      </c>
      <c r="R17" s="24">
        <f t="shared" si="6"/>
        <v>994.5</v>
      </c>
      <c r="S17" s="24">
        <f t="shared" si="7"/>
        <v>7</v>
      </c>
      <c r="T17" s="50"/>
      <c r="U17" s="143">
        <v>6.3</v>
      </c>
      <c r="V17" s="143">
        <v>19.399999999999999</v>
      </c>
      <c r="W17" s="26">
        <v>26.3</v>
      </c>
      <c r="X17" s="123" t="s">
        <v>110</v>
      </c>
      <c r="Y17" s="324">
        <f t="shared" si="8"/>
        <v>1</v>
      </c>
      <c r="Z17" s="426">
        <v>0.3</v>
      </c>
      <c r="AA17" s="38" t="s">
        <v>8</v>
      </c>
      <c r="AB17" s="38">
        <v>0.3</v>
      </c>
      <c r="AC17" s="510">
        <f t="shared" si="9"/>
        <v>5.3380782918149476E-3</v>
      </c>
      <c r="AD17" s="7">
        <f t="shared" si="10"/>
        <v>0.6</v>
      </c>
      <c r="AE17" s="145" t="s">
        <v>8</v>
      </c>
      <c r="AF17" s="56"/>
      <c r="AG17" s="7">
        <v>0</v>
      </c>
      <c r="AH17" s="7">
        <v>1.9</v>
      </c>
      <c r="AI17" s="7">
        <v>0.8</v>
      </c>
      <c r="AJ17" s="7">
        <f t="shared" si="11"/>
        <v>1.9</v>
      </c>
      <c r="AK17" s="54"/>
      <c r="AL17" s="123" t="s">
        <v>429</v>
      </c>
      <c r="AM17" s="134"/>
      <c r="AN17" s="630" t="s">
        <v>788</v>
      </c>
      <c r="AO17" s="400"/>
      <c r="AP17" s="123">
        <v>2.5</v>
      </c>
      <c r="AQ17" s="123">
        <v>0.5</v>
      </c>
      <c r="AR17" s="134"/>
      <c r="AS17" s="26">
        <f>IF(ISBLANK(F17),"",(AVERAGE($F$4:F17)))</f>
        <v>3.55</v>
      </c>
      <c r="AT17" s="26">
        <f>IF(ISBLANK(G17),"",(AVERAGE($G$4:G17)))</f>
        <v>8.85</v>
      </c>
      <c r="AU17" s="25">
        <f>IF(ISBLANK(H17),"",(AVERAGE($H$4:H17)))</f>
        <v>6.4214285714285708</v>
      </c>
      <c r="AV17" s="368">
        <f>IF(ISBLANK(G17),"",(AVERAGE($I$4:I17)))</f>
        <v>5.2928571428571436</v>
      </c>
      <c r="AW17" s="22">
        <f>IF(ISBLANK(M17),"",AVERAGE($M$4:M17))</f>
        <v>78.071428571428569</v>
      </c>
      <c r="AX17" s="376">
        <f>IF(ISBLANK(P17),"",(AVERAGE($R$4:R17)))</f>
        <v>1004.9285714285714</v>
      </c>
      <c r="AY17" s="368">
        <f>IF(ISBLANK(U17),"",(AVERAGE($U$4:U17)))</f>
        <v>6.4571428571428564</v>
      </c>
      <c r="AZ17" s="6"/>
      <c r="BA17" s="25">
        <f t="shared" si="12"/>
        <v>0.79166666666666829</v>
      </c>
      <c r="BB17" s="25">
        <f t="shared" si="13"/>
        <v>-1.9749999999999872</v>
      </c>
      <c r="BC17" s="25">
        <f t="shared" si="16"/>
        <v>-0.59166666666665946</v>
      </c>
      <c r="BD17" s="367">
        <f t="shared" si="15"/>
        <v>-2.7666666666666555</v>
      </c>
      <c r="BE17" s="72"/>
      <c r="BF17" s="25">
        <f>IF(ISBLANK(F17),"",AS17-AVERAGE($F$91:F104))</f>
        <v>0.11687500000000028</v>
      </c>
      <c r="BG17" s="25">
        <f>IF(ISBLANK(G17),"",AT17-AVERAGE($G$91:G104))</f>
        <v>0.44687500000000746</v>
      </c>
      <c r="BH17" s="367">
        <f t="shared" si="17"/>
        <v>0.33000000000000718</v>
      </c>
      <c r="BI17" s="115">
        <f t="shared" si="0"/>
        <v>0.94610389610389611</v>
      </c>
      <c r="BJ17" s="115">
        <f t="shared" si="1"/>
        <v>2.0595030342455209</v>
      </c>
      <c r="BK17" s="402"/>
      <c r="BL17" s="572">
        <v>14</v>
      </c>
    </row>
    <row r="18" spans="1:64" ht="12.75" customHeight="1" x14ac:dyDescent="0.2">
      <c r="A18" s="278">
        <f t="shared" si="2"/>
        <v>15</v>
      </c>
      <c r="B18" s="131">
        <v>4</v>
      </c>
      <c r="C18" s="282">
        <v>7.9</v>
      </c>
      <c r="D18" s="685"/>
      <c r="E18" s="99">
        <f t="shared" si="3"/>
        <v>15</v>
      </c>
      <c r="F18" s="23">
        <v>4</v>
      </c>
      <c r="G18" s="23">
        <v>7.9</v>
      </c>
      <c r="H18" s="26">
        <v>5.8</v>
      </c>
      <c r="I18" s="23">
        <v>3.9</v>
      </c>
      <c r="J18" s="6">
        <f t="shared" si="4"/>
        <v>0</v>
      </c>
      <c r="K18" s="24">
        <v>65</v>
      </c>
      <c r="L18" s="24">
        <v>84</v>
      </c>
      <c r="M18" s="27">
        <v>75</v>
      </c>
      <c r="N18" s="24">
        <v>19</v>
      </c>
      <c r="O18" s="50">
        <f t="shared" si="5"/>
        <v>0</v>
      </c>
      <c r="P18" s="24">
        <v>988</v>
      </c>
      <c r="Q18" s="24">
        <v>1001</v>
      </c>
      <c r="R18" s="24">
        <f t="shared" si="6"/>
        <v>994.5</v>
      </c>
      <c r="S18" s="24">
        <f t="shared" si="7"/>
        <v>13</v>
      </c>
      <c r="T18" s="50"/>
      <c r="U18" s="143">
        <v>7.0579600000000005</v>
      </c>
      <c r="V18" s="143">
        <v>19.2</v>
      </c>
      <c r="W18" s="26">
        <v>27.7</v>
      </c>
      <c r="X18" s="123" t="s">
        <v>110</v>
      </c>
      <c r="Y18" s="324">
        <f t="shared" si="8"/>
        <v>2</v>
      </c>
      <c r="Z18" s="426">
        <v>2.2000000000000002</v>
      </c>
      <c r="AA18" s="38">
        <v>1.4</v>
      </c>
      <c r="AB18" s="38">
        <v>0.3</v>
      </c>
      <c r="AC18" s="510">
        <f t="shared" si="9"/>
        <v>3.9145907473309621E-2</v>
      </c>
      <c r="AD18" s="7">
        <f t="shared" si="10"/>
        <v>0.88000000000000012</v>
      </c>
      <c r="AE18" s="145">
        <v>1.3</v>
      </c>
      <c r="AF18" s="56"/>
      <c r="AG18" s="7">
        <v>0.5</v>
      </c>
      <c r="AH18" s="7">
        <v>3.4</v>
      </c>
      <c r="AI18" s="7">
        <v>1.8</v>
      </c>
      <c r="AJ18" s="7">
        <f t="shared" si="11"/>
        <v>2.9</v>
      </c>
      <c r="AK18" s="54"/>
      <c r="AL18" s="123" t="s">
        <v>789</v>
      </c>
      <c r="AM18" s="134"/>
      <c r="AN18" s="51" t="s">
        <v>790</v>
      </c>
      <c r="AO18" s="400"/>
      <c r="AP18" s="123">
        <v>3</v>
      </c>
      <c r="AQ18" s="123">
        <v>2.5</v>
      </c>
      <c r="AR18" s="134"/>
      <c r="AS18" s="26">
        <f>IF(ISBLANK(F18),"",(AVERAGE($F$4:F18)))</f>
        <v>3.5799999999999996</v>
      </c>
      <c r="AT18" s="26">
        <f>IF(ISBLANK(G18),"",(AVERAGE($G$4:G18)))</f>
        <v>8.7866666666666653</v>
      </c>
      <c r="AU18" s="25">
        <f>IF(ISBLANK(H18),"",(AVERAGE($H$4:H18)))</f>
        <v>6.379999999999999</v>
      </c>
      <c r="AV18" s="368">
        <f>IF(ISBLANK(G18),"",(AVERAGE($I$4:I18)))</f>
        <v>5.2000000000000011</v>
      </c>
      <c r="AW18" s="22">
        <f>IF(ISBLANK(M18),"",AVERAGE($M$4:M18))</f>
        <v>77.86666666666666</v>
      </c>
      <c r="AX18" s="376">
        <f>IF(ISBLANK(P18),"",(AVERAGE($R$4:R18)))</f>
        <v>1004.2333333333333</v>
      </c>
      <c r="AY18" s="368">
        <f>IF(ISBLANK(U18),"",(AVERAGE($U$4:U18)))</f>
        <v>6.4971973333333324</v>
      </c>
      <c r="AZ18" s="6"/>
      <c r="BA18" s="25">
        <f t="shared" si="12"/>
        <v>0.82624999999999993</v>
      </c>
      <c r="BB18" s="25">
        <f t="shared" si="13"/>
        <v>0.10625000000001261</v>
      </c>
      <c r="BC18" s="25">
        <f t="shared" si="16"/>
        <v>0.46625000000000627</v>
      </c>
      <c r="BD18" s="367">
        <f t="shared" si="15"/>
        <v>-0.71999999999998732</v>
      </c>
      <c r="BE18" s="72"/>
      <c r="BF18" s="25">
        <f>IF(ISBLANK(F18),"",AS18-AVERAGE($F$91:F105))</f>
        <v>0.16416666666666702</v>
      </c>
      <c r="BG18" s="25">
        <f>IF(ISBLANK(G18),"",AT18-AVERAGE($G$91:G105))</f>
        <v>0.42416666666667346</v>
      </c>
      <c r="BH18" s="367">
        <f t="shared" si="17"/>
        <v>0.26000000000000645</v>
      </c>
      <c r="BI18" s="115">
        <f t="shared" si="0"/>
        <v>0.95191919191919194</v>
      </c>
      <c r="BJ18" s="115">
        <f t="shared" si="1"/>
        <v>2.0524319060851037</v>
      </c>
      <c r="BK18" s="402"/>
      <c r="BL18" s="572">
        <v>15</v>
      </c>
    </row>
    <row r="19" spans="1:64" ht="12.75" customHeight="1" x14ac:dyDescent="0.2">
      <c r="A19" s="278">
        <f t="shared" si="2"/>
        <v>16</v>
      </c>
      <c r="B19" s="131">
        <v>1</v>
      </c>
      <c r="C19" s="282">
        <v>3.8</v>
      </c>
      <c r="D19" s="685"/>
      <c r="E19" s="99">
        <f t="shared" si="3"/>
        <v>16</v>
      </c>
      <c r="F19" s="23">
        <v>1</v>
      </c>
      <c r="G19" s="23">
        <v>4.0999999999999996</v>
      </c>
      <c r="H19" s="26">
        <v>2.8</v>
      </c>
      <c r="I19" s="23">
        <v>3.1</v>
      </c>
      <c r="J19" s="6">
        <f t="shared" si="4"/>
        <v>1</v>
      </c>
      <c r="K19" s="24">
        <v>77</v>
      </c>
      <c r="L19" s="24">
        <v>97</v>
      </c>
      <c r="M19" s="27">
        <v>89</v>
      </c>
      <c r="N19" s="24">
        <v>20</v>
      </c>
      <c r="O19" s="50">
        <f t="shared" si="5"/>
        <v>0</v>
      </c>
      <c r="P19" s="24">
        <v>980</v>
      </c>
      <c r="Q19" s="24">
        <v>1003</v>
      </c>
      <c r="R19" s="24">
        <f t="shared" si="6"/>
        <v>991.5</v>
      </c>
      <c r="S19" s="24">
        <f t="shared" si="7"/>
        <v>23</v>
      </c>
      <c r="T19" s="50"/>
      <c r="U19" s="143">
        <v>5.8094400000000004</v>
      </c>
      <c r="V19" s="143">
        <v>13.459523809523812</v>
      </c>
      <c r="W19" s="26">
        <v>19.785500000000003</v>
      </c>
      <c r="X19" s="293" t="s">
        <v>113</v>
      </c>
      <c r="Y19" s="324">
        <f t="shared" si="8"/>
        <v>2</v>
      </c>
      <c r="Z19" s="426">
        <v>6.3</v>
      </c>
      <c r="AA19" s="38">
        <v>1.6</v>
      </c>
      <c r="AB19" s="38">
        <v>0.5</v>
      </c>
      <c r="AC19" s="510">
        <f t="shared" si="9"/>
        <v>0.11209964412811389</v>
      </c>
      <c r="AD19" s="7">
        <f t="shared" si="10"/>
        <v>0.78749999999999998</v>
      </c>
      <c r="AE19" s="145">
        <v>1.7</v>
      </c>
      <c r="AF19" s="56"/>
      <c r="AG19" s="7">
        <v>-0.1</v>
      </c>
      <c r="AH19" s="7">
        <v>3.2</v>
      </c>
      <c r="AI19" s="7">
        <v>1.1000000000000001</v>
      </c>
      <c r="AJ19" s="7">
        <f t="shared" si="11"/>
        <v>3.3000000000000003</v>
      </c>
      <c r="AK19" s="54"/>
      <c r="AL19" s="123" t="s">
        <v>335</v>
      </c>
      <c r="AM19" s="134"/>
      <c r="AN19" s="634" t="s">
        <v>791</v>
      </c>
      <c r="AO19" s="400"/>
      <c r="AP19" s="123">
        <v>0.5</v>
      </c>
      <c r="AQ19" s="123">
        <v>8</v>
      </c>
      <c r="AR19" s="134"/>
      <c r="AS19" s="26">
        <f>IF(ISBLANK(F19),"",(AVERAGE($F$4:F19)))</f>
        <v>3.4187499999999997</v>
      </c>
      <c r="AT19" s="26">
        <f>IF(ISBLANK(G19),"",(AVERAGE($G$4:G19)))</f>
        <v>8.4937499999999986</v>
      </c>
      <c r="AU19" s="25">
        <f>IF(ISBLANK(H19),"",(AVERAGE($H$4:H19)))</f>
        <v>6.1562499999999991</v>
      </c>
      <c r="AV19" s="368">
        <f>IF(ISBLANK(G19),"",(AVERAGE($I$4:I19)))</f>
        <v>5.0687500000000005</v>
      </c>
      <c r="AW19" s="22">
        <f>IF(ISBLANK(M19),"",AVERAGE($M$4:M19))</f>
        <v>78.5625</v>
      </c>
      <c r="AX19" s="376">
        <f>IF(ISBLANK(P19),"",(AVERAGE($R$4:R19)))</f>
        <v>1003.4375</v>
      </c>
      <c r="AY19" s="368">
        <f>IF(ISBLANK(U19),"",(AVERAGE($U$4:U19)))</f>
        <v>6.4542124999999988</v>
      </c>
      <c r="AZ19" s="6"/>
      <c r="BA19" s="25">
        <f t="shared" si="12"/>
        <v>-2.1391666666666649</v>
      </c>
      <c r="BB19" s="25">
        <f t="shared" si="13"/>
        <v>-3.6124999999999883</v>
      </c>
      <c r="BC19" s="25">
        <f t="shared" si="16"/>
        <v>-2.8758333333333264</v>
      </c>
      <c r="BD19" s="367">
        <f t="shared" si="15"/>
        <v>-1.4733333333333234</v>
      </c>
      <c r="BE19" s="72"/>
      <c r="BF19" s="25">
        <f>IF(ISBLANK(F19),"",AS19-AVERAGE($F$91:F106))</f>
        <v>2.0208333333333606E-2</v>
      </c>
      <c r="BG19" s="25">
        <f>IF(ISBLANK(G19),"",AT19-AVERAGE($G$91:G106))</f>
        <v>0.17187500000000711</v>
      </c>
      <c r="BH19" s="367">
        <f t="shared" si="17"/>
        <v>0.1516666666666735</v>
      </c>
      <c r="BI19" s="115">
        <f t="shared" si="0"/>
        <v>1.0773674242424243</v>
      </c>
      <c r="BJ19" s="115">
        <f t="shared" si="1"/>
        <v>1.946271047712979</v>
      </c>
      <c r="BK19" s="402"/>
      <c r="BL19" s="572">
        <v>16</v>
      </c>
    </row>
    <row r="20" spans="1:64" ht="12.75" customHeight="1" x14ac:dyDescent="0.2">
      <c r="A20" s="278">
        <f t="shared" si="2"/>
        <v>17</v>
      </c>
      <c r="B20" s="131">
        <v>0.6</v>
      </c>
      <c r="C20" s="282">
        <v>5.0999999999999996</v>
      </c>
      <c r="D20" s="685"/>
      <c r="E20" s="99">
        <f t="shared" si="3"/>
        <v>17</v>
      </c>
      <c r="F20" s="23">
        <v>0.6</v>
      </c>
      <c r="G20" s="23">
        <v>5.0999999999999996</v>
      </c>
      <c r="H20" s="26">
        <v>2.6</v>
      </c>
      <c r="I20" s="23">
        <v>4.5</v>
      </c>
      <c r="J20" s="6">
        <f t="shared" si="4"/>
        <v>0</v>
      </c>
      <c r="K20" s="24">
        <v>77</v>
      </c>
      <c r="L20" s="24">
        <v>95</v>
      </c>
      <c r="M20" s="27">
        <v>87</v>
      </c>
      <c r="N20" s="24">
        <v>18</v>
      </c>
      <c r="O20" s="50">
        <f t="shared" si="5"/>
        <v>0</v>
      </c>
      <c r="P20" s="24">
        <v>1003</v>
      </c>
      <c r="Q20" s="24">
        <v>1014</v>
      </c>
      <c r="R20" s="24">
        <f t="shared" si="6"/>
        <v>1008.5</v>
      </c>
      <c r="S20" s="24">
        <f t="shared" si="7"/>
        <v>11</v>
      </c>
      <c r="T20" s="50"/>
      <c r="U20" s="143">
        <v>4.68832</v>
      </c>
      <c r="V20" s="143">
        <v>12.305850340136056</v>
      </c>
      <c r="W20" s="26">
        <v>18.089600000000001</v>
      </c>
      <c r="X20" s="123" t="s">
        <v>114</v>
      </c>
      <c r="Y20" s="324">
        <f t="shared" si="8"/>
        <v>1</v>
      </c>
      <c r="Z20" s="426">
        <v>0.5</v>
      </c>
      <c r="AA20" s="38">
        <v>0.5</v>
      </c>
      <c r="AB20" s="38">
        <v>0.3</v>
      </c>
      <c r="AC20" s="510">
        <f t="shared" si="9"/>
        <v>8.8967971530249136E-3</v>
      </c>
      <c r="AD20" s="7">
        <f t="shared" si="10"/>
        <v>0.5</v>
      </c>
      <c r="AE20" s="145" t="s">
        <v>8</v>
      </c>
      <c r="AF20" s="56"/>
      <c r="AG20" s="7">
        <v>-1.1000000000000001</v>
      </c>
      <c r="AH20" s="7">
        <v>3.3</v>
      </c>
      <c r="AI20" s="7">
        <v>0.6</v>
      </c>
      <c r="AJ20" s="7">
        <f t="shared" si="11"/>
        <v>4.4000000000000004</v>
      </c>
      <c r="AK20" s="54"/>
      <c r="AL20" s="123" t="s">
        <v>792</v>
      </c>
      <c r="AM20" s="134"/>
      <c r="AN20" s="630" t="s">
        <v>793</v>
      </c>
      <c r="AO20" s="400"/>
      <c r="AP20" s="123">
        <v>4</v>
      </c>
      <c r="AQ20" s="123">
        <v>1</v>
      </c>
      <c r="AR20" s="134"/>
      <c r="AS20" s="26">
        <f>IF(ISBLANK(F20),"",(AVERAGE($F$4:F20)))</f>
        <v>3.2529411764705882</v>
      </c>
      <c r="AT20" s="26">
        <f>IF(ISBLANK(G20),"",(AVERAGE($G$4:G20)))</f>
        <v>8.2941176470588225</v>
      </c>
      <c r="AU20" s="25">
        <f>IF(ISBLANK(H20),"",(AVERAGE($H$4:H20)))</f>
        <v>5.9470588235294102</v>
      </c>
      <c r="AV20" s="368">
        <f>IF(ISBLANK(G20),"",(AVERAGE($I$4:I20)))</f>
        <v>5.0352941176470596</v>
      </c>
      <c r="AW20" s="22">
        <f>IF(ISBLANK(M20),"",AVERAGE($M$4:M20))</f>
        <v>79.058823529411768</v>
      </c>
      <c r="AX20" s="376">
        <f>IF(ISBLANK(P20),"",(AVERAGE($R$4:R20)))</f>
        <v>1003.7352941176471</v>
      </c>
      <c r="AY20" s="368">
        <f>IF(ISBLANK(U20),"",(AVERAGE($U$4:U20)))</f>
        <v>6.3503364705882346</v>
      </c>
      <c r="AZ20" s="6"/>
      <c r="BA20" s="25">
        <f t="shared" si="12"/>
        <v>-2.5045833333333314</v>
      </c>
      <c r="BB20" s="25">
        <f t="shared" si="13"/>
        <v>-2.5312499999999885</v>
      </c>
      <c r="BC20" s="25">
        <f t="shared" si="16"/>
        <v>-2.5179166666666601</v>
      </c>
      <c r="BD20" s="367">
        <f t="shared" si="15"/>
        <v>-2.6666666666657068E-2</v>
      </c>
      <c r="BE20" s="72"/>
      <c r="BF20" s="25">
        <f>IF(ISBLANK(F20),"",AS20-AVERAGE($F$91:F107))</f>
        <v>-0.12830882352941098</v>
      </c>
      <c r="BG20" s="25">
        <f>IF(ISBLANK(G20),"",AT20-AVERAGE($G$91:G107))</f>
        <v>1.2867647058831366E-2</v>
      </c>
      <c r="BH20" s="367">
        <f t="shared" si="17"/>
        <v>0.14117647058824234</v>
      </c>
      <c r="BI20" s="115">
        <f t="shared" si="0"/>
        <v>1.0278074866310161</v>
      </c>
      <c r="BJ20" s="115">
        <f t="shared" si="1"/>
        <v>1.984571520589635</v>
      </c>
      <c r="BK20" s="402"/>
      <c r="BL20" s="572">
        <v>17</v>
      </c>
    </row>
    <row r="21" spans="1:64" ht="12.75" customHeight="1" x14ac:dyDescent="0.2">
      <c r="A21" s="278">
        <f t="shared" si="2"/>
        <v>18</v>
      </c>
      <c r="B21" s="131">
        <v>-0.2</v>
      </c>
      <c r="C21" s="282">
        <v>4.8</v>
      </c>
      <c r="D21" s="685"/>
      <c r="E21" s="99">
        <f t="shared" si="3"/>
        <v>18</v>
      </c>
      <c r="F21" s="23">
        <v>-0.9</v>
      </c>
      <c r="G21" s="23">
        <v>4.8</v>
      </c>
      <c r="H21" s="26">
        <v>1.5</v>
      </c>
      <c r="I21" s="23">
        <v>5.7</v>
      </c>
      <c r="J21" s="6">
        <f t="shared" si="4"/>
        <v>0</v>
      </c>
      <c r="K21" s="24">
        <v>76</v>
      </c>
      <c r="L21" s="24">
        <v>92</v>
      </c>
      <c r="M21" s="27">
        <v>84</v>
      </c>
      <c r="N21" s="24">
        <v>16</v>
      </c>
      <c r="O21" s="50">
        <f t="shared" si="5"/>
        <v>1</v>
      </c>
      <c r="P21" s="24">
        <v>1014</v>
      </c>
      <c r="Q21" s="24">
        <v>1019</v>
      </c>
      <c r="R21" s="24">
        <f t="shared" si="6"/>
        <v>1016.5</v>
      </c>
      <c r="S21" s="24">
        <f t="shared" si="7"/>
        <v>5</v>
      </c>
      <c r="T21" s="50"/>
      <c r="U21" s="143">
        <v>4.1787200000000002</v>
      </c>
      <c r="V21" s="143">
        <v>11.53673469387755</v>
      </c>
      <c r="W21" s="26">
        <v>16.959</v>
      </c>
      <c r="X21" s="123" t="s">
        <v>114</v>
      </c>
      <c r="Y21" s="324">
        <f t="shared" si="8"/>
        <v>0</v>
      </c>
      <c r="Z21" s="426">
        <v>0</v>
      </c>
      <c r="AA21" s="38" t="s">
        <v>619</v>
      </c>
      <c r="AB21" s="38" t="s">
        <v>619</v>
      </c>
      <c r="AC21" s="510" t="str">
        <f t="shared" si="9"/>
        <v/>
      </c>
      <c r="AD21" s="7" t="str">
        <f t="shared" si="10"/>
        <v/>
      </c>
      <c r="AE21" s="145" t="s">
        <v>619</v>
      </c>
      <c r="AF21" s="56"/>
      <c r="AG21" s="7">
        <v>-3.3</v>
      </c>
      <c r="AH21" s="7">
        <v>1.9</v>
      </c>
      <c r="AI21" s="7">
        <v>-0.9</v>
      </c>
      <c r="AJ21" s="7">
        <f t="shared" si="11"/>
        <v>5.1999999999999993</v>
      </c>
      <c r="AK21" s="54"/>
      <c r="AL21" s="123" t="s">
        <v>569</v>
      </c>
      <c r="AM21" s="134"/>
      <c r="AN21" s="99" t="s">
        <v>26</v>
      </c>
      <c r="AO21" s="400"/>
      <c r="AP21" s="123">
        <v>1.5</v>
      </c>
      <c r="AQ21" s="123">
        <v>0</v>
      </c>
      <c r="AR21" s="134"/>
      <c r="AS21" s="26">
        <f>IF(ISBLANK(F21),"",(AVERAGE($F$4:F21)))</f>
        <v>3.0222222222222221</v>
      </c>
      <c r="AT21" s="26">
        <f>IF(ISBLANK(G21),"",(AVERAGE($G$4:G21)))</f>
        <v>8.1</v>
      </c>
      <c r="AU21" s="25">
        <f>IF(ISBLANK(H21),"",(AVERAGE($H$4:H21)))</f>
        <v>5.6999999999999993</v>
      </c>
      <c r="AV21" s="368">
        <f>IF(ISBLANK(G21),"",(AVERAGE($I$4:I21)))</f>
        <v>5.0722222222222229</v>
      </c>
      <c r="AW21" s="22">
        <f>IF(ISBLANK(M21),"",AVERAGE($M$4:M21))</f>
        <v>79.333333333333329</v>
      </c>
      <c r="AX21" s="376">
        <f>IF(ISBLANK(P21),"",(AVERAGE($R$4:R21)))</f>
        <v>1004.4444444444445</v>
      </c>
      <c r="AY21" s="368">
        <f>IF(ISBLANK(U21),"",(AVERAGE($U$4:U21)))</f>
        <v>6.2296911111111104</v>
      </c>
      <c r="AZ21" s="6"/>
      <c r="BA21" s="25">
        <f t="shared" si="12"/>
        <v>-3.9699999999999998</v>
      </c>
      <c r="BB21" s="25">
        <f t="shared" si="13"/>
        <v>-2.75</v>
      </c>
      <c r="BC21" s="25">
        <f t="shared" si="16"/>
        <v>-3.36</v>
      </c>
      <c r="BD21" s="367">
        <f t="shared" si="15"/>
        <v>1.2199999999999998</v>
      </c>
      <c r="BE21" s="72"/>
      <c r="BF21" s="25">
        <f>IF(ISBLANK(F21),"",AS21-AVERAGE($F$91:F108))</f>
        <v>-0.34173611111111057</v>
      </c>
      <c r="BG21" s="25">
        <f>IF(ISBLANK(G21),"",AT21-AVERAGE($G$91:G108))</f>
        <v>-0.14062499999999289</v>
      </c>
      <c r="BH21" s="367">
        <f t="shared" ref="BH21:BH29" si="18">IF(ISBLANK(G21),"",BG21-BF21)</f>
        <v>0.20111111111111768</v>
      </c>
      <c r="BI21" s="115">
        <f t="shared" si="0"/>
        <v>0.97070707070707063</v>
      </c>
      <c r="BJ21" s="115">
        <f t="shared" si="1"/>
        <v>1.9296037144673621</v>
      </c>
      <c r="BK21" s="402"/>
      <c r="BL21" s="572">
        <v>18</v>
      </c>
    </row>
    <row r="22" spans="1:64" ht="12.75" customHeight="1" x14ac:dyDescent="0.2">
      <c r="A22" s="278">
        <f t="shared" si="2"/>
        <v>19</v>
      </c>
      <c r="B22" s="131">
        <v>-1.3</v>
      </c>
      <c r="C22" s="282">
        <v>5.9</v>
      </c>
      <c r="D22" s="685"/>
      <c r="E22" s="99">
        <f t="shared" si="3"/>
        <v>19</v>
      </c>
      <c r="F22" s="23">
        <v>-1.3</v>
      </c>
      <c r="G22" s="23">
        <v>6.3</v>
      </c>
      <c r="H22" s="26">
        <v>3.1</v>
      </c>
      <c r="I22" s="23">
        <v>7.6</v>
      </c>
      <c r="J22" s="6">
        <f t="shared" si="4"/>
        <v>1</v>
      </c>
      <c r="K22" s="24">
        <v>84</v>
      </c>
      <c r="L22" s="24">
        <v>97</v>
      </c>
      <c r="M22" s="27">
        <v>94</v>
      </c>
      <c r="N22" s="24">
        <v>13</v>
      </c>
      <c r="O22" s="50">
        <f t="shared" si="5"/>
        <v>0</v>
      </c>
      <c r="P22" s="24">
        <v>1009</v>
      </c>
      <c r="Q22" s="24">
        <v>1019</v>
      </c>
      <c r="R22" s="24">
        <f t="shared" si="6"/>
        <v>1014</v>
      </c>
      <c r="S22" s="24">
        <f t="shared" si="7"/>
        <v>10</v>
      </c>
      <c r="T22" s="50"/>
      <c r="U22" s="143">
        <v>4.1277600000000003</v>
      </c>
      <c r="V22" s="143">
        <v>10.767619047619048</v>
      </c>
      <c r="W22" s="26">
        <v>15.8284</v>
      </c>
      <c r="X22" s="123" t="s">
        <v>110</v>
      </c>
      <c r="Y22" s="324">
        <f t="shared" si="8"/>
        <v>2</v>
      </c>
      <c r="Z22" s="426">
        <v>3.6</v>
      </c>
      <c r="AA22" s="38">
        <v>1.4</v>
      </c>
      <c r="AB22" s="38">
        <v>0.6</v>
      </c>
      <c r="AC22" s="510">
        <f t="shared" si="9"/>
        <v>6.4056939501779375E-2</v>
      </c>
      <c r="AD22" s="7">
        <f t="shared" si="10"/>
        <v>0.65454545454545454</v>
      </c>
      <c r="AE22" s="145">
        <v>2.7</v>
      </c>
      <c r="AF22" s="56"/>
      <c r="AG22" s="7">
        <v>-3.6</v>
      </c>
      <c r="AH22" s="7">
        <v>5.9</v>
      </c>
      <c r="AI22" s="7">
        <v>2.2999999999999998</v>
      </c>
      <c r="AJ22" s="7">
        <f t="shared" si="11"/>
        <v>9.5</v>
      </c>
      <c r="AK22" s="54"/>
      <c r="AL22" s="123" t="s">
        <v>239</v>
      </c>
      <c r="AM22" s="134"/>
      <c r="AN22" s="99" t="s">
        <v>794</v>
      </c>
      <c r="AO22" s="400"/>
      <c r="AP22" s="123">
        <v>0.1</v>
      </c>
      <c r="AQ22" s="123">
        <v>5.5</v>
      </c>
      <c r="AR22" s="134"/>
      <c r="AS22" s="26">
        <f>IF(ISBLANK(F22),"",(AVERAGE($F$4:F22)))</f>
        <v>2.7947368421052632</v>
      </c>
      <c r="AT22" s="26">
        <f>IF(ISBLANK(G22),"",(AVERAGE($G$4:G22)))</f>
        <v>8.0052631578947366</v>
      </c>
      <c r="AU22" s="25">
        <f>IF(ISBLANK(H22),"",(AVERAGE($H$4:H22)))</f>
        <v>5.5631578947368405</v>
      </c>
      <c r="AV22" s="368">
        <f>IF(ISBLANK(G22),"",(AVERAGE($I$4:I22)))</f>
        <v>5.2052631578947368</v>
      </c>
      <c r="AW22" s="22">
        <f>IF(ISBLANK(M22),"",AVERAGE($M$4:M22))</f>
        <v>80.10526315789474</v>
      </c>
      <c r="AX22" s="376">
        <f>IF(ISBLANK(P22),"",(AVERAGE($R$4:R22)))</f>
        <v>1004.9473684210526</v>
      </c>
      <c r="AY22" s="368">
        <f>IF(ISBLANK(U22),"",(AVERAGE($U$4:U22)))</f>
        <v>6.1190631578947361</v>
      </c>
      <c r="AZ22" s="6"/>
      <c r="BA22" s="25">
        <f t="shared" si="12"/>
        <v>-4.3415384615384616</v>
      </c>
      <c r="BB22" s="25">
        <f t="shared" si="13"/>
        <v>-1.21</v>
      </c>
      <c r="BC22" s="25">
        <f t="shared" si="16"/>
        <v>-2.7757692307692308</v>
      </c>
      <c r="BD22" s="367">
        <f t="shared" si="15"/>
        <v>3.1315384615384616</v>
      </c>
      <c r="BE22" s="72"/>
      <c r="BF22" s="25">
        <f>IF(ISBLANK(F22),"",AS22-AVERAGE($F$91:F109))</f>
        <v>-0.552252024291497</v>
      </c>
      <c r="BG22" s="25">
        <f>IF(ISBLANK(G22),"",AT22-AVERAGE($G$91:G109))</f>
        <v>-0.19690789473683523</v>
      </c>
      <c r="BH22" s="367">
        <f t="shared" si="18"/>
        <v>0.35534412955466177</v>
      </c>
      <c r="BI22" s="115">
        <f t="shared" si="0"/>
        <v>1.0086124401913874</v>
      </c>
      <c r="BJ22" s="115">
        <f t="shared" si="1"/>
        <v>1.8330435561973792</v>
      </c>
      <c r="BK22" s="402"/>
      <c r="BL22" s="572">
        <v>19</v>
      </c>
    </row>
    <row r="23" spans="1:64" ht="12.75" customHeight="1" x14ac:dyDescent="0.2">
      <c r="A23" s="278">
        <f t="shared" si="2"/>
        <v>20</v>
      </c>
      <c r="B23" s="131">
        <v>5.3</v>
      </c>
      <c r="C23" s="282">
        <v>7.7</v>
      </c>
      <c r="D23" s="685"/>
      <c r="E23" s="99">
        <f t="shared" si="3"/>
        <v>20</v>
      </c>
      <c r="F23" s="23">
        <v>5.3</v>
      </c>
      <c r="G23" s="23">
        <v>7.7</v>
      </c>
      <c r="H23" s="26">
        <v>6.4</v>
      </c>
      <c r="I23" s="23">
        <v>2.4</v>
      </c>
      <c r="J23" s="6">
        <f t="shared" si="4"/>
        <v>0</v>
      </c>
      <c r="K23" s="24">
        <v>68</v>
      </c>
      <c r="L23" s="24">
        <v>97</v>
      </c>
      <c r="M23" s="27">
        <v>83</v>
      </c>
      <c r="N23" s="24">
        <v>29</v>
      </c>
      <c r="O23" s="50">
        <f t="shared" si="5"/>
        <v>0</v>
      </c>
      <c r="P23" s="24">
        <v>1011</v>
      </c>
      <c r="Q23" s="24">
        <v>1020</v>
      </c>
      <c r="R23" s="24">
        <f t="shared" si="6"/>
        <v>1015.5</v>
      </c>
      <c r="S23" s="24">
        <f t="shared" si="7"/>
        <v>9</v>
      </c>
      <c r="T23" s="50"/>
      <c r="U23" s="143">
        <v>5.14696</v>
      </c>
      <c r="V23" s="143">
        <v>13.07496598639456</v>
      </c>
      <c r="W23" s="26">
        <v>19.220200000000002</v>
      </c>
      <c r="X23" s="123" t="s">
        <v>114</v>
      </c>
      <c r="Y23" s="324">
        <f t="shared" si="8"/>
        <v>1</v>
      </c>
      <c r="Z23" s="426">
        <v>0.9</v>
      </c>
      <c r="AA23" s="38">
        <v>0.5</v>
      </c>
      <c r="AB23" s="38">
        <v>0.3</v>
      </c>
      <c r="AC23" s="510">
        <f t="shared" si="9"/>
        <v>1.6014234875444844E-2</v>
      </c>
      <c r="AD23" s="7">
        <f t="shared" si="10"/>
        <v>0.3</v>
      </c>
      <c r="AE23" s="145">
        <v>0.5</v>
      </c>
      <c r="AF23" s="56"/>
      <c r="AG23" s="7">
        <v>1.9</v>
      </c>
      <c r="AH23" s="7">
        <v>6</v>
      </c>
      <c r="AI23" s="7">
        <v>3.6</v>
      </c>
      <c r="AJ23" s="7">
        <f t="shared" si="11"/>
        <v>4.0999999999999996</v>
      </c>
      <c r="AK23" s="54"/>
      <c r="AL23" s="123" t="s">
        <v>795</v>
      </c>
      <c r="AM23" s="134"/>
      <c r="AN23" s="630" t="s">
        <v>796</v>
      </c>
      <c r="AO23" s="400"/>
      <c r="AP23" s="123">
        <v>3.5</v>
      </c>
      <c r="AQ23" s="123">
        <v>3</v>
      </c>
      <c r="AR23" s="134"/>
      <c r="AS23" s="26">
        <f>IF(ISBLANK(F23),"",(AVERAGE($F$4:F23)))</f>
        <v>2.92</v>
      </c>
      <c r="AT23" s="26">
        <f>IF(ISBLANK(G23),"",(AVERAGE($G$4:G23)))</f>
        <v>7.9899999999999993</v>
      </c>
      <c r="AU23" s="25">
        <f>IF(ISBLANK(H23),"",(AVERAGE($H$4:H23)))</f>
        <v>5.6049999999999986</v>
      </c>
      <c r="AV23" s="368">
        <f>IF(ISBLANK(G23),"",(AVERAGE($I$4:I23)))</f>
        <v>5.0650000000000004</v>
      </c>
      <c r="AW23" s="22">
        <f>IF(ISBLANK(M23),"",AVERAGE($M$4:M23))</f>
        <v>80.25</v>
      </c>
      <c r="AX23" s="376">
        <f>IF(ISBLANK(P23),"",(AVERAGE($R$4:R23)))</f>
        <v>1005.475</v>
      </c>
      <c r="AY23" s="368">
        <f>IF(ISBLANK(U23),"",(AVERAGE($U$4:U23)))</f>
        <v>6.0704579999999995</v>
      </c>
      <c r="AZ23" s="6"/>
      <c r="BA23" s="25">
        <f t="shared" si="12"/>
        <v>2.2869230769230766</v>
      </c>
      <c r="BB23" s="25">
        <f t="shared" si="13"/>
        <v>0.23000000000000043</v>
      </c>
      <c r="BC23" s="25">
        <f t="shared" si="16"/>
        <v>1.2584615384615385</v>
      </c>
      <c r="BD23" s="367">
        <f t="shared" si="15"/>
        <v>-2.0569230769230762</v>
      </c>
      <c r="BE23" s="72"/>
      <c r="BF23" s="25">
        <f>IF(ISBLANK(F23),"",AS23-AVERAGE($F$91:F110))</f>
        <v>-0.41029326923076859</v>
      </c>
      <c r="BG23" s="25">
        <f>IF(ISBLANK(G23),"",AT23-AVERAGE($G$91:G110))</f>
        <v>-0.17556249999999363</v>
      </c>
      <c r="BH23" s="367">
        <f t="shared" si="18"/>
        <v>0.23473076923077496</v>
      </c>
      <c r="BI23" s="115">
        <f t="shared" si="0"/>
        <v>0.97931818181818175</v>
      </c>
      <c r="BJ23" s="115">
        <f t="shared" si="1"/>
        <v>1.8553537677305101</v>
      </c>
      <c r="BK23" s="88"/>
      <c r="BL23" s="572">
        <v>20</v>
      </c>
    </row>
    <row r="24" spans="1:64" ht="12.75" customHeight="1" x14ac:dyDescent="0.2">
      <c r="A24" s="278">
        <f t="shared" si="2"/>
        <v>21</v>
      </c>
      <c r="B24" s="131">
        <v>6.1</v>
      </c>
      <c r="C24" s="282">
        <v>11.8</v>
      </c>
      <c r="D24" s="685"/>
      <c r="E24" s="99">
        <f t="shared" si="3"/>
        <v>21</v>
      </c>
      <c r="F24" s="23">
        <v>6.1</v>
      </c>
      <c r="G24" s="23">
        <v>11.8</v>
      </c>
      <c r="H24" s="26">
        <v>9.4</v>
      </c>
      <c r="I24" s="23">
        <v>5.7</v>
      </c>
      <c r="J24" s="6">
        <f t="shared" si="4"/>
        <v>0</v>
      </c>
      <c r="K24" s="24">
        <v>87</v>
      </c>
      <c r="L24" s="24">
        <v>98</v>
      </c>
      <c r="M24" s="27">
        <v>94</v>
      </c>
      <c r="N24" s="24">
        <v>11</v>
      </c>
      <c r="O24" s="50">
        <f t="shared" si="5"/>
        <v>0</v>
      </c>
      <c r="P24" s="24">
        <v>1014</v>
      </c>
      <c r="Q24" s="24">
        <v>1023</v>
      </c>
      <c r="R24" s="24">
        <f t="shared" si="6"/>
        <v>1018.5</v>
      </c>
      <c r="S24" s="24">
        <f t="shared" si="7"/>
        <v>9</v>
      </c>
      <c r="T24" s="50"/>
      <c r="U24" s="143">
        <v>4.0258400000000005</v>
      </c>
      <c r="V24" s="143">
        <v>12.305850340136056</v>
      </c>
      <c r="W24" s="26">
        <v>18.089600000000001</v>
      </c>
      <c r="X24" s="123" t="s">
        <v>114</v>
      </c>
      <c r="Y24" s="324">
        <f t="shared" si="8"/>
        <v>2</v>
      </c>
      <c r="Z24" s="426">
        <v>1.7</v>
      </c>
      <c r="AA24" s="38">
        <v>0.5</v>
      </c>
      <c r="AB24" s="38">
        <v>0.3</v>
      </c>
      <c r="AC24" s="510">
        <f t="shared" si="9"/>
        <v>3.0249110320284704E-2</v>
      </c>
      <c r="AD24" s="7">
        <f t="shared" si="10"/>
        <v>0.33999999999999997</v>
      </c>
      <c r="AE24" s="145">
        <v>0.6</v>
      </c>
      <c r="AF24" s="56"/>
      <c r="AG24" s="7">
        <v>4.0999999999999996</v>
      </c>
      <c r="AH24" s="7">
        <v>11.2</v>
      </c>
      <c r="AI24" s="7">
        <v>8.6</v>
      </c>
      <c r="AJ24" s="7">
        <f t="shared" si="11"/>
        <v>7.1</v>
      </c>
      <c r="AK24" s="54"/>
      <c r="AL24" s="123" t="s">
        <v>239</v>
      </c>
      <c r="AM24" s="134"/>
      <c r="AN24" s="633" t="s">
        <v>797</v>
      </c>
      <c r="AO24" s="400"/>
      <c r="AP24" s="565">
        <v>0</v>
      </c>
      <c r="AQ24" s="123">
        <v>5</v>
      </c>
      <c r="AR24" s="134"/>
      <c r="AS24" s="26">
        <f>IF(ISBLANK(F24),"",(AVERAGE($F$4:F24)))</f>
        <v>3.0714285714285716</v>
      </c>
      <c r="AT24" s="26">
        <f>IF(ISBLANK(G24),"",(AVERAGE($G$4:G24)))</f>
        <v>8.1714285714285708</v>
      </c>
      <c r="AU24" s="25">
        <f>IF(ISBLANK(H24),"",(AVERAGE($H$4:H24)))</f>
        <v>5.7857142857142847</v>
      </c>
      <c r="AV24" s="368">
        <f>IF(ISBLANK(G24),"",(AVERAGE($I$4:I24)))</f>
        <v>5.0952380952380958</v>
      </c>
      <c r="AW24" s="22">
        <f>IF(ISBLANK(M24),"",AVERAGE($M$4:M24))</f>
        <v>80.904761904761898</v>
      </c>
      <c r="AX24" s="376">
        <f>IF(ISBLANK(P24),"",(AVERAGE($R$4:R24)))</f>
        <v>1006.0952380952381</v>
      </c>
      <c r="AY24" s="368">
        <f>IF(ISBLANK(U24),"",(AVERAGE($U$4:U24)))</f>
        <v>5.9730952380952376</v>
      </c>
      <c r="AZ24" s="6"/>
      <c r="BA24" s="25">
        <f t="shared" si="12"/>
        <v>3.115384615384615</v>
      </c>
      <c r="BB24" s="25">
        <f t="shared" si="13"/>
        <v>4.370000000000001</v>
      </c>
      <c r="BC24" s="25">
        <f t="shared" si="16"/>
        <v>3.742692307692308</v>
      </c>
      <c r="BD24" s="367">
        <f t="shared" si="15"/>
        <v>1.254615384615386</v>
      </c>
      <c r="BE24" s="72"/>
      <c r="BF24" s="25">
        <f>IF(ISBLANK(F24),"",AS24-AVERAGE($F$91:F111))</f>
        <v>-0.24240384615384514</v>
      </c>
      <c r="BG24" s="25">
        <f>IF(ISBLANK(G24),"",AT24-AVERAGE($G$91:G111))</f>
        <v>4.0892857142862837E-2</v>
      </c>
      <c r="BH24" s="367">
        <f t="shared" si="18"/>
        <v>0.28329670329670797</v>
      </c>
      <c r="BI24" s="115">
        <f t="shared" si="0"/>
        <v>0.97070707070707085</v>
      </c>
      <c r="BJ24" s="115">
        <f t="shared" si="1"/>
        <v>1.7683211192473014</v>
      </c>
      <c r="BK24" s="88"/>
      <c r="BL24" s="572">
        <v>21</v>
      </c>
    </row>
    <row r="25" spans="1:64" ht="12.75" customHeight="1" x14ac:dyDescent="0.2">
      <c r="A25" s="278">
        <f t="shared" si="2"/>
        <v>22</v>
      </c>
      <c r="B25" s="131">
        <v>8</v>
      </c>
      <c r="C25" s="282">
        <v>11.9</v>
      </c>
      <c r="D25" s="685"/>
      <c r="E25" s="99">
        <f t="shared" si="3"/>
        <v>22</v>
      </c>
      <c r="F25" s="23">
        <v>8</v>
      </c>
      <c r="G25" s="23">
        <v>11.9</v>
      </c>
      <c r="H25" s="26">
        <v>10</v>
      </c>
      <c r="I25" s="23">
        <v>3.9</v>
      </c>
      <c r="J25" s="6">
        <f t="shared" si="4"/>
        <v>0</v>
      </c>
      <c r="K25" s="24">
        <v>80</v>
      </c>
      <c r="L25" s="24">
        <v>96</v>
      </c>
      <c r="M25" s="27">
        <v>89</v>
      </c>
      <c r="N25" s="24">
        <v>16</v>
      </c>
      <c r="O25" s="50">
        <f t="shared" si="5"/>
        <v>0</v>
      </c>
      <c r="P25" s="24">
        <v>1023</v>
      </c>
      <c r="Q25" s="24">
        <v>1026</v>
      </c>
      <c r="R25" s="24">
        <f t="shared" si="6"/>
        <v>1024.5</v>
      </c>
      <c r="S25" s="24">
        <f t="shared" si="7"/>
        <v>3</v>
      </c>
      <c r="T25" s="50"/>
      <c r="U25" s="143">
        <v>5.3</v>
      </c>
      <c r="V25" s="143">
        <v>12.5</v>
      </c>
      <c r="W25" s="26">
        <v>18.5</v>
      </c>
      <c r="X25" s="123" t="s">
        <v>114</v>
      </c>
      <c r="Y25" s="324">
        <f t="shared" si="8"/>
        <v>0</v>
      </c>
      <c r="Z25" s="426">
        <v>0</v>
      </c>
      <c r="AA25" s="38" t="s">
        <v>619</v>
      </c>
      <c r="AB25" s="38" t="s">
        <v>619</v>
      </c>
      <c r="AC25" s="510" t="str">
        <f t="shared" si="9"/>
        <v/>
      </c>
      <c r="AD25" s="7" t="str">
        <f t="shared" si="10"/>
        <v/>
      </c>
      <c r="AE25" s="145" t="s">
        <v>619</v>
      </c>
      <c r="AF25" s="56"/>
      <c r="AG25" s="7">
        <v>7</v>
      </c>
      <c r="AH25" s="7">
        <v>9.4</v>
      </c>
      <c r="AI25" s="7">
        <v>8.1999999999999993</v>
      </c>
      <c r="AJ25" s="7">
        <f t="shared" si="11"/>
        <v>2.4000000000000004</v>
      </c>
      <c r="AK25" s="54"/>
      <c r="AL25" s="123" t="s">
        <v>798</v>
      </c>
      <c r="AM25" s="134"/>
      <c r="AN25" s="23" t="s">
        <v>8</v>
      </c>
      <c r="AO25" s="400"/>
      <c r="AP25" s="123">
        <v>6.5</v>
      </c>
      <c r="AQ25" s="123">
        <v>0</v>
      </c>
      <c r="AR25" s="134"/>
      <c r="AS25" s="26">
        <f>IF(ISBLANK(F25),"",(AVERAGE($F$4:F25)))</f>
        <v>3.2954545454545454</v>
      </c>
      <c r="AT25" s="26">
        <f>IF(ISBLANK(G25),"",(AVERAGE($G$4:G25)))</f>
        <v>8.3409090909090917</v>
      </c>
      <c r="AU25" s="25">
        <f>IF(ISBLANK(H25),"",(AVERAGE($H$4:H25)))</f>
        <v>5.9772727272727275</v>
      </c>
      <c r="AV25" s="368">
        <f>IF(ISBLANK(G25),"",(AVERAGE($I$4:I25)))</f>
        <v>5.0409090909090919</v>
      </c>
      <c r="AW25" s="22">
        <f>IF(ISBLANK(M25),"",AVERAGE($M$4:M25))</f>
        <v>81.272727272727266</v>
      </c>
      <c r="AX25" s="376">
        <f>IF(ISBLANK(P25),"",(AVERAGE($R$4:R25)))</f>
        <v>1006.9318181818181</v>
      </c>
      <c r="AY25" s="368">
        <f>IF(ISBLANK(U25),"",(AVERAGE($U$4:U25)))</f>
        <v>5.942499999999999</v>
      </c>
      <c r="AZ25" s="6"/>
      <c r="BA25" s="25">
        <f t="shared" si="12"/>
        <v>5.0438461538461539</v>
      </c>
      <c r="BB25" s="25">
        <f t="shared" si="13"/>
        <v>4.5100000000000007</v>
      </c>
      <c r="BC25" s="25">
        <f t="shared" si="16"/>
        <v>4.7769230769230777</v>
      </c>
      <c r="BD25" s="367">
        <f t="shared" si="15"/>
        <v>-0.53384615384615319</v>
      </c>
      <c r="BE25" s="72"/>
      <c r="BF25" s="25">
        <f>IF(ISBLANK(F25),"",AS25-AVERAGE($F$91:F112))</f>
        <v>-2.1197552447542733E-3</v>
      </c>
      <c r="BG25" s="25">
        <f>IF(ISBLANK(G25),"",AT25-AVERAGE($G$91:G112))</f>
        <v>0.24403409090909811</v>
      </c>
      <c r="BH25" s="367">
        <f t="shared" si="18"/>
        <v>0.24615384615385238</v>
      </c>
      <c r="BI25" s="115">
        <f t="shared" si="0"/>
        <v>0.92658402203856749</v>
      </c>
      <c r="BJ25" s="115">
        <f t="shared" si="1"/>
        <v>1.8793577320581301</v>
      </c>
      <c r="BK25" s="88"/>
      <c r="BL25" s="572">
        <v>22</v>
      </c>
    </row>
    <row r="26" spans="1:64" ht="12.75" customHeight="1" x14ac:dyDescent="0.2">
      <c r="A26" s="278">
        <f t="shared" si="2"/>
        <v>23</v>
      </c>
      <c r="B26" s="131">
        <v>10.6</v>
      </c>
      <c r="C26" s="282">
        <v>11.2</v>
      </c>
      <c r="D26" s="685"/>
      <c r="E26" s="99">
        <f t="shared" si="3"/>
        <v>23</v>
      </c>
      <c r="F26" s="23">
        <v>4.5999999999999996</v>
      </c>
      <c r="G26" s="23">
        <v>11.2</v>
      </c>
      <c r="H26" s="26">
        <v>9.1999999999999993</v>
      </c>
      <c r="I26" s="23">
        <v>6.6</v>
      </c>
      <c r="J26" s="6">
        <f t="shared" si="4"/>
        <v>0</v>
      </c>
      <c r="K26" s="24">
        <v>77</v>
      </c>
      <c r="L26" s="24">
        <v>92</v>
      </c>
      <c r="M26" s="27">
        <v>85</v>
      </c>
      <c r="N26" s="24">
        <v>15</v>
      </c>
      <c r="O26" s="50">
        <f t="shared" si="5"/>
        <v>1</v>
      </c>
      <c r="P26" s="24">
        <v>1008</v>
      </c>
      <c r="Q26" s="24">
        <v>1024</v>
      </c>
      <c r="R26" s="24">
        <f t="shared" si="6"/>
        <v>1016</v>
      </c>
      <c r="S26" s="24">
        <f t="shared" si="7"/>
        <v>16</v>
      </c>
      <c r="T26" s="50"/>
      <c r="U26" s="143">
        <v>7.8</v>
      </c>
      <c r="V26" s="143">
        <v>17.600000000000001</v>
      </c>
      <c r="W26" s="26">
        <v>26.3</v>
      </c>
      <c r="X26" s="123" t="s">
        <v>114</v>
      </c>
      <c r="Y26" s="324">
        <f t="shared" si="8"/>
        <v>2</v>
      </c>
      <c r="Z26" s="426">
        <v>4.0999999999999996</v>
      </c>
      <c r="AA26" s="38">
        <v>2.8</v>
      </c>
      <c r="AB26" s="38">
        <v>1.4</v>
      </c>
      <c r="AC26" s="510">
        <f t="shared" si="9"/>
        <v>7.2953736654804285E-2</v>
      </c>
      <c r="AD26" s="7">
        <f t="shared" si="10"/>
        <v>1.0249999999999999</v>
      </c>
      <c r="AE26" s="145">
        <v>20</v>
      </c>
      <c r="AF26" s="56"/>
      <c r="AG26" s="7">
        <v>0.9</v>
      </c>
      <c r="AH26" s="7">
        <v>9.3000000000000007</v>
      </c>
      <c r="AI26" s="7">
        <v>6.8</v>
      </c>
      <c r="AJ26" s="7">
        <f t="shared" si="11"/>
        <v>8.4</v>
      </c>
      <c r="AK26" s="54"/>
      <c r="AL26" s="123" t="s">
        <v>239</v>
      </c>
      <c r="AM26" s="134"/>
      <c r="AN26" s="23" t="s">
        <v>799</v>
      </c>
      <c r="AO26" s="400"/>
      <c r="AP26" s="540">
        <v>0</v>
      </c>
      <c r="AQ26" s="123">
        <v>4</v>
      </c>
      <c r="AR26" s="134"/>
      <c r="AS26" s="26">
        <f>IF(ISBLANK(F26),"",(AVERAGE($F$4:F26)))</f>
        <v>3.3521739130434782</v>
      </c>
      <c r="AT26" s="26">
        <f>IF(ISBLANK(G26),"",(AVERAGE($G$4:G26)))</f>
        <v>8.465217391304348</v>
      </c>
      <c r="AU26" s="25">
        <f>IF(ISBLANK(H26),"",(AVERAGE($H$4:H26)))</f>
        <v>6.1173913043478256</v>
      </c>
      <c r="AV26" s="368">
        <f>IF(ISBLANK(G26),"",(AVERAGE($I$4:I26)))</f>
        <v>5.108695652173914</v>
      </c>
      <c r="AW26" s="22">
        <f>IF(ISBLANK(M26),"",AVERAGE($M$4:M26))</f>
        <v>81.434782608695656</v>
      </c>
      <c r="AX26" s="376">
        <f>IF(ISBLANK(P26),"",(AVERAGE($R$4:R26)))</f>
        <v>1007.3260869565217</v>
      </c>
      <c r="AY26" s="368">
        <f>IF(ISBLANK(U26),"",(AVERAGE($U$4:U26)))</f>
        <v>6.0232608695652177</v>
      </c>
      <c r="AZ26" s="6"/>
      <c r="BA26" s="25">
        <f t="shared" si="12"/>
        <v>1.6723076923076921</v>
      </c>
      <c r="BB26" s="25">
        <f t="shared" si="13"/>
        <v>3.8499999999999996</v>
      </c>
      <c r="BC26" s="25">
        <f t="shared" si="16"/>
        <v>2.7611538461538458</v>
      </c>
      <c r="BD26" s="367">
        <f t="shared" si="15"/>
        <v>2.1776923076923076</v>
      </c>
      <c r="BE26" s="72"/>
      <c r="BF26" s="25">
        <f>IF(ISBLANK(F26),"",AS26-AVERAGE($F$91:F113))</f>
        <v>7.0681438127091045E-2</v>
      </c>
      <c r="BG26" s="25">
        <f>IF(ISBLANK(G26),"",AT26-AVERAGE($G$91:G113))</f>
        <v>0.40081521739131176</v>
      </c>
      <c r="BH26" s="367">
        <f t="shared" si="18"/>
        <v>0.33013377926422072</v>
      </c>
      <c r="BI26" s="115">
        <f t="shared" si="0"/>
        <v>0.97002635046113306</v>
      </c>
      <c r="BJ26" s="115">
        <f t="shared" si="1"/>
        <v>1.7987277373786736</v>
      </c>
      <c r="BK26" s="88"/>
      <c r="BL26" s="572">
        <v>23</v>
      </c>
    </row>
    <row r="27" spans="1:64" ht="12.75" customHeight="1" x14ac:dyDescent="0.2">
      <c r="A27" s="278">
        <f t="shared" si="2"/>
        <v>24</v>
      </c>
      <c r="B27" s="131">
        <v>3</v>
      </c>
      <c r="C27" s="282">
        <v>7.5</v>
      </c>
      <c r="D27" s="685"/>
      <c r="E27" s="99">
        <f t="shared" si="3"/>
        <v>24</v>
      </c>
      <c r="F27" s="23">
        <v>3</v>
      </c>
      <c r="G27" s="23">
        <v>8.1999999999999993</v>
      </c>
      <c r="H27" s="26">
        <v>5.6</v>
      </c>
      <c r="I27" s="23">
        <v>5.2</v>
      </c>
      <c r="J27" s="6">
        <f t="shared" si="4"/>
        <v>1</v>
      </c>
      <c r="K27" s="24">
        <v>74</v>
      </c>
      <c r="L27" s="24">
        <v>86</v>
      </c>
      <c r="M27" s="27">
        <v>80</v>
      </c>
      <c r="N27" s="24">
        <v>12</v>
      </c>
      <c r="O27" s="50">
        <f t="shared" si="5"/>
        <v>0</v>
      </c>
      <c r="P27" s="24">
        <v>1022</v>
      </c>
      <c r="Q27" s="24">
        <v>1032</v>
      </c>
      <c r="R27" s="24">
        <f t="shared" si="6"/>
        <v>1027</v>
      </c>
      <c r="S27" s="24">
        <f t="shared" si="7"/>
        <v>10</v>
      </c>
      <c r="T27" s="50"/>
      <c r="U27" s="143">
        <v>5.7</v>
      </c>
      <c r="V27" s="143">
        <v>12.5</v>
      </c>
      <c r="W27" s="26">
        <v>15.9</v>
      </c>
      <c r="X27" s="123" t="s">
        <v>110</v>
      </c>
      <c r="Y27" s="324">
        <f t="shared" si="8"/>
        <v>1</v>
      </c>
      <c r="Z27" s="426">
        <v>0.3</v>
      </c>
      <c r="AA27" s="38">
        <v>0.3</v>
      </c>
      <c r="AB27" s="38" t="s">
        <v>8</v>
      </c>
      <c r="AC27" s="510">
        <f t="shared" si="9"/>
        <v>5.3380782918149476E-3</v>
      </c>
      <c r="AD27" s="7">
        <f t="shared" si="10"/>
        <v>0.19999999999999998</v>
      </c>
      <c r="AE27" s="145" t="s">
        <v>8</v>
      </c>
      <c r="AF27" s="56"/>
      <c r="AG27" s="7">
        <v>-0.4</v>
      </c>
      <c r="AH27" s="7">
        <v>6</v>
      </c>
      <c r="AI27" s="7">
        <v>2.4</v>
      </c>
      <c r="AJ27" s="7">
        <f t="shared" si="11"/>
        <v>6.4</v>
      </c>
      <c r="AK27" s="6"/>
      <c r="AL27" s="123" t="s">
        <v>748</v>
      </c>
      <c r="AM27" s="134"/>
      <c r="AN27" s="391" t="s">
        <v>800</v>
      </c>
      <c r="AO27" s="400"/>
      <c r="AP27" s="123">
        <v>0.7</v>
      </c>
      <c r="AQ27" s="123">
        <v>1.5</v>
      </c>
      <c r="AR27" s="134"/>
      <c r="AS27" s="26">
        <f>IF(ISBLANK(F27),"",(AVERAGE($F$4:F27)))</f>
        <v>3.3374999999999999</v>
      </c>
      <c r="AT27" s="26">
        <f>IF(ISBLANK(G27),"",(AVERAGE($G$4:G27)))</f>
        <v>8.4541666666666657</v>
      </c>
      <c r="AU27" s="25">
        <f>IF(ISBLANK(H27),"",(AVERAGE($H$4:H27)))</f>
        <v>6.0958333333333323</v>
      </c>
      <c r="AV27" s="368">
        <f>IF(ISBLANK(G27),"",(AVERAGE($I$4:I27)))</f>
        <v>5.1125000000000007</v>
      </c>
      <c r="AW27" s="22">
        <f>IF(ISBLANK(M27),"",AVERAGE($M$4:M27))</f>
        <v>81.375</v>
      </c>
      <c r="AX27" s="376">
        <f>IF(ISBLANK(P27),"",(AVERAGE($R$4:R27)))</f>
        <v>1008.1458333333334</v>
      </c>
      <c r="AY27" s="368">
        <f>IF(ISBLANK(U27),"",(AVERAGE($U$4:U27)))</f>
        <v>6.0097916666666658</v>
      </c>
      <c r="AZ27" s="6"/>
      <c r="BA27" s="25">
        <f t="shared" si="12"/>
        <v>0.10076923076923094</v>
      </c>
      <c r="BB27" s="25">
        <f t="shared" si="13"/>
        <v>0.88999999999999968</v>
      </c>
      <c r="BC27" s="25">
        <f t="shared" si="16"/>
        <v>0.49538461538461531</v>
      </c>
      <c r="BD27" s="367">
        <f t="shared" si="15"/>
        <v>0.78923076923076874</v>
      </c>
      <c r="BE27" s="72"/>
      <c r="BF27" s="25">
        <f>IF(ISBLANK(F27),"",AS27-AVERAGE($F$91:F114))</f>
        <v>7.1935096153846967E-2</v>
      </c>
      <c r="BG27" s="25">
        <f>IF(ISBLANK(G27),"",AT27-AVERAGE($G$91:G114))</f>
        <v>0.42119791666667261</v>
      </c>
      <c r="BH27" s="367">
        <f t="shared" si="18"/>
        <v>0.34926282051282564</v>
      </c>
      <c r="BI27" s="115">
        <f t="shared" si="0"/>
        <v>0.93547979797979797</v>
      </c>
      <c r="BJ27" s="115">
        <f t="shared" si="1"/>
        <v>1.7434980438139067</v>
      </c>
      <c r="BK27" s="88"/>
      <c r="BL27" s="572">
        <v>24</v>
      </c>
    </row>
    <row r="28" spans="1:64" ht="12.75" customHeight="1" x14ac:dyDescent="0.2">
      <c r="A28" s="278">
        <f t="shared" si="2"/>
        <v>25</v>
      </c>
      <c r="B28" s="131">
        <v>7.5</v>
      </c>
      <c r="C28" s="282">
        <v>11.4</v>
      </c>
      <c r="D28" s="685"/>
      <c r="E28" s="99">
        <f t="shared" si="3"/>
        <v>25</v>
      </c>
      <c r="F28" s="23">
        <v>8.1999999999999993</v>
      </c>
      <c r="G28" s="23">
        <v>11.9</v>
      </c>
      <c r="H28" s="26">
        <v>10.5</v>
      </c>
      <c r="I28" s="23">
        <v>3.7</v>
      </c>
      <c r="J28" s="6">
        <f t="shared" si="4"/>
        <v>1</v>
      </c>
      <c r="K28" s="24">
        <v>77</v>
      </c>
      <c r="L28" s="24">
        <v>87</v>
      </c>
      <c r="M28" s="27">
        <v>83</v>
      </c>
      <c r="N28" s="24">
        <v>10</v>
      </c>
      <c r="O28" s="50">
        <f t="shared" si="5"/>
        <v>1</v>
      </c>
      <c r="P28" s="24">
        <v>1027</v>
      </c>
      <c r="Q28" s="24">
        <v>1031</v>
      </c>
      <c r="R28" s="24">
        <f t="shared" si="6"/>
        <v>1029</v>
      </c>
      <c r="S28" s="24">
        <f t="shared" si="7"/>
        <v>4</v>
      </c>
      <c r="T28" s="50"/>
      <c r="U28" s="143">
        <v>7.4</v>
      </c>
      <c r="V28" s="143">
        <v>14.5</v>
      </c>
      <c r="W28" s="26">
        <v>21</v>
      </c>
      <c r="X28" s="123" t="s">
        <v>110</v>
      </c>
      <c r="Y28" s="324">
        <f t="shared" si="8"/>
        <v>0</v>
      </c>
      <c r="Z28" s="426">
        <v>0</v>
      </c>
      <c r="AA28" s="38"/>
      <c r="AB28" s="38" t="s">
        <v>619</v>
      </c>
      <c r="AC28" s="510" t="str">
        <f t="shared" si="9"/>
        <v/>
      </c>
      <c r="AD28" s="7" t="str">
        <f t="shared" si="10"/>
        <v/>
      </c>
      <c r="AE28" s="145" t="s">
        <v>619</v>
      </c>
      <c r="AF28" s="56"/>
      <c r="AG28" s="7">
        <v>6</v>
      </c>
      <c r="AH28" s="7">
        <v>9.5</v>
      </c>
      <c r="AI28" s="7">
        <v>7.8</v>
      </c>
      <c r="AJ28" s="7">
        <f t="shared" si="11"/>
        <v>3.5</v>
      </c>
      <c r="AK28" s="6"/>
      <c r="AL28" s="123" t="s">
        <v>801</v>
      </c>
      <c r="AM28" s="134"/>
      <c r="AN28" s="23" t="s">
        <v>8</v>
      </c>
      <c r="AO28" s="400"/>
      <c r="AP28" s="123">
        <v>0.1</v>
      </c>
      <c r="AQ28" s="123">
        <v>0</v>
      </c>
      <c r="AR28" s="134"/>
      <c r="AS28" s="26">
        <f>IF(ISBLANK(F28),"",(AVERAGE($F$4:F28)))</f>
        <v>3.532</v>
      </c>
      <c r="AT28" s="26">
        <f>IF(ISBLANK(G28),"",(AVERAGE($G$4:G28)))</f>
        <v>8.5919999999999987</v>
      </c>
      <c r="AU28" s="25">
        <f>IF(ISBLANK(H28),"",(AVERAGE($H$4:H28)))</f>
        <v>6.2719999999999994</v>
      </c>
      <c r="AV28" s="368">
        <f>IF(ISBLANK(G28),"",(AVERAGE($I$4:I28)))</f>
        <v>5.0560000000000009</v>
      </c>
      <c r="AW28" s="22">
        <f>IF(ISBLANK(M28),"",AVERAGE($M$4:M28))</f>
        <v>81.44</v>
      </c>
      <c r="AX28" s="376">
        <f>IF(ISBLANK(P28),"",(AVERAGE($R$4:R28)))</f>
        <v>1008.98</v>
      </c>
      <c r="AY28" s="368">
        <f>IF(ISBLANK(U28),"",(AVERAGE($U$4:U28)))</f>
        <v>6.0653999999999995</v>
      </c>
      <c r="AZ28" s="6"/>
      <c r="BA28" s="25">
        <f t="shared" si="12"/>
        <v>5.3292307692307688</v>
      </c>
      <c r="BB28" s="25">
        <f t="shared" si="13"/>
        <v>4.6300000000000008</v>
      </c>
      <c r="BC28" s="25">
        <f t="shared" si="16"/>
        <v>4.9796153846153848</v>
      </c>
      <c r="BD28" s="367">
        <f t="shared" si="15"/>
        <v>-0.69923076923076799</v>
      </c>
      <c r="BE28" s="72"/>
      <c r="BF28" s="25">
        <f>IF(ISBLANK(F28),"",AS28-AVERAGE($F$91:F115))</f>
        <v>0.28222692307692432</v>
      </c>
      <c r="BG28" s="25">
        <f>IF(ISBLANK(G28),"",AT28-AVERAGE($G$91:G115))</f>
        <v>0.58955000000000446</v>
      </c>
      <c r="BH28" s="367">
        <f t="shared" si="18"/>
        <v>0.30732307692308014</v>
      </c>
      <c r="BI28" s="115">
        <f t="shared" si="0"/>
        <v>0.89806060606060611</v>
      </c>
      <c r="BJ28" s="115">
        <f t="shared" si="1"/>
        <v>1.6771031347160841</v>
      </c>
      <c r="BK28" s="88"/>
      <c r="BL28" s="572">
        <v>25</v>
      </c>
    </row>
    <row r="29" spans="1:64" ht="12.75" customHeight="1" x14ac:dyDescent="0.2">
      <c r="A29" s="278">
        <f t="shared" si="2"/>
        <v>26</v>
      </c>
      <c r="B29" s="131">
        <v>11.5</v>
      </c>
      <c r="C29" s="282">
        <v>12.9</v>
      </c>
      <c r="D29" s="685"/>
      <c r="E29" s="99">
        <f t="shared" si="3"/>
        <v>26</v>
      </c>
      <c r="F29" s="23">
        <v>9.9</v>
      </c>
      <c r="G29" s="23">
        <v>12.9</v>
      </c>
      <c r="H29" s="26">
        <v>11.6</v>
      </c>
      <c r="I29" s="23">
        <v>3</v>
      </c>
      <c r="J29" s="6">
        <f t="shared" si="4"/>
        <v>0</v>
      </c>
      <c r="K29" s="24">
        <v>72</v>
      </c>
      <c r="L29" s="24">
        <v>90</v>
      </c>
      <c r="M29" s="27">
        <v>83</v>
      </c>
      <c r="N29" s="24">
        <v>18</v>
      </c>
      <c r="O29" s="50">
        <f t="shared" si="5"/>
        <v>1</v>
      </c>
      <c r="P29" s="24">
        <v>1031</v>
      </c>
      <c r="Q29" s="24">
        <v>1034</v>
      </c>
      <c r="R29" s="24">
        <f t="shared" si="6"/>
        <v>1032.5</v>
      </c>
      <c r="S29" s="24">
        <f t="shared" si="7"/>
        <v>3</v>
      </c>
      <c r="T29" s="50"/>
      <c r="U29" s="143">
        <v>7.4</v>
      </c>
      <c r="V29" s="143">
        <v>16.600000000000001</v>
      </c>
      <c r="W29" s="26">
        <v>23.7</v>
      </c>
      <c r="X29" s="123" t="s">
        <v>110</v>
      </c>
      <c r="Y29" s="324">
        <f t="shared" si="8"/>
        <v>0</v>
      </c>
      <c r="Z29" s="426">
        <v>0</v>
      </c>
      <c r="AA29" s="38" t="s">
        <v>619</v>
      </c>
      <c r="AB29" s="38" t="s">
        <v>619</v>
      </c>
      <c r="AC29" s="510" t="str">
        <f t="shared" si="9"/>
        <v/>
      </c>
      <c r="AD29" s="7" t="str">
        <f t="shared" si="10"/>
        <v/>
      </c>
      <c r="AE29" s="145" t="s">
        <v>619</v>
      </c>
      <c r="AF29" s="56"/>
      <c r="AG29" s="7">
        <v>5.2</v>
      </c>
      <c r="AH29" s="7">
        <v>10.7</v>
      </c>
      <c r="AI29" s="7">
        <v>8.6999999999999993</v>
      </c>
      <c r="AJ29" s="7">
        <f t="shared" si="11"/>
        <v>5.4999999999999991</v>
      </c>
      <c r="AK29" s="6"/>
      <c r="AL29" s="123" t="s">
        <v>243</v>
      </c>
      <c r="AM29" s="134"/>
      <c r="AN29" s="23" t="s">
        <v>8</v>
      </c>
      <c r="AO29" s="400"/>
      <c r="AP29" s="123">
        <v>0.1</v>
      </c>
      <c r="AQ29" s="123">
        <v>0</v>
      </c>
      <c r="AR29" s="134"/>
      <c r="AS29" s="26">
        <f>IF(ISBLANK(F29),"",(AVERAGE($F$4:F29)))</f>
        <v>3.7769230769230768</v>
      </c>
      <c r="AT29" s="26">
        <f>IF(ISBLANK(G29),"",(AVERAGE($G$4:G29)))</f>
        <v>8.7576923076923077</v>
      </c>
      <c r="AU29" s="25">
        <f>IF(ISBLANK(H29),"",(AVERAGE($H$4:H29)))</f>
        <v>6.4769230769230761</v>
      </c>
      <c r="AV29" s="368">
        <f>IF(ISBLANK(G29),"",(AVERAGE($I$4:I29)))</f>
        <v>4.9769230769230779</v>
      </c>
      <c r="AW29" s="22">
        <f>IF(ISBLANK(M29),"",AVERAGE($M$4:M29))</f>
        <v>81.5</v>
      </c>
      <c r="AX29" s="376">
        <f>IF(ISBLANK(P29),"",(AVERAGE($R$4:R29)))</f>
        <v>1009.8846153846154</v>
      </c>
      <c r="AY29" s="368">
        <f>IF(ISBLANK(U29),"",(AVERAGE($U$4:U29)))</f>
        <v>6.1167307692307693</v>
      </c>
      <c r="AZ29" s="6"/>
      <c r="BA29" s="25">
        <f t="shared" si="12"/>
        <v>7.0576923076923084</v>
      </c>
      <c r="BB29" s="25">
        <f t="shared" si="13"/>
        <v>5.67</v>
      </c>
      <c r="BC29" s="25">
        <f t="shared" si="16"/>
        <v>6.3638461538461542</v>
      </c>
      <c r="BD29" s="367">
        <f t="shared" si="15"/>
        <v>-1.3876923076923084</v>
      </c>
      <c r="BE29" s="72"/>
      <c r="BF29" s="25">
        <f>IF(ISBLANK(F29),"",AS29-AVERAGE($F$91:F116))</f>
        <v>0.54282174556213114</v>
      </c>
      <c r="BG29" s="25">
        <f>IF(ISBLANK(G29),"",AT29-AVERAGE($G$91:G116))</f>
        <v>0.78495192307692907</v>
      </c>
      <c r="BH29" s="367">
        <f t="shared" si="18"/>
        <v>0.24213017751479793</v>
      </c>
      <c r="BI29" s="115">
        <f t="shared" si="0"/>
        <v>0.86351981351981355</v>
      </c>
      <c r="BJ29" s="115">
        <f t="shared" si="1"/>
        <v>1.615701535216447</v>
      </c>
      <c r="BK29" s="88"/>
      <c r="BL29" s="572">
        <v>26</v>
      </c>
    </row>
    <row r="30" spans="1:64" ht="12.75" customHeight="1" x14ac:dyDescent="0.2">
      <c r="A30" s="278">
        <f t="shared" si="2"/>
        <v>27</v>
      </c>
      <c r="B30" s="131">
        <v>9.9</v>
      </c>
      <c r="C30" s="282">
        <v>10.4</v>
      </c>
      <c r="D30" s="685"/>
      <c r="E30" s="99">
        <f t="shared" si="3"/>
        <v>27</v>
      </c>
      <c r="F30" s="23">
        <v>8.1999999999999993</v>
      </c>
      <c r="G30" s="23">
        <v>10.4</v>
      </c>
      <c r="H30" s="26">
        <v>9.8000000000000007</v>
      </c>
      <c r="I30" s="23">
        <v>2.2000000000000002</v>
      </c>
      <c r="J30" s="6">
        <f t="shared" si="4"/>
        <v>0</v>
      </c>
      <c r="K30" s="24">
        <v>68</v>
      </c>
      <c r="L30" s="24">
        <v>81</v>
      </c>
      <c r="M30" s="27">
        <v>71</v>
      </c>
      <c r="N30" s="24">
        <v>13</v>
      </c>
      <c r="O30" s="50">
        <f t="shared" si="5"/>
        <v>1</v>
      </c>
      <c r="P30" s="24">
        <v>1027</v>
      </c>
      <c r="Q30" s="24">
        <v>1035</v>
      </c>
      <c r="R30" s="24">
        <f t="shared" si="6"/>
        <v>1031</v>
      </c>
      <c r="S30" s="24">
        <f t="shared" si="7"/>
        <v>8</v>
      </c>
      <c r="T30" s="50"/>
      <c r="U30" s="143">
        <v>5.7</v>
      </c>
      <c r="V30" s="143">
        <v>12.5</v>
      </c>
      <c r="W30" s="26">
        <v>17.5</v>
      </c>
      <c r="X30" s="123" t="s">
        <v>110</v>
      </c>
      <c r="Y30" s="324">
        <f t="shared" si="8"/>
        <v>0</v>
      </c>
      <c r="Z30" s="426">
        <v>0</v>
      </c>
      <c r="AA30" s="38" t="s">
        <v>619</v>
      </c>
      <c r="AB30" s="38" t="s">
        <v>619</v>
      </c>
      <c r="AC30" s="510" t="str">
        <f t="shared" si="9"/>
        <v/>
      </c>
      <c r="AD30" s="7" t="str">
        <f t="shared" si="10"/>
        <v/>
      </c>
      <c r="AE30" s="145" t="s">
        <v>619</v>
      </c>
      <c r="AF30" s="56"/>
      <c r="AG30" s="7">
        <v>3.9</v>
      </c>
      <c r="AH30" s="7">
        <v>5.4</v>
      </c>
      <c r="AI30" s="7">
        <v>4.9000000000000004</v>
      </c>
      <c r="AJ30" s="7">
        <f t="shared" si="11"/>
        <v>1.5000000000000004</v>
      </c>
      <c r="AK30" s="72"/>
      <c r="AL30" s="123" t="s">
        <v>239</v>
      </c>
      <c r="AM30" s="134"/>
      <c r="AN30" s="23" t="s">
        <v>8</v>
      </c>
      <c r="AO30" s="400"/>
      <c r="AP30" s="540">
        <v>0</v>
      </c>
      <c r="AQ30" s="123">
        <v>0</v>
      </c>
      <c r="AR30" s="134"/>
      <c r="AS30" s="26">
        <f>IF(ISBLANK(F30),"",(AVERAGE($F$4:F30)))</f>
        <v>3.9407407407407411</v>
      </c>
      <c r="AT30" s="26">
        <f>IF(ISBLANK(G30),"",(AVERAGE($G$4:G30)))</f>
        <v>8.818518518518518</v>
      </c>
      <c r="AU30" s="25">
        <f>IF(ISBLANK(H30),"",(AVERAGE($H$4:H30)))</f>
        <v>6.6</v>
      </c>
      <c r="AV30" s="368">
        <f>IF(ISBLANK(G30),"",(AVERAGE($I$4:I30)))</f>
        <v>4.8740740740740751</v>
      </c>
      <c r="AW30" s="22">
        <f>IF(ISBLANK(M30),"",AVERAGE($M$4:M30))</f>
        <v>81.111111111111114</v>
      </c>
      <c r="AX30" s="376">
        <f>IF(ISBLANK(P30),"",(AVERAGE($R$4:R30)))</f>
        <v>1010.6666666666666</v>
      </c>
      <c r="AY30" s="368">
        <f>IF(ISBLANK(U30),"",(AVERAGE($U$4:U30)))</f>
        <v>6.1012962962962956</v>
      </c>
      <c r="AZ30" s="6"/>
      <c r="BA30" s="25">
        <f t="shared" si="12"/>
        <v>5.3861538461538458</v>
      </c>
      <c r="BB30" s="25">
        <f t="shared" si="13"/>
        <v>3.21</v>
      </c>
      <c r="BC30" s="25">
        <f t="shared" si="16"/>
        <v>4.2980769230769234</v>
      </c>
      <c r="BD30" s="367">
        <f t="shared" si="15"/>
        <v>-2.1761538461538459</v>
      </c>
      <c r="BE30" s="72"/>
      <c r="BF30" s="25">
        <f>IF(ISBLANK(F30),"",AS30-AVERAGE($F$91:F117))</f>
        <v>0.7222044159544172</v>
      </c>
      <c r="BG30" s="25">
        <f>IF(ISBLANK(G30),"",AT30-AVERAGE($G$91:G117))</f>
        <v>0.87476851851852366</v>
      </c>
      <c r="BH30" s="367">
        <f>IF(ISBLANK(G30),"",BG30-BF30)</f>
        <v>0.15256410256410646</v>
      </c>
      <c r="BI30" s="115">
        <f t="shared" si="0"/>
        <v>0.83153759820426476</v>
      </c>
      <c r="BJ30" s="115">
        <f t="shared" si="1"/>
        <v>1.5563471968143339</v>
      </c>
      <c r="BK30" s="421"/>
      <c r="BL30" s="572">
        <v>27</v>
      </c>
    </row>
    <row r="31" spans="1:64" ht="12.75" customHeight="1" x14ac:dyDescent="0.2">
      <c r="A31" s="278">
        <f t="shared" si="2"/>
        <v>28</v>
      </c>
      <c r="B31" s="131">
        <v>8.1999999999999993</v>
      </c>
      <c r="C31" s="282">
        <v>10.8</v>
      </c>
      <c r="D31" s="685"/>
      <c r="E31" s="99">
        <f t="shared" si="3"/>
        <v>28</v>
      </c>
      <c r="F31" s="23">
        <v>5.6</v>
      </c>
      <c r="G31" s="23">
        <v>10.8</v>
      </c>
      <c r="H31" s="26">
        <v>8.6999999999999993</v>
      </c>
      <c r="I31" s="23">
        <v>5.2</v>
      </c>
      <c r="J31" s="6">
        <f t="shared" si="4"/>
        <v>0</v>
      </c>
      <c r="K31" s="24">
        <v>60</v>
      </c>
      <c r="L31" s="24">
        <v>87</v>
      </c>
      <c r="M31" s="27">
        <v>74</v>
      </c>
      <c r="N31" s="24">
        <v>27</v>
      </c>
      <c r="O31" s="50">
        <f t="shared" si="5"/>
        <v>1</v>
      </c>
      <c r="P31" s="24">
        <v>1019</v>
      </c>
      <c r="Q31" s="24">
        <v>1027</v>
      </c>
      <c r="R31" s="24">
        <f t="shared" si="6"/>
        <v>1023</v>
      </c>
      <c r="S31" s="24">
        <f t="shared" si="7"/>
        <v>8</v>
      </c>
      <c r="T31" s="50"/>
      <c r="U31" s="143">
        <v>8.1999999999999993</v>
      </c>
      <c r="V31" s="143">
        <v>18.100000000000001</v>
      </c>
      <c r="W31" s="26">
        <v>27.9</v>
      </c>
      <c r="X31" s="123" t="s">
        <v>114</v>
      </c>
      <c r="Y31" s="324">
        <f t="shared" si="8"/>
        <v>0</v>
      </c>
      <c r="Z31" s="426">
        <v>0</v>
      </c>
      <c r="AA31" s="38" t="s">
        <v>619</v>
      </c>
      <c r="AB31" s="38" t="s">
        <v>619</v>
      </c>
      <c r="AC31" s="510" t="str">
        <f t="shared" si="9"/>
        <v/>
      </c>
      <c r="AD31" s="7" t="str">
        <f t="shared" si="10"/>
        <v/>
      </c>
      <c r="AE31" s="145" t="s">
        <v>619</v>
      </c>
      <c r="AF31" s="56"/>
      <c r="AG31" s="7">
        <v>0.5</v>
      </c>
      <c r="AH31" s="7">
        <v>8.4</v>
      </c>
      <c r="AI31" s="7">
        <v>4.3</v>
      </c>
      <c r="AJ31" s="7">
        <f t="shared" si="11"/>
        <v>7.9</v>
      </c>
      <c r="AK31" s="72"/>
      <c r="AL31" s="123" t="s">
        <v>802</v>
      </c>
      <c r="AM31" s="134"/>
      <c r="AN31" s="23" t="s">
        <v>8</v>
      </c>
      <c r="AO31" s="400"/>
      <c r="AP31" s="123">
        <v>2</v>
      </c>
      <c r="AQ31" s="123">
        <v>0</v>
      </c>
      <c r="AR31" s="134"/>
      <c r="AS31" s="26">
        <f>IF(ISBLANK(F31),"",(AVERAGE($F$4:F31)))</f>
        <v>4</v>
      </c>
      <c r="AT31" s="26">
        <f>IF(ISBLANK(G31),"",(AVERAGE($G$4:G31)))</f>
        <v>8.8892857142857142</v>
      </c>
      <c r="AU31" s="25">
        <f>IF(ISBLANK(H31),"",(AVERAGE($H$4:H31)))</f>
        <v>6.6749999999999989</v>
      </c>
      <c r="AV31" s="368">
        <f>IF(ISBLANK(G31),"",(AVERAGE($I$4:I31)))</f>
        <v>4.8857142857142861</v>
      </c>
      <c r="AW31" s="22">
        <f>IF(ISBLANK(M31),"",AVERAGE($M$4:M31))</f>
        <v>80.857142857142861</v>
      </c>
      <c r="AX31" s="376">
        <f>IF(ISBLANK(P31),"",(AVERAGE($R$4:R31)))</f>
        <v>1011.1071428571429</v>
      </c>
      <c r="AY31" s="368">
        <f>IF(ISBLANK(U31),"",(AVERAGE($U$4:U31)))</f>
        <v>6.1762499999999987</v>
      </c>
      <c r="AZ31" s="6"/>
      <c r="BA31" s="25">
        <f t="shared" si="12"/>
        <v>2.8146153846153847</v>
      </c>
      <c r="BB31" s="25">
        <f t="shared" si="13"/>
        <v>3.6500000000000004</v>
      </c>
      <c r="BC31" s="25">
        <f t="shared" si="16"/>
        <v>3.2323076923076925</v>
      </c>
      <c r="BD31" s="367">
        <f t="shared" si="15"/>
        <v>0.83538461538461561</v>
      </c>
      <c r="BE31" s="72"/>
      <c r="BF31" s="25">
        <f>IF(ISBLANK(F31),"",AS31-AVERAGE($F$91:F118))</f>
        <v>0.79693337912088014</v>
      </c>
      <c r="BG31" s="25">
        <f>IF(ISBLANK(G31),"",AT31-AVERAGE($G$91:G118))</f>
        <v>0.9738839285714338</v>
      </c>
      <c r="BH31" s="367">
        <f>IF(ISBLANK(G31),"",BG31-BF31)</f>
        <v>0.17695054945055366</v>
      </c>
      <c r="BI31" s="115">
        <f t="shared" si="0"/>
        <v>0.8018398268398268</v>
      </c>
      <c r="BJ31" s="115">
        <f t="shared" si="1"/>
        <v>1.5472420417009325</v>
      </c>
      <c r="BK31" s="421"/>
      <c r="BL31" s="572">
        <v>28</v>
      </c>
    </row>
    <row r="32" spans="1:64" ht="12.75" customHeight="1" x14ac:dyDescent="0.2">
      <c r="A32" s="394">
        <f t="shared" si="2"/>
        <v>29</v>
      </c>
      <c r="B32" s="131">
        <v>5</v>
      </c>
      <c r="C32" s="282">
        <v>9.6999999999999993</v>
      </c>
      <c r="D32" s="685"/>
      <c r="E32" s="97">
        <f t="shared" si="3"/>
        <v>29</v>
      </c>
      <c r="F32" s="23">
        <v>5</v>
      </c>
      <c r="G32" s="23">
        <v>9.6999999999999993</v>
      </c>
      <c r="H32" s="26">
        <v>7</v>
      </c>
      <c r="I32" s="23">
        <v>4.7</v>
      </c>
      <c r="J32" s="6">
        <f t="shared" si="4"/>
        <v>0</v>
      </c>
      <c r="K32" s="24">
        <v>69</v>
      </c>
      <c r="L32" s="24">
        <v>83</v>
      </c>
      <c r="M32" s="27">
        <v>73</v>
      </c>
      <c r="N32" s="24">
        <v>14</v>
      </c>
      <c r="O32" s="50">
        <f t="shared" si="5"/>
        <v>0</v>
      </c>
      <c r="P32" s="24">
        <v>1014</v>
      </c>
      <c r="Q32" s="24">
        <v>1025</v>
      </c>
      <c r="R32" s="24">
        <f t="shared" si="6"/>
        <v>1019.5</v>
      </c>
      <c r="S32" s="24">
        <f t="shared" si="7"/>
        <v>11</v>
      </c>
      <c r="T32" s="50"/>
      <c r="U32" s="143">
        <v>7.8</v>
      </c>
      <c r="V32" s="143">
        <v>17.8</v>
      </c>
      <c r="W32" s="26">
        <v>26.6</v>
      </c>
      <c r="X32" s="123" t="s">
        <v>114</v>
      </c>
      <c r="Y32" s="324">
        <f t="shared" si="8"/>
        <v>2</v>
      </c>
      <c r="Z32" s="426">
        <v>3.3</v>
      </c>
      <c r="AA32" s="38">
        <v>3.3</v>
      </c>
      <c r="AB32" s="38">
        <v>1.9</v>
      </c>
      <c r="AC32" s="510">
        <f t="shared" si="9"/>
        <v>5.8718861209964425E-2</v>
      </c>
      <c r="AD32" s="7">
        <f t="shared" si="10"/>
        <v>1.65</v>
      </c>
      <c r="AE32" s="145">
        <v>25</v>
      </c>
      <c r="AF32" s="56"/>
      <c r="AG32" s="7">
        <v>0</v>
      </c>
      <c r="AH32" s="7">
        <v>5.5</v>
      </c>
      <c r="AI32" s="7">
        <v>2.5</v>
      </c>
      <c r="AJ32" s="7">
        <f t="shared" si="11"/>
        <v>5.5</v>
      </c>
      <c r="AK32" s="72"/>
      <c r="AL32" s="123" t="s">
        <v>353</v>
      </c>
      <c r="AM32" s="134"/>
      <c r="AN32" s="23" t="s">
        <v>803</v>
      </c>
      <c r="AO32" s="400"/>
      <c r="AP32" s="123">
        <v>0.5</v>
      </c>
      <c r="AQ32" s="123">
        <v>2</v>
      </c>
      <c r="AR32" s="134"/>
      <c r="AS32" s="26">
        <f>IF(ISBLANK(F32),"",(AVERAGE($F$4:F32)))</f>
        <v>4.0344827586206895</v>
      </c>
      <c r="AT32" s="26">
        <f>IF(ISBLANK(G32),"",(AVERAGE($G$4:G32)))</f>
        <v>8.9172413793103456</v>
      </c>
      <c r="AU32" s="25">
        <f>IF(ISBLANK(H32),"",(AVERAGE($H$4:H32)))</f>
        <v>6.686206896551723</v>
      </c>
      <c r="AV32" s="368">
        <f>IF(ISBLANK(G32),"",(AVERAGE($I$4:I32)))</f>
        <v>4.8793103448275863</v>
      </c>
      <c r="AW32" s="22">
        <f>IF(ISBLANK(M32),"",AVERAGE($M$4:M32))</f>
        <v>80.58620689655173</v>
      </c>
      <c r="AX32" s="376">
        <f>IF(ISBLANK(P32),"",(AVERAGE($R$4:R32)))</f>
        <v>1011.3965517241379</v>
      </c>
      <c r="AY32" s="368">
        <f>IF(ISBLANK(U32),"",(AVERAGE($U$4:U32)))</f>
        <v>6.2322413793103442</v>
      </c>
      <c r="AZ32" s="6"/>
      <c r="BA32" s="25">
        <f t="shared" si="12"/>
        <v>2.2430769230769236</v>
      </c>
      <c r="BB32" s="25">
        <f t="shared" si="13"/>
        <v>2.589999999999999</v>
      </c>
      <c r="BC32" s="25">
        <f t="shared" si="16"/>
        <v>2.4165384615384613</v>
      </c>
      <c r="BD32" s="367">
        <f t="shared" si="15"/>
        <v>0.34692307692307534</v>
      </c>
      <c r="BE32" s="72"/>
      <c r="BF32" s="25">
        <f>IF(ISBLANK(F32),"",AS32-AVERAGE($F$91:F119))</f>
        <v>0.84680039787798522</v>
      </c>
      <c r="BG32" s="25">
        <f>IF(ISBLANK(G32),"",AT32-AVERAGE($G$91:G119))</f>
        <v>1.0296120689655224</v>
      </c>
      <c r="BH32" s="367">
        <f>IF(ISBLANK(G32),"",BG32-BF32)</f>
        <v>0.18281167108753715</v>
      </c>
      <c r="BI32" s="115">
        <f t="shared" si="0"/>
        <v>0.82763845350052245</v>
      </c>
      <c r="BJ32" s="115">
        <f t="shared" si="1"/>
        <v>1.5052747460084535</v>
      </c>
      <c r="BK32" s="88"/>
      <c r="BL32" s="572">
        <v>29</v>
      </c>
    </row>
    <row r="33" spans="1:64" ht="12.75" customHeight="1" x14ac:dyDescent="0.2">
      <c r="A33" s="394">
        <f t="shared" si="2"/>
        <v>30</v>
      </c>
      <c r="B33" s="131">
        <v>5.0999999999999996</v>
      </c>
      <c r="C33" s="282">
        <v>7.3</v>
      </c>
      <c r="D33" s="685"/>
      <c r="E33" s="97">
        <f t="shared" si="3"/>
        <v>30</v>
      </c>
      <c r="F33" s="23">
        <v>5.0999999999999996</v>
      </c>
      <c r="G33" s="23">
        <v>10.6</v>
      </c>
      <c r="H33" s="26">
        <v>6.7</v>
      </c>
      <c r="I33" s="23">
        <v>5.5</v>
      </c>
      <c r="J33" s="6">
        <f t="shared" si="4"/>
        <v>1</v>
      </c>
      <c r="K33" s="24">
        <v>91</v>
      </c>
      <c r="L33" s="24">
        <v>96</v>
      </c>
      <c r="M33" s="27">
        <v>80</v>
      </c>
      <c r="N33" s="24">
        <v>5</v>
      </c>
      <c r="O33" s="50">
        <f t="shared" si="5"/>
        <v>0</v>
      </c>
      <c r="P33" s="24">
        <v>1009</v>
      </c>
      <c r="Q33" s="24">
        <v>1020</v>
      </c>
      <c r="R33" s="24">
        <f t="shared" si="6"/>
        <v>1014.5</v>
      </c>
      <c r="S33" s="24">
        <f t="shared" si="7"/>
        <v>11</v>
      </c>
      <c r="T33" s="50"/>
      <c r="U33" s="143">
        <v>5.2</v>
      </c>
      <c r="V33" s="143">
        <v>12.5</v>
      </c>
      <c r="W33" s="26">
        <v>21.9</v>
      </c>
      <c r="X33" s="123" t="s">
        <v>114</v>
      </c>
      <c r="Y33" s="324">
        <f t="shared" si="8"/>
        <v>2</v>
      </c>
      <c r="Z33" s="426">
        <v>4.8</v>
      </c>
      <c r="AA33" s="38">
        <v>1.4</v>
      </c>
      <c r="AB33" s="38">
        <v>0.5</v>
      </c>
      <c r="AC33" s="510">
        <f t="shared" si="9"/>
        <v>8.5409252669039162E-2</v>
      </c>
      <c r="AD33" s="7">
        <f t="shared" si="10"/>
        <v>0.96</v>
      </c>
      <c r="AE33" s="145">
        <v>24</v>
      </c>
      <c r="AF33" s="56"/>
      <c r="AG33" s="7">
        <v>5.4</v>
      </c>
      <c r="AH33" s="7">
        <v>10</v>
      </c>
      <c r="AI33" s="7">
        <v>3.5</v>
      </c>
      <c r="AJ33" s="7">
        <f t="shared" si="11"/>
        <v>4.5999999999999996</v>
      </c>
      <c r="AK33" s="72"/>
      <c r="AL33" s="123" t="s">
        <v>364</v>
      </c>
      <c r="AM33" s="134"/>
      <c r="AN33" s="23" t="s">
        <v>804</v>
      </c>
      <c r="AO33" s="400"/>
      <c r="AP33" s="123">
        <v>0.1</v>
      </c>
      <c r="AQ33" s="123">
        <v>5</v>
      </c>
      <c r="AR33" s="134"/>
      <c r="AS33" s="26">
        <f>IF(ISBLANK(F33),"",(AVERAGE($F$4:F33)))</f>
        <v>4.0699999999999994</v>
      </c>
      <c r="AT33" s="26">
        <f>IF(ISBLANK(G33),"",(AVERAGE($G$4:G33)))</f>
        <v>8.9733333333333345</v>
      </c>
      <c r="AU33" s="25">
        <f>IF(ISBLANK(H33),"",(AVERAGE($H$4:H33)))</f>
        <v>6.6866666666666656</v>
      </c>
      <c r="AV33" s="368">
        <f>IF(ISBLANK(G33),"",(AVERAGE($I$4:I33)))</f>
        <v>4.9000000000000004</v>
      </c>
      <c r="AW33" s="22">
        <f>IF(ISBLANK(M33),"",AVERAGE($M$4:M33))</f>
        <v>80.566666666666663</v>
      </c>
      <c r="AX33" s="376">
        <f>IF(ISBLANK(P33),"",(AVERAGE($R$4:R33)))</f>
        <v>1011.5</v>
      </c>
      <c r="AY33" s="368">
        <f>IF(ISBLANK(U33),"",(AVERAGE($U$4:U33)))</f>
        <v>6.1978333333333326</v>
      </c>
      <c r="AZ33" s="6"/>
      <c r="BA33" s="25">
        <f t="shared" si="12"/>
        <v>2.3715384615384618</v>
      </c>
      <c r="BB33" s="25">
        <f t="shared" si="13"/>
        <v>3.5299999999999994</v>
      </c>
      <c r="BC33" s="25">
        <f t="shared" si="16"/>
        <v>2.9507692307692306</v>
      </c>
      <c r="BD33" s="367">
        <f t="shared" si="15"/>
        <v>1.1584615384615375</v>
      </c>
      <c r="BE33" s="72"/>
      <c r="BF33" s="25">
        <f>IF(ISBLANK(F33),"",AS33-AVERAGE($F$91:F120))</f>
        <v>0.89762500000000101</v>
      </c>
      <c r="BG33" s="25">
        <f>IF(ISBLANK(G33),"",AT33-AVERAGE($G$91:G120))</f>
        <v>1.1129583333333395</v>
      </c>
      <c r="BH33" s="367">
        <f>IF(ISBLANK(G33),"",BG33-BF33)</f>
        <v>0.21533333333333848</v>
      </c>
      <c r="BI33" s="115">
        <f t="shared" si="0"/>
        <v>0.87520202020202009</v>
      </c>
      <c r="BJ33" s="115">
        <f t="shared" si="1"/>
        <v>1.4573930246893425</v>
      </c>
      <c r="BK33" s="88"/>
      <c r="BL33" s="572">
        <v>30</v>
      </c>
    </row>
    <row r="34" spans="1:64" ht="12.75" customHeight="1" x14ac:dyDescent="0.2">
      <c r="A34" s="394">
        <v>31</v>
      </c>
      <c r="B34" s="131">
        <v>8.3000000000000007</v>
      </c>
      <c r="C34" s="282">
        <v>12.5</v>
      </c>
      <c r="D34" s="685"/>
      <c r="E34" s="97">
        <v>31</v>
      </c>
      <c r="F34" s="23">
        <v>10.6</v>
      </c>
      <c r="G34" s="23">
        <v>12.5</v>
      </c>
      <c r="H34" s="26">
        <v>11.7</v>
      </c>
      <c r="I34" s="23">
        <v>1.9</v>
      </c>
      <c r="J34" s="6">
        <f t="shared" si="4"/>
        <v>0</v>
      </c>
      <c r="K34" s="24">
        <v>86</v>
      </c>
      <c r="L34" s="24">
        <v>96</v>
      </c>
      <c r="M34" s="27">
        <v>91</v>
      </c>
      <c r="N34" s="24">
        <v>10</v>
      </c>
      <c r="O34" s="50">
        <f t="shared" si="5"/>
        <v>1</v>
      </c>
      <c r="P34" s="24">
        <v>1008</v>
      </c>
      <c r="Q34" s="24">
        <v>1011</v>
      </c>
      <c r="R34" s="24">
        <f t="shared" si="6"/>
        <v>1009.5</v>
      </c>
      <c r="S34" s="24">
        <f t="shared" si="7"/>
        <v>3</v>
      </c>
      <c r="T34" s="50"/>
      <c r="U34" s="143">
        <v>7.5</v>
      </c>
      <c r="V34" s="143">
        <v>14.3</v>
      </c>
      <c r="W34" s="26">
        <v>21</v>
      </c>
      <c r="X34" s="123" t="s">
        <v>114</v>
      </c>
      <c r="Y34" s="324">
        <f t="shared" si="8"/>
        <v>1</v>
      </c>
      <c r="Z34" s="426">
        <v>0.3</v>
      </c>
      <c r="AA34" s="38">
        <v>0.3</v>
      </c>
      <c r="AB34" s="38">
        <v>0.3</v>
      </c>
      <c r="AC34" s="510">
        <f t="shared" si="9"/>
        <v>5.3380782918149476E-3</v>
      </c>
      <c r="AD34" s="7">
        <f t="shared" si="10"/>
        <v>0.3</v>
      </c>
      <c r="AE34" s="145" t="s">
        <v>8</v>
      </c>
      <c r="AF34" s="56"/>
      <c r="AG34" s="7">
        <v>9.8000000000000007</v>
      </c>
      <c r="AH34" s="7">
        <v>10.8</v>
      </c>
      <c r="AI34" s="7">
        <v>10.3</v>
      </c>
      <c r="AJ34" s="7">
        <f t="shared" si="11"/>
        <v>1</v>
      </c>
      <c r="AK34" s="72"/>
      <c r="AL34" s="123" t="s">
        <v>239</v>
      </c>
      <c r="AM34" s="134"/>
      <c r="AN34" s="391" t="s">
        <v>805</v>
      </c>
      <c r="AO34" s="400"/>
      <c r="AP34" s="540">
        <v>0</v>
      </c>
      <c r="AQ34" s="123">
        <v>1</v>
      </c>
      <c r="AR34" s="134"/>
      <c r="AS34" s="26">
        <f>IF(ISBLANK(F6),"",(AVERAGE($F$4:F34)))</f>
        <v>4.2806451612903222</v>
      </c>
      <c r="AT34" s="26">
        <f>IF(ISBLANK(G6),"",(AVERAGE($G$4:G34)))</f>
        <v>9.0870967741935491</v>
      </c>
      <c r="AU34" s="25">
        <f>IF(ISBLANK(H5),"",(AVERAGE($H$4:H34)))</f>
        <v>6.848387096774192</v>
      </c>
      <c r="AV34" s="368">
        <f>IF(ISBLANK(G6),"",(AVERAGE($I$4:I34)))</f>
        <v>4.8032258064516133</v>
      </c>
      <c r="AW34" s="22">
        <f>IF(ISBLANK(M5),"",AVERAGE($M$4:M34))</f>
        <v>80.903225806451616</v>
      </c>
      <c r="AX34" s="376">
        <f>IF(ISBLANK(P6),"",(AVERAGE($R$4:R34)))</f>
        <v>1011.4354838709677</v>
      </c>
      <c r="AY34" s="368">
        <f>IF(ISBLANK(U6),"",(AVERAGE($U$4:U34)))</f>
        <v>6.2398387096774188</v>
      </c>
      <c r="AZ34" s="6"/>
      <c r="BA34" s="25">
        <f t="shared" si="12"/>
        <v>7.8999999999999995</v>
      </c>
      <c r="BB34" s="25">
        <f t="shared" si="13"/>
        <v>5.47</v>
      </c>
      <c r="BC34" s="25">
        <f t="shared" si="16"/>
        <v>6.6849999999999996</v>
      </c>
      <c r="BD34" s="367">
        <f t="shared" si="15"/>
        <v>-2.4299999999999997</v>
      </c>
      <c r="BE34" s="72"/>
      <c r="BF34" s="25">
        <f>IF(ISBLANK(F34),"",AS34-AVERAGE($F$91:F121))</f>
        <v>1.1235080645161299</v>
      </c>
      <c r="BG34" s="25">
        <f>IF(ISBLANK(G34),"",AT34-AVERAGE($G$91:G121))</f>
        <v>1.2535080645161338</v>
      </c>
      <c r="BH34" s="367">
        <f>IF(ISBLANK(G34),"",BG34-BF34)</f>
        <v>0.13000000000000389</v>
      </c>
      <c r="BI34" s="138">
        <f>IF(ISBLANK(Z6),"",AB121/AA121)</f>
        <v>0.85151515151515134</v>
      </c>
      <c r="BJ34" s="115">
        <f t="shared" si="1"/>
        <v>1.4104166666666664</v>
      </c>
      <c r="BK34" s="88"/>
      <c r="BL34" s="572">
        <v>31</v>
      </c>
    </row>
    <row r="35" spans="1:64" s="10" customFormat="1" ht="3" customHeight="1" x14ac:dyDescent="0.2">
      <c r="A35" s="67"/>
      <c r="B35" s="284"/>
      <c r="C35" s="285"/>
      <c r="D35" s="685"/>
      <c r="E35" s="15"/>
      <c r="F35" s="29"/>
      <c r="G35" s="29"/>
      <c r="H35" s="28"/>
      <c r="I35" s="29"/>
      <c r="J35" s="6"/>
      <c r="K35" s="30"/>
      <c r="L35" s="30"/>
      <c r="M35" s="30"/>
      <c r="N35" s="30"/>
      <c r="O35" s="17"/>
      <c r="P35" s="30"/>
      <c r="Q35" s="30"/>
      <c r="R35" s="30"/>
      <c r="S35" s="30"/>
      <c r="T35" s="50"/>
      <c r="U35" s="28"/>
      <c r="V35" s="28"/>
      <c r="W35" s="32"/>
      <c r="X35" s="28"/>
      <c r="Y35" s="67"/>
      <c r="Z35" s="501"/>
      <c r="AA35" s="501"/>
      <c r="AB35" s="501"/>
      <c r="AC35" s="511"/>
      <c r="AD35" s="28"/>
      <c r="AE35" s="28"/>
      <c r="AF35" s="6"/>
      <c r="AG35" s="28"/>
      <c r="AH35" s="28"/>
      <c r="AI35" s="28"/>
      <c r="AJ35" s="28"/>
      <c r="AK35" s="67"/>
      <c r="AL35" s="95"/>
      <c r="AM35" s="6"/>
      <c r="AN35" s="29"/>
      <c r="AO35" s="400"/>
      <c r="AP35" s="28"/>
      <c r="AQ35" s="28"/>
      <c r="AR35" s="67"/>
      <c r="AS35" s="31"/>
      <c r="AT35" s="32"/>
      <c r="AU35" s="83"/>
      <c r="AV35" s="33"/>
      <c r="AW35" s="33"/>
      <c r="AX35" s="32"/>
      <c r="AY35" s="112"/>
      <c r="AZ35" s="54"/>
      <c r="BA35" s="112"/>
      <c r="BB35" s="112"/>
      <c r="BC35" s="112"/>
      <c r="BD35" s="82"/>
      <c r="BE35" s="402"/>
      <c r="BF35" s="32"/>
      <c r="BG35" s="32"/>
      <c r="BH35" s="32"/>
      <c r="BI35" s="28"/>
      <c r="BJ35" s="584"/>
      <c r="BK35" s="88"/>
      <c r="BL35" s="78"/>
    </row>
    <row r="36" spans="1:64" ht="12.75" customHeight="1" x14ac:dyDescent="0.2">
      <c r="A36" s="67"/>
      <c r="B36" s="697"/>
      <c r="C36" s="698"/>
      <c r="D36" s="685"/>
      <c r="E36" s="4"/>
      <c r="F36" s="25"/>
      <c r="G36" s="25"/>
      <c r="H36" s="21"/>
      <c r="I36" s="25"/>
      <c r="J36" s="18"/>
      <c r="K36" s="22"/>
      <c r="L36" s="22"/>
      <c r="M36" s="22"/>
      <c r="N36" s="22"/>
      <c r="O36" s="18"/>
      <c r="P36" s="48"/>
      <c r="Q36" s="48"/>
      <c r="R36" s="48"/>
      <c r="S36" s="48"/>
      <c r="T36" s="67"/>
      <c r="U36" s="21"/>
      <c r="V36" s="21"/>
      <c r="W36" s="21"/>
      <c r="X36" s="21"/>
      <c r="Y36" s="67"/>
      <c r="Z36" s="458" t="s">
        <v>34</v>
      </c>
      <c r="AA36" s="502"/>
      <c r="AB36" s="502"/>
      <c r="AC36" s="512"/>
      <c r="AD36" s="430" t="s">
        <v>202</v>
      </c>
      <c r="AE36" s="111"/>
      <c r="AF36" s="6"/>
      <c r="AG36" s="21"/>
      <c r="AJ36" s="21"/>
      <c r="AK36" s="67"/>
      <c r="AM36" s="6"/>
      <c r="AN36" s="182" t="s">
        <v>121</v>
      </c>
      <c r="AO36" s="402"/>
      <c r="AP36" s="185" t="s">
        <v>34</v>
      </c>
      <c r="AQ36" s="520" t="s">
        <v>34</v>
      </c>
      <c r="AR36" s="67"/>
      <c r="AS36" s="271" t="s">
        <v>16</v>
      </c>
      <c r="AT36" s="152" t="s">
        <v>26</v>
      </c>
      <c r="AU36" s="11" t="s">
        <v>41</v>
      </c>
      <c r="AV36" s="416" t="s">
        <v>81</v>
      </c>
      <c r="AW36" s="11" t="s">
        <v>6</v>
      </c>
      <c r="AX36" s="296" t="s">
        <v>79</v>
      </c>
      <c r="AY36" s="182" t="s">
        <v>201</v>
      </c>
      <c r="AZ36" s="71"/>
      <c r="BA36" s="699" t="s">
        <v>78</v>
      </c>
      <c r="BB36" s="699"/>
      <c r="BC36" s="569" t="s">
        <v>200</v>
      </c>
      <c r="BD36" s="417" t="s">
        <v>253</v>
      </c>
      <c r="BE36" s="402"/>
      <c r="BH36" s="21"/>
      <c r="BK36" s="88"/>
      <c r="BL36" s="78"/>
    </row>
    <row r="37" spans="1:64" ht="3" customHeight="1" x14ac:dyDescent="0.2">
      <c r="A37" s="73"/>
      <c r="B37" s="284"/>
      <c r="C37" s="286"/>
      <c r="D37" s="685"/>
      <c r="E37" s="35"/>
      <c r="F37" s="36"/>
      <c r="G37" s="36"/>
      <c r="H37" s="34"/>
      <c r="I37" s="36"/>
      <c r="J37" s="60"/>
      <c r="K37" s="37"/>
      <c r="L37" s="37"/>
      <c r="M37" s="37"/>
      <c r="N37" s="37"/>
      <c r="O37" s="18"/>
      <c r="P37" s="37"/>
      <c r="Q37" s="37"/>
      <c r="R37" s="37"/>
      <c r="S37" s="37"/>
      <c r="T37" s="73"/>
      <c r="U37" s="34"/>
      <c r="V37" s="34"/>
      <c r="W37" s="34"/>
      <c r="X37" s="34"/>
      <c r="Y37" s="73"/>
      <c r="Z37" s="503"/>
      <c r="AA37" s="503"/>
      <c r="AB37" s="503"/>
      <c r="AC37" s="513"/>
      <c r="AD37" s="261"/>
      <c r="AE37" s="261"/>
      <c r="AF37" s="6"/>
      <c r="AG37" s="34"/>
      <c r="AH37" s="34"/>
      <c r="AI37" s="34"/>
      <c r="AJ37" s="34"/>
      <c r="AK37" s="73"/>
      <c r="AL37" s="95"/>
      <c r="AM37" s="6"/>
      <c r="AN37" s="34"/>
      <c r="AO37" s="403"/>
      <c r="AP37" s="34"/>
      <c r="AQ37" s="34"/>
      <c r="AR37" s="73"/>
      <c r="AS37" s="272"/>
      <c r="AT37" s="270"/>
      <c r="AU37" s="36"/>
      <c r="AV37" s="269"/>
      <c r="AW37" s="36"/>
      <c r="AX37" s="297"/>
      <c r="AY37" s="269"/>
      <c r="AZ37" s="76"/>
      <c r="BA37" s="687"/>
      <c r="BB37" s="687"/>
      <c r="BC37" s="36"/>
      <c r="BD37" s="34"/>
      <c r="BE37" s="522"/>
      <c r="BF37" s="95"/>
      <c r="BG37" s="34"/>
      <c r="BH37" s="34"/>
      <c r="BI37" s="364"/>
      <c r="BJ37" s="364"/>
      <c r="BK37" s="403"/>
      <c r="BL37" s="79"/>
    </row>
    <row r="38" spans="1:64" ht="12.75" customHeight="1" x14ac:dyDescent="0.2">
      <c r="A38" s="67"/>
      <c r="B38" s="700" t="s">
        <v>4</v>
      </c>
      <c r="C38" s="701"/>
      <c r="D38" s="685"/>
      <c r="E38" s="4" t="s">
        <v>4</v>
      </c>
      <c r="F38" s="152">
        <f>IF(ISBLANK(F4),"",AVERAGE(F4:F34))</f>
        <v>4.2806451612903222</v>
      </c>
      <c r="G38" s="151">
        <f>IF(ISBLANK(G4),"",AVERAGE(G4:G34))</f>
        <v>9.0870967741935491</v>
      </c>
      <c r="H38" s="14">
        <f>IF(ISBLANK(H4),"",AVERAGE(H4:H34))</f>
        <v>6.848387096774192</v>
      </c>
      <c r="I38" s="129">
        <f>IF(ISBLANK(F4),"",AVERAGE(I4:I34))</f>
        <v>4.8032258064516133</v>
      </c>
      <c r="J38" s="19"/>
      <c r="K38" s="156">
        <f>IF(ISBLANK(K4),"",AVERAGE(K4:K34))</f>
        <v>70.903225806451616</v>
      </c>
      <c r="L38" s="153">
        <f>IF(ISBLANK(K4),"",AVERAGE(L4:L34))</f>
        <v>90.064516129032256</v>
      </c>
      <c r="M38" s="9">
        <f>IF(ISBLANK(M4),"",AVERAGE(M4:M34))</f>
        <v>80.903225806451616</v>
      </c>
      <c r="N38" s="398">
        <f>IF(ISBLANK(K4),"",AVERAGE(N4:N34))</f>
        <v>19.161290322580644</v>
      </c>
      <c r="O38" s="18"/>
      <c r="P38" s="154">
        <f>IF(ISBLANK(P4),"",AVERAGE(P4:P34))</f>
        <v>1006.741935483871</v>
      </c>
      <c r="Q38" s="155">
        <f>IF(ISBLANK(P4),"",AVERAGE(Q4:Q34))</f>
        <v>1016.1290322580645</v>
      </c>
      <c r="R38" s="378">
        <f>IF(ISBLANK(P4),"",AVERAGE(P4:Q34))</f>
        <v>1011.4354838709677</v>
      </c>
      <c r="S38" s="130">
        <f>IF(ISBLANK(P4),"",AVERAGE(S4:S34))</f>
        <v>9.387096774193548</v>
      </c>
      <c r="T38" s="70"/>
      <c r="U38" s="266">
        <f>IF(ISBLANK(U4),"",AVERAGE(U4:U34))</f>
        <v>6.2398387096774188</v>
      </c>
      <c r="V38" s="266">
        <f>IF(ISBLANK(V4),"",AVERAGE(V4:V34))</f>
        <v>15.466146587667328</v>
      </c>
      <c r="W38" s="266">
        <f>IF(ISBLANK(U4),"",AVERAGE(W4:W34))</f>
        <v>22.918461290322583</v>
      </c>
      <c r="X38" s="266"/>
      <c r="Y38" s="56"/>
      <c r="Z38" s="466">
        <f>SUM(Z4:Z34)</f>
        <v>56.199999999999989</v>
      </c>
      <c r="AA38" s="466">
        <f>IF($AN$38=0,"",AVERAGE(AA4:AA34))</f>
        <v>1.6111111111111112</v>
      </c>
      <c r="AB38" s="466">
        <f>IF($AN$38=0,"",AVERAGE(AB4:AB34))</f>
        <v>0.78823529411764715</v>
      </c>
      <c r="AC38" s="514">
        <f>IF($AN$38=0,"",AVERAGE(AC4:AC34))</f>
        <v>4.761904761904763E-2</v>
      </c>
      <c r="AD38" s="182">
        <f>IF(Z38=0,"",Z38/AQ38)</f>
        <v>0.93200663349917068</v>
      </c>
      <c r="AE38" s="254">
        <f>IF($AN$38=0,"",AVERAGE(AE4:AE34))</f>
        <v>10.223076923076924</v>
      </c>
      <c r="AF38" s="6"/>
      <c r="AG38" s="263">
        <f>IF(ISBLANK(AG4),"",AVERAGE(AG4:AG34))</f>
        <v>1.1645161290322579</v>
      </c>
      <c r="AH38" s="321">
        <f>IF(ISBLANK(AH4),"",AVERAGE(AH4:AH34))</f>
        <v>6.5774193548387112</v>
      </c>
      <c r="AI38" s="301">
        <f>IF(ISBLANK(AI4),"",AVERAGE(AI4:AI34))</f>
        <v>3.7225806451612904</v>
      </c>
      <c r="AJ38" s="46">
        <f>IF(ISBLANK(AG4),"",AVERAGE(AJ4:AJ34))</f>
        <v>5.4129032258064518</v>
      </c>
      <c r="AK38" s="311"/>
      <c r="AL38" s="669" t="s">
        <v>417</v>
      </c>
      <c r="AM38" s="6"/>
      <c r="AN38" s="254">
        <f>COUNTIF(AL91:AL121,1)</f>
        <v>11</v>
      </c>
      <c r="AO38" s="224"/>
      <c r="AP38" s="528">
        <f>SUM(AP4:AP34)</f>
        <v>67.699999999999989</v>
      </c>
      <c r="AQ38" s="432">
        <f>SUM(AQ4:AQ34)</f>
        <v>60.3</v>
      </c>
      <c r="AR38" s="56"/>
      <c r="AS38" s="358">
        <f>COUNTIF(G4:G34, "&gt;25")</f>
        <v>0</v>
      </c>
      <c r="AT38" s="357">
        <f>COUNTIF(B4:B34,"&lt;0")</f>
        <v>2</v>
      </c>
      <c r="AU38" s="145">
        <f>SUM(COUNTIF(AN4:AN34,"Thunder"),COUNTIF(AN4:AN34,"*Thunder*"),COUNTIF(AN4:AN34,"*Storm*"))</f>
        <v>0</v>
      </c>
      <c r="AV38" s="396">
        <f xml:space="preserve"> SUM(COUNTIF(AN4:AN34,"*Slt*"),COUNTIF(AN4:AN34,"*Snw*"))</f>
        <v>1</v>
      </c>
      <c r="AW38" s="145">
        <f>COUNTIF(W4:W34, "&gt;38")</f>
        <v>1</v>
      </c>
      <c r="AX38" s="359">
        <f xml:space="preserve"> SUM(COUNTIF(AN4:AN34,"Hail"),COUNTIF(AN4:AN34,"*Hail*"))</f>
        <v>0</v>
      </c>
      <c r="AY38" s="396">
        <f>COUNTIF(Z4:Z34,"&gt;19.9")</f>
        <v>0</v>
      </c>
      <c r="AZ38" s="360"/>
      <c r="BA38" s="689">
        <f xml:space="preserve"> SUM(COUNTIF(AN4:AN34,"cm"),COUNTIF(AN4:AN34,"*cm*"))</f>
        <v>0</v>
      </c>
      <c r="BB38" s="689"/>
      <c r="BC38" s="568">
        <f xml:space="preserve"> SUM(COUNTIF(AN4:AN34,"Dense"),COUNTIF(AN4:AN34,"*Dense*"))</f>
        <v>0</v>
      </c>
      <c r="BD38" s="417">
        <f t="array" ref="BD38">SUM(IF(AP4:AP34&gt;0.95*AT91:AT121,1,0))</f>
        <v>0</v>
      </c>
      <c r="BE38" s="523"/>
      <c r="BH38" s="25"/>
      <c r="BK38" s="88"/>
      <c r="BL38" s="78"/>
    </row>
    <row r="39" spans="1:64" ht="12.75" customHeight="1" x14ac:dyDescent="0.2">
      <c r="A39" s="67"/>
      <c r="B39" s="214">
        <f>IF(ISBLANK(F4),"",AVERAGE(B4:B34))</f>
        <v>4.9548387096774196</v>
      </c>
      <c r="C39" s="287">
        <f>IF(ISBLANK(P4),"",AVERAGE(C4:C34))</f>
        <v>8.6709677419354847</v>
      </c>
      <c r="D39" s="686"/>
      <c r="E39" s="4" t="s">
        <v>9</v>
      </c>
      <c r="F39" s="163">
        <v>3.2</v>
      </c>
      <c r="G39" s="94">
        <v>7.8</v>
      </c>
      <c r="H39" s="390" t="s">
        <v>4</v>
      </c>
      <c r="I39" s="162">
        <f>G39-F39</f>
        <v>4.5999999999999996</v>
      </c>
      <c r="J39" s="19"/>
      <c r="K39" s="22"/>
      <c r="L39" s="22"/>
      <c r="M39" s="538" t="s">
        <v>4</v>
      </c>
      <c r="N39" s="22"/>
      <c r="O39" s="18"/>
      <c r="P39" s="22"/>
      <c r="Q39" s="22"/>
      <c r="R39" s="380">
        <v>1013.25</v>
      </c>
      <c r="S39" s="22"/>
      <c r="T39" s="70"/>
      <c r="U39" s="259">
        <v>5.0999999999999996</v>
      </c>
      <c r="V39" s="259"/>
      <c r="X39" s="260"/>
      <c r="Y39" s="70"/>
      <c r="Z39" s="504">
        <v>66</v>
      </c>
      <c r="AA39" s="105"/>
      <c r="AB39" s="505"/>
      <c r="AC39" s="515"/>
      <c r="AD39" s="490">
        <f>Z39/AQ39</f>
        <v>1.1578947368421053</v>
      </c>
      <c r="AF39" s="6"/>
      <c r="AG39" s="25"/>
      <c r="AI39" s="25"/>
      <c r="AJ39" s="25"/>
      <c r="AK39" s="56"/>
      <c r="AL39" s="669"/>
      <c r="AM39" s="6"/>
      <c r="AN39" s="253">
        <v>11</v>
      </c>
      <c r="AO39" s="224"/>
      <c r="AP39" s="529">
        <v>48</v>
      </c>
      <c r="AQ39" s="460">
        <v>57</v>
      </c>
      <c r="AR39" s="67"/>
      <c r="AT39" s="357">
        <v>6</v>
      </c>
      <c r="AU39" s="22">
        <v>0.3</v>
      </c>
      <c r="AV39" s="396">
        <v>3</v>
      </c>
      <c r="AW39" s="145"/>
      <c r="AX39" s="359"/>
      <c r="AZ39" s="360"/>
      <c r="BA39" s="688">
        <v>1</v>
      </c>
      <c r="BB39" s="688"/>
      <c r="BC39" s="145"/>
      <c r="BD39" s="145"/>
      <c r="BE39" s="360"/>
      <c r="BF39" s="147"/>
      <c r="BG39" s="147"/>
      <c r="BH39" s="147"/>
      <c r="BI39" s="147"/>
      <c r="BK39" s="88"/>
      <c r="BL39" s="78"/>
    </row>
    <row r="40" spans="1:64" ht="12.75" customHeight="1" x14ac:dyDescent="0.2">
      <c r="A40" s="67"/>
      <c r="B40" s="215">
        <f>IF(ISBLANK(F4),"",B39-F38)</f>
        <v>0.67419354838709733</v>
      </c>
      <c r="C40" s="288">
        <f>IF(ISBLANK(P4),"",C39-G38)</f>
        <v>-0.41612903225806441</v>
      </c>
      <c r="D40" s="686"/>
      <c r="E40" s="4" t="s">
        <v>10</v>
      </c>
      <c r="F40" s="152">
        <f>IF(ISBLANK(F4),"",F38-F39)</f>
        <v>1.0806451612903221</v>
      </c>
      <c r="G40" s="151">
        <f>IF(ISBLANK(G4),"",G38-G39)</f>
        <v>1.2870967741935493</v>
      </c>
      <c r="H40" s="383">
        <f>IF(M53&lt;1,"",AVERAGE(F4:G34))</f>
        <v>6.6838709677419352</v>
      </c>
      <c r="I40" s="129">
        <f>IF(ISBLANK(F4),"",SUM(I38-I39))</f>
        <v>0.2032258064516137</v>
      </c>
      <c r="J40" s="19"/>
      <c r="K40" s="22"/>
      <c r="L40" s="22"/>
      <c r="M40" s="537">
        <f>IF(M53&lt;1,"",AVERAGE(K4:L34))</f>
        <v>80.483870967741936</v>
      </c>
      <c r="N40" s="25"/>
      <c r="O40" s="18"/>
      <c r="P40" s="102"/>
      <c r="Q40" s="22"/>
      <c r="R40" s="378">
        <f>IF(ISBLANK(P4),"",R38-R39)</f>
        <v>-1.8145161290323131</v>
      </c>
      <c r="S40" s="22"/>
      <c r="T40" s="70"/>
      <c r="U40" s="266">
        <f>IF(ISBLANK(U4),"",U38-U39)</f>
        <v>1.1398387096774192</v>
      </c>
      <c r="V40" s="435">
        <f>IF(ISBLANK(U5),"",CORREL(U4:U34,V4:V34))</f>
        <v>0.69496203839802417</v>
      </c>
      <c r="W40" s="435">
        <f>IF(ISBLANK(U5),"",CORREL(U4:U34,W4:W34))</f>
        <v>0.69273708006578483</v>
      </c>
      <c r="X40" s="435">
        <f>IF(ISBLANK(V5),"",CORREL(V4:V34,W4:W34))</f>
        <v>0.95911776788357106</v>
      </c>
      <c r="Y40" s="70"/>
      <c r="Z40" s="465">
        <f>IF(ISBLANK(Z4),"",AB47/AB48)</f>
        <v>0.85151515151515134</v>
      </c>
      <c r="AA40" s="506">
        <f>Z38/Z39</f>
        <v>0.85151515151515134</v>
      </c>
      <c r="AB40" s="506"/>
      <c r="AC40" s="516"/>
      <c r="AD40" s="491">
        <f>IF(Z38&lt;0.3,"",AD38/(Z39/AQ39))</f>
        <v>0.80491481984019286</v>
      </c>
      <c r="AE40" s="527">
        <f>IF($AN$38=0,"",AVERAGE(AD4:AD34))</f>
        <v>0.90865749330035062</v>
      </c>
      <c r="AF40" s="6"/>
      <c r="AI40" s="25"/>
      <c r="AJ40" s="25"/>
      <c r="AK40" s="56"/>
      <c r="AL40" s="669"/>
      <c r="AM40" s="6"/>
      <c r="AN40" s="254">
        <f>SUM(AN38-AN39)</f>
        <v>0</v>
      </c>
      <c r="AO40" s="224"/>
      <c r="AP40" s="530">
        <f>IF(ISBLANK(AP4),"",AP47/AP54)</f>
        <v>1.4104166666666667</v>
      </c>
      <c r="AQ40" s="427">
        <f>IF(ISBLANK(AQ4),"",AQ47/(AQ39/E34))</f>
        <v>1.0578947368421052</v>
      </c>
      <c r="AR40" s="418"/>
      <c r="AT40" s="357">
        <f>SUM(AT38-AT39)</f>
        <v>-4</v>
      </c>
      <c r="AU40" s="145">
        <f>SUM(AU38-AU39)</f>
        <v>-0.3</v>
      </c>
      <c r="AV40" s="396">
        <f>AV38-AV39</f>
        <v>-2</v>
      </c>
      <c r="AW40" s="145"/>
      <c r="AX40" s="359"/>
      <c r="AZ40" s="360"/>
      <c r="BA40" s="689">
        <f>BA38-BA39</f>
        <v>-1</v>
      </c>
      <c r="BB40" s="689"/>
      <c r="BC40" s="145"/>
      <c r="BD40" s="145"/>
      <c r="BE40" s="360"/>
      <c r="BI40" s="25"/>
      <c r="BK40" s="88"/>
      <c r="BL40" s="78"/>
    </row>
    <row r="41" spans="1:64" ht="4.5" customHeight="1" x14ac:dyDescent="0.2">
      <c r="A41" s="74"/>
      <c r="B41" s="289"/>
      <c r="C41" s="290"/>
      <c r="D41" s="686"/>
      <c r="E41" s="40"/>
      <c r="F41" s="41"/>
      <c r="G41" s="41"/>
      <c r="H41" s="42"/>
      <c r="I41" s="41"/>
      <c r="J41" s="61"/>
      <c r="K41" s="43"/>
      <c r="L41" s="43"/>
      <c r="M41" s="44"/>
      <c r="N41" s="43"/>
      <c r="O41" s="18"/>
      <c r="P41" s="43"/>
      <c r="Q41" s="43"/>
      <c r="R41" s="44"/>
      <c r="S41" s="43"/>
      <c r="T41" s="74"/>
      <c r="U41" s="41"/>
      <c r="V41" s="41"/>
      <c r="W41" s="41"/>
      <c r="X41" s="41"/>
      <c r="Y41" s="77"/>
      <c r="Z41" s="507"/>
      <c r="AA41" s="507"/>
      <c r="AB41" s="507"/>
      <c r="AC41" s="517"/>
      <c r="AD41" s="41"/>
      <c r="AE41" s="41"/>
      <c r="AF41" s="6"/>
      <c r="AG41" s="41"/>
      <c r="AH41" s="41"/>
      <c r="AI41" s="41"/>
      <c r="AJ41" s="41"/>
      <c r="AK41" s="77"/>
      <c r="AL41" s="669"/>
      <c r="AM41" s="6"/>
      <c r="AN41" s="39"/>
      <c r="AO41" s="39"/>
      <c r="AP41" s="39"/>
      <c r="AQ41" s="39"/>
      <c r="AR41" s="39"/>
      <c r="AS41" s="41"/>
      <c r="AT41" s="43"/>
      <c r="AU41" s="41"/>
      <c r="AV41" s="41"/>
      <c r="AW41" s="41"/>
      <c r="AX41" s="41"/>
      <c r="AY41" s="41"/>
      <c r="AZ41" s="77"/>
      <c r="BA41" s="41"/>
      <c r="BB41" s="41"/>
      <c r="BC41" s="41"/>
      <c r="BD41" s="41"/>
      <c r="BE41" s="77"/>
      <c r="BF41" s="41"/>
      <c r="BG41" s="41"/>
      <c r="BH41" s="39"/>
      <c r="BI41" s="41"/>
      <c r="BJ41" s="41"/>
      <c r="BK41" s="39"/>
      <c r="BL41" s="80"/>
    </row>
    <row r="42" spans="1:64" ht="12.75" customHeight="1" x14ac:dyDescent="0.2">
      <c r="A42" s="67"/>
      <c r="B42" s="705" t="s">
        <v>98</v>
      </c>
      <c r="C42" s="706"/>
      <c r="D42" s="686"/>
      <c r="E42" s="4" t="s">
        <v>5</v>
      </c>
      <c r="F42" s="25">
        <f>F86-F85</f>
        <v>11.9</v>
      </c>
      <c r="G42" s="25">
        <f>G86-G85</f>
        <v>8.8000000000000007</v>
      </c>
      <c r="H42" s="25">
        <f>H86-H85</f>
        <v>10.199999999999999</v>
      </c>
      <c r="I42" s="25">
        <f>I86-I85</f>
        <v>7</v>
      </c>
      <c r="J42" s="20"/>
      <c r="K42" s="22">
        <f>K86-K85</f>
        <v>46</v>
      </c>
      <c r="L42" s="22">
        <f>L86-L85</f>
        <v>21</v>
      </c>
      <c r="M42" s="22">
        <f>M86-M85</f>
        <v>28</v>
      </c>
      <c r="N42" s="22">
        <f>N86-N85</f>
        <v>39</v>
      </c>
      <c r="O42" s="20"/>
      <c r="P42" s="22">
        <f>P86-P85</f>
        <v>51</v>
      </c>
      <c r="Q42" s="22">
        <f>Q86-Q85</f>
        <v>40</v>
      </c>
      <c r="R42" s="22">
        <f>R86-R85</f>
        <v>42.5</v>
      </c>
      <c r="S42" s="22">
        <f>S86-S85</f>
        <v>21</v>
      </c>
      <c r="T42" s="75"/>
      <c r="U42" s="25">
        <f>U86-U85</f>
        <v>5.5741599999999991</v>
      </c>
      <c r="V42" s="25">
        <f>V86-V85</f>
        <v>13.8</v>
      </c>
      <c r="W42" s="25">
        <f>W86-W85</f>
        <v>28.099999999999998</v>
      </c>
      <c r="X42" s="25"/>
      <c r="Y42" s="135"/>
      <c r="Z42" s="38">
        <f>Z86-Z85</f>
        <v>9.1</v>
      </c>
      <c r="AA42" s="38">
        <f>AA86-AA85</f>
        <v>5</v>
      </c>
      <c r="AB42" s="38">
        <f>AB86-AB85</f>
        <v>2.7</v>
      </c>
      <c r="AC42" s="510">
        <f>AC86-AC85</f>
        <v>0.15658362989323846</v>
      </c>
      <c r="AD42" s="25">
        <f>AE86-AE85</f>
        <v>2.833333333333333</v>
      </c>
      <c r="AE42" s="22">
        <f>AD86-AD85</f>
        <v>29.5</v>
      </c>
      <c r="AF42" s="6"/>
      <c r="AG42" s="25">
        <f>AG86-AG85</f>
        <v>13.4</v>
      </c>
      <c r="AH42" s="25">
        <f>AH86-AH85</f>
        <v>10.6</v>
      </c>
      <c r="AI42" s="25">
        <f>AI86-AI85</f>
        <v>11.3</v>
      </c>
      <c r="AJ42" s="25">
        <f>AJ86-AJ85</f>
        <v>11.200000000000001</v>
      </c>
      <c r="AK42" s="56"/>
      <c r="AL42" s="669"/>
      <c r="AM42" s="6"/>
      <c r="AN42" s="4" t="s">
        <v>80</v>
      </c>
      <c r="AO42" s="223"/>
      <c r="AP42" s="25">
        <f>AP86-AP85</f>
        <v>6.5</v>
      </c>
      <c r="AQ42" s="22">
        <f>AQ86-AQ85</f>
        <v>8</v>
      </c>
      <c r="AR42" s="70"/>
      <c r="AS42" s="25">
        <f t="shared" ref="AS42:AY42" si="19">AS86-AS85</f>
        <v>1.7052631578947368</v>
      </c>
      <c r="AT42" s="25">
        <f t="shared" si="19"/>
        <v>1.4500000000000002</v>
      </c>
      <c r="AU42" s="25">
        <f t="shared" si="19"/>
        <v>1.7168421052631606</v>
      </c>
      <c r="AV42" s="25">
        <f t="shared" si="19"/>
        <v>0.85384615384615259</v>
      </c>
      <c r="AW42" s="25">
        <f t="shared" si="19"/>
        <v>4.3888888888888857</v>
      </c>
      <c r="AX42" s="25">
        <f t="shared" si="19"/>
        <v>8.0625</v>
      </c>
      <c r="AY42" s="25">
        <f t="shared" si="19"/>
        <v>1.097197333333332</v>
      </c>
      <c r="AZ42" s="56"/>
      <c r="BA42" s="25">
        <f>G42</f>
        <v>8.8000000000000007</v>
      </c>
      <c r="BB42" s="25">
        <f>H42</f>
        <v>10.199999999999999</v>
      </c>
      <c r="BC42" s="25">
        <f>I42</f>
        <v>7</v>
      </c>
      <c r="BD42" s="22"/>
      <c r="BE42" s="67"/>
      <c r="BF42" s="13">
        <f>AS42</f>
        <v>1.7052631578947368</v>
      </c>
      <c r="BG42" s="13">
        <f>AT42</f>
        <v>1.4500000000000002</v>
      </c>
      <c r="BH42" s="13">
        <f>BH86-BH85</f>
        <v>1.0015384615384644</v>
      </c>
      <c r="BI42" s="93">
        <f>BI86-BI85</f>
        <v>0.68751893939393938</v>
      </c>
      <c r="BJ42" s="93">
        <f>BJ86-BJ85</f>
        <v>0.68201150255888976</v>
      </c>
      <c r="BK42" s="88"/>
      <c r="BL42" s="78"/>
    </row>
    <row r="43" spans="1:64" ht="12.75" customHeight="1" x14ac:dyDescent="0.2">
      <c r="A43" s="67"/>
      <c r="B43" s="216">
        <f>COUNTIF(O4:O34,1)</f>
        <v>15</v>
      </c>
      <c r="C43" s="291">
        <f>COUNTIF(J4:J34,1)</f>
        <v>9</v>
      </c>
      <c r="D43" s="686"/>
      <c r="E43" s="12" t="s">
        <v>174</v>
      </c>
      <c r="F43" s="25">
        <f>IF(ISBLANK($G$6),"",STDEV(F4:F34))</f>
        <v>2.9279593980380163</v>
      </c>
      <c r="G43" s="25">
        <f>IF(ISBLANK($G$6),"",STDEV(G4:G34))</f>
        <v>2.6081592404713101</v>
      </c>
      <c r="H43" s="25">
        <f>IF(ISBLANK($H$6),"",STDEV(H4:H34))</f>
        <v>2.7979600864131906</v>
      </c>
      <c r="I43" s="25">
        <f>IF(ISBLANK($G$6),"",STDEV(I4:I34))</f>
        <v>1.6886846697884412</v>
      </c>
      <c r="J43" s="56"/>
      <c r="K43" s="25">
        <f>IF(ISBLANK($G$6),"",STDEV(K4:K34))</f>
        <v>10.113867834841695</v>
      </c>
      <c r="L43" s="25">
        <f>IF(ISBLANK($G$6),"",STDEV(L4:L34))</f>
        <v>5.9100788707143748</v>
      </c>
      <c r="M43" s="25">
        <f>IF(ISBLANK($H$6),"",STDEV(M4:M34))</f>
        <v>7.100961618962498</v>
      </c>
      <c r="N43" s="25">
        <f>IF(ISBLANK($G$6),"",STDEV(N4:N34))</f>
        <v>8.9520827155604721</v>
      </c>
      <c r="O43" s="56"/>
      <c r="P43" s="25">
        <f>IF(ISBLANK($G$6),"",STDEV(P4:P34))</f>
        <v>12.556453166759802</v>
      </c>
      <c r="Q43" s="25">
        <f>IF(ISBLANK($G$6),"",STDEV(Q4:Q34))</f>
        <v>10.560119745166627</v>
      </c>
      <c r="R43" s="25">
        <f>IF(ISBLANK($G$6),"",STDEV(R4:R34))</f>
        <v>11.276629176815112</v>
      </c>
      <c r="S43" s="25">
        <f>IF(ISBLANK($G$6),"",STDEV(S4:S34))</f>
        <v>5.4508557086928331</v>
      </c>
      <c r="T43" s="75"/>
      <c r="U43" s="25">
        <f>IF(ISBLANK($G$6),"",STDEV(U4:U34))</f>
        <v>1.5483348528268335</v>
      </c>
      <c r="V43" s="25">
        <f>IF(ISBLANK($G$6),"",STDEV(V4:V34))</f>
        <v>3.6500542957427653</v>
      </c>
      <c r="W43" s="25">
        <f>IF(ISBLANK($G$6),"",STDEV(W4:W34))</f>
        <v>6.4874067155105708</v>
      </c>
      <c r="X43" s="25"/>
      <c r="Y43" s="135"/>
      <c r="Z43" s="38">
        <f>IF(ISBLANK($G$6),"",STDEV(Z4:Z34))</f>
        <v>2.4974309380486543</v>
      </c>
      <c r="AA43" s="38">
        <f>IF(AA86-AA85=0,"",STDEV(AA4:AA34))</f>
        <v>1.5354205742627267</v>
      </c>
      <c r="AB43" s="38">
        <f>IF(AB86-AB85=0,"",STDEV(AB4:AB34))</f>
        <v>0.79834387401449403</v>
      </c>
      <c r="AC43" s="510">
        <f>IF(AC86-AC85=0,"",STDEV(AC4:AC34))</f>
        <v>4.6841125038702802E-2</v>
      </c>
      <c r="AD43" s="25">
        <f>IF(AE86-AE85=0,"",STDEV(AD4:AD34))</f>
        <v>0.74917897145911871</v>
      </c>
      <c r="AE43" s="25">
        <f>IF(AD86-AD85=0,"",STDEV(AE4:AE34))</f>
        <v>11.453103934898598</v>
      </c>
      <c r="AF43" s="6"/>
      <c r="AG43" s="25">
        <f>IF(ISBLANK($AG$6),"",STDEV(AG4:AG34))</f>
        <v>3.2083794857733374</v>
      </c>
      <c r="AH43" s="25">
        <f>IF(ISBLANK($AH$6),"",STDEV(AH4:AH34))</f>
        <v>3.2991624874018499</v>
      </c>
      <c r="AI43" s="25">
        <f>IF(ISBLANK($AI$6),"",STDEV(AI4:AI34))</f>
        <v>3.0446356845463303</v>
      </c>
      <c r="AJ43" s="25">
        <f>IF(ISBLANK($AH$6),"",STDEV(AJ4:AJ34))</f>
        <v>2.7478163373224049</v>
      </c>
      <c r="AK43" s="56"/>
      <c r="AL43" s="669"/>
      <c r="AM43" s="6"/>
      <c r="AN43" s="22">
        <f>M53-AN91</f>
        <v>12</v>
      </c>
      <c r="AO43" s="224"/>
      <c r="AP43" s="25">
        <f>IF(ISBLANK($AP$6),"",STDEV(AP4:AP34))</f>
        <v>2.3305359575561941</v>
      </c>
      <c r="AQ43" s="25">
        <f>IF(ISBLANK($AQ$6),"",STDEV(AQ4:AQ34))</f>
        <v>2.2898091200909332</v>
      </c>
      <c r="AR43" s="56"/>
      <c r="AS43" s="25">
        <f>IF(ISBLANK($G$6),"",STDEV(AS4:AS34))</f>
        <v>0.70265825504536139</v>
      </c>
      <c r="AT43" s="25">
        <f>IF(ISBLANK($G$6),"",STDEV(AT4:AT34))</f>
        <v>0.74101293962667392</v>
      </c>
      <c r="AU43" s="25">
        <f>IF(ISBLANK($G$6),"",STDEV(AU4:AU34))</f>
        <v>0.81795003386013643</v>
      </c>
      <c r="AV43" s="25">
        <f>IF(ISBLANK($G$6),"",STDEV(AV4:AV34))</f>
        <v>0.23436051764484714</v>
      </c>
      <c r="AW43" s="25">
        <f>IF(ISBLANK($M$6),"",STDEV(AW4:AW34))</f>
        <v>1.705278382562913</v>
      </c>
      <c r="AX43" s="25">
        <f>IF(ISBLANK($G$6),"",STDEV(AX4:AX34))</f>
        <v>2.3800274443248024</v>
      </c>
      <c r="AY43" s="25">
        <f>IF(ISBLANK($G$6),"",STDEV(BA4:BA34))</f>
        <v>3.0479391131527236</v>
      </c>
      <c r="AZ43" s="56"/>
      <c r="BA43" s="25">
        <f>IF(ISBLANK($G$6),"",STDEV(BB4:BB34))</f>
        <v>2.7815346936567433</v>
      </c>
      <c r="BB43" s="25">
        <f>IF(ISBLANK($G$6),"",STDEV(BD4:BD34))</f>
        <v>1.6487523384378482</v>
      </c>
      <c r="BC43" s="25">
        <f>IF(ISBLANK($G$6),"",STDEV(BD4:BD34))</f>
        <v>1.6487523384378482</v>
      </c>
      <c r="BD43" s="25"/>
      <c r="BE43" s="56"/>
      <c r="BF43" s="25">
        <f>IF(ISBLANK($G$6),"",STDEV(BF4:BF34))</f>
        <v>0.6382248354657345</v>
      </c>
      <c r="BG43" s="25">
        <f>IF(ISBLANK($G$6),"",STDEV(BG4:BG34))</f>
        <v>0.58414333904246041</v>
      </c>
      <c r="BH43" s="25">
        <f>IF(ISBLANK($G$6),"",STDEV(BH4:BH34))</f>
        <v>0.23652363555430087</v>
      </c>
      <c r="BI43" s="93">
        <f>IF(ISBLANK($Z$6),"",STDEV(BI4:BI34))</f>
        <v>0.42684746726233391</v>
      </c>
      <c r="BJ43" s="93">
        <f>IF(ISBLANK($Z$6),"",STDEV(BJ4:BJ34))</f>
        <v>0.30275754694415485</v>
      </c>
      <c r="BK43" s="402"/>
      <c r="BL43" s="78"/>
    </row>
    <row r="44" spans="1:64" ht="4.5" customHeight="1" x14ac:dyDescent="0.2">
      <c r="A44" s="67"/>
      <c r="B44" s="63"/>
      <c r="C44" s="66"/>
      <c r="D44" s="63"/>
      <c r="E44" s="64"/>
      <c r="F44" s="66"/>
      <c r="G44" s="66"/>
      <c r="H44" s="66"/>
      <c r="I44" s="66"/>
      <c r="J44" s="62"/>
      <c r="K44" s="66"/>
      <c r="L44" s="66"/>
      <c r="M44" s="66"/>
      <c r="N44" s="65"/>
      <c r="O44" s="62"/>
      <c r="P44" s="66"/>
      <c r="Q44" s="66"/>
      <c r="R44" s="66"/>
      <c r="S44" s="66"/>
      <c r="T44" s="66"/>
      <c r="U44" s="66"/>
      <c r="V44" s="66"/>
      <c r="W44" s="66"/>
      <c r="X44" s="66"/>
      <c r="Y44" s="135"/>
      <c r="Z44" s="66"/>
      <c r="AA44" s="66"/>
      <c r="AB44" s="66"/>
      <c r="AC44" s="66"/>
      <c r="AD44" s="66"/>
      <c r="AE44" s="66"/>
      <c r="AF44" s="6"/>
      <c r="AG44" s="66"/>
      <c r="AH44" s="66"/>
      <c r="AI44" s="132"/>
      <c r="AJ44" s="132"/>
      <c r="AK44" s="6"/>
      <c r="AL44" s="132"/>
      <c r="AM44" s="6"/>
      <c r="AN44" s="66"/>
      <c r="AO44" s="402"/>
      <c r="AP44" s="63"/>
      <c r="AQ44" s="63"/>
      <c r="AR44" s="67"/>
      <c r="AS44" s="66"/>
      <c r="AT44" s="65"/>
      <c r="AU44" s="66"/>
      <c r="AV44" s="66"/>
      <c r="AW44" s="66"/>
      <c r="AX44" s="66"/>
      <c r="AY44" s="66"/>
      <c r="AZ44" s="56"/>
      <c r="BA44" s="66"/>
      <c r="BB44" s="66"/>
      <c r="BC44" s="66"/>
      <c r="BD44" s="66"/>
      <c r="BE44" s="56"/>
      <c r="BF44" s="66"/>
      <c r="BG44" s="66"/>
      <c r="BH44" s="63"/>
      <c r="BI44" s="63"/>
      <c r="BJ44" s="66"/>
      <c r="BK44" s="88"/>
      <c r="BL44" s="78"/>
    </row>
    <row r="45" spans="1:64" ht="5.25" customHeight="1" thickBot="1" x14ac:dyDescent="0.25">
      <c r="A45" s="67"/>
      <c r="B45" s="21"/>
      <c r="C45" s="25"/>
      <c r="D45" s="21"/>
      <c r="E45" s="4"/>
      <c r="F45" s="25"/>
      <c r="G45" s="25"/>
      <c r="H45" s="25"/>
      <c r="I45" s="25"/>
      <c r="J45" s="18"/>
      <c r="K45" s="25"/>
      <c r="L45" s="25"/>
      <c r="M45" s="25"/>
      <c r="N45" s="22"/>
      <c r="O45" s="18"/>
      <c r="P45" s="25"/>
      <c r="Q45" s="25"/>
      <c r="R45" s="25"/>
      <c r="S45" s="25"/>
      <c r="T45" s="56"/>
      <c r="U45" s="25"/>
      <c r="V45" s="25"/>
      <c r="W45" s="25"/>
      <c r="X45" s="25"/>
      <c r="Y45" s="135"/>
      <c r="AF45" s="56"/>
      <c r="AG45" s="25"/>
      <c r="AH45" s="25"/>
      <c r="AK45" s="6"/>
      <c r="AM45" s="6"/>
      <c r="AN45" s="25"/>
      <c r="AO45" s="402"/>
      <c r="AP45" s="21"/>
      <c r="AQ45" s="21"/>
      <c r="AR45" s="67"/>
      <c r="AS45" s="25"/>
      <c r="AT45" s="22"/>
      <c r="AU45" s="25"/>
      <c r="AV45" s="25"/>
      <c r="AW45" s="25"/>
      <c r="AX45" s="25"/>
      <c r="AY45" s="25"/>
      <c r="AZ45" s="56"/>
      <c r="BA45" s="25"/>
      <c r="BB45" s="25"/>
      <c r="BC45" s="25"/>
      <c r="BD45" s="25"/>
      <c r="BE45" s="56"/>
      <c r="BF45" s="25"/>
      <c r="BG45" s="25"/>
      <c r="BH45" s="21"/>
      <c r="BI45" s="21"/>
      <c r="BJ45" s="25"/>
      <c r="BK45" s="67"/>
      <c r="BL45" s="78"/>
    </row>
    <row r="46" spans="1:64" ht="15" customHeight="1" x14ac:dyDescent="0.2">
      <c r="A46" s="67"/>
      <c r="B46" s="702" t="s">
        <v>132</v>
      </c>
      <c r="C46" s="703"/>
      <c r="D46" s="703"/>
      <c r="E46" s="704"/>
      <c r="F46" s="349">
        <f>F40</f>
        <v>1.0806451612903221</v>
      </c>
      <c r="G46" s="350">
        <f>G40</f>
        <v>1.2870967741935493</v>
      </c>
      <c r="H46" s="382">
        <f>AY82</f>
        <v>1.1838709677419352</v>
      </c>
      <c r="I46" s="352">
        <f>I40</f>
        <v>0.2032258064516137</v>
      </c>
      <c r="J46" s="18"/>
      <c r="K46" s="353">
        <f>K38</f>
        <v>70.903225806451616</v>
      </c>
      <c r="L46" s="298">
        <f>L38</f>
        <v>90.064516129032256</v>
      </c>
      <c r="M46" s="354">
        <f>M38</f>
        <v>80.903225806451616</v>
      </c>
      <c r="N46" s="25">
        <f>N38</f>
        <v>19.161290322580644</v>
      </c>
      <c r="O46" s="18"/>
      <c r="P46" s="25"/>
      <c r="Q46" s="25"/>
      <c r="R46" s="381">
        <f>R40</f>
        <v>-1.8145161290323131</v>
      </c>
      <c r="S46" s="162">
        <f>S38</f>
        <v>9.387096774193548</v>
      </c>
      <c r="T46" s="56"/>
      <c r="U46" s="355">
        <f>U38</f>
        <v>6.2398387096774188</v>
      </c>
      <c r="W46" s="304" t="s">
        <v>113</v>
      </c>
      <c r="X46" s="22">
        <f>COUNTIF(X4:X34,"N")</f>
        <v>1</v>
      </c>
      <c r="Y46" s="135"/>
      <c r="Z46" s="681" t="s">
        <v>151</v>
      </c>
      <c r="AA46" s="668">
        <f>IF(AN48=0,"n/a",Z38/AN48)</f>
        <v>2.6761904761904756</v>
      </c>
      <c r="AB46" s="385" t="s">
        <v>189</v>
      </c>
      <c r="AC46" s="268" t="s">
        <v>282</v>
      </c>
      <c r="AF46" s="135"/>
      <c r="AG46" s="392">
        <f>AG38</f>
        <v>1.1645161290322579</v>
      </c>
      <c r="AH46" s="393">
        <f>AH38</f>
        <v>6.5774193548387112</v>
      </c>
      <c r="AI46" s="348">
        <f>AI38</f>
        <v>3.7225806451612904</v>
      </c>
      <c r="AJ46" s="49">
        <f>AJ38</f>
        <v>5.4129032258064518</v>
      </c>
      <c r="AK46" s="126"/>
      <c r="AL46" s="356"/>
      <c r="AM46" s="6"/>
      <c r="AO46" s="404"/>
      <c r="AP46" s="445">
        <f>AP38/AP39</f>
        <v>1.4104166666666664</v>
      </c>
      <c r="AQ46" s="446">
        <f>AQ38/AQ39</f>
        <v>1.0578947368421052</v>
      </c>
      <c r="AR46" s="6"/>
      <c r="AS46" s="696" t="s">
        <v>131</v>
      </c>
      <c r="AT46" s="650"/>
      <c r="AU46" s="650"/>
      <c r="AV46" s="650"/>
      <c r="AW46" s="650"/>
      <c r="AX46" s="650"/>
      <c r="AY46" s="25"/>
      <c r="AZ46" s="56"/>
      <c r="BC46" s="25"/>
      <c r="BD46" s="25"/>
      <c r="BE46" s="56"/>
      <c r="BF46" s="693" t="s">
        <v>232</v>
      </c>
      <c r="BG46" s="693"/>
      <c r="BH46" s="693"/>
      <c r="BI46" s="693"/>
      <c r="BJ46" s="693"/>
      <c r="BK46" s="67"/>
      <c r="BL46" s="78"/>
    </row>
    <row r="47" spans="1:64" ht="12.75" customHeight="1" x14ac:dyDescent="0.2">
      <c r="A47" s="67"/>
      <c r="B47" s="682" t="s">
        <v>17</v>
      </c>
      <c r="C47" s="683"/>
      <c r="D47" s="684"/>
      <c r="E47" s="581" t="s">
        <v>15</v>
      </c>
      <c r="F47" s="349">
        <f>F38</f>
        <v>4.2806451612903222</v>
      </c>
      <c r="G47" s="350">
        <f>G38</f>
        <v>9.0870967741935491</v>
      </c>
      <c r="H47" s="351">
        <f>H38</f>
        <v>6.848387096774192</v>
      </c>
      <c r="I47" s="352">
        <f>I38</f>
        <v>4.8032258064516133</v>
      </c>
      <c r="J47" s="18"/>
      <c r="K47" s="21"/>
      <c r="L47" s="170"/>
      <c r="M47" s="52"/>
      <c r="N47" s="118"/>
      <c r="O47" s="18"/>
      <c r="P47" s="21"/>
      <c r="Q47" s="21"/>
      <c r="R47" s="381">
        <f>R38</f>
        <v>1011.4354838709677</v>
      </c>
      <c r="S47" s="21"/>
      <c r="T47" s="56"/>
      <c r="U47" s="7"/>
      <c r="W47" s="143" t="s">
        <v>105</v>
      </c>
      <c r="X47" s="22">
        <f>COUNTIF(X4:X34,"NE")</f>
        <v>0</v>
      </c>
      <c r="Y47" s="56"/>
      <c r="Z47" s="681"/>
      <c r="AA47" s="668"/>
      <c r="AB47" s="384">
        <f>IF(M53=0,"",AVERAGE(Z4:Z34))</f>
        <v>1.8129032258064512</v>
      </c>
      <c r="AC47" s="323" t="str">
        <f>IF(M54&gt;0,IF(Z38&gt;Z39,"",AC48/M54/AB48),"n/a")</f>
        <v>n/a</v>
      </c>
      <c r="AE47" s="548"/>
      <c r="AF47" s="56"/>
      <c r="AH47" s="124"/>
      <c r="AI47" s="124"/>
      <c r="AJ47" s="124"/>
      <c r="AK47" s="126"/>
      <c r="AL47" s="124"/>
      <c r="AM47" s="6"/>
      <c r="AN47" s="179" t="s">
        <v>67</v>
      </c>
      <c r="AO47" s="405"/>
      <c r="AP47" s="456">
        <f>IF(ISBLANK(AP4),"",AVERAGE(AP4:AP34))</f>
        <v>2.1838709677419352</v>
      </c>
      <c r="AQ47" s="443">
        <f>IF(ISBLANK(AQ4),"",AVERAGE(AQ4:AQ34))</f>
        <v>1.9451612903225806</v>
      </c>
      <c r="AR47" s="6"/>
      <c r="AS47" s="25"/>
      <c r="AT47" s="22"/>
      <c r="AU47" s="25"/>
      <c r="AV47" s="25"/>
      <c r="AW47" s="25"/>
      <c r="AX47" s="25"/>
      <c r="AY47" s="695" t="s">
        <v>35</v>
      </c>
      <c r="AZ47" s="695"/>
      <c r="BA47" s="695"/>
      <c r="BB47" s="695"/>
      <c r="BC47" s="695"/>
      <c r="BD47" s="695"/>
      <c r="BE47" s="67"/>
      <c r="BF47" s="694" t="s">
        <v>169</v>
      </c>
      <c r="BG47" s="694"/>
      <c r="BH47" s="694"/>
      <c r="BI47" s="694"/>
      <c r="BJ47" s="694"/>
      <c r="BK47" s="2"/>
      <c r="BL47" s="78"/>
    </row>
    <row r="48" spans="1:64" ht="12.75" customHeight="1" x14ac:dyDescent="0.2">
      <c r="A48" s="67"/>
      <c r="B48" s="707" t="s">
        <v>51</v>
      </c>
      <c r="C48" s="708"/>
      <c r="D48" s="709"/>
      <c r="E48" s="142">
        <f>IF(ISBLANK(H5),"",CORREL(H4:H34,R4:R34))</f>
        <v>0.37382915746250162</v>
      </c>
      <c r="F48" s="576">
        <f>IF(ISBLANK(H5),"",ABS(E48))</f>
        <v>0.37382915746250162</v>
      </c>
      <c r="J48" s="18"/>
      <c r="K48" s="636" t="s">
        <v>377</v>
      </c>
      <c r="L48" s="636"/>
      <c r="M48" s="636"/>
      <c r="N48" s="636"/>
      <c r="O48" s="17"/>
      <c r="R48" s="25"/>
      <c r="S48" s="25"/>
      <c r="T48" s="56"/>
      <c r="U48" s="266"/>
      <c r="W48" s="304" t="s">
        <v>106</v>
      </c>
      <c r="X48" s="22">
        <f>COUNTIF(X4:X34,"E")</f>
        <v>0</v>
      </c>
      <c r="Y48" s="6"/>
      <c r="AB48" s="438">
        <f>Z39/E34</f>
        <v>2.129032258064516</v>
      </c>
      <c r="AC48" s="579">
        <f>ABS(Z39-Z38)</f>
        <v>9.8000000000000114</v>
      </c>
      <c r="AD48" s="578" t="str">
        <f>IF(Z38&gt;Z39,"Excess","Deficit")</f>
        <v>Deficit</v>
      </c>
      <c r="AE48" s="547"/>
      <c r="AF48" s="6"/>
      <c r="AK48" s="6"/>
      <c r="AL48" s="124"/>
      <c r="AM48" s="6"/>
      <c r="AN48" s="5">
        <f>SUM(AJ91:AJ121)</f>
        <v>21</v>
      </c>
      <c r="AO48" s="406"/>
      <c r="AR48" s="6"/>
      <c r="AS48" s="641" t="s">
        <v>447</v>
      </c>
      <c r="AT48" s="642"/>
      <c r="AU48" s="643"/>
      <c r="AV48" s="139"/>
      <c r="AY48" s="4" t="s">
        <v>164</v>
      </c>
      <c r="AZ48" s="68"/>
      <c r="BA48" s="4" t="s">
        <v>199</v>
      </c>
      <c r="BB48" s="329" t="s">
        <v>166</v>
      </c>
      <c r="BC48" s="147" t="s">
        <v>326</v>
      </c>
      <c r="BD48" s="147" t="s">
        <v>10</v>
      </c>
      <c r="BE48" s="67"/>
      <c r="BF48" s="181" t="s">
        <v>21</v>
      </c>
      <c r="BG48" s="294" t="s">
        <v>22</v>
      </c>
      <c r="BH48" s="335" t="s">
        <v>171</v>
      </c>
      <c r="BI48" s="336" t="s">
        <v>170</v>
      </c>
      <c r="BJ48" s="97" t="s">
        <v>172</v>
      </c>
      <c r="BK48" s="16"/>
      <c r="BL48" s="78"/>
    </row>
    <row r="49" spans="1:64" ht="12.75" customHeight="1" x14ac:dyDescent="0.2">
      <c r="A49" s="67"/>
      <c r="B49" s="707" t="s">
        <v>50</v>
      </c>
      <c r="C49" s="708"/>
      <c r="D49" s="709"/>
      <c r="E49" s="89">
        <f>IF(ISBLANK(H5),"",CORREL(H4:H34,M4:M34))</f>
        <v>4.4378459611232515E-3</v>
      </c>
      <c r="F49" s="576">
        <f>IF(ISBLANK(H5),"",ABS(E49))</f>
        <v>4.4378459611232515E-3</v>
      </c>
      <c r="H49" s="4"/>
      <c r="I49" s="4"/>
      <c r="J49" s="18"/>
      <c r="K49" s="152">
        <f ca="1">IF(ISBLANK(F4),"",F38-AVERAGE(OFFSET(F91,0,0,M53)))</f>
        <v>1.1235080645161299</v>
      </c>
      <c r="L49" s="151">
        <f ca="1">IF(ISBLANK(G4),"",G38-AVERAGE(OFFSET(G91,0,0,M53)))</f>
        <v>1.2535080645161338</v>
      </c>
      <c r="M49" s="14">
        <f ca="1">IF(ISBLANK(G4),"",AVERAGE(K49:L49))</f>
        <v>1.1885080645161319</v>
      </c>
      <c r="N49" s="129">
        <f ca="1">IF(ISBLANK(H4),"",I38-AVERAGE(OFFSET(I91,0,0,M53)))</f>
        <v>0.12677419354839081</v>
      </c>
      <c r="O49" s="18"/>
      <c r="R49" s="21"/>
      <c r="S49" s="21"/>
      <c r="T49" s="56"/>
      <c r="U49" s="300"/>
      <c r="W49" s="304" t="s">
        <v>112</v>
      </c>
      <c r="X49" s="22">
        <f>COUNTIF(X4:X34,"SE")</f>
        <v>0</v>
      </c>
      <c r="Y49" s="67"/>
      <c r="Z49" s="648" t="s">
        <v>115</v>
      </c>
      <c r="AA49" s="648"/>
      <c r="AE49" s="547"/>
      <c r="AF49" s="67"/>
      <c r="AG49" s="710" t="s">
        <v>179</v>
      </c>
      <c r="AH49" s="710"/>
      <c r="AI49" s="710"/>
      <c r="AJ49" s="710"/>
      <c r="AK49" s="313"/>
      <c r="AL49" s="124"/>
      <c r="AM49" s="67"/>
      <c r="AO49" s="224"/>
      <c r="AP49" s="457" t="s">
        <v>215</v>
      </c>
      <c r="AR49" s="6"/>
      <c r="AS49" s="644" t="s">
        <v>17</v>
      </c>
      <c r="AT49" s="645"/>
      <c r="AU49" s="280" t="s">
        <v>15</v>
      </c>
      <c r="AX49" s="361">
        <v>1</v>
      </c>
      <c r="AY49" s="23">
        <f t="shared" ref="AY49:AY79" si="20">IF(ISBLANK(G4),"",AVERAGE(F4:G4))</f>
        <v>8.75</v>
      </c>
      <c r="AZ49" s="50"/>
      <c r="BA49" s="26">
        <f>BC4</f>
        <v>2.4554166666666668</v>
      </c>
      <c r="BB49" s="25">
        <f t="shared" ref="BB49:BB79" si="21">IF(ISBLANK(H4),"",AY49-H4)</f>
        <v>-0.75</v>
      </c>
      <c r="BC49" s="25">
        <f>IF(ISBLANK(G4),"",(AVERAGE($AY$49:AY49)))</f>
        <v>8.75</v>
      </c>
      <c r="BD49" s="13">
        <f>IF(ISBLANK(G4),"",AVERAGE(BF4:BG4))</f>
        <v>2.4554166666666668</v>
      </c>
      <c r="BE49" s="67"/>
      <c r="BF49" s="444">
        <v>2.0833333333333332E-2</v>
      </c>
      <c r="BG49" s="444">
        <v>0.5</v>
      </c>
      <c r="BH49" s="444">
        <v>0.55833333333333335</v>
      </c>
      <c r="BI49" s="444">
        <v>7.7083333333333337E-2</v>
      </c>
      <c r="BJ49" s="635">
        <v>7.1527777777777787E-2</v>
      </c>
      <c r="BK49" s="20"/>
      <c r="BL49" s="78"/>
    </row>
    <row r="50" spans="1:64" ht="12.75" customHeight="1" x14ac:dyDescent="0.2">
      <c r="A50" s="67"/>
      <c r="B50" s="707" t="s">
        <v>56</v>
      </c>
      <c r="C50" s="708"/>
      <c r="D50" s="709"/>
      <c r="E50" s="89">
        <f>IF(ISBLANK(H5),"",CORREL(M4:M34,R4:R34))</f>
        <v>5.6324946213482927E-2</v>
      </c>
      <c r="F50" s="576">
        <f>IF(ISBLANK(H5),"",ABS(E50))</f>
        <v>5.6324946213482927E-2</v>
      </c>
      <c r="G50" s="607" t="s">
        <v>427</v>
      </c>
      <c r="H50" s="820" t="s">
        <v>423</v>
      </c>
      <c r="I50" s="821"/>
      <c r="J50" s="18"/>
      <c r="K50" s="8"/>
      <c r="L50" s="118"/>
      <c r="M50" s="118"/>
      <c r="N50" s="118"/>
      <c r="O50" s="18"/>
      <c r="Q50" s="662" t="s">
        <v>132</v>
      </c>
      <c r="R50" s="662"/>
      <c r="T50" s="68"/>
      <c r="U50" s="143"/>
      <c r="V50" s="304"/>
      <c r="W50" s="305" t="s">
        <v>111</v>
      </c>
      <c r="X50" s="22">
        <f>COUNTIF(X4:X34,"S")</f>
        <v>1</v>
      </c>
      <c r="Y50" s="84"/>
      <c r="Z50" s="661" t="s">
        <v>120</v>
      </c>
      <c r="AA50" s="660">
        <v>0</v>
      </c>
      <c r="AB50" s="322"/>
      <c r="AC50" s="646" t="s">
        <v>285</v>
      </c>
      <c r="AD50" s="647"/>
      <c r="AF50" s="67"/>
      <c r="AH50" s="713">
        <f>SUM(AW91:AW121)</f>
        <v>5</v>
      </c>
      <c r="AI50" s="713"/>
      <c r="AJ50" s="93">
        <f>IF(M53=0,"",AH50/M53)</f>
        <v>0.16129032258064516</v>
      </c>
      <c r="AK50" s="68"/>
      <c r="AM50" s="67"/>
      <c r="AN50" s="180" t="s">
        <v>68</v>
      </c>
      <c r="AO50" s="87"/>
      <c r="AP50" s="397">
        <f>IF(M53=0,"",AP38/SUM(AT91:AT121))</f>
        <v>0.30903036874666667</v>
      </c>
      <c r="AR50" s="6"/>
      <c r="AS50" s="637" t="s">
        <v>44</v>
      </c>
      <c r="AT50" s="638"/>
      <c r="AU50" s="92">
        <f>IF(AP42=0,"",CORREL(G4:G34,AP4:AP34))</f>
        <v>-0.28327836293260522</v>
      </c>
      <c r="AV50" s="577">
        <f>IF(AP4=AP5,"",IF(AP42=0,"",ABS(AU50)))</f>
        <v>0.28327836293260522</v>
      </c>
      <c r="AX50" s="361">
        <v>2</v>
      </c>
      <c r="AY50" s="23">
        <f t="shared" si="20"/>
        <v>5.4</v>
      </c>
      <c r="AZ50" s="50"/>
      <c r="BA50" s="26">
        <f t="shared" ref="BA50:BA79" si="22">BC5</f>
        <v>-0.83666666666666356</v>
      </c>
      <c r="BB50" s="25">
        <f t="shared" si="21"/>
        <v>0.10000000000000053</v>
      </c>
      <c r="BC50" s="25">
        <f>IF(ISBLANK(G5),"",(AVERAGE($AY$49:AY50)))</f>
        <v>7.0750000000000002</v>
      </c>
      <c r="BD50" s="13">
        <f t="shared" ref="BD50:BD79" si="23">IF(ISBLANK(G5),"",AVERAGE(BF5:BG5))</f>
        <v>0.8093750000000024</v>
      </c>
      <c r="BE50" s="67"/>
      <c r="BF50" s="444">
        <v>0.31527777777777777</v>
      </c>
      <c r="BG50" s="444">
        <v>0.58333333333333337</v>
      </c>
      <c r="BH50" s="444" t="s">
        <v>808</v>
      </c>
      <c r="BI50" s="444">
        <v>0.3833333333333333</v>
      </c>
      <c r="BJ50" s="635">
        <v>0.91388888888888886</v>
      </c>
      <c r="BK50" s="55"/>
      <c r="BL50" s="78"/>
    </row>
    <row r="51" spans="1:64" ht="12.75" customHeight="1" x14ac:dyDescent="0.2">
      <c r="A51" s="67"/>
      <c r="B51" s="707" t="s">
        <v>11</v>
      </c>
      <c r="C51" s="708"/>
      <c r="D51" s="709"/>
      <c r="E51" s="89">
        <f>IF(ISBLANK(H5),"",CORREL(F4:F34,G4:G34))</f>
        <v>0.81966076812669975</v>
      </c>
      <c r="F51" s="576">
        <f>IF(ISBLANK(H5),"",ABS(E51))</f>
        <v>0.81966076812669975</v>
      </c>
      <c r="H51" s="821" t="s">
        <v>424</v>
      </c>
      <c r="I51" s="821"/>
      <c r="J51" s="18"/>
      <c r="K51" s="8"/>
      <c r="N51" s="118"/>
      <c r="O51" s="18"/>
      <c r="P51" s="21"/>
      <c r="Q51" s="649" t="s">
        <v>143</v>
      </c>
      <c r="R51" s="649"/>
      <c r="S51" s="21"/>
      <c r="T51" s="68"/>
      <c r="W51" s="304" t="s">
        <v>110</v>
      </c>
      <c r="X51" s="22">
        <f>COUNTIF(X4:X34,"SW")</f>
        <v>17</v>
      </c>
      <c r="Y51" s="67"/>
      <c r="Z51" s="661"/>
      <c r="AA51" s="660"/>
      <c r="AC51" s="714" t="s">
        <v>286</v>
      </c>
      <c r="AD51" s="717"/>
      <c r="AF51" s="67"/>
      <c r="AG51" s="650"/>
      <c r="AH51" s="650"/>
      <c r="AI51" s="650"/>
      <c r="AJ51" s="650"/>
      <c r="AK51" s="6"/>
      <c r="AM51" s="67"/>
      <c r="AN51" s="5">
        <f>M53-AN48</f>
        <v>10</v>
      </c>
      <c r="AO51" s="406"/>
      <c r="AR51" s="6"/>
      <c r="AS51" s="637" t="s">
        <v>39</v>
      </c>
      <c r="AT51" s="638"/>
      <c r="AU51" s="92">
        <f>IF(AP42=0,"",CORREL(AP4:AP34,I4:I34))</f>
        <v>3.5841015747411033E-2</v>
      </c>
      <c r="AV51" s="577">
        <f>IF(AP4=AP5,"",IF(AP42=0,"",ABS(AU51)))</f>
        <v>3.5841015747411033E-2</v>
      </c>
      <c r="AX51" s="361">
        <v>3</v>
      </c>
      <c r="AY51" s="23">
        <f t="shared" si="20"/>
        <v>9.5</v>
      </c>
      <c r="AZ51" s="50"/>
      <c r="BA51" s="26">
        <f t="shared" si="22"/>
        <v>3.3212500000000036</v>
      </c>
      <c r="BB51" s="25">
        <f t="shared" si="21"/>
        <v>-0.40000000000000036</v>
      </c>
      <c r="BC51" s="25">
        <f>IF(ISBLANK(G6),"",(AVERAGE($AY$49:AY51)))</f>
        <v>7.8833333333333329</v>
      </c>
      <c r="BD51" s="13">
        <f t="shared" si="23"/>
        <v>1.6466666666666694</v>
      </c>
      <c r="BE51" s="67"/>
      <c r="BF51" s="444" t="s">
        <v>355</v>
      </c>
      <c r="BG51" s="444">
        <v>0.54027777777777775</v>
      </c>
      <c r="BH51" s="444">
        <v>0.59097222222222223</v>
      </c>
      <c r="BI51" s="444">
        <v>0.27083333333333331</v>
      </c>
      <c r="BJ51" s="635">
        <v>0.4916666666666667</v>
      </c>
      <c r="BK51" s="18"/>
      <c r="BL51" s="78"/>
    </row>
    <row r="52" spans="1:64" ht="12.75" customHeight="1" x14ac:dyDescent="0.2">
      <c r="A52" s="67"/>
      <c r="B52" s="707" t="s">
        <v>92</v>
      </c>
      <c r="C52" s="708"/>
      <c r="D52" s="709"/>
      <c r="E52" s="89">
        <f>IF(ISBLANK(H5),"",CORREL(K4:K34,L4:L34))</f>
        <v>0.47746346513055077</v>
      </c>
      <c r="F52" s="576">
        <f>IF(ISBLANK(H5),"",ABS(E52))</f>
        <v>0.47746346513055077</v>
      </c>
      <c r="H52" s="599"/>
      <c r="I52" s="599"/>
      <c r="J52" s="18"/>
      <c r="K52" s="8"/>
      <c r="L52" s="187" t="s">
        <v>346</v>
      </c>
      <c r="M52" s="118"/>
      <c r="N52" s="118"/>
      <c r="O52" s="18"/>
      <c r="P52" s="25"/>
      <c r="Q52" s="715">
        <f>IF(ISBLANK(H5),"",AVERAGE(F48:F66,F72:F80,AV50:AV60))</f>
        <v>0.29150521199214752</v>
      </c>
      <c r="R52" s="716"/>
      <c r="S52" s="25"/>
      <c r="T52" s="67"/>
      <c r="W52" s="304" t="s">
        <v>114</v>
      </c>
      <c r="X52" s="22">
        <f>COUNTIF(X4:X34,"W")</f>
        <v>12</v>
      </c>
      <c r="Y52" s="67"/>
      <c r="Z52" s="659" t="s">
        <v>116</v>
      </c>
      <c r="AA52" s="711">
        <f>(Z38+AA50)/Z39</f>
        <v>0.85151515151515134</v>
      </c>
      <c r="AC52" s="714"/>
      <c r="AD52" s="717"/>
      <c r="AF52" s="67"/>
      <c r="AG52" s="712" t="s">
        <v>180</v>
      </c>
      <c r="AH52" s="712"/>
      <c r="AI52" s="712"/>
      <c r="AJ52" s="712"/>
      <c r="AK52" s="314"/>
      <c r="AM52" s="67"/>
      <c r="AO52" s="407"/>
      <c r="AP52" s="639" t="s">
        <v>190</v>
      </c>
      <c r="AQ52" s="640"/>
      <c r="AR52" s="6"/>
      <c r="AS52" s="637" t="s">
        <v>40</v>
      </c>
      <c r="AT52" s="638"/>
      <c r="AU52" s="92">
        <f>IF(AP42=0,"",CORREL(AP4:AP34,K4:K34))</f>
        <v>-0.43436407845188413</v>
      </c>
      <c r="AV52" s="577">
        <f>IF(AP4=AP5,"",IF(AP42=0,"",ABS(AU52)))</f>
        <v>0.43436407845188413</v>
      </c>
      <c r="AX52" s="361">
        <v>4</v>
      </c>
      <c r="AY52" s="23">
        <f t="shared" si="20"/>
        <v>6.6000000000000005</v>
      </c>
      <c r="AZ52" s="50"/>
      <c r="BA52" s="26">
        <f t="shared" si="22"/>
        <v>0.47916666666667096</v>
      </c>
      <c r="BB52" s="25">
        <f t="shared" si="21"/>
        <v>-0.89999999999999947</v>
      </c>
      <c r="BC52" s="25">
        <f>IF(ISBLANK(G7),"",(AVERAGE($AY$49:AY52)))</f>
        <v>7.5625</v>
      </c>
      <c r="BD52" s="13">
        <f t="shared" si="23"/>
        <v>1.3547916666666688</v>
      </c>
      <c r="BE52" s="6"/>
      <c r="BF52" s="444">
        <v>0.2638888888888889</v>
      </c>
      <c r="BG52" s="444">
        <v>0.58958333333333335</v>
      </c>
      <c r="BH52" s="444">
        <v>0.52152777777777781</v>
      </c>
      <c r="BI52" s="444" t="s">
        <v>809</v>
      </c>
      <c r="BJ52" s="635">
        <v>0.50208333333333333</v>
      </c>
      <c r="BK52" s="18"/>
      <c r="BL52" s="78"/>
    </row>
    <row r="53" spans="1:64" ht="12.75" customHeight="1" x14ac:dyDescent="0.2">
      <c r="A53" s="67"/>
      <c r="B53" s="707" t="s">
        <v>93</v>
      </c>
      <c r="C53" s="708"/>
      <c r="D53" s="709"/>
      <c r="E53" s="89">
        <f>IF(ISBLANK(H5),"",CORREL(P4:P34,Q4:Q34))</f>
        <v>0.90299043377533628</v>
      </c>
      <c r="F53" s="576">
        <f>IF(ISBLANK(H5),"",ABS(E53))</f>
        <v>0.90299043377533628</v>
      </c>
      <c r="H53" s="599"/>
      <c r="I53" s="599"/>
      <c r="J53" s="18"/>
      <c r="K53" s="8"/>
      <c r="L53" s="21" t="s">
        <v>88</v>
      </c>
      <c r="M53" s="21">
        <f>COUNT(H4:H34)</f>
        <v>31</v>
      </c>
      <c r="N53" s="118"/>
      <c r="O53" s="18"/>
      <c r="Q53" s="663" t="s">
        <v>34</v>
      </c>
      <c r="R53" s="663"/>
      <c r="S53" s="22"/>
      <c r="T53" s="67"/>
      <c r="U53" s="7"/>
      <c r="W53" s="304" t="s">
        <v>128</v>
      </c>
      <c r="X53" s="22">
        <f>COUNTIF(X4:X34,"NW")</f>
        <v>0</v>
      </c>
      <c r="Y53" s="136"/>
      <c r="Z53" s="659"/>
      <c r="AA53" s="711"/>
      <c r="AB53" s="323"/>
      <c r="AC53" s="542" t="s">
        <v>281</v>
      </c>
      <c r="AD53" s="549">
        <f>IF(Z38=0,"",AD51/Z38)</f>
        <v>0</v>
      </c>
      <c r="AF53" s="67"/>
      <c r="AH53" s="713">
        <f>SUM(AX91:AX121)</f>
        <v>14</v>
      </c>
      <c r="AI53" s="713"/>
      <c r="AJ53" s="93">
        <f>IF(M53=0,"",AH53/M53)</f>
        <v>0.45161290322580644</v>
      </c>
      <c r="AK53" s="68"/>
      <c r="AL53" s="4"/>
      <c r="AM53" s="67"/>
      <c r="AN53" s="179" t="s">
        <v>77</v>
      </c>
      <c r="AO53" s="88"/>
      <c r="AP53" s="718" t="str">
        <f>IF(M54=0,"",(AP39-AP38)/M54/(AP39/E34))</f>
        <v/>
      </c>
      <c r="AQ53" s="719"/>
      <c r="AR53" s="6"/>
      <c r="AS53" s="637" t="s">
        <v>38</v>
      </c>
      <c r="AT53" s="638"/>
      <c r="AU53" s="92">
        <f>IF(AQ38=0,"",CORREL(AP4:AP34,AQ4:AQ34))</f>
        <v>-0.25071083451009224</v>
      </c>
      <c r="AV53" s="577">
        <f>IF(AQ38=0,"",ABS(AU53))</f>
        <v>0.25071083451009224</v>
      </c>
      <c r="AX53" s="361">
        <v>5</v>
      </c>
      <c r="AY53" s="23">
        <f t="shared" si="20"/>
        <v>4.5999999999999996</v>
      </c>
      <c r="AZ53" s="50"/>
      <c r="BA53" s="26">
        <f t="shared" si="22"/>
        <v>-1.4629166666666622</v>
      </c>
      <c r="BB53" s="25">
        <f t="shared" si="21"/>
        <v>0.39999999999999947</v>
      </c>
      <c r="BC53" s="25">
        <f>IF(ISBLANK(G8),"",(AVERAGE($AY$49:AY53)))</f>
        <v>6.9700000000000006</v>
      </c>
      <c r="BD53" s="13">
        <f t="shared" si="23"/>
        <v>0.79125000000000356</v>
      </c>
      <c r="BE53" s="6"/>
      <c r="BF53" s="444">
        <v>0.33611111111111108</v>
      </c>
      <c r="BG53" s="444">
        <v>0.58194444444444449</v>
      </c>
      <c r="BH53" s="444">
        <v>0.60486111111111118</v>
      </c>
      <c r="BI53" s="444">
        <v>1.7361111111111112E-2</v>
      </c>
      <c r="BJ53" s="635">
        <v>0.52430555555555558</v>
      </c>
      <c r="BK53" s="18"/>
      <c r="BL53" s="78"/>
    </row>
    <row r="54" spans="1:64" ht="12.75" customHeight="1" x14ac:dyDescent="0.2">
      <c r="A54" s="67"/>
      <c r="B54" s="707" t="s">
        <v>53</v>
      </c>
      <c r="C54" s="708"/>
      <c r="D54" s="709"/>
      <c r="E54" s="89">
        <f>IF(ISBLANK(H5),"",(CORREL(G4:G34,R4:R34)))</f>
        <v>0.33703004605346598</v>
      </c>
      <c r="F54" s="576">
        <f>IF(ISBLANK(H5),"",ABS(E54))</f>
        <v>0.33703004605346598</v>
      </c>
      <c r="H54" s="599"/>
      <c r="I54" s="599"/>
      <c r="J54" s="18"/>
      <c r="K54" s="8"/>
      <c r="L54" s="21" t="s">
        <v>89</v>
      </c>
      <c r="M54" s="21">
        <f>SUM(E34-M53)</f>
        <v>0</v>
      </c>
      <c r="N54" s="118"/>
      <c r="O54" s="18"/>
      <c r="Q54" s="5">
        <f>SUM(E69,E83,AU63)</f>
        <v>4</v>
      </c>
      <c r="R54" s="21" t="s">
        <v>193</v>
      </c>
      <c r="S54" s="608"/>
      <c r="T54" s="67"/>
      <c r="U54" s="7"/>
      <c r="W54" s="300"/>
      <c r="X54" s="25"/>
      <c r="Y54" s="136"/>
      <c r="Z54" s="659" t="s">
        <v>153</v>
      </c>
      <c r="AA54" s="659" t="str">
        <f>IF(M54&gt;0,(Z39-Z38)/M54,"n/a")</f>
        <v>n/a</v>
      </c>
      <c r="AB54" s="267"/>
      <c r="AC54" s="542" t="s">
        <v>283</v>
      </c>
      <c r="AD54" s="549">
        <f>IF(AT67=0,"",AV38/AT67)</f>
        <v>4.7619047619047616E-2</v>
      </c>
      <c r="AF54" s="67"/>
      <c r="AK54" s="6"/>
      <c r="AM54" s="67"/>
      <c r="AN54" s="138">
        <f>IF(M53=0,"",AN48/M53)</f>
        <v>0.67741935483870963</v>
      </c>
      <c r="AO54" s="406"/>
      <c r="AP54" s="531">
        <f>AP39/E34</f>
        <v>1.5483870967741935</v>
      </c>
      <c r="AQ54" s="532" t="str">
        <f>IF(M54=0,"",(AP39-AP38)/M54)</f>
        <v/>
      </c>
      <c r="AR54" s="6"/>
      <c r="AS54" s="637" t="s">
        <v>49</v>
      </c>
      <c r="AT54" s="638"/>
      <c r="AU54" s="92">
        <f>IF(AQ38=0,"",CORREL(AQ4:AQ34,I4:I34))</f>
        <v>0.2864192598351164</v>
      </c>
      <c r="AV54" s="577">
        <f>IF(AQ38=0,"",ABS(AU54))</f>
        <v>0.2864192598351164</v>
      </c>
      <c r="AX54" s="361">
        <v>6</v>
      </c>
      <c r="AY54" s="23">
        <f t="shared" si="20"/>
        <v>4.5999999999999996</v>
      </c>
      <c r="AZ54" s="50"/>
      <c r="BA54" s="26">
        <f t="shared" si="22"/>
        <v>-1.4049999999999958</v>
      </c>
      <c r="BB54" s="25">
        <f t="shared" si="21"/>
        <v>0</v>
      </c>
      <c r="BC54" s="25">
        <f>IF(ISBLANK(G9),"",(AVERAGE($AY$49:AY54)))</f>
        <v>6.5750000000000002</v>
      </c>
      <c r="BD54" s="13">
        <f t="shared" si="23"/>
        <v>0.42520833333333741</v>
      </c>
      <c r="BE54" s="6"/>
      <c r="BF54" s="444">
        <v>0.16527777777777777</v>
      </c>
      <c r="BG54" s="444">
        <v>0.60277777777777775</v>
      </c>
      <c r="BH54" s="444">
        <v>0.61458333333333337</v>
      </c>
      <c r="BI54" s="444" t="s">
        <v>233</v>
      </c>
      <c r="BJ54" s="635">
        <v>0.52361111111111114</v>
      </c>
      <c r="BK54" s="18"/>
      <c r="BL54" s="78"/>
    </row>
    <row r="55" spans="1:64" ht="12.75" customHeight="1" x14ac:dyDescent="0.2">
      <c r="A55" s="67"/>
      <c r="B55" s="707" t="s">
        <v>54</v>
      </c>
      <c r="C55" s="708"/>
      <c r="D55" s="709"/>
      <c r="E55" s="89">
        <f>IF(ISBLANK(H5),"",CORREL(F4:F34,R4:R34))</f>
        <v>0.37486297785360712</v>
      </c>
      <c r="F55" s="576">
        <f>IF(ISBLANK(H5),"",ABS(E55))</f>
        <v>0.37486297785360712</v>
      </c>
      <c r="H55" s="599"/>
      <c r="I55" s="599"/>
      <c r="J55" s="20"/>
      <c r="K55" s="8"/>
      <c r="L55" s="118"/>
      <c r="M55" s="118"/>
      <c r="N55" s="187"/>
      <c r="O55" s="18"/>
      <c r="Q55" s="21"/>
      <c r="S55" s="21"/>
      <c r="T55" s="67"/>
      <c r="U55" s="7"/>
      <c r="W55" s="300" t="s">
        <v>129</v>
      </c>
      <c r="X55" s="22">
        <f>MAX(X46:X53)</f>
        <v>17</v>
      </c>
      <c r="Y55" s="136"/>
      <c r="Z55" s="659"/>
      <c r="AA55" s="659"/>
      <c r="AB55" s="267"/>
      <c r="AC55" s="543" t="s">
        <v>284</v>
      </c>
      <c r="AD55" s="546" t="s">
        <v>205</v>
      </c>
      <c r="AE55" s="267"/>
      <c r="AF55" s="67"/>
      <c r="AK55" s="6"/>
      <c r="AM55" s="67"/>
      <c r="AO55" s="408"/>
      <c r="AR55" s="6"/>
      <c r="AS55" s="637" t="s">
        <v>96</v>
      </c>
      <c r="AT55" s="638"/>
      <c r="AU55" s="92">
        <f>IF(AQ38=0,"",CORREL(M4:M34,AQ4:AQ34))</f>
        <v>0.44657141854764254</v>
      </c>
      <c r="AV55" s="577">
        <f>IF(AQ38=0,"",ABS(AU55))</f>
        <v>0.44657141854764254</v>
      </c>
      <c r="AX55" s="361">
        <v>7</v>
      </c>
      <c r="AY55" s="23">
        <f t="shared" si="20"/>
        <v>6.6</v>
      </c>
      <c r="AZ55" s="50"/>
      <c r="BA55" s="26">
        <f t="shared" si="22"/>
        <v>0.65291666666667147</v>
      </c>
      <c r="BB55" s="25">
        <f t="shared" si="21"/>
        <v>-0.5</v>
      </c>
      <c r="BC55" s="25">
        <f>IF(ISBLANK(G10),"",(AVERAGE($AY$49:AY55)))</f>
        <v>6.5785714285714292</v>
      </c>
      <c r="BD55" s="13">
        <f t="shared" si="23"/>
        <v>0.4577380952380985</v>
      </c>
      <c r="BE55" s="6"/>
      <c r="BF55" s="444" t="s">
        <v>355</v>
      </c>
      <c r="BG55" s="444">
        <v>0.53472222222222221</v>
      </c>
      <c r="BH55" s="444">
        <v>0.62777777777777777</v>
      </c>
      <c r="BI55" s="444">
        <v>5.4166666666666669E-2</v>
      </c>
      <c r="BJ55" s="635">
        <v>0.5444444444444444</v>
      </c>
      <c r="BK55" s="18"/>
      <c r="BL55" s="78"/>
    </row>
    <row r="56" spans="1:64" ht="12.75" customHeight="1" thickBot="1" x14ac:dyDescent="0.25">
      <c r="A56" s="67"/>
      <c r="B56" s="707" t="s">
        <v>55</v>
      </c>
      <c r="C56" s="708"/>
      <c r="D56" s="709"/>
      <c r="E56" s="89">
        <f>IF(ISBLANK(H5),"",CORREL(I4:I34,R4:R34))</f>
        <v>-0.12890969810521366</v>
      </c>
      <c r="F56" s="576">
        <f>IF(ISBLANK(H5),"",ABS(E56))</f>
        <v>0.12890969810521366</v>
      </c>
      <c r="J56" s="20"/>
      <c r="O56" s="20"/>
      <c r="T56" s="67"/>
      <c r="U56" s="7"/>
      <c r="V56" s="7"/>
      <c r="W56" s="25"/>
      <c r="X56" s="25"/>
      <c r="Y56" s="136"/>
      <c r="AD56" s="267"/>
      <c r="AE56" s="267"/>
      <c r="AF56" s="166"/>
      <c r="AG56" s="710" t="s">
        <v>126</v>
      </c>
      <c r="AH56" s="710"/>
      <c r="AI56" s="710"/>
      <c r="AJ56" s="710"/>
      <c r="AK56" s="313"/>
      <c r="AL56" s="152"/>
      <c r="AM56" s="67"/>
      <c r="AN56" s="181" t="s">
        <v>109</v>
      </c>
      <c r="AO56" s="88"/>
      <c r="AP56" s="803" t="s">
        <v>278</v>
      </c>
      <c r="AQ56" s="661"/>
      <c r="AR56" s="6"/>
      <c r="AS56" s="637" t="s">
        <v>37</v>
      </c>
      <c r="AT56" s="638"/>
      <c r="AU56" s="92">
        <f>IF(AQ38=0,"",CORREL(Z4:Z34,AQ4:AQ34))</f>
        <v>0.77828488501035731</v>
      </c>
      <c r="AV56" s="577">
        <f>IF(AQ38=0,"",ABS(AU56))</f>
        <v>0.77828488501035731</v>
      </c>
      <c r="AX56" s="361">
        <v>8</v>
      </c>
      <c r="AY56" s="23">
        <f t="shared" si="20"/>
        <v>8.25</v>
      </c>
      <c r="AZ56" s="50"/>
      <c r="BA56" s="26">
        <f t="shared" si="22"/>
        <v>2.3608333333333382</v>
      </c>
      <c r="BB56" s="25">
        <f t="shared" si="21"/>
        <v>-0.55000000000000071</v>
      </c>
      <c r="BC56" s="25">
        <f>IF(ISBLANK(G11),"",(AVERAGE($AY$49:AY56)))</f>
        <v>6.7875000000000005</v>
      </c>
      <c r="BD56" s="13">
        <f t="shared" si="23"/>
        <v>0.69562500000000349</v>
      </c>
      <c r="BE56" s="6"/>
      <c r="BF56" s="444">
        <v>7.013888888888889E-2</v>
      </c>
      <c r="BG56" s="444" t="s">
        <v>810</v>
      </c>
      <c r="BH56" s="444" t="s">
        <v>274</v>
      </c>
      <c r="BI56" s="444" t="s">
        <v>811</v>
      </c>
      <c r="BJ56" s="635">
        <v>0.62222222222222223</v>
      </c>
      <c r="BK56" s="18"/>
      <c r="BL56" s="78"/>
    </row>
    <row r="57" spans="1:64" ht="12.75" customHeight="1" x14ac:dyDescent="0.2">
      <c r="A57" s="67"/>
      <c r="B57" s="707" t="s">
        <v>94</v>
      </c>
      <c r="C57" s="708"/>
      <c r="D57" s="709"/>
      <c r="E57" s="89">
        <f>IF(ISBLANK(H5),"",CORREL(N4:N34,R4:R34))</f>
        <v>-0.34561152367395331</v>
      </c>
      <c r="F57" s="576">
        <f>IF(ISBLANK(H5),"",ABS(E57))</f>
        <v>0.34561152367395331</v>
      </c>
      <c r="H57" s="720" t="s">
        <v>135</v>
      </c>
      <c r="I57" s="721"/>
      <c r="J57" s="193"/>
      <c r="K57" s="721" t="s">
        <v>35</v>
      </c>
      <c r="L57" s="721"/>
      <c r="M57" s="721"/>
      <c r="N57" s="721"/>
      <c r="O57" s="194"/>
      <c r="P57" s="721" t="s">
        <v>136</v>
      </c>
      <c r="Q57" s="721"/>
      <c r="R57" s="721"/>
      <c r="S57" s="721"/>
      <c r="T57" s="195"/>
      <c r="U57" s="651" t="s">
        <v>159</v>
      </c>
      <c r="V57" s="653" t="s">
        <v>134</v>
      </c>
      <c r="W57" s="655" t="s">
        <v>160</v>
      </c>
      <c r="X57" s="657" t="s">
        <v>181</v>
      </c>
      <c r="Y57" s="196"/>
      <c r="Z57" s="724" t="s">
        <v>133</v>
      </c>
      <c r="AA57" s="724"/>
      <c r="AB57" s="725"/>
      <c r="AC57" s="726" t="s">
        <v>122</v>
      </c>
      <c r="AD57" s="727"/>
      <c r="AE57" s="728"/>
      <c r="AF57" s="166"/>
      <c r="AH57" s="713">
        <f t="array" ref="AH57">MAX(FREQUENCY(IF(AW91:AW121=1,ROW(91:121)),IF(AW91:AW121&lt;&gt;1,ROW(91:121))))</f>
        <v>4</v>
      </c>
      <c r="AI57" s="713"/>
      <c r="AJ57" s="4"/>
      <c r="AK57" s="68"/>
      <c r="AL57" s="4"/>
      <c r="AM57" s="67"/>
      <c r="AN57" s="138">
        <f>IF(AN48=0,"",AN38/AN48)</f>
        <v>0.52380952380952384</v>
      </c>
      <c r="AO57" s="223"/>
      <c r="AP57" s="661"/>
      <c r="AQ57" s="661"/>
      <c r="AR57" s="6"/>
      <c r="AS57" s="637" t="s">
        <v>45</v>
      </c>
      <c r="AT57" s="638"/>
      <c r="AU57" s="92">
        <f>IF(AP42=0,"",CORREL(AP4:AP34,R4:R34))</f>
        <v>-0.25783573833079915</v>
      </c>
      <c r="AV57" s="577">
        <f>IF(AP4=AP5,"",IF(AP42=0,"",ABS(AU57)))</f>
        <v>0.25783573833079915</v>
      </c>
      <c r="AX57" s="361">
        <v>9</v>
      </c>
      <c r="AY57" s="23">
        <f t="shared" si="20"/>
        <v>4.75</v>
      </c>
      <c r="AZ57" s="50"/>
      <c r="BA57" s="26">
        <f t="shared" si="22"/>
        <v>-1.0812499999999949</v>
      </c>
      <c r="BB57" s="25">
        <f t="shared" si="21"/>
        <v>-0.25</v>
      </c>
      <c r="BC57" s="25">
        <f>IF(ISBLANK(G12),"",(AVERAGE($AY$49:AY57)))</f>
        <v>6.5611111111111118</v>
      </c>
      <c r="BD57" s="13">
        <f t="shared" si="23"/>
        <v>0.49819444444444749</v>
      </c>
      <c r="BE57" s="6"/>
      <c r="BF57" s="444">
        <v>0.35416666666666669</v>
      </c>
      <c r="BG57" s="444">
        <v>0.5854166666666667</v>
      </c>
      <c r="BH57" s="444">
        <v>0.56458333333333333</v>
      </c>
      <c r="BI57" s="444" t="s">
        <v>233</v>
      </c>
      <c r="BJ57" s="635">
        <v>0.4604166666666667</v>
      </c>
      <c r="BK57" s="18"/>
      <c r="BL57" s="78"/>
    </row>
    <row r="58" spans="1:64" ht="12.75" x14ac:dyDescent="0.2">
      <c r="A58" s="67"/>
      <c r="B58" s="707" t="s">
        <v>14</v>
      </c>
      <c r="C58" s="708"/>
      <c r="D58" s="709"/>
      <c r="E58" s="89">
        <f>IF(ISBLANK(H5),"",CORREL(I4:I34,N4:N34))</f>
        <v>6.4570564431702712E-2</v>
      </c>
      <c r="F58" s="576">
        <f>IF(ISBLANK(H5),"",ABS(E58))</f>
        <v>6.4570564431702712E-2</v>
      </c>
      <c r="H58" s="722"/>
      <c r="I58" s="723"/>
      <c r="J58" s="204"/>
      <c r="K58" s="205" t="s">
        <v>2</v>
      </c>
      <c r="L58" s="206" t="s">
        <v>3</v>
      </c>
      <c r="M58" s="207" t="s">
        <v>156</v>
      </c>
      <c r="N58" s="208" t="s">
        <v>5</v>
      </c>
      <c r="O58" s="204"/>
      <c r="P58" s="205" t="s">
        <v>2</v>
      </c>
      <c r="Q58" s="206" t="s">
        <v>3</v>
      </c>
      <c r="R58" s="207" t="s">
        <v>4</v>
      </c>
      <c r="S58" s="208" t="s">
        <v>5</v>
      </c>
      <c r="T58" s="209"/>
      <c r="U58" s="652"/>
      <c r="V58" s="654"/>
      <c r="W58" s="656"/>
      <c r="X58" s="658"/>
      <c r="Y58" s="210"/>
      <c r="Z58" s="211" t="s">
        <v>137</v>
      </c>
      <c r="AA58" s="211" t="s">
        <v>235</v>
      </c>
      <c r="AB58" s="495" t="s">
        <v>138</v>
      </c>
      <c r="AC58" s="533" t="s">
        <v>140</v>
      </c>
      <c r="AD58" s="534" t="s">
        <v>235</v>
      </c>
      <c r="AE58" s="535" t="s">
        <v>141</v>
      </c>
      <c r="AF58" s="166"/>
      <c r="AG58" s="650"/>
      <c r="AH58" s="650"/>
      <c r="AI58" s="650"/>
      <c r="AJ58" s="650"/>
      <c r="AK58" s="6"/>
      <c r="AM58" s="67"/>
      <c r="AO58" s="224"/>
      <c r="AP58" s="661"/>
      <c r="AQ58" s="661"/>
      <c r="AR58" s="6"/>
      <c r="AS58" s="637" t="s">
        <v>46</v>
      </c>
      <c r="AT58" s="638"/>
      <c r="AU58" s="92">
        <f>IF(ISBLANK(U5),"",CORREL(U4:U34,R4:R34))</f>
        <v>-0.12405057294725146</v>
      </c>
      <c r="AV58" s="577">
        <f>IF(ISBLANK(U5),"",ABS(AU58))</f>
        <v>0.12405057294725146</v>
      </c>
      <c r="AX58" s="361">
        <v>10</v>
      </c>
      <c r="AY58" s="23">
        <f t="shared" si="20"/>
        <v>2.6999999999999997</v>
      </c>
      <c r="AZ58" s="50"/>
      <c r="BA58" s="26">
        <f t="shared" si="22"/>
        <v>-3.073333333333327</v>
      </c>
      <c r="BB58" s="25">
        <f t="shared" si="21"/>
        <v>9.9999999999999645E-2</v>
      </c>
      <c r="BC58" s="25">
        <f>IF(ISBLANK(G13),"",(AVERAGE($AY$49:AY58)))</f>
        <v>6.1750000000000007</v>
      </c>
      <c r="BD58" s="13">
        <f t="shared" si="23"/>
        <v>0.14104166666666962</v>
      </c>
      <c r="BE58" s="6"/>
      <c r="BF58" s="444">
        <v>0.30972222222222223</v>
      </c>
      <c r="BG58" s="444">
        <v>0.63958333333333328</v>
      </c>
      <c r="BH58" s="444">
        <v>0.63680555555555551</v>
      </c>
      <c r="BI58" s="444">
        <v>0.3833333333333333</v>
      </c>
      <c r="BJ58" s="635">
        <v>0.4381944444444445</v>
      </c>
      <c r="BK58" s="18"/>
      <c r="BL58" s="78"/>
    </row>
    <row r="59" spans="1:64" ht="12.75" x14ac:dyDescent="0.2">
      <c r="A59" s="67"/>
      <c r="B59" s="707" t="s">
        <v>52</v>
      </c>
      <c r="C59" s="708"/>
      <c r="D59" s="709"/>
      <c r="E59" s="89">
        <f>IF(ISBLANK(H5),"",CORREL(L4:L34,R4:R34))</f>
        <v>-9.5465410610211077E-2</v>
      </c>
      <c r="F59" s="576">
        <f>IF(ISBLANK(H5),"",ABS(E59))</f>
        <v>9.5465410610211077E-2</v>
      </c>
      <c r="H59" s="729" t="s">
        <v>19</v>
      </c>
      <c r="I59" s="730"/>
      <c r="J59" s="191"/>
      <c r="K59" s="100">
        <f>IF(ISBLANK(F4),"",AVERAGE(F4:F18))</f>
        <v>3.5799999999999996</v>
      </c>
      <c r="L59" s="100">
        <f>IF(ISBLANK(G4),"",AVERAGE(G4:G18))</f>
        <v>8.7866666666666653</v>
      </c>
      <c r="M59" s="100">
        <f>IF(ISBLANK(H4),"",AVERAGE(H4:H18))</f>
        <v>6.379999999999999</v>
      </c>
      <c r="N59" s="100">
        <f>IF(ISBLANK(G4),"",AVERAGE(I4:I18))</f>
        <v>5.2000000000000011</v>
      </c>
      <c r="O59" s="191"/>
      <c r="P59" s="100">
        <f>IF(ISBLANK(F4),"",K59-AVERAGE(F91:F105))</f>
        <v>0.16416666666666702</v>
      </c>
      <c r="Q59" s="100">
        <f>IF(ISBLANK(G4),"",L59-AVERAGE(G91:G105))</f>
        <v>0.42416666666667346</v>
      </c>
      <c r="R59" s="100">
        <f>IF(ISBLANK(H4),"",M59-AVERAGE(H91:H105))</f>
        <v>0.49083333333333723</v>
      </c>
      <c r="S59" s="100">
        <f>IF(ISBLANK(G4),"",N59-AVERAGE(I91:I105))</f>
        <v>0.25333333333334185</v>
      </c>
      <c r="T59" s="166"/>
      <c r="U59" s="342">
        <f>IF(ISBLANK(M4),"",AVERAGE(M4:M18))</f>
        <v>77.86666666666666</v>
      </c>
      <c r="V59" s="342">
        <f>IF(ISBLANK(P4),"",AVERAGE(R4:R18))</f>
        <v>1004.2333333333333</v>
      </c>
      <c r="W59" s="345">
        <f>IF(ISBLANK(U4),"",AVERAGE(U4:U18))</f>
        <v>6.4971973333333324</v>
      </c>
      <c r="X59" s="100">
        <f>IF(ISBLANK(AI4),"",AVERAGE(AI4:AI18))</f>
        <v>2.7133333333333334</v>
      </c>
      <c r="Y59" s="192"/>
      <c r="Z59" s="38">
        <f>IF(ISBLANK(Z4),"",SUM(Z4:Z18))</f>
        <v>30.4</v>
      </c>
      <c r="AA59" s="492">
        <f>IF(ISBLANK(Z4),"",Z59/($Z$39/$E$34*15))</f>
        <v>0.95191919191919194</v>
      </c>
      <c r="AB59" s="496">
        <f>IF(Z38=0,"",Z59/$Z$38)</f>
        <v>0.54092526690391463</v>
      </c>
      <c r="AC59" s="499">
        <f>IF(ISBLANK(AP4),"",SUM(AP4:AP18))</f>
        <v>48.1</v>
      </c>
      <c r="AD59" s="492">
        <f>IF(ISBLANK(AP4),"",AC59/SUM(AS91:AS105))</f>
        <v>2.0524319060851037</v>
      </c>
      <c r="AE59" s="197">
        <f>IF(ISBLANK(AP4),"",AC59/$AP$38)</f>
        <v>0.71048744460856739</v>
      </c>
      <c r="AF59" s="166"/>
      <c r="AG59" s="712" t="s">
        <v>127</v>
      </c>
      <c r="AH59" s="712"/>
      <c r="AI59" s="712"/>
      <c r="AJ59" s="712"/>
      <c r="AK59" s="314"/>
      <c r="AL59" s="151"/>
      <c r="AM59" s="67"/>
      <c r="AN59" s="182" t="s">
        <v>66</v>
      </c>
      <c r="AO59" s="87"/>
      <c r="AP59" s="800" t="s">
        <v>97</v>
      </c>
      <c r="AQ59" s="800"/>
      <c r="AR59" s="6"/>
      <c r="AS59" s="637" t="s">
        <v>47</v>
      </c>
      <c r="AT59" s="638"/>
      <c r="AU59" s="92">
        <f>IF(AQ38=0,"",CORREL(AQ4:AQ34,R4:R34))</f>
        <v>-0.34565698811296702</v>
      </c>
      <c r="AV59" s="577">
        <f>IF(AQ38=0,"",ABS(AU59))</f>
        <v>0.34565698811296702</v>
      </c>
      <c r="AX59" s="361">
        <v>11</v>
      </c>
      <c r="AY59" s="23">
        <f t="shared" si="20"/>
        <v>5.8</v>
      </c>
      <c r="AZ59" s="50"/>
      <c r="BA59" s="26">
        <f t="shared" si="22"/>
        <v>8.4583333333339894E-2</v>
      </c>
      <c r="BB59" s="25">
        <f t="shared" si="21"/>
        <v>-0.79999999999999982</v>
      </c>
      <c r="BC59" s="25">
        <f>IF(ISBLANK(G14),"",(AVERAGE($AY$49:AY59)))</f>
        <v>6.1409090909090915</v>
      </c>
      <c r="BD59" s="13">
        <f t="shared" si="23"/>
        <v>0.13590909090909364</v>
      </c>
      <c r="BE59" s="6"/>
      <c r="BF59" s="444">
        <v>6.1805555555555558E-2</v>
      </c>
      <c r="BG59" s="444">
        <v>0.61041666666666672</v>
      </c>
      <c r="BH59" s="444">
        <v>0.62847222222222221</v>
      </c>
      <c r="BI59" s="444" t="s">
        <v>233</v>
      </c>
      <c r="BJ59" s="635">
        <v>0.71597222222222223</v>
      </c>
      <c r="BK59" s="18"/>
      <c r="BL59" s="78"/>
    </row>
    <row r="60" spans="1:64" ht="12.75" customHeight="1" x14ac:dyDescent="0.2">
      <c r="A60" s="67"/>
      <c r="B60" s="707" t="s">
        <v>57</v>
      </c>
      <c r="C60" s="708"/>
      <c r="D60" s="709"/>
      <c r="E60" s="89">
        <f>IF(ISBLANK(H5),"",CORREL(G4:G34,N4:N34))</f>
        <v>5.4057127791911054E-2</v>
      </c>
      <c r="F60" s="576">
        <f>IF(ISBLANK(H5),"",ABS(E60))</f>
        <v>5.4057127791911054E-2</v>
      </c>
      <c r="H60" s="729" t="s">
        <v>18</v>
      </c>
      <c r="I60" s="730"/>
      <c r="J60" s="191"/>
      <c r="K60" s="100">
        <f>IF(ISBLANK(F19),"",AVERAGE(F19:F34))</f>
        <v>4.9374999999999991</v>
      </c>
      <c r="L60" s="100">
        <f>IF(ISBLANK(G19),"",AVERAGE(G19:G34))</f>
        <v>9.3687500000000004</v>
      </c>
      <c r="M60" s="100">
        <f>IF(ISBLANK(H19),"",AVERAGE(H19:H34))</f>
        <v>7.2875000000000005</v>
      </c>
      <c r="N60" s="100">
        <f>IF(ISBLANK(G19),"",AVERAGE(I19:I34))</f>
        <v>4.4312500000000012</v>
      </c>
      <c r="O60" s="191"/>
      <c r="P60" s="100">
        <f>IF(ISBLANK(F19),"",K60-AVERAGE(F106:F121))</f>
        <v>2.0228906249999992</v>
      </c>
      <c r="Q60" s="100">
        <f>IF(ISBLANK(G19),"",L60-AVERAGE(G106:G121))</f>
        <v>2.031015625000002</v>
      </c>
      <c r="R60" s="100">
        <f>IF(ISBLANK(H19),"",M60-AVERAGE(H106:H121))</f>
        <v>2.1613281250000016</v>
      </c>
      <c r="S60" s="100">
        <f>IF(ISBLANK(G19),"",N60-AVERAGE(I106:I121))</f>
        <v>8.1250000000023803E-3</v>
      </c>
      <c r="T60" s="166"/>
      <c r="U60" s="342">
        <f>IF(ISBLANK(M19),"",AVERAGE(M19:M34))</f>
        <v>83.75</v>
      </c>
      <c r="V60" s="342">
        <f>IF(ISBLANK(P19),"",AVERAGE(R19:R34))</f>
        <v>1018.1875</v>
      </c>
      <c r="W60" s="345">
        <f>IF(ISBLANK(U19),"",AVERAGE(U19:U34))</f>
        <v>5.9985650000000001</v>
      </c>
      <c r="X60" s="100">
        <f>IF(ISBLANK(AI19),"",AVERAGE(AI19:AI34))</f>
        <v>4.6687500000000002</v>
      </c>
      <c r="Y60" s="192"/>
      <c r="Z60" s="38">
        <f>IF(ISBLANK(Z19),"",SUM(Z19:Z34))</f>
        <v>25.800000000000004</v>
      </c>
      <c r="AA60" s="492">
        <f>IF(ISBLANK(Z19),"",(Z60/($Z$39/$E$34*16)))</f>
        <v>0.7573863636363638</v>
      </c>
      <c r="AB60" s="496">
        <f>IF(ISBLANK(Z19),"",Z60/$Z$38)</f>
        <v>0.4590747330960856</v>
      </c>
      <c r="AC60" s="118">
        <f>IF(ISBLANK(AP19),"",SUM(AP19:AP34))</f>
        <v>19.600000000000005</v>
      </c>
      <c r="AD60" s="492">
        <f>IF(ISBLANK(AP19),"",AC60/SUM(AS106:AS121))</f>
        <v>0.79790308036099999</v>
      </c>
      <c r="AE60" s="197">
        <f>IF(ISBLANK(AP19),"",AC60/$AP$38)</f>
        <v>0.28951255539143289</v>
      </c>
      <c r="AF60" s="166"/>
      <c r="AH60" s="713">
        <f t="array" ref="AH60">MAX(FREQUENCY(IF(AX91:AX121=1,ROW(91:121)),IF(AX91:AX121&lt;&gt;1,ROW(91:121))))</f>
        <v>7</v>
      </c>
      <c r="AI60" s="713"/>
      <c r="AJ60" s="4"/>
      <c r="AK60" s="68"/>
      <c r="AL60" s="4"/>
      <c r="AM60" s="67"/>
      <c r="AN60" s="53">
        <f t="array" ref="AN60">MAX(FREQUENCY(IF(AJ91:AJ121=1,ROW(53:83)),IF(AJ91:AJ121&lt;&gt;1,ROW(53:83))))</f>
        <v>7</v>
      </c>
      <c r="AO60" s="223"/>
      <c r="AP60" s="767" t="s">
        <v>268</v>
      </c>
      <c r="AQ60" s="767"/>
      <c r="AR60" s="6"/>
      <c r="AS60" s="801" t="s">
        <v>48</v>
      </c>
      <c r="AT60" s="802"/>
      <c r="AU60" s="96">
        <f>IF(U42=0,"",CORREL(U4:U34,S4:S34))</f>
        <v>0.32179253621015208</v>
      </c>
      <c r="AV60" s="577">
        <f>IF(U42=0,"",ABS(AU60))</f>
        <v>0.32179253621015208</v>
      </c>
      <c r="AX60" s="361">
        <v>12</v>
      </c>
      <c r="AY60" s="23">
        <f t="shared" si="20"/>
        <v>6.3000000000000007</v>
      </c>
      <c r="AZ60" s="50"/>
      <c r="BA60" s="26">
        <f t="shared" si="22"/>
        <v>0.64250000000000673</v>
      </c>
      <c r="BB60" s="25">
        <f t="shared" si="21"/>
        <v>8.8817841970012523E-16</v>
      </c>
      <c r="BC60" s="25">
        <f>IF(ISBLANK(G15),"",(AVERAGE($AY$49:AY60)))</f>
        <v>6.1541666666666677</v>
      </c>
      <c r="BD60" s="13">
        <f t="shared" si="23"/>
        <v>0.17812500000000298</v>
      </c>
      <c r="BE60" s="6"/>
      <c r="BF60" s="444">
        <v>0.34027777777777773</v>
      </c>
      <c r="BG60" s="444">
        <v>0.61111111111111105</v>
      </c>
      <c r="BH60" s="444">
        <v>0.65833333333333333</v>
      </c>
      <c r="BI60" s="444" t="s">
        <v>233</v>
      </c>
      <c r="BJ60" s="635">
        <v>0.91805555555555562</v>
      </c>
      <c r="BK60" s="18"/>
      <c r="BL60" s="78"/>
    </row>
    <row r="61" spans="1:64" ht="12.75" x14ac:dyDescent="0.2">
      <c r="A61" s="67"/>
      <c r="B61" s="707" t="s">
        <v>58</v>
      </c>
      <c r="C61" s="708"/>
      <c r="D61" s="709"/>
      <c r="E61" s="89">
        <f>IF(ISBLANK(H5),"",CORREL(G4:G34,K4:K34))</f>
        <v>4.4684352739046806E-2</v>
      </c>
      <c r="F61" s="576">
        <f>IF(ISBLANK(H5),"",ABS(E61))</f>
        <v>4.4684352739046806E-2</v>
      </c>
      <c r="H61" s="198"/>
      <c r="I61" s="110"/>
      <c r="J61" s="191"/>
      <c r="K61" s="50"/>
      <c r="L61" s="50"/>
      <c r="M61" s="50"/>
      <c r="N61" s="50"/>
      <c r="O61" s="191"/>
      <c r="P61" s="50"/>
      <c r="Q61" s="50"/>
      <c r="R61" s="50"/>
      <c r="S61" s="50"/>
      <c r="T61" s="166"/>
      <c r="U61" s="343"/>
      <c r="V61" s="343"/>
      <c r="W61" s="346"/>
      <c r="X61" s="50"/>
      <c r="Y61" s="192"/>
      <c r="Z61" s="110"/>
      <c r="AA61" s="493"/>
      <c r="AB61" s="497"/>
      <c r="AC61" s="69"/>
      <c r="AD61" s="493"/>
      <c r="AE61" s="199"/>
      <c r="AF61" s="166"/>
      <c r="AK61" s="6"/>
      <c r="AM61" s="136"/>
      <c r="AO61" s="225"/>
      <c r="AP61" s="767"/>
      <c r="AQ61" s="767"/>
      <c r="AR61" s="6"/>
      <c r="AX61" s="361">
        <v>13</v>
      </c>
      <c r="AY61" s="23">
        <f t="shared" si="20"/>
        <v>8</v>
      </c>
      <c r="AZ61" s="50"/>
      <c r="BA61" s="26">
        <f t="shared" si="22"/>
        <v>2.4004166666666737</v>
      </c>
      <c r="BB61" s="25">
        <f t="shared" si="21"/>
        <v>0.40000000000000036</v>
      </c>
      <c r="BC61" s="25">
        <f>IF(ISBLANK(G16),"",(AVERAGE($AY$49:AY61)))</f>
        <v>6.2961538461538469</v>
      </c>
      <c r="BD61" s="13">
        <f t="shared" si="23"/>
        <v>0.34907051282051627</v>
      </c>
      <c r="BE61" s="6"/>
      <c r="BF61" s="444">
        <v>0.38194444444444442</v>
      </c>
      <c r="BG61" s="444">
        <v>0.54166666666666663</v>
      </c>
      <c r="BH61" s="444">
        <v>0.56597222222222221</v>
      </c>
      <c r="BI61" s="444">
        <v>6.5277777777777782E-2</v>
      </c>
      <c r="BJ61" s="635">
        <v>0.17499999999999999</v>
      </c>
      <c r="BK61" s="18"/>
      <c r="BL61" s="78"/>
    </row>
    <row r="62" spans="1:64" ht="12.75" x14ac:dyDescent="0.2">
      <c r="A62" s="67"/>
      <c r="B62" s="707" t="s">
        <v>59</v>
      </c>
      <c r="C62" s="708"/>
      <c r="D62" s="709"/>
      <c r="E62" s="89">
        <f>IF(ISBLANK(H5),"",CORREL(I4:I34,K4:K34))</f>
        <v>3.3783285616752472E-2</v>
      </c>
      <c r="F62" s="576">
        <f>IF(ISBLANK(H5),"",ABS(E62))</f>
        <v>3.3783285616752472E-2</v>
      </c>
      <c r="H62" s="729" t="s">
        <v>27</v>
      </c>
      <c r="I62" s="730"/>
      <c r="J62" s="191"/>
      <c r="K62" s="100">
        <f>IF(ISBLANK(F4),"",AVERAGE(F4:F13))</f>
        <v>3.5599999999999996</v>
      </c>
      <c r="L62" s="100">
        <f>IF(ISBLANK(G4),"",AVERAGE(G4:G13))</f>
        <v>8.7899999999999991</v>
      </c>
      <c r="M62" s="100">
        <f>IF(ISBLANK(H4),"",AVERAGE(H4:H13))</f>
        <v>6.45</v>
      </c>
      <c r="N62" s="100">
        <f>IF(ISBLANK(G4),"",AVERAGE(I4:I13))</f>
        <v>5.23</v>
      </c>
      <c r="O62" s="191"/>
      <c r="P62" s="100">
        <f>IF(ISBLANK(F4),"",K62-AVERAGE(F91:F100))</f>
        <v>5.7708333333333695E-2</v>
      </c>
      <c r="Q62" s="100">
        <f>IF(ISBLANK(G4),"",L62-AVERAGE(G91:G100))</f>
        <v>0.22437500000000554</v>
      </c>
      <c r="R62" s="100">
        <f>IF(ISBLANK(H4),"",M62-AVERAGE(H91:H100))</f>
        <v>0.41604166666667108</v>
      </c>
      <c r="S62" s="100">
        <f>IF(ISBLANK(G4),"",N62-AVERAGE(I91:I100))</f>
        <v>0.16666666666667318</v>
      </c>
      <c r="T62" s="166"/>
      <c r="U62" s="342">
        <f>IF(ISBLANK(M4),"",AVERAGE(M4:M13))</f>
        <v>77.2</v>
      </c>
      <c r="V62" s="342">
        <f>IF(ISBLANK(P4),"",AVERAGE(R4:R13))</f>
        <v>1007.8</v>
      </c>
      <c r="W62" s="345">
        <f>IF(ISBLANK(U4),"",AVERAGE(U4:U13))</f>
        <v>6.1300000000000008</v>
      </c>
      <c r="X62" s="100">
        <f>IF(ISBLANK(AI4),"",AVERAGE(AI4:AI13))</f>
        <v>2.6500000000000004</v>
      </c>
      <c r="Y62" s="192"/>
      <c r="Z62" s="38">
        <f>IF(ISBLANK(Z4),"",SUM(Z4:Z13))</f>
        <v>8.2999999999999989</v>
      </c>
      <c r="AA62" s="492">
        <f>IF(ISBLANK(Z4),"",Z62/($Z$39/$E$34*10))</f>
        <v>0.38984848484848483</v>
      </c>
      <c r="AB62" s="496">
        <f>IF(Z38=0,"",Z62/$Z$38)</f>
        <v>0.14768683274021355</v>
      </c>
      <c r="AC62" s="118">
        <f>IF(ISBLANK(AP4),"",SUM(AP4:AP13))</f>
        <v>31.6</v>
      </c>
      <c r="AD62" s="492">
        <f>IF(ISBLANK(AP4),"",AC62/SUM(AS91:AS100))</f>
        <v>2.0096214113614193</v>
      </c>
      <c r="AE62" s="197">
        <f>IF(ISBLANK(AP4),"",AC62/$AP$38)</f>
        <v>0.46676514032496319</v>
      </c>
      <c r="AF62" s="222"/>
      <c r="AK62" s="6"/>
      <c r="AM62" s="136"/>
      <c r="AN62" s="180" t="s">
        <v>65</v>
      </c>
      <c r="AO62" s="226"/>
      <c r="AP62" s="767"/>
      <c r="AQ62" s="767"/>
      <c r="AR62" s="6"/>
      <c r="AS62" s="785" t="s">
        <v>4</v>
      </c>
      <c r="AT62" s="785"/>
      <c r="AU62" s="220">
        <f>IF(AQ38=0,"",AVERAGE(AV50:AV60))</f>
        <v>0.32407324460329812</v>
      </c>
      <c r="AV62" s="577">
        <f>AU62</f>
        <v>0.32407324460329812</v>
      </c>
      <c r="AX62" s="361">
        <v>14</v>
      </c>
      <c r="AY62" s="23">
        <f t="shared" si="20"/>
        <v>4.95</v>
      </c>
      <c r="AZ62" s="50"/>
      <c r="BA62" s="26">
        <f t="shared" si="22"/>
        <v>-0.59166666666665946</v>
      </c>
      <c r="BB62" s="25">
        <f t="shared" si="21"/>
        <v>4.9999999999999822E-2</v>
      </c>
      <c r="BC62" s="25">
        <f>IF(ISBLANK(G17),"",(AVERAGE($AY$49:AY62)))</f>
        <v>6.2000000000000011</v>
      </c>
      <c r="BD62" s="13">
        <f t="shared" si="23"/>
        <v>0.28187500000000387</v>
      </c>
      <c r="BE62" s="6"/>
      <c r="BF62" s="444">
        <v>0.31944444444444448</v>
      </c>
      <c r="BG62" s="444">
        <v>0.49305555555555558</v>
      </c>
      <c r="BH62" s="444">
        <v>0.5</v>
      </c>
      <c r="BI62" s="444">
        <v>0.39166666666666666</v>
      </c>
      <c r="BJ62" s="635">
        <v>0.56388888888888888</v>
      </c>
      <c r="BK62" s="55"/>
      <c r="BL62" s="78"/>
    </row>
    <row r="63" spans="1:64" ht="12.75" customHeight="1" x14ac:dyDescent="0.2">
      <c r="A63" s="67"/>
      <c r="B63" s="707" t="s">
        <v>72</v>
      </c>
      <c r="C63" s="708"/>
      <c r="D63" s="709"/>
      <c r="E63" s="89">
        <f>IF(ISBLANK(H5),"",CORREL(R4:R34,K4:K34))</f>
        <v>0.25012536079756215</v>
      </c>
      <c r="F63" s="576">
        <f>IF(ISBLANK(H5),"",ABS(E63))</f>
        <v>0.25012536079756215</v>
      </c>
      <c r="H63" s="729" t="s">
        <v>28</v>
      </c>
      <c r="I63" s="730"/>
      <c r="J63" s="191"/>
      <c r="K63" s="100">
        <f>IF(ISBLANK(F14),"",AVERAGE(F14:F23))</f>
        <v>2.2800000000000002</v>
      </c>
      <c r="L63" s="100">
        <f>IF(ISBLANK(G14),"",AVERAGE(G14:G23))</f>
        <v>7.19</v>
      </c>
      <c r="M63" s="100">
        <f>IF(ISBLANK(H14),"",AVERAGE(H14:H23))</f>
        <v>4.76</v>
      </c>
      <c r="N63" s="100">
        <f>IF(ISBLANK(G14),"",AVERAGE(I14:I23))</f>
        <v>4.9000000000000004</v>
      </c>
      <c r="O63" s="191"/>
      <c r="P63" s="100">
        <f>IF(ISBLANK(F14),"",K63-AVERAGE(F101:F110))</f>
        <v>-0.87829487179487087</v>
      </c>
      <c r="Q63" s="100">
        <f>IF(ISBLANK(G14),"",L63-AVERAGE(G101:G110))</f>
        <v>-0.57549999999999013</v>
      </c>
      <c r="R63" s="100">
        <f>IF(ISBLANK(H14),"",M63-AVERAGE(H101:H110))</f>
        <v>-0.7018974358974317</v>
      </c>
      <c r="S63" s="100">
        <f>IF(ISBLANK(G14),"",N63-AVERAGE(I101:I110))</f>
        <v>0.29279487179487962</v>
      </c>
      <c r="T63" s="166"/>
      <c r="U63" s="342">
        <f>IF(ISBLANK(M14),"",AVERAGE(M14:M23))</f>
        <v>83.3</v>
      </c>
      <c r="V63" s="342">
        <f>IF(ISBLANK(P14),"",AVERAGE(R14:R23))</f>
        <v>1003.15</v>
      </c>
      <c r="W63" s="345">
        <f>IF(ISBLANK(U14),"",AVERAGE(U14:U23))</f>
        <v>6.0109159999999999</v>
      </c>
      <c r="X63" s="100">
        <f>IF(ISBLANK(AI14),"",AVERAGE(AI14:AI23))</f>
        <v>2.0900000000000003</v>
      </c>
      <c r="Y63" s="192"/>
      <c r="Z63" s="38">
        <f>IF(ISBLANK(Z14),"",SUM(Z14:Z23))</f>
        <v>33.4</v>
      </c>
      <c r="AA63" s="492">
        <f>IF(ISBLANK(Z14),"",Z63/($Z$39/$E$34*10))</f>
        <v>1.5687878787878788</v>
      </c>
      <c r="AB63" s="496">
        <f>IF(ISBLANK(Z14),"",Z63/$Z$38)</f>
        <v>0.59430604982206414</v>
      </c>
      <c r="AC63" s="118">
        <f>IF(ISBLANK(AP14),"",SUM(AP14:AP23))</f>
        <v>26.1</v>
      </c>
      <c r="AD63" s="492">
        <f>IF(ISBLANK(AP14),"",AC63/SUM(AS101:AS110))</f>
        <v>1.6975791274446363</v>
      </c>
      <c r="AE63" s="197">
        <f>IF(ISBLANK(AP14),"",AC63/$AP$38)</f>
        <v>0.38552437223042846</v>
      </c>
      <c r="AF63" s="222"/>
      <c r="AK63" s="315"/>
      <c r="AL63" s="306"/>
      <c r="AM63" s="136"/>
      <c r="AN63" s="5">
        <f>MIN(AT79,AN92)</f>
        <v>4</v>
      </c>
      <c r="AO63" s="227"/>
      <c r="AP63" s="784" t="s">
        <v>280</v>
      </c>
      <c r="AQ63" s="784"/>
      <c r="AR63" s="6"/>
      <c r="AS63" s="785" t="s">
        <v>34</v>
      </c>
      <c r="AT63" s="785"/>
      <c r="AU63" s="9">
        <f>AN96+AN101</f>
        <v>1</v>
      </c>
      <c r="AV63" s="103" t="s">
        <v>69</v>
      </c>
      <c r="AX63" s="361">
        <v>15</v>
      </c>
      <c r="AY63" s="23">
        <f t="shared" si="20"/>
        <v>5.95</v>
      </c>
      <c r="AZ63" s="50"/>
      <c r="BA63" s="26">
        <f t="shared" si="22"/>
        <v>0.46625000000000627</v>
      </c>
      <c r="BB63" s="25">
        <f t="shared" si="21"/>
        <v>0.15000000000000036</v>
      </c>
      <c r="BC63" s="25">
        <f>IF(ISBLANK(G18),"",(AVERAGE($AY$49:AY63)))</f>
        <v>6.1833333333333345</v>
      </c>
      <c r="BD63" s="13">
        <f t="shared" si="23"/>
        <v>0.29416666666667024</v>
      </c>
      <c r="BE63" s="6"/>
      <c r="BF63" s="444">
        <v>2.7777777777777779E-3</v>
      </c>
      <c r="BG63" s="444">
        <v>0.58750000000000002</v>
      </c>
      <c r="BH63" s="444" t="s">
        <v>808</v>
      </c>
      <c r="BI63" s="444" t="s">
        <v>233</v>
      </c>
      <c r="BJ63" s="635">
        <v>0.23611111111111113</v>
      </c>
      <c r="BK63" s="18"/>
      <c r="BL63" s="78"/>
    </row>
    <row r="64" spans="1:64" ht="12.75" x14ac:dyDescent="0.2">
      <c r="A64" s="67"/>
      <c r="B64" s="707" t="s">
        <v>74</v>
      </c>
      <c r="C64" s="708"/>
      <c r="D64" s="709"/>
      <c r="E64" s="89">
        <f>IF(ISBLANK(H5),"",CORREL(K4:K34,N4:N34))</f>
        <v>-0.81456140763317386</v>
      </c>
      <c r="F64" s="576">
        <f>IF(ISBLANK(H5),"",ABS(E64))</f>
        <v>0.81456140763317386</v>
      </c>
      <c r="H64" s="729" t="s">
        <v>42</v>
      </c>
      <c r="I64" s="730"/>
      <c r="J64" s="191"/>
      <c r="K64" s="100">
        <f>IF(ISBLANK(F24),"",AVERAGE(F24:F34))</f>
        <v>6.754545454545454</v>
      </c>
      <c r="L64" s="100">
        <f>IF(ISBLANK(G24),"",AVERAGE(G24:G34))</f>
        <v>11.081818181818182</v>
      </c>
      <c r="M64" s="100">
        <f>IF(ISBLANK(H24),"",AVERAGE(H24:H34))</f>
        <v>9.1090909090909093</v>
      </c>
      <c r="N64" s="100">
        <f>IF(ISBLANK(G24),"",AVERAGE(I24:I34))</f>
        <v>4.3272727272727272</v>
      </c>
      <c r="O64" s="191"/>
      <c r="P64" s="100">
        <f>IF(ISBLANK(F24),"",K64-AVERAGE(F111:F121))</f>
        <v>3.912237762237762</v>
      </c>
      <c r="Q64" s="100">
        <f>IF(ISBLANK(G24),"",L64-AVERAGE(G111:G121))</f>
        <v>3.8518181818181816</v>
      </c>
      <c r="R64" s="100">
        <f>IF(ISBLANK(H24),"",M64-AVERAGE(H111:H121))</f>
        <v>4.0729370629370631</v>
      </c>
      <c r="S64" s="100">
        <f>IF(ISBLANK(G24),"",N64-AVERAGE(I111:I121))</f>
        <v>-6.0419580419581287E-2</v>
      </c>
      <c r="T64" s="166"/>
      <c r="U64" s="342">
        <f>IF(ISBLANK(M24),"",AVERAGE(M24:M34))</f>
        <v>82.090909090909093</v>
      </c>
      <c r="V64" s="342">
        <f>IF(ISBLANK(P24),"",AVERAGE(R24:R34))</f>
        <v>1022.2727272727273</v>
      </c>
      <c r="W64" s="345">
        <f>IF(ISBLANK(U24),"",AVERAGE(U24:U34))</f>
        <v>6.5478036363636365</v>
      </c>
      <c r="X64" s="100">
        <f>IF(ISBLANK(AI24),"",AVERAGE(AI24:AI34))</f>
        <v>6.1818181818181817</v>
      </c>
      <c r="Y64" s="192"/>
      <c r="Z64" s="38">
        <f>IF(ISBLANK(Z24),"",SUM(Z24:Z34))</f>
        <v>14.5</v>
      </c>
      <c r="AA64" s="492">
        <f>IF(ISBLANK(Z24),"",Z64/($Z$39/$E$34*11))</f>
        <v>0.61914600550964194</v>
      </c>
      <c r="AB64" s="496">
        <f>IF(ISBLANK(Z24),"",Z64/$Z$38)</f>
        <v>0.25800711743772248</v>
      </c>
      <c r="AC64" s="118">
        <f>IF(ISBLANK(AP24),"",SUM(AP24:AP34))</f>
        <v>9.9999999999999982</v>
      </c>
      <c r="AD64" s="492">
        <f>IF(ISBLANK(AP24),"",AC64/SUM(AS111:AS121))</f>
        <v>0.5916876297953686</v>
      </c>
      <c r="AE64" s="197">
        <f>IF(ISBLANK(AP24),"",AC64/$AP$38)</f>
        <v>0.14771048744460857</v>
      </c>
      <c r="AF64" s="50"/>
      <c r="AG64" s="739" t="s">
        <v>177</v>
      </c>
      <c r="AH64" s="739"/>
      <c r="AI64" s="739"/>
      <c r="AJ64" s="739"/>
      <c r="AK64" s="68"/>
      <c r="AL64" s="4"/>
      <c r="AM64" s="136"/>
      <c r="AN64" s="105"/>
      <c r="AO64" s="228"/>
      <c r="AP64" s="784"/>
      <c r="AQ64" s="784"/>
      <c r="AR64" s="6"/>
      <c r="AX64" s="361">
        <v>16</v>
      </c>
      <c r="AY64" s="23">
        <f t="shared" si="20"/>
        <v>2.5499999999999998</v>
      </c>
      <c r="AZ64" s="50"/>
      <c r="BA64" s="26">
        <f t="shared" si="22"/>
        <v>-2.8758333333333264</v>
      </c>
      <c r="BB64" s="25">
        <f t="shared" si="21"/>
        <v>-0.25</v>
      </c>
      <c r="BC64" s="25">
        <f>IF(ISBLANK(G19),"",(AVERAGE($AY$49:AY64)))</f>
        <v>5.9562500000000007</v>
      </c>
      <c r="BD64" s="13">
        <f t="shared" si="23"/>
        <v>9.6041666666670356E-2</v>
      </c>
      <c r="BE64" s="6"/>
      <c r="BF64" s="444">
        <v>0.32430555555555557</v>
      </c>
      <c r="BG64" s="444">
        <v>0.625</v>
      </c>
      <c r="BH64" s="444">
        <v>0.63472222222222219</v>
      </c>
      <c r="BI64" s="444">
        <v>0.3979166666666667</v>
      </c>
      <c r="BJ64" s="635"/>
      <c r="BK64" s="18"/>
      <c r="BL64" s="78"/>
    </row>
    <row r="65" spans="1:64" ht="12.75" customHeight="1" thickBot="1" x14ac:dyDescent="0.25">
      <c r="A65" s="67"/>
      <c r="B65" s="707" t="s">
        <v>73</v>
      </c>
      <c r="C65" s="708"/>
      <c r="D65" s="709"/>
      <c r="E65" s="89">
        <f>IF(ISBLANK(H5),"",CORREL(F4:F34,I4:I34))</f>
        <v>-0.46704731565142965</v>
      </c>
      <c r="F65" s="576">
        <f>IF(ISBLANK(H5),"",ABS(E65))</f>
        <v>0.46704731565142965</v>
      </c>
      <c r="G65" s="21"/>
      <c r="H65" s="198"/>
      <c r="I65" s="110"/>
      <c r="J65" s="191"/>
      <c r="K65" s="50"/>
      <c r="L65" s="50"/>
      <c r="M65" s="50"/>
      <c r="N65" s="50"/>
      <c r="O65" s="191"/>
      <c r="P65" s="50"/>
      <c r="Q65" s="50"/>
      <c r="R65" s="50"/>
      <c r="S65" s="50"/>
      <c r="T65" s="166"/>
      <c r="U65" s="343"/>
      <c r="V65" s="343"/>
      <c r="W65" s="346"/>
      <c r="X65" s="50"/>
      <c r="Y65" s="192"/>
      <c r="Z65" s="110"/>
      <c r="AA65" s="493"/>
      <c r="AB65" s="497"/>
      <c r="AC65" s="69"/>
      <c r="AD65" s="493"/>
      <c r="AE65" s="199"/>
      <c r="AF65" s="50"/>
      <c r="AH65" s="713">
        <f>SUM(BH91:BH121)</f>
        <v>11</v>
      </c>
      <c r="AI65" s="713"/>
      <c r="AJ65" s="93">
        <f>IF(M53=0,"",AH65/M53)</f>
        <v>0.35483870967741937</v>
      </c>
      <c r="AK65" s="6"/>
      <c r="AM65" s="136"/>
      <c r="AO65" s="229"/>
      <c r="AP65" s="784"/>
      <c r="AQ65" s="784"/>
      <c r="AR65" s="6"/>
      <c r="AV65" s="332"/>
      <c r="AW65" s="332"/>
      <c r="AX65" s="361">
        <v>17</v>
      </c>
      <c r="AY65" s="23">
        <f t="shared" si="20"/>
        <v>2.8499999999999996</v>
      </c>
      <c r="AZ65" s="50"/>
      <c r="BA65" s="26">
        <f t="shared" si="22"/>
        <v>-2.5179166666666601</v>
      </c>
      <c r="BB65" s="25">
        <f t="shared" si="21"/>
        <v>0.24999999999999956</v>
      </c>
      <c r="BC65" s="25">
        <f>IF(ISBLANK(G20),"",(AVERAGE($AY$49:AY65)))</f>
        <v>5.7735294117647058</v>
      </c>
      <c r="BD65" s="13">
        <f t="shared" si="23"/>
        <v>-5.7720588235289805E-2</v>
      </c>
      <c r="BE65" s="6"/>
      <c r="BF65" s="444">
        <v>0.30763888888888891</v>
      </c>
      <c r="BG65" s="444">
        <v>0.6069444444444444</v>
      </c>
      <c r="BH65" s="444">
        <v>0.6479166666666667</v>
      </c>
      <c r="BI65" s="444">
        <v>0.41666666666666669</v>
      </c>
      <c r="BJ65" s="635"/>
      <c r="BK65" s="18"/>
      <c r="BL65" s="78"/>
    </row>
    <row r="66" spans="1:64" ht="12.75" customHeight="1" thickTop="1" x14ac:dyDescent="0.2">
      <c r="A66" s="67"/>
      <c r="B66" s="707" t="s">
        <v>82</v>
      </c>
      <c r="C66" s="708"/>
      <c r="D66" s="709"/>
      <c r="E66" s="89">
        <f>IF(ISBLANK(H5),"",CORREL(G4:G34,I4:I34))</f>
        <v>0.12367514457204123</v>
      </c>
      <c r="F66" s="576">
        <f>IF(ISBLANK(H5),"",ABS(E66))</f>
        <v>0.12367514457204123</v>
      </c>
      <c r="H66" s="729" t="s">
        <v>29</v>
      </c>
      <c r="I66" s="730"/>
      <c r="J66" s="191"/>
      <c r="K66" s="100">
        <f>IF(ISBLANK(F4),"",AVERAGE(F4:F8))</f>
        <v>4.5</v>
      </c>
      <c r="L66" s="100">
        <f>IF(ISBLANK(G4),"",AVERAGE(G4:G8))</f>
        <v>9.44</v>
      </c>
      <c r="M66" s="100">
        <f>IF(ISBLANK(H4),"",AVERAGE(H4:H8))</f>
        <v>7.2800000000000011</v>
      </c>
      <c r="N66" s="100">
        <f>IF(ISBLANK(G4),"",AVERAGE(I4:I8))</f>
        <v>4.9400000000000004</v>
      </c>
      <c r="O66" s="191"/>
      <c r="P66" s="100">
        <f>IF(ISBLANK(F4),"",K66-AVERAGE(F91:F95))</f>
        <v>0.91125000000000123</v>
      </c>
      <c r="Q66" s="100">
        <f>IF(ISBLANK(G4),"",L66-AVERAGE(G91:G95))</f>
        <v>0.6712500000000059</v>
      </c>
      <c r="R66" s="100">
        <f>IF(ISBLANK(H4),"",M66-AVERAGE(H91:H95))</f>
        <v>1.1012500000000038</v>
      </c>
      <c r="S66" s="100">
        <f>IF(ISBLANK(G4),"",N66-AVERAGE(I91:I95))</f>
        <v>-0.23999999999999488</v>
      </c>
      <c r="T66" s="166"/>
      <c r="U66" s="342">
        <f>IF(ISBLANK(M4),"",AVERAGE(M4:M8))</f>
        <v>80.2</v>
      </c>
      <c r="V66" s="342">
        <f>IF(ISBLANK(P4),"",AVERAGE(R4:R8))</f>
        <v>1004.9</v>
      </c>
      <c r="W66" s="345">
        <f>IF(ISBLANK(U4),"",AVERAGE(U4:U8))</f>
        <v>5.4</v>
      </c>
      <c r="X66" s="100">
        <f>IF(ISBLANK(AI4),"",AVERAGE(AI4:AI8))</f>
        <v>4.0400000000000009</v>
      </c>
      <c r="Y66" s="192"/>
      <c r="Z66" s="100">
        <f>IF(ISBLANK(Z4),"",SUM(Z4:Z8))</f>
        <v>7.1999999999999993</v>
      </c>
      <c r="AA66" s="492">
        <f>IF(ISBLANK(Z4),"",Z66/($Z$39/$E$34*5))</f>
        <v>0.67636363636363628</v>
      </c>
      <c r="AB66" s="496">
        <f>IF(Z38=0,"",Z66/$Z$38)</f>
        <v>0.12811387900355872</v>
      </c>
      <c r="AC66" s="165">
        <f>IF(ISBLANK(AP4),"",SUM(AP4:AP8))</f>
        <v>11.6</v>
      </c>
      <c r="AD66" s="492">
        <f>IF(ISBLANK(AP4),"",AC66/SUM(AS91:AS95))</f>
        <v>1.4636880629086721</v>
      </c>
      <c r="AE66" s="197">
        <f>IF(ISBLANK(AP4),"",AC66/$AP$38)</f>
        <v>0.17134416543574596</v>
      </c>
      <c r="AF66" s="50"/>
      <c r="AG66" s="650"/>
      <c r="AH66" s="650"/>
      <c r="AI66" s="650"/>
      <c r="AJ66" s="650"/>
      <c r="AK66" s="316"/>
      <c r="AM66" s="136"/>
      <c r="AN66" s="190" t="s">
        <v>254</v>
      </c>
      <c r="AO66" s="229"/>
      <c r="AP66" s="784"/>
      <c r="AQ66" s="784"/>
      <c r="AR66" s="6"/>
      <c r="AT66" s="186" t="s">
        <v>86</v>
      </c>
      <c r="AU66" s="186"/>
      <c r="AV66" s="571"/>
      <c r="AW66" s="571"/>
      <c r="AX66" s="361">
        <v>18</v>
      </c>
      <c r="AY66" s="23">
        <f t="shared" si="20"/>
        <v>1.95</v>
      </c>
      <c r="AZ66" s="50"/>
      <c r="BA66" s="26">
        <f t="shared" si="22"/>
        <v>-3.36</v>
      </c>
      <c r="BB66" s="25">
        <f t="shared" si="21"/>
        <v>0.44999999999999996</v>
      </c>
      <c r="BC66" s="25">
        <f>IF(ISBLANK(G21),"",(AVERAGE($AY$49:AY66)))</f>
        <v>5.5611111111111118</v>
      </c>
      <c r="BD66" s="13">
        <f t="shared" si="23"/>
        <v>-0.24118055555555173</v>
      </c>
      <c r="BE66" s="6"/>
      <c r="BF66" s="444">
        <v>0.3125</v>
      </c>
      <c r="BG66" s="444">
        <v>0.58402777777777781</v>
      </c>
      <c r="BH66" s="444">
        <v>0.64375000000000004</v>
      </c>
      <c r="BI66" s="444">
        <v>0.41249999999999998</v>
      </c>
      <c r="BJ66" s="635"/>
      <c r="BK66" s="18"/>
      <c r="BL66" s="78"/>
    </row>
    <row r="67" spans="1:64" ht="12.75" x14ac:dyDescent="0.2">
      <c r="A67" s="67"/>
      <c r="B67" s="740"/>
      <c r="C67" s="741"/>
      <c r="D67" s="741"/>
      <c r="E67" s="157"/>
      <c r="F67" s="576"/>
      <c r="H67" s="729" t="s">
        <v>36</v>
      </c>
      <c r="I67" s="730"/>
      <c r="J67" s="191"/>
      <c r="K67" s="100">
        <f>IF(ISBLANK(F9),"",AVERAGE(F9:F13))</f>
        <v>2.62</v>
      </c>
      <c r="L67" s="100">
        <f>IF(ISBLANK(G9),"",AVERAGE(G9:G13))</f>
        <v>8.14</v>
      </c>
      <c r="M67" s="100">
        <f>IF(ISBLANK(H9),"",AVERAGE(H9:H13))</f>
        <v>5.62</v>
      </c>
      <c r="N67" s="100">
        <f>IF(ISBLANK(G9),"",AVERAGE(I9:I13))</f>
        <v>5.5200000000000005</v>
      </c>
      <c r="O67" s="191"/>
      <c r="P67" s="100">
        <f>IF(ISBLANK(F9),"",K67-AVERAGE(F96:F100))</f>
        <v>-0.7958333333333325</v>
      </c>
      <c r="Q67" s="100">
        <f>IF(ISBLANK(G9),"",L67-AVERAGE(G96:G100))</f>
        <v>-0.22249999999998948</v>
      </c>
      <c r="R67" s="100">
        <f>IF(ISBLANK(H9),"",M67-AVERAGE(H96:H100))</f>
        <v>-0.26916666666666078</v>
      </c>
      <c r="S67" s="100">
        <f>IF(ISBLANK(G9),"",N67-AVERAGE(I96:I100))</f>
        <v>0.57333333333334213</v>
      </c>
      <c r="T67" s="166"/>
      <c r="U67" s="342">
        <f>IF(ISBLANK(M9),"",AVERAGE(M9:M13))</f>
        <v>74.2</v>
      </c>
      <c r="V67" s="342">
        <f>IF(ISBLANK(P9),"",AVERAGE(R9:R13))</f>
        <v>1010.7</v>
      </c>
      <c r="W67" s="345">
        <f>IF(ISBLANK(U9),"",AVERAGE(U9:U13))</f>
        <v>6.8600000000000012</v>
      </c>
      <c r="X67" s="100">
        <f>IF(ISBLANK(AI9),"",AVERAGE(AI9:AI13))</f>
        <v>1.2599999999999998</v>
      </c>
      <c r="Y67" s="192"/>
      <c r="Z67" s="100">
        <f>IF(ISBLANK(Z9),"",SUM(Z9:Z13))</f>
        <v>1.1000000000000001</v>
      </c>
      <c r="AA67" s="492">
        <f>IF(ISBLANK(Z9),"",Z67/($Z$39/$E$34*5))</f>
        <v>0.10333333333333335</v>
      </c>
      <c r="AB67" s="496">
        <f>IF(ISBLANK(Z9),"",Z67/$Z$38)</f>
        <v>1.9572953736654811E-2</v>
      </c>
      <c r="AC67" s="165">
        <f>IF(ISBLANK(AP9),"",SUM(AP9:AP13))</f>
        <v>20</v>
      </c>
      <c r="AD67" s="492">
        <f>IF(ISBLANK(AP9),"",AC67/SUM(AS96:AS100))</f>
        <v>2.5643758161030248</v>
      </c>
      <c r="AE67" s="197">
        <f>IF(ISBLANK(AP9),"",AC67/$AP$38)</f>
        <v>0.2954209748892172</v>
      </c>
      <c r="AF67" s="50"/>
      <c r="AG67" s="780" t="s">
        <v>178</v>
      </c>
      <c r="AH67" s="780"/>
      <c r="AI67" s="780"/>
      <c r="AJ67" s="780"/>
      <c r="AK67" s="84"/>
      <c r="AM67" s="71"/>
      <c r="AN67" s="5">
        <f t="array" ref="AN67">SUM(IF(AP4:AP34&gt;0.25*AT91:AT121,1,0))</f>
        <v>14</v>
      </c>
      <c r="AO67" s="229"/>
      <c r="AP67" s="784"/>
      <c r="AQ67" s="784"/>
      <c r="AR67" s="6"/>
      <c r="AT67" s="187">
        <f>M53-AT70</f>
        <v>21</v>
      </c>
      <c r="AU67" s="187"/>
      <c r="AV67" s="571"/>
      <c r="AW67" s="571"/>
      <c r="AX67" s="361">
        <v>19</v>
      </c>
      <c r="AY67" s="23">
        <f t="shared" si="20"/>
        <v>2.5</v>
      </c>
      <c r="AZ67" s="50"/>
      <c r="BA67" s="26">
        <f t="shared" si="22"/>
        <v>-2.7757692307692308</v>
      </c>
      <c r="BB67" s="25">
        <f t="shared" si="21"/>
        <v>-0.60000000000000009</v>
      </c>
      <c r="BC67" s="25">
        <f>IF(ISBLANK(G22),"",(AVERAGE($AY$49:AY67)))</f>
        <v>5.4</v>
      </c>
      <c r="BD67" s="13">
        <f t="shared" si="23"/>
        <v>-0.37457995951416612</v>
      </c>
      <c r="BE67" s="6"/>
      <c r="BF67" s="444">
        <v>1.8749999999999999E-2</v>
      </c>
      <c r="BG67" s="444" t="s">
        <v>736</v>
      </c>
      <c r="BH67" s="444" t="s">
        <v>274</v>
      </c>
      <c r="BI67" s="444" t="s">
        <v>233</v>
      </c>
      <c r="BJ67" s="635"/>
      <c r="BK67" s="18"/>
      <c r="BL67" s="78"/>
    </row>
    <row r="68" spans="1:64" ht="12.75" customHeight="1" x14ac:dyDescent="0.2">
      <c r="A68" s="67"/>
      <c r="B68" s="731" t="s">
        <v>4</v>
      </c>
      <c r="C68" s="732"/>
      <c r="D68" s="732"/>
      <c r="E68" s="582">
        <f>IF(ISBLANK(H5),"",AVERAGE(F48:F66))</f>
        <v>0.30363635958946128</v>
      </c>
      <c r="F68" s="576">
        <f>IF(ISBLANK(H5),"",ABS(E68))</f>
        <v>0.30363635958946128</v>
      </c>
      <c r="H68" s="729" t="s">
        <v>30</v>
      </c>
      <c r="I68" s="730"/>
      <c r="J68" s="191"/>
      <c r="K68" s="100">
        <f>IF(ISBLANK(F14),"",AVERAGE(F14:F18))</f>
        <v>3.62</v>
      </c>
      <c r="L68" s="100">
        <f>IF(ISBLANK(G14),"",AVERAGE(G14:G18))</f>
        <v>8.7799999999999994</v>
      </c>
      <c r="M68" s="100">
        <f>IF(ISBLANK(H14),"",AVERAGE(H14:H18))</f>
        <v>6.24</v>
      </c>
      <c r="N68" s="100">
        <f>IF(ISBLANK(G14),"",AVERAGE(I14:I18))</f>
        <v>5.1399999999999988</v>
      </c>
      <c r="O68" s="191"/>
      <c r="P68" s="100">
        <f>IF(ISBLANK(F14),"",K68-AVERAGE(F101:F105))</f>
        <v>0.3770833333333341</v>
      </c>
      <c r="Q68" s="100">
        <f>IF(ISBLANK(G14),"",L68-AVERAGE(G101:G105))</f>
        <v>0.82375000000001197</v>
      </c>
      <c r="R68" s="100">
        <f>IF(ISBLANK(H14),"",M68-AVERAGE(H101:H105))</f>
        <v>0.64041666666667307</v>
      </c>
      <c r="S68" s="100">
        <f>IF(ISBLANK(G14),"",N68-AVERAGE(I101:I105))</f>
        <v>0.42666666666667652</v>
      </c>
      <c r="T68" s="166"/>
      <c r="U68" s="342">
        <f>IF(ISBLANK(M14),"",AVERAGE(M14:M18))</f>
        <v>79.2</v>
      </c>
      <c r="V68" s="342">
        <f>IF(ISBLANK(P14),"",AVERAGE(R14:R18))</f>
        <v>997.1</v>
      </c>
      <c r="W68" s="345">
        <f>IF(ISBLANK(U14),"",AVERAGE(U14:U18))</f>
        <v>7.2315919999999991</v>
      </c>
      <c r="X68" s="100">
        <f>IF(ISBLANK(AI14),"",AVERAGE(AI14:AI18))</f>
        <v>2.8400000000000007</v>
      </c>
      <c r="Y68" s="192"/>
      <c r="Z68" s="100">
        <f>IF(ISBLANK(Z14),"",SUM(Z14:Z18))</f>
        <v>22.1</v>
      </c>
      <c r="AA68" s="492">
        <f>IF(ISBLANK(Z14),"",Z68/($Z$39/$E$34*5))</f>
        <v>2.0760606060606062</v>
      </c>
      <c r="AB68" s="496">
        <f>IF(ISBLANK(Z14),"",Z68/$Z$38)</f>
        <v>0.39323843416370119</v>
      </c>
      <c r="AC68" s="165">
        <f>IF(ISBLANK(AP14),"",SUM(AP14:AP18))</f>
        <v>16.5</v>
      </c>
      <c r="AD68" s="492">
        <f>IF(ISBLANK(AP14),"",AC68/SUM(AS101:AS105))</f>
        <v>2.1397286064699199</v>
      </c>
      <c r="AE68" s="197">
        <f>IF(ISBLANK(AP14),"",AC68/$AP$38)</f>
        <v>0.24372230428360417</v>
      </c>
      <c r="AF68" s="50"/>
      <c r="AH68" s="781">
        <f>SUM(AY91:AY121)</f>
        <v>10</v>
      </c>
      <c r="AI68" s="781"/>
      <c r="AJ68" s="93">
        <f>IF(M53=0,"",AH68/M53)</f>
        <v>0.32258064516129031</v>
      </c>
      <c r="AK68" s="6"/>
      <c r="AM68" s="136"/>
      <c r="AO68" s="228"/>
      <c r="AP68" s="784"/>
      <c r="AQ68" s="784"/>
      <c r="AR68" s="6"/>
      <c r="AT68" s="4"/>
      <c r="AU68" s="4"/>
      <c r="AV68" s="571"/>
      <c r="AW68" s="571"/>
      <c r="AX68" s="361">
        <v>20</v>
      </c>
      <c r="AY68" s="23">
        <f t="shared" si="20"/>
        <v>6.5</v>
      </c>
      <c r="AZ68" s="50"/>
      <c r="BA68" s="26">
        <f t="shared" si="22"/>
        <v>1.2584615384615385</v>
      </c>
      <c r="BB68" s="25">
        <f t="shared" si="21"/>
        <v>9.9999999999999645E-2</v>
      </c>
      <c r="BC68" s="25">
        <f>IF(ISBLANK(G23),"",(AVERAGE($AY$49:AY68)))</f>
        <v>5.4550000000000001</v>
      </c>
      <c r="BD68" s="13">
        <f t="shared" si="23"/>
        <v>-0.29292788461538111</v>
      </c>
      <c r="BE68" s="6"/>
      <c r="BF68" s="444">
        <v>0.28611111111111115</v>
      </c>
      <c r="BG68" s="444">
        <v>0.52013888888888882</v>
      </c>
      <c r="BH68" s="444">
        <v>0.51736111111111105</v>
      </c>
      <c r="BI68" s="444">
        <v>0</v>
      </c>
      <c r="BJ68" s="635"/>
      <c r="BK68" s="54"/>
      <c r="BL68" s="78"/>
    </row>
    <row r="69" spans="1:64" ht="12.75" customHeight="1" x14ac:dyDescent="0.2">
      <c r="A69" s="67"/>
      <c r="B69" s="731" t="s">
        <v>34</v>
      </c>
      <c r="C69" s="732"/>
      <c r="D69" s="732"/>
      <c r="E69" s="583">
        <f>AN100+AN97</f>
        <v>3</v>
      </c>
      <c r="F69" s="85" t="s">
        <v>90</v>
      </c>
      <c r="H69" s="729" t="s">
        <v>31</v>
      </c>
      <c r="I69" s="730"/>
      <c r="J69" s="191"/>
      <c r="K69" s="100">
        <f>IF(ISBLANK(F19),"",AVERAGE(F19:F23))</f>
        <v>0.94000000000000006</v>
      </c>
      <c r="L69" s="100">
        <f>IF(ISBLANK(G19),"",AVERAGE(G19:G23))</f>
        <v>5.6</v>
      </c>
      <c r="M69" s="100">
        <f>IF(ISBLANK(H19),"",AVERAGE(H19:H23))</f>
        <v>3.28</v>
      </c>
      <c r="N69" s="100">
        <f>IF(ISBLANK(G19),"",AVERAGE(I19:I23))</f>
        <v>4.6599999999999993</v>
      </c>
      <c r="O69" s="191"/>
      <c r="P69" s="100">
        <f>IF(ISBLANK(F19),"",K69-AVERAGE(F106:F110))</f>
        <v>-2.1336730769230763</v>
      </c>
      <c r="Q69" s="100">
        <f>IF(ISBLANK(G19),"",L69-AVERAGE(G106:G110))</f>
        <v>-1.9747499999999949</v>
      </c>
      <c r="R69" s="100">
        <f>IF(ISBLANK(H19),"",M69-AVERAGE(H106:H110))</f>
        <v>-2.0442115384615351</v>
      </c>
      <c r="S69" s="100">
        <f>IF(ISBLANK(G19),"",N69-AVERAGE(I106:I110))</f>
        <v>0.15892307692308094</v>
      </c>
      <c r="T69" s="166"/>
      <c r="U69" s="342">
        <f>IF(ISBLANK(M19),"",AVERAGE(M19:M23))</f>
        <v>87.4</v>
      </c>
      <c r="V69" s="342">
        <f>IF(ISBLANK(P19),"",AVERAGE(R19:R23))</f>
        <v>1009.2</v>
      </c>
      <c r="W69" s="345">
        <f>IF(ISBLANK(U19),"",AVERAGE(U19:U23))</f>
        <v>4.7902399999999998</v>
      </c>
      <c r="X69" s="100">
        <f>IF(ISBLANK(AI19),"",AVERAGE(AI19:AI23))</f>
        <v>1.34</v>
      </c>
      <c r="Y69" s="192"/>
      <c r="Z69" s="100">
        <f>IF(ISBLANK(Z19),"",SUM(Z19:Z23))</f>
        <v>11.3</v>
      </c>
      <c r="AA69" s="492">
        <f>IF(ISBLANK(Z19),"",Z69/($Z$39/$E$34*5))</f>
        <v>1.0615151515151517</v>
      </c>
      <c r="AB69" s="496">
        <f>IF(ISBLANK(Z19),"",Z69/$Z$38)</f>
        <v>0.20106761565836304</v>
      </c>
      <c r="AC69" s="165">
        <f>IF(ISBLANK(AP19),"",SUM(AP19:AP23))</f>
        <v>9.6</v>
      </c>
      <c r="AD69" s="492">
        <f>IF(ISBLANK(AP19),"",AC69/SUM(AS106:AS110))</f>
        <v>1.2526786955790126</v>
      </c>
      <c r="AE69" s="197">
        <f>IF(ISBLANK(AP19),"",AC69/$AP$38)</f>
        <v>0.14180206794682423</v>
      </c>
      <c r="AF69" s="50"/>
      <c r="AK69" s="6"/>
      <c r="AM69" s="136"/>
      <c r="AN69" s="183" t="s">
        <v>255</v>
      </c>
      <c r="AO69" s="228"/>
      <c r="AP69" s="767" t="s">
        <v>195</v>
      </c>
      <c r="AQ69" s="767"/>
      <c r="AR69" s="6"/>
      <c r="AT69" s="189" t="s">
        <v>85</v>
      </c>
      <c r="AU69" s="189"/>
      <c r="AV69" s="603"/>
      <c r="AW69" s="571"/>
      <c r="AX69" s="361">
        <v>21</v>
      </c>
      <c r="AY69" s="23">
        <f t="shared" si="20"/>
        <v>8.9499999999999993</v>
      </c>
      <c r="AZ69" s="50"/>
      <c r="BA69" s="26">
        <f t="shared" si="22"/>
        <v>3.742692307692308</v>
      </c>
      <c r="BB69" s="25">
        <f t="shared" si="21"/>
        <v>-0.45000000000000107</v>
      </c>
      <c r="BC69" s="25">
        <f>IF(ISBLANK(G24),"",(AVERAGE($AY$49:AY69)))</f>
        <v>5.6214285714285719</v>
      </c>
      <c r="BD69" s="13">
        <f t="shared" si="23"/>
        <v>-0.10075549450549115</v>
      </c>
      <c r="BE69" s="6"/>
      <c r="BF69" s="444">
        <v>4.1666666666666664E-2</v>
      </c>
      <c r="BG69" s="444" t="s">
        <v>812</v>
      </c>
      <c r="BH69" s="444" t="s">
        <v>274</v>
      </c>
      <c r="BI69" s="444">
        <v>0.47638888888888892</v>
      </c>
      <c r="BJ69" s="635">
        <v>0.70833333333333337</v>
      </c>
      <c r="BK69" s="54"/>
      <c r="BL69" s="78"/>
    </row>
    <row r="70" spans="1:64" ht="12.75" x14ac:dyDescent="0.2">
      <c r="A70" s="67"/>
      <c r="B70" s="160"/>
      <c r="C70" s="161"/>
      <c r="D70" s="161"/>
      <c r="E70" s="158"/>
      <c r="F70" s="120"/>
      <c r="H70" s="729" t="s">
        <v>32</v>
      </c>
      <c r="I70" s="730"/>
      <c r="J70" s="191"/>
      <c r="K70" s="100">
        <f>IF(ISBLANK(F24),"",AVERAGE(F24:F28))</f>
        <v>5.9799999999999995</v>
      </c>
      <c r="L70" s="100">
        <f>IF(ISBLANK(G24),"",AVERAGE(G24:G28))</f>
        <v>11.000000000000002</v>
      </c>
      <c r="M70" s="100">
        <f>IF(ISBLANK(H24),"",AVERAGE(H24:H28))</f>
        <v>8.94</v>
      </c>
      <c r="N70" s="100">
        <f>IF(ISBLANK(G24),"",AVERAGE(I24:I28))</f>
        <v>5.0199999999999996</v>
      </c>
      <c r="O70" s="191"/>
      <c r="P70" s="100">
        <f>IF(ISBLANK(F24),"",K70-AVERAGE(F111:F115))</f>
        <v>3.0523076923076919</v>
      </c>
      <c r="Q70" s="100">
        <f>IF(ISBLANK(G24),"",L70-AVERAGE(G111:G115))</f>
        <v>3.6500000000000021</v>
      </c>
      <c r="R70" s="100">
        <f>IF(ISBLANK(H24),"",M70-AVERAGE(H111:H115))</f>
        <v>3.8011538461538459</v>
      </c>
      <c r="S70" s="100">
        <f>IF(ISBLANK(G24),"",N70-AVERAGE(I111:I115))</f>
        <v>0.59769230769230752</v>
      </c>
      <c r="T70" s="166"/>
      <c r="U70" s="342">
        <f>IF(ISBLANK(M24),"",AVERAGE(M24:M28))</f>
        <v>86.2</v>
      </c>
      <c r="V70" s="342">
        <f>IF(ISBLANK(P24),"",AVERAGE(R24:R28))</f>
        <v>1023</v>
      </c>
      <c r="W70" s="345">
        <f>IF(ISBLANK(U24),"",AVERAGE(U24:U28))</f>
        <v>6.0451679999999994</v>
      </c>
      <c r="X70" s="100">
        <f>IF(ISBLANK(AI24),"",AVERAGE(AI24:AI28))</f>
        <v>6.76</v>
      </c>
      <c r="Y70" s="192"/>
      <c r="Z70" s="100">
        <f>IF(ISBLANK(Z24),"",SUM(Z24:Z28))</f>
        <v>6.1</v>
      </c>
      <c r="AA70" s="492">
        <f>IF(ISBLANK(Z24),"",Z70/($Z$39/$E$34*5))</f>
        <v>0.573030303030303</v>
      </c>
      <c r="AB70" s="496">
        <f>IF(ISBLANK(Z24),"",Z70/$Z$38)</f>
        <v>0.10854092526690393</v>
      </c>
      <c r="AC70" s="165">
        <f>IF(ISBLANK(AP24),"",SUM(AP24:AP28))</f>
        <v>7.3</v>
      </c>
      <c r="AD70" s="492">
        <f>IF(ISBLANK(AP24),"",AC70/SUM(AS111:AS115))</f>
        <v>0.95323706118211704</v>
      </c>
      <c r="AE70" s="197">
        <f>IF(ISBLANK(AP24),"",AC70/$AP$38)</f>
        <v>0.10782865583456427</v>
      </c>
      <c r="AF70" s="50"/>
      <c r="AK70" s="6"/>
      <c r="AM70" s="149"/>
      <c r="AN70" s="5">
        <f>M53-AN67</f>
        <v>17</v>
      </c>
      <c r="AO70" s="88"/>
      <c r="AP70" s="767"/>
      <c r="AQ70" s="767"/>
      <c r="AR70" s="6"/>
      <c r="AT70" s="5">
        <f>M53-SUM(BI91:BI121)</f>
        <v>10</v>
      </c>
      <c r="AU70" s="5"/>
      <c r="AV70" s="571"/>
      <c r="AW70" s="571"/>
      <c r="AX70" s="361">
        <v>22</v>
      </c>
      <c r="AY70" s="23">
        <f t="shared" si="20"/>
        <v>9.9499999999999993</v>
      </c>
      <c r="AZ70" s="50"/>
      <c r="BA70" s="26">
        <f t="shared" si="22"/>
        <v>4.7769230769230777</v>
      </c>
      <c r="BB70" s="25">
        <f t="shared" si="21"/>
        <v>-5.0000000000000711E-2</v>
      </c>
      <c r="BC70" s="25">
        <f>IF(ISBLANK(G25),"",(AVERAGE($AY$49:AY70)))</f>
        <v>5.8181818181818183</v>
      </c>
      <c r="BD70" s="13">
        <f t="shared" si="23"/>
        <v>0.12095716783217192</v>
      </c>
      <c r="BE70" s="6"/>
      <c r="BF70" s="444">
        <v>0.31388888888888888</v>
      </c>
      <c r="BG70" s="444">
        <v>0.59236111111111112</v>
      </c>
      <c r="BH70" s="444">
        <v>0.65277777777777779</v>
      </c>
      <c r="BI70" s="444">
        <v>0.39652777777777781</v>
      </c>
      <c r="BJ70" s="635">
        <v>0.53055555555555556</v>
      </c>
      <c r="BK70" s="54"/>
      <c r="BL70" s="78"/>
    </row>
    <row r="71" spans="1:64" ht="13.5" customHeight="1" thickBot="1" x14ac:dyDescent="0.25">
      <c r="A71" s="67"/>
      <c r="B71" s="748" t="s">
        <v>7</v>
      </c>
      <c r="C71" s="749"/>
      <c r="D71" s="749"/>
      <c r="E71" s="221" t="s">
        <v>15</v>
      </c>
      <c r="F71" s="120"/>
      <c r="G71" s="575" t="s">
        <v>340</v>
      </c>
      <c r="H71" s="750" t="s">
        <v>43</v>
      </c>
      <c r="I71" s="751"/>
      <c r="J71" s="200"/>
      <c r="K71" s="201">
        <f>IF(ISBLANK(F29),"",AVERAGE(F29:F34))</f>
        <v>7.4000000000000012</v>
      </c>
      <c r="L71" s="201">
        <f>IF(ISBLANK(G29),"",AVERAGE(G29:G34))</f>
        <v>11.15</v>
      </c>
      <c r="M71" s="201">
        <f>IF(ISBLANK(H29),"",AVERAGE(H29:H34))</f>
        <v>9.25</v>
      </c>
      <c r="N71" s="201">
        <f>IF(ISBLANK(G29),"",AVERAGE(I29:I34))</f>
        <v>3.75</v>
      </c>
      <c r="O71" s="200"/>
      <c r="P71" s="201">
        <f>IF(ISBLANK(F29),"",K71-AVERAGE(F116:F121))</f>
        <v>4.6288461538461556</v>
      </c>
      <c r="Q71" s="201">
        <f>IF(ISBLANK(G29),"",L71-AVERAGE(G116:G121))</f>
        <v>4.0200000000000005</v>
      </c>
      <c r="R71" s="201">
        <f>IF(ISBLANK(H29),"",M71-AVERAGE(H116:H121))</f>
        <v>4.2994230769230768</v>
      </c>
      <c r="S71" s="201">
        <f>IF(ISBLANK(G29),"",N71-AVERAGE(I116:I121))</f>
        <v>-0.60884615384615515</v>
      </c>
      <c r="T71" s="202"/>
      <c r="U71" s="344">
        <f>IF(ISBLANK(M29),"",AVERAGE(M29:M34))</f>
        <v>78.666666666666671</v>
      </c>
      <c r="V71" s="344">
        <f>IF(ISBLANK(P29),"",AVERAGE(R29:R34))</f>
        <v>1021.6666666666666</v>
      </c>
      <c r="W71" s="347">
        <f>IF(ISBLANK(U29),"",AVERAGE(U29:U34))</f>
        <v>6.9666666666666677</v>
      </c>
      <c r="X71" s="201">
        <f>IF(ISBLANK(AI29),"",AVERAGE(AI29:AI34))</f>
        <v>5.7</v>
      </c>
      <c r="Y71" s="203"/>
      <c r="Z71" s="201">
        <f>IF(ISBLANK(Z29),"",SUM(Z29:Z34))</f>
        <v>8.4</v>
      </c>
      <c r="AA71" s="494">
        <f>IF(ISBLANK(Z29),"",Z71/($Z$39/$E$34*6))</f>
        <v>0.65757575757575759</v>
      </c>
      <c r="AB71" s="498">
        <f>IF(ISBLANK(Z29),"",Z71/$Z$38)</f>
        <v>0.14946619217081855</v>
      </c>
      <c r="AC71" s="255">
        <f>IF(ISBLANK(AP29),"",SUM(AP29:AP34))</f>
        <v>2.7</v>
      </c>
      <c r="AD71" s="494">
        <f>IF(ISBLANK(AP29),"",AC71/SUM(AS116:AS121))</f>
        <v>0.29212263296737312</v>
      </c>
      <c r="AE71" s="256">
        <f>IF(ISBLANK(AP29),"",AC71/$AP$38)</f>
        <v>3.988183161004432E-2</v>
      </c>
      <c r="AF71" s="50"/>
      <c r="AG71" s="739" t="s">
        <v>125</v>
      </c>
      <c r="AH71" s="739"/>
      <c r="AI71" s="739"/>
      <c r="AJ71" s="739"/>
      <c r="AK71" s="315"/>
      <c r="AL71" s="306"/>
      <c r="AM71" s="136"/>
      <c r="AO71" s="88"/>
      <c r="AP71" s="767"/>
      <c r="AQ71" s="767"/>
      <c r="AR71" s="6"/>
      <c r="AT71" s="52"/>
      <c r="AU71" s="52"/>
      <c r="AV71" s="571"/>
      <c r="AW71" s="571"/>
      <c r="AX71" s="361">
        <v>23</v>
      </c>
      <c r="AY71" s="23">
        <f t="shared" si="20"/>
        <v>7.8999999999999995</v>
      </c>
      <c r="AZ71" s="50"/>
      <c r="BA71" s="26">
        <f t="shared" si="22"/>
        <v>2.7611538461538458</v>
      </c>
      <c r="BB71" s="25">
        <f t="shared" si="21"/>
        <v>-1.2999999999999998</v>
      </c>
      <c r="BC71" s="25">
        <f>IF(ISBLANK(G26),"",(AVERAGE($AY$49:AY71)))</f>
        <v>5.9086956521739129</v>
      </c>
      <c r="BD71" s="13">
        <f t="shared" si="23"/>
        <v>0.2357483277592014</v>
      </c>
      <c r="BE71" s="6"/>
      <c r="BF71" s="444">
        <v>0.35416666666666669</v>
      </c>
      <c r="BG71" s="444">
        <v>0.47847222222222219</v>
      </c>
      <c r="BH71" s="444">
        <v>0.4375</v>
      </c>
      <c r="BI71" s="444" t="s">
        <v>813</v>
      </c>
      <c r="BJ71" s="635">
        <v>0.68541666666666667</v>
      </c>
      <c r="BK71" s="54"/>
      <c r="BL71" s="78"/>
    </row>
    <row r="72" spans="1:64" ht="12.75" customHeight="1" x14ac:dyDescent="0.2">
      <c r="A72" s="67"/>
      <c r="B72" s="742" t="s">
        <v>33</v>
      </c>
      <c r="C72" s="743"/>
      <c r="D72" s="744"/>
      <c r="E72" s="89">
        <f>IF(Z38=0,"",CORREL(Z4:Z34,R4:R34))</f>
        <v>-0.46601303079961409</v>
      </c>
      <c r="F72" s="576">
        <f>IF(Z38=0,"",ABS(E72))</f>
        <v>0.46601303079961409</v>
      </c>
      <c r="G72" s="574">
        <f>IF(Z38=0,"",IF(AQ86&lt;0.5,"n/a",CORREL(Y4:Y34,R4:R34)))</f>
        <v>-0.45564086136928522</v>
      </c>
      <c r="H72" s="102"/>
      <c r="I72" s="21"/>
      <c r="J72" s="20"/>
      <c r="K72" s="21"/>
      <c r="O72" s="20"/>
      <c r="Q72" s="122"/>
      <c r="S72" s="100"/>
      <c r="T72" s="166"/>
      <c r="W72" s="24"/>
      <c r="X72" s="24"/>
      <c r="Y72" s="192"/>
      <c r="Z72" s="24"/>
      <c r="AA72" s="24"/>
      <c r="AB72" s="24"/>
      <c r="AC72" s="24"/>
      <c r="AF72" s="6"/>
      <c r="AH72" s="713">
        <f t="array" ref="AH72">MAX(FREQUENCY(IF(BH91:BH121=1,ROW(91:121)),IF(BH91:BH121&lt;&gt;1,ROW(91:121))))</f>
        <v>5</v>
      </c>
      <c r="AI72" s="713"/>
      <c r="AJ72" s="4"/>
      <c r="AK72" s="68"/>
      <c r="AL72" s="474"/>
      <c r="AM72" s="136"/>
      <c r="AN72" s="185" t="s">
        <v>123</v>
      </c>
      <c r="AO72" s="409"/>
      <c r="AP72" s="767"/>
      <c r="AQ72" s="767"/>
      <c r="AR72" s="6"/>
      <c r="AT72" s="307" t="s">
        <v>87</v>
      </c>
      <c r="AU72" s="307"/>
      <c r="AV72" s="571"/>
      <c r="AW72" s="571"/>
      <c r="AX72" s="361">
        <v>24</v>
      </c>
      <c r="AY72" s="23">
        <f t="shared" si="20"/>
        <v>5.6</v>
      </c>
      <c r="AZ72" s="50"/>
      <c r="BA72" s="26">
        <f t="shared" si="22"/>
        <v>0.49538461538461531</v>
      </c>
      <c r="BB72" s="25">
        <f t="shared" si="21"/>
        <v>0</v>
      </c>
      <c r="BC72" s="25">
        <f>IF(ISBLANK(G27),"",(AVERAGE($AY$49:AY72)))</f>
        <v>5.895833333333333</v>
      </c>
      <c r="BD72" s="13">
        <f t="shared" si="23"/>
        <v>0.24656650641025979</v>
      </c>
      <c r="BE72" s="6"/>
      <c r="BF72" s="444">
        <v>0.34652777777777777</v>
      </c>
      <c r="BG72" s="444">
        <v>0.64583333333333337</v>
      </c>
      <c r="BH72" s="444" t="s">
        <v>814</v>
      </c>
      <c r="BI72" s="444" t="s">
        <v>233</v>
      </c>
      <c r="BJ72" s="635">
        <v>1.1805555555555555E-2</v>
      </c>
      <c r="BK72" s="54"/>
      <c r="BL72" s="78"/>
    </row>
    <row r="73" spans="1:64" ht="12.75" customHeight="1" x14ac:dyDescent="0.2">
      <c r="A73" s="67"/>
      <c r="B73" s="742" t="s">
        <v>61</v>
      </c>
      <c r="C73" s="743"/>
      <c r="D73" s="744"/>
      <c r="E73" s="89">
        <f>IF(Z38=0,"",CORREL(Z4:Z34,H4:H34))</f>
        <v>-3.6918878675990904E-2</v>
      </c>
      <c r="F73" s="576">
        <f>IF(Z38=0,"",ABS(E73))</f>
        <v>3.6918878675990904E-2</v>
      </c>
      <c r="H73" s="102"/>
      <c r="J73" s="20"/>
      <c r="K73" s="231"/>
      <c r="L73" s="4" t="s">
        <v>352</v>
      </c>
      <c r="M73" s="4" t="s">
        <v>10</v>
      </c>
      <c r="N73" s="122"/>
      <c r="O73" s="20"/>
      <c r="Q73" s="753" t="s">
        <v>103</v>
      </c>
      <c r="R73" s="754"/>
      <c r="S73" s="754"/>
      <c r="T73" s="754"/>
      <c r="U73" s="754"/>
      <c r="V73" s="754"/>
      <c r="W73" s="754"/>
      <c r="X73" s="754"/>
      <c r="Y73" s="754"/>
      <c r="Z73" s="754"/>
      <c r="AA73" s="754"/>
      <c r="AB73" s="755"/>
      <c r="AC73" s="303"/>
      <c r="AD73" s="772" t="s">
        <v>325</v>
      </c>
      <c r="AE73" s="773"/>
      <c r="AF73" s="6"/>
      <c r="AG73" s="650"/>
      <c r="AH73" s="650"/>
      <c r="AI73" s="650"/>
      <c r="AJ73" s="650"/>
      <c r="AK73" s="6"/>
      <c r="AL73" s="477"/>
      <c r="AM73" s="136"/>
      <c r="AN73" s="138">
        <f>IF(M53=0,"",AN67/M53)</f>
        <v>0.45161290322580644</v>
      </c>
      <c r="AO73" s="409"/>
      <c r="AP73" s="783" t="s">
        <v>269</v>
      </c>
      <c r="AQ73" s="661"/>
      <c r="AR73" s="6"/>
      <c r="AT73" s="587">
        <f>IF(AT67=0,"",AT67/M53)</f>
        <v>0.67741935483870963</v>
      </c>
      <c r="AU73" s="587"/>
      <c r="AV73" s="571"/>
      <c r="AW73" s="571"/>
      <c r="AX73" s="361">
        <v>25</v>
      </c>
      <c r="AY73" s="23">
        <f t="shared" si="20"/>
        <v>10.050000000000001</v>
      </c>
      <c r="AZ73" s="50"/>
      <c r="BA73" s="26">
        <f t="shared" si="22"/>
        <v>4.9796153846153848</v>
      </c>
      <c r="BB73" s="25">
        <f t="shared" si="21"/>
        <v>-0.44999999999999929</v>
      </c>
      <c r="BC73" s="25">
        <f>IF(ISBLANK(G28),"",(AVERAGE($AY$49:AY73)))</f>
        <v>6.0620000000000003</v>
      </c>
      <c r="BD73" s="13">
        <f t="shared" si="23"/>
        <v>0.43588846153846439</v>
      </c>
      <c r="BE73" s="6"/>
      <c r="BF73" s="444" t="s">
        <v>355</v>
      </c>
      <c r="BG73" s="444">
        <v>0.59375</v>
      </c>
      <c r="BH73" s="444">
        <v>0.63611111111111118</v>
      </c>
      <c r="BI73" s="444">
        <v>8.819444444444445E-2</v>
      </c>
      <c r="BJ73" s="635">
        <v>0.62430555555555556</v>
      </c>
      <c r="BK73" s="54"/>
      <c r="BL73" s="78"/>
    </row>
    <row r="74" spans="1:64" ht="12.75" customHeight="1" x14ac:dyDescent="0.2">
      <c r="A74" s="67"/>
      <c r="B74" s="742" t="s">
        <v>60</v>
      </c>
      <c r="C74" s="743"/>
      <c r="D74" s="744"/>
      <c r="E74" s="89">
        <f>IF(Z38=0,"",CORREL(Z4:Z34,G4:G34))</f>
        <v>9.2907605199124652E-2</v>
      </c>
      <c r="F74" s="576">
        <f>IF(Z38=0,"",ABS(E74))</f>
        <v>9.2907605199124652E-2</v>
      </c>
      <c r="G74" s="236"/>
      <c r="H74" s="747" t="s">
        <v>2</v>
      </c>
      <c r="I74" s="237" t="s">
        <v>203</v>
      </c>
      <c r="J74" s="245"/>
      <c r="K74" s="106">
        <f>F39</f>
        <v>3.2</v>
      </c>
      <c r="L74" s="108" t="str">
        <f>IF(ISBLANK(F4),"",(IF(M54=0,"n/a",(E34*K74-M53*F38)/M54)))</f>
        <v>n/a</v>
      </c>
      <c r="M74" s="106" t="str">
        <f>IF(ISBLANK(F4),"",IF(M54&gt;0,L74-F39,"n/a"))</f>
        <v>n/a</v>
      </c>
      <c r="N74" s="246" t="s">
        <v>142</v>
      </c>
      <c r="O74" s="67"/>
      <c r="Q74" s="733" t="s">
        <v>806</v>
      </c>
      <c r="R74" s="734"/>
      <c r="S74" s="734"/>
      <c r="T74" s="734"/>
      <c r="U74" s="734"/>
      <c r="V74" s="734"/>
      <c r="W74" s="734"/>
      <c r="X74" s="734"/>
      <c r="Y74" s="734"/>
      <c r="Z74" s="734"/>
      <c r="AA74" s="734"/>
      <c r="AB74" s="735"/>
      <c r="AC74" s="437"/>
      <c r="AD74" s="774"/>
      <c r="AE74" s="775"/>
      <c r="AF74" s="6"/>
      <c r="AG74" s="780" t="s">
        <v>130</v>
      </c>
      <c r="AH74" s="780"/>
      <c r="AI74" s="780"/>
      <c r="AJ74" s="780"/>
      <c r="AK74" s="316"/>
      <c r="AL74" s="477"/>
      <c r="AM74" s="136"/>
      <c r="AO74" s="88"/>
      <c r="AP74" s="661"/>
      <c r="AQ74" s="661"/>
      <c r="AR74" s="6"/>
      <c r="AV74" s="571"/>
      <c r="AW74" s="571"/>
      <c r="AX74" s="361">
        <v>26</v>
      </c>
      <c r="AY74" s="23">
        <f t="shared" si="20"/>
        <v>11.4</v>
      </c>
      <c r="AZ74" s="50"/>
      <c r="BA74" s="26">
        <f t="shared" si="22"/>
        <v>6.3638461538461542</v>
      </c>
      <c r="BB74" s="25">
        <f t="shared" si="21"/>
        <v>-0.19999999999999929</v>
      </c>
      <c r="BC74" s="25">
        <f>IF(ISBLANK(G29),"",(AVERAGE($AY$49:AY74)))</f>
        <v>6.2673076923076927</v>
      </c>
      <c r="BD74" s="13">
        <f t="shared" si="23"/>
        <v>0.66388683431953011</v>
      </c>
      <c r="BE74" s="6"/>
      <c r="BF74" s="444">
        <v>0.35416666666666669</v>
      </c>
      <c r="BG74" s="444">
        <v>0.55763888888888891</v>
      </c>
      <c r="BH74" s="444" t="s">
        <v>233</v>
      </c>
      <c r="BI74" s="444">
        <v>0.40625</v>
      </c>
      <c r="BJ74" s="635">
        <v>0.87222222222222223</v>
      </c>
      <c r="BK74" s="54"/>
      <c r="BL74" s="78"/>
    </row>
    <row r="75" spans="1:64" ht="12.75" customHeight="1" x14ac:dyDescent="0.2">
      <c r="A75" s="67"/>
      <c r="B75" s="742" t="s">
        <v>64</v>
      </c>
      <c r="C75" s="743"/>
      <c r="D75" s="744"/>
      <c r="E75" s="89">
        <f>IF(Z38=0,"",CORREL(Z4:Z34,I4:I34))</f>
        <v>0.40379564539004997</v>
      </c>
      <c r="F75" s="576">
        <f>IF(Z38=0,"",ABS(E75))</f>
        <v>0.40379564539004997</v>
      </c>
      <c r="G75" s="236"/>
      <c r="H75" s="746"/>
      <c r="I75" s="238" t="s">
        <v>149</v>
      </c>
      <c r="J75" s="191"/>
      <c r="K75" s="249">
        <f>F39</f>
        <v>3.2</v>
      </c>
      <c r="L75" s="91">
        <f>IF(ISBLANK(F4),"",(M54*K75+M53*F38)/E34)</f>
        <v>4.2806451612903222</v>
      </c>
      <c r="M75" s="232">
        <f>IF(ISBLANK(F4),"",L75-F39)</f>
        <v>1.0806451612903221</v>
      </c>
      <c r="N75" s="248" t="s">
        <v>148</v>
      </c>
      <c r="O75" s="67"/>
      <c r="Q75" s="736"/>
      <c r="R75" s="737"/>
      <c r="S75" s="737"/>
      <c r="T75" s="737"/>
      <c r="U75" s="737"/>
      <c r="V75" s="737"/>
      <c r="W75" s="737"/>
      <c r="X75" s="737"/>
      <c r="Y75" s="737"/>
      <c r="Z75" s="737"/>
      <c r="AA75" s="737"/>
      <c r="AB75" s="738"/>
      <c r="AC75" s="437"/>
      <c r="AD75" s="774"/>
      <c r="AE75" s="775"/>
      <c r="AF75" s="6"/>
      <c r="AH75" s="781">
        <f t="array" ref="AH75">MAX(FREQUENCY(IF(AY91:AY121=1,ROW(91:121)),IF(AY91:AY121&lt;&gt;1,ROW(91:121))))</f>
        <v>6</v>
      </c>
      <c r="AI75" s="781"/>
      <c r="AJ75" s="5"/>
      <c r="AK75" s="84"/>
      <c r="AL75" s="5"/>
      <c r="AM75" s="136"/>
      <c r="AN75" s="184" t="s">
        <v>293</v>
      </c>
      <c r="AO75" s="88"/>
      <c r="AP75" s="661"/>
      <c r="AQ75" s="661"/>
      <c r="AR75" s="6"/>
      <c r="AT75" s="589" t="s">
        <v>84</v>
      </c>
      <c r="AU75" s="589"/>
      <c r="AV75" s="571"/>
      <c r="AW75" s="571"/>
      <c r="AX75" s="361">
        <v>27</v>
      </c>
      <c r="AY75" s="23">
        <f t="shared" si="20"/>
        <v>9.3000000000000007</v>
      </c>
      <c r="AZ75" s="50"/>
      <c r="BA75" s="26">
        <f t="shared" si="22"/>
        <v>4.2980769230769234</v>
      </c>
      <c r="BB75" s="25">
        <f t="shared" si="21"/>
        <v>-0.5</v>
      </c>
      <c r="BC75" s="25">
        <f>IF(ISBLANK(G30),"",(AVERAGE($AY$49:AY75)))</f>
        <v>6.3796296296296306</v>
      </c>
      <c r="BD75" s="13">
        <f t="shared" si="23"/>
        <v>0.79848646723647043</v>
      </c>
      <c r="BE75" s="6"/>
      <c r="BF75" s="444">
        <v>0.33333333333333331</v>
      </c>
      <c r="BG75" s="444">
        <v>0.47847222222222219</v>
      </c>
      <c r="BH75" s="444">
        <v>0.72361111111111109</v>
      </c>
      <c r="BI75" s="444" t="s">
        <v>233</v>
      </c>
      <c r="BJ75" s="635">
        <v>1.6666666666666666E-2</v>
      </c>
      <c r="BK75" s="54"/>
      <c r="BL75" s="78"/>
    </row>
    <row r="76" spans="1:64" ht="12.75" customHeight="1" x14ac:dyDescent="0.2">
      <c r="A76" s="67"/>
      <c r="B76" s="742" t="s">
        <v>62</v>
      </c>
      <c r="C76" s="743"/>
      <c r="D76" s="744"/>
      <c r="E76" s="89">
        <f>IF(Z38=0,"",CORREL(Z4:Z34,M4:M34))</f>
        <v>0.16529060965395537</v>
      </c>
      <c r="F76" s="576">
        <f>IF(Z38=0,"",ABS(E76))</f>
        <v>0.16529060965395537</v>
      </c>
      <c r="G76" s="236"/>
      <c r="H76" s="745" t="s">
        <v>3</v>
      </c>
      <c r="I76" s="237" t="s">
        <v>203</v>
      </c>
      <c r="J76" s="191"/>
      <c r="K76" s="90">
        <f>G39</f>
        <v>7.8</v>
      </c>
      <c r="L76" s="38" t="str">
        <f>IF(ISBLANK(G4),"",IF(M54&gt;0,(E34*K76-G38*M53)/M54,"n/a"))</f>
        <v>n/a</v>
      </c>
      <c r="M76" s="90" t="str">
        <f>IF(ISBLANK(G4),"",IF(M54&gt;0,L76-G39,"n/a"))</f>
        <v>n/a</v>
      </c>
      <c r="N76" s="247" t="s">
        <v>142</v>
      </c>
      <c r="O76" s="67"/>
      <c r="Q76" s="864" t="s">
        <v>807</v>
      </c>
      <c r="R76" s="865"/>
      <c r="S76" s="865"/>
      <c r="T76" s="865"/>
      <c r="U76" s="865"/>
      <c r="V76" s="865"/>
      <c r="W76" s="865"/>
      <c r="X76" s="865"/>
      <c r="Y76" s="865"/>
      <c r="Z76" s="865"/>
      <c r="AA76" s="865"/>
      <c r="AB76" s="866"/>
      <c r="AC76" s="437"/>
      <c r="AD76" s="774"/>
      <c r="AE76" s="775"/>
      <c r="AF76" s="6"/>
      <c r="AK76" s="6"/>
      <c r="AM76" s="136"/>
      <c r="AN76" s="5">
        <f>COUNTIF(AP4:AP34, "0")</f>
        <v>6</v>
      </c>
      <c r="AO76" s="88"/>
      <c r="AP76" s="782" t="s">
        <v>272</v>
      </c>
      <c r="AQ76" s="782"/>
      <c r="AR76" s="6"/>
      <c r="AT76" s="188">
        <f>AN94</f>
        <v>7</v>
      </c>
      <c r="AU76" s="188"/>
      <c r="AV76" s="571"/>
      <c r="AW76" s="571"/>
      <c r="AX76" s="361">
        <v>28</v>
      </c>
      <c r="AY76" s="23">
        <f t="shared" si="20"/>
        <v>8.1999999999999993</v>
      </c>
      <c r="AZ76" s="50"/>
      <c r="BA76" s="26">
        <f t="shared" si="22"/>
        <v>3.2323076923076925</v>
      </c>
      <c r="BB76" s="25">
        <f t="shared" si="21"/>
        <v>-0.5</v>
      </c>
      <c r="BC76" s="25">
        <f>IF(ISBLANK(G31),"",(AVERAGE($AY$49:AY76)))</f>
        <v>6.444642857142858</v>
      </c>
      <c r="BD76" s="13">
        <f t="shared" si="23"/>
        <v>0.88540865384615697</v>
      </c>
      <c r="BE76" s="6"/>
      <c r="BF76" s="444">
        <v>0</v>
      </c>
      <c r="BG76" s="444">
        <v>0.47152777777777777</v>
      </c>
      <c r="BH76" s="444">
        <v>0.6791666666666667</v>
      </c>
      <c r="BI76" s="444">
        <v>0.34375</v>
      </c>
      <c r="BJ76" s="635">
        <v>0.64236111111111105</v>
      </c>
      <c r="BK76" s="54"/>
      <c r="BL76" s="78"/>
    </row>
    <row r="77" spans="1:64" ht="12.75" customHeight="1" x14ac:dyDescent="0.2">
      <c r="A77" s="67"/>
      <c r="B77" s="742" t="s">
        <v>95</v>
      </c>
      <c r="C77" s="743"/>
      <c r="D77" s="744"/>
      <c r="E77" s="89">
        <f>IF(Z38=0,"",CORREL(Z4:Z34,L4:L34))</f>
        <v>0.44032071142151441</v>
      </c>
      <c r="F77" s="576">
        <f>IF(Z38=0,"",ABS(E77))</f>
        <v>0.44032071142151441</v>
      </c>
      <c r="G77" s="236"/>
      <c r="H77" s="746"/>
      <c r="I77" s="238" t="s">
        <v>149</v>
      </c>
      <c r="J77" s="191"/>
      <c r="K77" s="249">
        <f>G39</f>
        <v>7.8</v>
      </c>
      <c r="L77" s="91">
        <f>IF(ISBLANK(G4),"",(M54*K77+M53*G38)/E34)</f>
        <v>9.0870967741935491</v>
      </c>
      <c r="M77" s="233">
        <f>IF(ISBLANK(G4),"",L77-G39)</f>
        <v>1.2870967741935493</v>
      </c>
      <c r="N77" s="248" t="s">
        <v>148</v>
      </c>
      <c r="O77" s="67"/>
      <c r="Q77" s="864"/>
      <c r="R77" s="865"/>
      <c r="S77" s="865"/>
      <c r="T77" s="865"/>
      <c r="U77" s="865"/>
      <c r="V77" s="865"/>
      <c r="W77" s="865"/>
      <c r="X77" s="865"/>
      <c r="Y77" s="865"/>
      <c r="Z77" s="865"/>
      <c r="AA77" s="865"/>
      <c r="AB77" s="866"/>
      <c r="AC77" s="437"/>
      <c r="AD77" s="774"/>
      <c r="AE77" s="775"/>
      <c r="AF77" s="6"/>
      <c r="AK77" s="6"/>
      <c r="AM77" s="136"/>
      <c r="AN77" s="105"/>
      <c r="AO77" s="410"/>
      <c r="AP77" s="782"/>
      <c r="AQ77" s="782"/>
      <c r="AR77" s="6"/>
      <c r="AT77" s="21"/>
      <c r="AU77" s="21"/>
      <c r="AV77" s="571"/>
      <c r="AW77" s="571"/>
      <c r="AX77" s="361">
        <v>29</v>
      </c>
      <c r="AY77" s="23">
        <f t="shared" si="20"/>
        <v>7.35</v>
      </c>
      <c r="AZ77" s="50"/>
      <c r="BA77" s="26">
        <f t="shared" si="22"/>
        <v>2.4165384615384613</v>
      </c>
      <c r="BB77" s="25">
        <f t="shared" si="21"/>
        <v>0.34999999999999964</v>
      </c>
      <c r="BC77" s="25">
        <f>IF(ISBLANK(G32),"",(AVERAGE($AY$49:AY77)))</f>
        <v>6.475862068965518</v>
      </c>
      <c r="BD77" s="13">
        <f t="shared" si="23"/>
        <v>0.9382062334217538</v>
      </c>
      <c r="BE77" s="6"/>
      <c r="BF77" s="444">
        <v>0.15416666666666667</v>
      </c>
      <c r="BG77" s="444">
        <v>0.67222222222222217</v>
      </c>
      <c r="BH77" s="444" t="s">
        <v>657</v>
      </c>
      <c r="BI77" s="444" t="s">
        <v>816</v>
      </c>
      <c r="BJ77" s="635">
        <v>0.64027777777777783</v>
      </c>
      <c r="BK77" s="54"/>
      <c r="BL77" s="78"/>
    </row>
    <row r="78" spans="1:64" ht="12.75" customHeight="1" x14ac:dyDescent="0.2">
      <c r="A78" s="67"/>
      <c r="B78" s="742" t="s">
        <v>63</v>
      </c>
      <c r="C78" s="743"/>
      <c r="D78" s="744"/>
      <c r="E78" s="89">
        <f>IF(Z38=0,"",CORREL(Z4:Z34,N4:N34))</f>
        <v>0.17762426938130796</v>
      </c>
      <c r="F78" s="576">
        <f>IF(Z38=0,"",ABS(E78))</f>
        <v>0.17762426938130796</v>
      </c>
      <c r="G78" s="236"/>
      <c r="H78" s="745" t="s">
        <v>4</v>
      </c>
      <c r="I78" s="237" t="s">
        <v>203</v>
      </c>
      <c r="J78" s="191"/>
      <c r="K78" s="90">
        <f>AY81</f>
        <v>5.5</v>
      </c>
      <c r="L78" s="38" t="str">
        <f>IF(ISBLANK(F4),"",IF(M54&gt;0,(E34*K78-AY80*M53)/M54,"n/a"))</f>
        <v>n/a</v>
      </c>
      <c r="M78" s="90" t="str">
        <f>IF(ISBLANK(F4),"",IF(M54&gt;0,L78-AY81,"n/a"))</f>
        <v>n/a</v>
      </c>
      <c r="N78" s="247" t="s">
        <v>142</v>
      </c>
      <c r="O78" s="67"/>
      <c r="Q78" s="867"/>
      <c r="R78" s="868"/>
      <c r="S78" s="868"/>
      <c r="T78" s="868"/>
      <c r="U78" s="868"/>
      <c r="V78" s="868"/>
      <c r="W78" s="868"/>
      <c r="X78" s="868"/>
      <c r="Y78" s="868"/>
      <c r="Z78" s="868"/>
      <c r="AA78" s="868"/>
      <c r="AB78" s="869"/>
      <c r="AC78" s="437"/>
      <c r="AD78" s="774"/>
      <c r="AE78" s="775"/>
      <c r="AF78" s="6"/>
      <c r="AG78" s="804" t="s">
        <v>273</v>
      </c>
      <c r="AH78" s="804"/>
      <c r="AI78" s="804"/>
      <c r="AJ78" s="804"/>
      <c r="AK78" s="317"/>
      <c r="AL78" s="308"/>
      <c r="AM78" s="136"/>
      <c r="AN78" s="230" t="s">
        <v>175</v>
      </c>
      <c r="AO78" s="88"/>
      <c r="AP78" s="782"/>
      <c r="AQ78" s="782"/>
      <c r="AR78" s="6"/>
      <c r="AT78" s="189" t="s">
        <v>83</v>
      </c>
      <c r="AU78" s="189"/>
      <c r="AV78" s="603"/>
      <c r="AW78" s="571"/>
      <c r="AX78" s="361">
        <v>30</v>
      </c>
      <c r="AY78" s="23">
        <f t="shared" si="20"/>
        <v>7.85</v>
      </c>
      <c r="AZ78" s="50"/>
      <c r="BA78" s="26">
        <f t="shared" si="22"/>
        <v>2.9507692307692306</v>
      </c>
      <c r="BB78" s="38">
        <f t="shared" si="21"/>
        <v>1.1499999999999995</v>
      </c>
      <c r="BC78" s="38">
        <f>IF(ISBLANK(G33),"",(AVERAGE($AY$49:AY78)))</f>
        <v>6.5216666666666665</v>
      </c>
      <c r="BD78" s="13">
        <f t="shared" si="23"/>
        <v>1.0052916666666702</v>
      </c>
      <c r="BE78" s="6"/>
      <c r="BF78" s="444">
        <v>0.36805555555555558</v>
      </c>
      <c r="BG78" s="444">
        <v>0.58333333333333337</v>
      </c>
      <c r="BH78" s="444" t="s">
        <v>815</v>
      </c>
      <c r="BI78" s="444" t="s">
        <v>233</v>
      </c>
      <c r="BJ78" s="635">
        <v>9.7222222222222224E-3</v>
      </c>
      <c r="BK78" s="54"/>
      <c r="BL78" s="78"/>
    </row>
    <row r="79" spans="1:64" ht="12.75" customHeight="1" x14ac:dyDescent="0.2">
      <c r="A79" s="67"/>
      <c r="B79" s="742" t="s">
        <v>76</v>
      </c>
      <c r="C79" s="743"/>
      <c r="D79" s="744"/>
      <c r="E79" s="89">
        <f>IF(Z38=0,"",CORREL(Z4:Z34,F4:F34))</f>
        <v>-0.15185331601295807</v>
      </c>
      <c r="F79" s="576">
        <f>IF(Z38=0,"",ABS(E79))</f>
        <v>0.15185331601295807</v>
      </c>
      <c r="G79" s="236"/>
      <c r="H79" s="746"/>
      <c r="I79" s="238" t="s">
        <v>149</v>
      </c>
      <c r="J79" s="191"/>
      <c r="K79" s="250">
        <f>AVERAGE(K75,K77)</f>
        <v>5.5</v>
      </c>
      <c r="L79" s="38">
        <f>IF(ISBLANK(F4),"",(M54*K79+M53*AY80)/E34)</f>
        <v>6.6838709677419352</v>
      </c>
      <c r="M79" s="234">
        <f>IF(ISBLANK(F4),"",L79-AY81)</f>
        <v>1.1838709677419352</v>
      </c>
      <c r="N79" s="248" t="s">
        <v>148</v>
      </c>
      <c r="O79" s="67"/>
      <c r="Q79" s="787"/>
      <c r="R79" s="788"/>
      <c r="S79" s="788"/>
      <c r="T79" s="788"/>
      <c r="U79" s="788"/>
      <c r="V79" s="788"/>
      <c r="W79" s="788"/>
      <c r="X79" s="788"/>
      <c r="Y79" s="788"/>
      <c r="Z79" s="788"/>
      <c r="AA79" s="788"/>
      <c r="AB79" s="789"/>
      <c r="AC79" s="437"/>
      <c r="AD79" s="774"/>
      <c r="AE79" s="775"/>
      <c r="AF79" s="6"/>
      <c r="AH79" s="778"/>
      <c r="AI79" s="778"/>
      <c r="AJ79" s="52"/>
      <c r="AK79" s="318"/>
      <c r="AL79" s="309"/>
      <c r="AM79" s="136"/>
      <c r="AN79" s="4">
        <f t="array" ref="AN79">MAX(FREQUENCY(IF(AV91:AV121=1,ROW(91:121)),IF(AV91:AV121&lt;&gt;1,ROW(91:121))))</f>
        <v>4</v>
      </c>
      <c r="AO79" s="88"/>
      <c r="AP79" s="860" t="s">
        <v>277</v>
      </c>
      <c r="AQ79" s="860"/>
      <c r="AR79" s="6"/>
      <c r="AT79" s="5">
        <f>AN95</f>
        <v>4</v>
      </c>
      <c r="AU79" s="5"/>
      <c r="AV79" s="5"/>
      <c r="AX79" s="386">
        <v>31</v>
      </c>
      <c r="AY79" s="387">
        <f t="shared" si="20"/>
        <v>11.55</v>
      </c>
      <c r="AZ79" s="388"/>
      <c r="BA79" s="101">
        <f t="shared" si="22"/>
        <v>6.6849999999999996</v>
      </c>
      <c r="BB79" s="91">
        <f t="shared" si="21"/>
        <v>-0.14999999999999858</v>
      </c>
      <c r="BC79" s="91">
        <f>IF(ISBLANK(G34),"",(AVERAGE($AY$49:AY79)))</f>
        <v>6.6838709677419361</v>
      </c>
      <c r="BD79" s="241">
        <f t="shared" si="23"/>
        <v>1.1885080645161319</v>
      </c>
      <c r="BE79" s="243"/>
      <c r="BF79" s="463" t="s">
        <v>355</v>
      </c>
      <c r="BG79" s="463">
        <v>0.625</v>
      </c>
      <c r="BH79" s="463">
        <v>0.61875000000000002</v>
      </c>
      <c r="BI79" s="463">
        <v>2.361111111111111E-2</v>
      </c>
      <c r="BJ79" s="463">
        <v>0.57152777777777775</v>
      </c>
      <c r="BK79" s="58"/>
      <c r="BL79" s="78"/>
    </row>
    <row r="80" spans="1:64" ht="12.75" customHeight="1" x14ac:dyDescent="0.2">
      <c r="A80" s="67"/>
      <c r="B80" s="742" t="s">
        <v>75</v>
      </c>
      <c r="C80" s="743"/>
      <c r="D80" s="744"/>
      <c r="E80" s="89">
        <f>IF(Z38=0,"",CORREL(Z4:Z34,K4:K34))</f>
        <v>0.10008267832319337</v>
      </c>
      <c r="F80" s="576">
        <f>IF(Z38=0,"",ABS(E80))</f>
        <v>0.10008267832319337</v>
      </c>
      <c r="G80" s="236"/>
      <c r="H80" s="745" t="s">
        <v>5</v>
      </c>
      <c r="I80" s="237" t="s">
        <v>203</v>
      </c>
      <c r="J80" s="191"/>
      <c r="K80" s="106">
        <f>K76-K74</f>
        <v>4.5999999999999996</v>
      </c>
      <c r="L80" s="108" t="str">
        <f>IF(ISBLANK(F4),"",IF(M54&gt;0,(E34*K80-I38*M53)/M54,"n/a"))</f>
        <v>n/a</v>
      </c>
      <c r="M80" s="90" t="str">
        <f>IF(ISBLANK(F4),"",IF(M54&gt;0,L80-I39,"n/a"))</f>
        <v>n/a</v>
      </c>
      <c r="N80" s="247" t="s">
        <v>142</v>
      </c>
      <c r="O80" s="67"/>
      <c r="Q80" s="870"/>
      <c r="R80" s="871"/>
      <c r="S80" s="871"/>
      <c r="T80" s="871"/>
      <c r="U80" s="871"/>
      <c r="V80" s="871"/>
      <c r="W80" s="871"/>
      <c r="X80" s="871"/>
      <c r="Y80" s="871"/>
      <c r="Z80" s="871"/>
      <c r="AA80" s="871"/>
      <c r="AB80" s="872"/>
      <c r="AC80" s="437"/>
      <c r="AD80" s="774"/>
      <c r="AE80" s="775"/>
      <c r="AF80" s="6"/>
      <c r="AK80" s="319"/>
      <c r="AL80" s="99"/>
      <c r="AM80" s="136"/>
      <c r="AO80" s="88"/>
      <c r="AP80" s="860"/>
      <c r="AQ80" s="860"/>
      <c r="AR80" s="6"/>
      <c r="AS80" s="4"/>
      <c r="AT80" s="4"/>
      <c r="AU80" s="4"/>
      <c r="AV80" s="4"/>
      <c r="AX80" s="11" t="s">
        <v>4</v>
      </c>
      <c r="AY80" s="57">
        <f>IF(ISBLANK(G4),"",AVERAGE(F4:G34))</f>
        <v>6.6838709677419352</v>
      </c>
      <c r="AZ80" s="362"/>
      <c r="BB80" s="7">
        <f>IF(ISBLANK(H4),"",AVERAGE(BB49:BB79))</f>
        <v>-0.16451612903225807</v>
      </c>
      <c r="BC80" s="114">
        <f ca="1">IF(ISBLANK(G4),"",(AVERAGE(OFFSET(AY49,0,0,M53,1))))</f>
        <v>6.6838709677419361</v>
      </c>
      <c r="BD80" s="585">
        <f ca="1">IF(ISBLANK(H4),"",BC80-D120)</f>
        <v>1.1838709677419361</v>
      </c>
      <c r="BE80" s="6"/>
      <c r="BF80" s="341">
        <f>IF(ISBLANK(BF50),"",AVERAGE(BF49:BF79))</f>
        <v>0.23914609053497948</v>
      </c>
      <c r="BG80" s="340">
        <f>IF(ISBLANK(BG49),"",AVERAGE(BG49:BG79))</f>
        <v>0.57271825396825393</v>
      </c>
      <c r="BH80" s="339">
        <f>IF(ISBLANK(BH51),"",AVERAGE(BH49:BH79))</f>
        <v>0.60290404040404055</v>
      </c>
      <c r="BI80" s="338">
        <f>IF(ISBLANK(BI49),"",AVERAGE(BI49:BI79))</f>
        <v>0.25582561728395059</v>
      </c>
      <c r="BJ80" s="337">
        <f>IF(ISBLANK(BJ54),"",AVERAGE(BJ49:BJ79))</f>
        <v>0.50056089743589749</v>
      </c>
      <c r="BK80" s="19"/>
      <c r="BL80" s="78"/>
    </row>
    <row r="81" spans="1:64" ht="12.75" customHeight="1" thickBot="1" x14ac:dyDescent="0.25">
      <c r="A81" s="67"/>
      <c r="B81" s="740"/>
      <c r="C81" s="741"/>
      <c r="D81" s="741"/>
      <c r="E81" s="159"/>
      <c r="F81" s="25"/>
      <c r="G81" s="236"/>
      <c r="H81" s="752"/>
      <c r="I81" s="281" t="s">
        <v>149</v>
      </c>
      <c r="J81" s="191"/>
      <c r="K81" s="252">
        <f>K77-K75</f>
        <v>4.5999999999999996</v>
      </c>
      <c r="L81" s="167">
        <f>IF(ISBLANK(F4),"",(M54*K81+M53*I38)/E34)</f>
        <v>4.8032258064516133</v>
      </c>
      <c r="M81" s="235">
        <f>IF(ISBLANK(F4),"",L81-I39)</f>
        <v>0.2032258064516137</v>
      </c>
      <c r="N81" s="279" t="s">
        <v>148</v>
      </c>
      <c r="O81" s="67"/>
      <c r="P81" s="454"/>
      <c r="Q81" s="873"/>
      <c r="R81" s="874"/>
      <c r="S81" s="874"/>
      <c r="T81" s="874"/>
      <c r="U81" s="874"/>
      <c r="V81" s="874"/>
      <c r="W81" s="874"/>
      <c r="X81" s="874"/>
      <c r="Y81" s="874"/>
      <c r="Z81" s="874"/>
      <c r="AA81" s="874"/>
      <c r="AB81" s="875"/>
      <c r="AC81" s="437"/>
      <c r="AD81" s="774"/>
      <c r="AE81" s="775"/>
      <c r="AF81" s="6"/>
      <c r="AG81" s="779" t="s">
        <v>275</v>
      </c>
      <c r="AH81" s="779"/>
      <c r="AI81" s="779"/>
      <c r="AJ81" s="779"/>
      <c r="AK81" s="222"/>
      <c r="AM81" s="136"/>
      <c r="AN81" s="183" t="s">
        <v>176</v>
      </c>
      <c r="AO81" s="411"/>
      <c r="AP81" s="860"/>
      <c r="AQ81" s="860"/>
      <c r="AR81" s="6"/>
      <c r="AT81" s="588" t="s">
        <v>194</v>
      </c>
      <c r="AU81" s="588"/>
      <c r="AX81" s="4" t="s">
        <v>9</v>
      </c>
      <c r="AY81" s="379">
        <f>AVERAGE(F39:G39)</f>
        <v>5.5</v>
      </c>
      <c r="AZ81" s="363"/>
      <c r="BB81" s="713" t="s">
        <v>173</v>
      </c>
      <c r="BC81" s="713"/>
      <c r="BE81" s="6"/>
      <c r="BK81" s="67"/>
      <c r="BL81" s="78"/>
    </row>
    <row r="82" spans="1:64" ht="12.75" customHeight="1" x14ac:dyDescent="0.2">
      <c r="A82" s="67"/>
      <c r="B82" s="764" t="s">
        <v>4</v>
      </c>
      <c r="C82" s="765"/>
      <c r="D82" s="765"/>
      <c r="E82" s="218">
        <f>IF(Z38=0,"",AVERAGE(F72:F80))</f>
        <v>0.22608963831752316</v>
      </c>
      <c r="F82" s="25"/>
      <c r="G82" s="236"/>
      <c r="H82" s="766" t="s">
        <v>13</v>
      </c>
      <c r="I82" s="237" t="s">
        <v>203</v>
      </c>
      <c r="J82" s="191"/>
      <c r="K82" s="164">
        <f>R39</f>
        <v>1013.25</v>
      </c>
      <c r="L82" s="168" t="str">
        <f>IF(ISBLANK(P4),"",IF(M54&gt;0,(E34*K82-R38*M53)/M54,"n/a"))</f>
        <v>n/a</v>
      </c>
      <c r="M82" s="164" t="str">
        <f>IF(ISBLANK(P4),"",IF(M54&gt;0,L82-R39,"n/a"))</f>
        <v>n/a</v>
      </c>
      <c r="N82" s="247" t="s">
        <v>142</v>
      </c>
      <c r="O82" s="67"/>
      <c r="Q82" s="814"/>
      <c r="R82" s="815"/>
      <c r="S82" s="815"/>
      <c r="T82" s="815"/>
      <c r="U82" s="815"/>
      <c r="V82" s="815"/>
      <c r="W82" s="815"/>
      <c r="X82" s="815"/>
      <c r="Y82" s="815"/>
      <c r="Z82" s="815"/>
      <c r="AA82" s="815"/>
      <c r="AB82" s="816"/>
      <c r="AC82" s="436"/>
      <c r="AD82" s="551"/>
      <c r="AE82" s="551"/>
      <c r="AF82" s="6"/>
      <c r="AH82" s="636" t="s">
        <v>205</v>
      </c>
      <c r="AI82" s="636"/>
      <c r="AJ82" s="52"/>
      <c r="AK82" s="320"/>
      <c r="AL82" s="307"/>
      <c r="AM82" s="136"/>
      <c r="AN82" s="332">
        <f t="array" ref="AN82">MAX(FREQUENCY(IF(AV91:AV121=0,ROW(91:121)),IF(AV91:AV121&lt;&gt;0,ROW(91:121))))</f>
        <v>5</v>
      </c>
      <c r="AO82" s="412"/>
      <c r="AP82" s="822" t="s">
        <v>526</v>
      </c>
      <c r="AQ82" s="823"/>
      <c r="AR82" s="6"/>
      <c r="AT82" s="138">
        <f>IF(AN48=0,"n/a",AN48/AT67)</f>
        <v>1</v>
      </c>
      <c r="AU82" s="138"/>
      <c r="AX82" s="4" t="s">
        <v>10</v>
      </c>
      <c r="AY82" s="57">
        <f>IF(ISBLANK(F4),"",AY80-AY81)</f>
        <v>1.1838709677419352</v>
      </c>
      <c r="AZ82" s="311"/>
      <c r="BA82" s="148" t="s">
        <v>158</v>
      </c>
      <c r="BB82" s="275" t="s">
        <v>145</v>
      </c>
      <c r="BC82" s="276" t="s">
        <v>146</v>
      </c>
      <c r="BE82" s="6"/>
      <c r="BF82" s="431">
        <f>MAX(BF49:BF79)-MIN(BF49:BF79)</f>
        <v>0.38194444444444442</v>
      </c>
      <c r="BG82" s="431">
        <f>MAX(BG49:BG79)-MIN(BG49:BG79)</f>
        <v>0.2006944444444444</v>
      </c>
      <c r="BH82" s="431">
        <f>MAX(BH49:BH79)-MIN(BH49:BH79)</f>
        <v>0.28611111111111109</v>
      </c>
      <c r="BI82" s="431">
        <f>MAX(BI49:BI79)-MIN(BI49:BI79)</f>
        <v>0.47638888888888892</v>
      </c>
      <c r="BJ82" s="431">
        <f>MAX(BJ49:BJ79)-MIN(BJ49:BJ79)</f>
        <v>0.90833333333333344</v>
      </c>
      <c r="BK82" s="67"/>
      <c r="BL82" s="78"/>
    </row>
    <row r="83" spans="1:64" ht="12.75" customHeight="1" thickBot="1" x14ac:dyDescent="0.25">
      <c r="A83" s="67"/>
      <c r="B83" s="756" t="s">
        <v>34</v>
      </c>
      <c r="C83" s="757"/>
      <c r="D83" s="757"/>
      <c r="E83" s="219">
        <f>AN93+AN98</f>
        <v>0</v>
      </c>
      <c r="F83" s="85" t="s">
        <v>91</v>
      </c>
      <c r="G83" s="236"/>
      <c r="H83" s="746"/>
      <c r="I83" s="238" t="s">
        <v>149</v>
      </c>
      <c r="J83" s="242"/>
      <c r="K83" s="251">
        <f>K82</f>
        <v>1013.25</v>
      </c>
      <c r="L83" s="119">
        <f>IF(ISBLANK(P4),"",SUM(M54*K83+M53*R38)/E34)</f>
        <v>1011.4354838709677</v>
      </c>
      <c r="M83" s="169">
        <f>IF(ISBLANK(P4),"",L83-R39)</f>
        <v>-1.8145161290323131</v>
      </c>
      <c r="N83" s="248" t="s">
        <v>148</v>
      </c>
      <c r="O83" s="67"/>
      <c r="Q83" s="861"/>
      <c r="R83" s="862"/>
      <c r="S83" s="862"/>
      <c r="T83" s="862"/>
      <c r="U83" s="862"/>
      <c r="V83" s="862"/>
      <c r="W83" s="862"/>
      <c r="X83" s="862"/>
      <c r="Y83" s="862"/>
      <c r="Z83" s="862"/>
      <c r="AA83" s="862"/>
      <c r="AB83" s="863"/>
      <c r="AC83" s="436"/>
      <c r="AD83" s="550"/>
      <c r="AE83" s="550"/>
      <c r="AF83" s="6"/>
      <c r="AK83" s="312"/>
      <c r="AM83" s="136"/>
      <c r="AO83" s="88"/>
      <c r="AP83" s="823"/>
      <c r="AQ83" s="823"/>
      <c r="AR83" s="67"/>
      <c r="AZ83" s="6"/>
      <c r="BA83" s="25">
        <f>E91/3</f>
        <v>1.5333333333333332</v>
      </c>
      <c r="BB83" s="274">
        <f>AY81-BA83</f>
        <v>3.9666666666666668</v>
      </c>
      <c r="BC83" s="273">
        <f>AY81+BA83</f>
        <v>7.0333333333333332</v>
      </c>
      <c r="BE83" s="6"/>
      <c r="BF83" s="334">
        <f>IF(ISBLANK(BF50),"",STDEV(BF49:BF79))</f>
        <v>0.13596783353589703</v>
      </c>
      <c r="BG83" s="334">
        <f>IF(ISBLANK(BG50),"",STDEV(BG49:BG79))</f>
        <v>5.3808983499096949E-2</v>
      </c>
      <c r="BH83" s="334">
        <f>IF(ISBLANK(BH51),"",STDEV(BH49:BH79))</f>
        <v>6.5978883109729894E-2</v>
      </c>
      <c r="BI83" s="334">
        <f>IF(ISBLANK(BI51),"",STDEV(BI49:BI79))</f>
        <v>0.17721106486626184</v>
      </c>
      <c r="BJ83" s="334">
        <f>IF(ISBLANK(BJ54),"",STDEV(BJ49:BJ79))</f>
        <v>0.26602708450935042</v>
      </c>
      <c r="BK83" s="67"/>
      <c r="BL83" s="78"/>
    </row>
    <row r="84" spans="1:64" s="107" customFormat="1" ht="12.75" x14ac:dyDescent="0.2">
      <c r="A84" s="240"/>
      <c r="C84" s="239"/>
      <c r="F84" s="117"/>
      <c r="H84" s="241"/>
      <c r="J84" s="242"/>
      <c r="O84" s="242"/>
      <c r="T84" s="243"/>
      <c r="Y84" s="243"/>
      <c r="AF84" s="243"/>
      <c r="AI84" s="117"/>
      <c r="AJ84" s="117"/>
      <c r="AK84" s="240"/>
      <c r="AL84" s="117"/>
      <c r="AM84" s="240"/>
      <c r="AO84" s="413"/>
      <c r="AP84" s="799"/>
      <c r="AQ84" s="799"/>
      <c r="AR84" s="240"/>
      <c r="AV84" s="117"/>
      <c r="AY84" s="117"/>
      <c r="AZ84" s="240"/>
      <c r="BA84" s="330">
        <f>MIN(AY49:AY79)</f>
        <v>1.95</v>
      </c>
      <c r="BB84" s="330">
        <f>MAX(AY49:AY79)</f>
        <v>11.55</v>
      </c>
      <c r="BE84" s="243"/>
      <c r="BF84" s="771" t="s">
        <v>279</v>
      </c>
      <c r="BG84" s="771"/>
      <c r="BH84" s="771"/>
      <c r="BI84" s="771"/>
      <c r="BJ84" s="771"/>
      <c r="BK84" s="240"/>
      <c r="BL84" s="244"/>
    </row>
    <row r="85" spans="1:64" s="172" customFormat="1" ht="12" x14ac:dyDescent="0.2">
      <c r="A85" s="171"/>
      <c r="C85" s="173">
        <f>MIN(C4:C34)</f>
        <v>3.8</v>
      </c>
      <c r="E85" s="174" t="s">
        <v>70</v>
      </c>
      <c r="F85" s="173">
        <f>MIN(F4:F34)</f>
        <v>-1.3</v>
      </c>
      <c r="G85" s="173">
        <f>MIN(G4:G34)</f>
        <v>4.0999999999999996</v>
      </c>
      <c r="H85" s="173">
        <f>MIN(H4:H34)</f>
        <v>1.5</v>
      </c>
      <c r="I85" s="173">
        <f>MIN(I4:I34)</f>
        <v>1.9</v>
      </c>
      <c r="J85" s="175"/>
      <c r="K85" s="176">
        <f>MIN(K4:K34)</f>
        <v>45</v>
      </c>
      <c r="L85" s="176">
        <f>MIN(L4:L34)</f>
        <v>77</v>
      </c>
      <c r="M85" s="176">
        <f>MIN(M4:M34)</f>
        <v>66</v>
      </c>
      <c r="N85" s="176">
        <f>MIN(N4:N34)</f>
        <v>5</v>
      </c>
      <c r="O85" s="177"/>
      <c r="P85" s="176">
        <f>MIN(P4:P34)</f>
        <v>980</v>
      </c>
      <c r="Q85" s="176">
        <f>MIN(Q4:Q34)</f>
        <v>995</v>
      </c>
      <c r="R85" s="173">
        <f>MIN(R4:R34)</f>
        <v>990</v>
      </c>
      <c r="S85" s="176">
        <f>MIN(S4:S34)</f>
        <v>2</v>
      </c>
      <c r="T85" s="171"/>
      <c r="U85" s="173">
        <f t="shared" ref="U85:AC85" si="24">MIN(U4:U34)</f>
        <v>4.0258400000000005</v>
      </c>
      <c r="V85" s="173">
        <f t="shared" si="24"/>
        <v>8.6999999999999993</v>
      </c>
      <c r="W85" s="173">
        <f t="shared" si="24"/>
        <v>12.8</v>
      </c>
      <c r="X85" s="173">
        <f t="shared" si="24"/>
        <v>0</v>
      </c>
      <c r="Y85" s="175">
        <f t="shared" si="24"/>
        <v>0</v>
      </c>
      <c r="Z85" s="173">
        <f t="shared" si="24"/>
        <v>0</v>
      </c>
      <c r="AA85" s="173">
        <f t="shared" si="24"/>
        <v>0.3</v>
      </c>
      <c r="AB85" s="173">
        <f t="shared" si="24"/>
        <v>0.3</v>
      </c>
      <c r="AC85" s="422">
        <f t="shared" si="24"/>
        <v>5.3380782918149476E-3</v>
      </c>
      <c r="AD85" s="173">
        <f>MIN(AE4:AE34)</f>
        <v>0.5</v>
      </c>
      <c r="AE85" s="173">
        <f>MIN(AD4:AD34)</f>
        <v>0.19999999999999998</v>
      </c>
      <c r="AF85" s="175">
        <f>MIN(AF4:AF4)</f>
        <v>0</v>
      </c>
      <c r="AG85" s="173">
        <f>MIN(AG4:AG34)</f>
        <v>-3.6</v>
      </c>
      <c r="AH85" s="173">
        <f>MIN(AH4:AH34)</f>
        <v>0.6</v>
      </c>
      <c r="AI85" s="173">
        <f>MIN(AI4:AI34)</f>
        <v>-1</v>
      </c>
      <c r="AJ85" s="173">
        <f>MIN(AJ4:AJ34)</f>
        <v>1</v>
      </c>
      <c r="AK85" s="175"/>
      <c r="AL85" s="173"/>
      <c r="AM85" s="175"/>
      <c r="AO85" s="414"/>
      <c r="AP85" s="173">
        <f>MIN(AP4:AP34)</f>
        <v>0</v>
      </c>
      <c r="AQ85" s="173">
        <f>MIN(AQ4:AQ34)</f>
        <v>0</v>
      </c>
      <c r="AR85" s="175"/>
      <c r="AS85" s="173">
        <f t="shared" ref="AS85:AZ85" si="25">MIN(AS8:AS34)</f>
        <v>2.7947368421052632</v>
      </c>
      <c r="AT85" s="173">
        <f t="shared" si="25"/>
        <v>7.9899999999999993</v>
      </c>
      <c r="AU85" s="173">
        <f t="shared" si="25"/>
        <v>5.5631578947368405</v>
      </c>
      <c r="AV85" s="173">
        <f t="shared" si="25"/>
        <v>4.7000000000000011</v>
      </c>
      <c r="AW85" s="173">
        <f t="shared" si="25"/>
        <v>77.111111111111114</v>
      </c>
      <c r="AX85" s="176">
        <f t="shared" si="25"/>
        <v>1003.4375</v>
      </c>
      <c r="AY85" s="173">
        <f t="shared" si="25"/>
        <v>5.4</v>
      </c>
      <c r="AZ85" s="175">
        <f t="shared" si="25"/>
        <v>0</v>
      </c>
      <c r="BA85" s="173">
        <f>MIN(BA4:BA34)</f>
        <v>-4.3415384615384616</v>
      </c>
      <c r="BB85" s="173">
        <f>MIN(BB4:BB34)</f>
        <v>-3.6124999999999883</v>
      </c>
      <c r="BC85" s="173">
        <f>MIN(BC4:BC34)</f>
        <v>-3.36</v>
      </c>
      <c r="BD85" s="173">
        <f>MIN(BD4:BD34)</f>
        <v>-2.7666666666666555</v>
      </c>
      <c r="BE85" s="175">
        <f t="shared" ref="BE85:BJ85" si="26">MIN(BE8:BE34)</f>
        <v>0</v>
      </c>
      <c r="BF85" s="173">
        <f t="shared" si="26"/>
        <v>-0.552252024291497</v>
      </c>
      <c r="BG85" s="173">
        <f t="shared" si="26"/>
        <v>-0.19690789473683523</v>
      </c>
      <c r="BH85" s="173">
        <f t="shared" si="26"/>
        <v>-0.43333333333332869</v>
      </c>
      <c r="BI85" s="422">
        <f t="shared" si="26"/>
        <v>0.38984848484848483</v>
      </c>
      <c r="BJ85" s="422">
        <f t="shared" si="26"/>
        <v>1.4104166666666664</v>
      </c>
      <c r="BK85" s="177"/>
      <c r="BL85" s="178"/>
    </row>
    <row r="86" spans="1:64" s="172" customFormat="1" ht="12" x14ac:dyDescent="0.2">
      <c r="A86" s="171"/>
      <c r="B86" s="173">
        <f>MAX(B4:B34)</f>
        <v>11.5</v>
      </c>
      <c r="E86" s="174" t="s">
        <v>71</v>
      </c>
      <c r="F86" s="173">
        <f>MAX(F4:F34)</f>
        <v>10.6</v>
      </c>
      <c r="G86" s="173">
        <f>MAX(G4:G34)</f>
        <v>12.9</v>
      </c>
      <c r="H86" s="173">
        <f>MAX(H4:H34)</f>
        <v>11.7</v>
      </c>
      <c r="I86" s="173">
        <f>MAX(I4:I34)</f>
        <v>8.9</v>
      </c>
      <c r="J86" s="175"/>
      <c r="K86" s="176">
        <f>MAX(K4:K34)</f>
        <v>91</v>
      </c>
      <c r="L86" s="176">
        <f>MAX(L4:L34)</f>
        <v>98</v>
      </c>
      <c r="M86" s="176">
        <f>MAX(M4:M34)</f>
        <v>94</v>
      </c>
      <c r="N86" s="176">
        <f>MAX(N4:N34)</f>
        <v>44</v>
      </c>
      <c r="O86" s="177"/>
      <c r="P86" s="176">
        <f t="shared" ref="P86:AC86" si="27">MAX(P4:P34)</f>
        <v>1031</v>
      </c>
      <c r="Q86" s="176">
        <f t="shared" si="27"/>
        <v>1035</v>
      </c>
      <c r="R86" s="173">
        <f t="shared" si="27"/>
        <v>1032.5</v>
      </c>
      <c r="S86" s="176">
        <f t="shared" si="27"/>
        <v>23</v>
      </c>
      <c r="T86" s="177">
        <f t="shared" si="27"/>
        <v>0</v>
      </c>
      <c r="U86" s="173">
        <f t="shared" si="27"/>
        <v>9.6</v>
      </c>
      <c r="V86" s="173">
        <f t="shared" si="27"/>
        <v>22.5</v>
      </c>
      <c r="W86" s="173">
        <f t="shared" si="27"/>
        <v>40.9</v>
      </c>
      <c r="X86" s="173">
        <f t="shared" si="27"/>
        <v>0</v>
      </c>
      <c r="Y86" s="175">
        <f t="shared" si="27"/>
        <v>2</v>
      </c>
      <c r="Z86" s="173">
        <f t="shared" si="27"/>
        <v>9.1</v>
      </c>
      <c r="AA86" s="173">
        <f t="shared" si="27"/>
        <v>5.3</v>
      </c>
      <c r="AB86" s="173">
        <f t="shared" si="27"/>
        <v>3</v>
      </c>
      <c r="AC86" s="422">
        <f t="shared" si="27"/>
        <v>0.16192170818505341</v>
      </c>
      <c r="AD86" s="173">
        <f>MAX(AE4:AE34)</f>
        <v>30</v>
      </c>
      <c r="AE86" s="173">
        <f>MAX(AD4:AD34)</f>
        <v>3.0333333333333332</v>
      </c>
      <c r="AF86" s="175">
        <f>MAX(AF4:AF4)</f>
        <v>0</v>
      </c>
      <c r="AG86" s="173">
        <f>MAX(AG4:AG34)</f>
        <v>9.8000000000000007</v>
      </c>
      <c r="AH86" s="173">
        <f>MAX(AH4:AH34)</f>
        <v>11.2</v>
      </c>
      <c r="AI86" s="173">
        <f>MAX(AI4:AI34)</f>
        <v>10.3</v>
      </c>
      <c r="AJ86" s="173">
        <f>MAX(AJ4:AJ34)</f>
        <v>12.200000000000001</v>
      </c>
      <c r="AK86" s="175"/>
      <c r="AL86" s="173"/>
      <c r="AM86" s="175"/>
      <c r="AO86" s="415"/>
      <c r="AP86" s="176">
        <f>MAX(AP4:AP34)</f>
        <v>6.5</v>
      </c>
      <c r="AQ86" s="173">
        <f>MAX(AQ4:AQ34)</f>
        <v>8</v>
      </c>
      <c r="AR86" s="177"/>
      <c r="AS86" s="173">
        <f t="shared" ref="AS86:AZ86" si="28">MAX(AS8:AS34)</f>
        <v>4.5</v>
      </c>
      <c r="AT86" s="173">
        <f t="shared" si="28"/>
        <v>9.44</v>
      </c>
      <c r="AU86" s="173">
        <f t="shared" si="28"/>
        <v>7.2800000000000011</v>
      </c>
      <c r="AV86" s="173">
        <f t="shared" si="28"/>
        <v>5.5538461538461537</v>
      </c>
      <c r="AW86" s="173">
        <f t="shared" si="28"/>
        <v>81.5</v>
      </c>
      <c r="AX86" s="176">
        <f t="shared" si="28"/>
        <v>1011.5</v>
      </c>
      <c r="AY86" s="173">
        <f t="shared" si="28"/>
        <v>6.4971973333333324</v>
      </c>
      <c r="AZ86" s="175">
        <f t="shared" si="28"/>
        <v>0</v>
      </c>
      <c r="BA86" s="173">
        <f>MAX(BA4:BA34)</f>
        <v>7.8999999999999995</v>
      </c>
      <c r="BB86" s="173">
        <f>MAX(BB4:BB34)</f>
        <v>5.67</v>
      </c>
      <c r="BC86" s="173">
        <f>MAX(BC4:BC34)</f>
        <v>6.6849999999999996</v>
      </c>
      <c r="BD86" s="173">
        <f>MAX(BD4:BD34)</f>
        <v>3.9533333333333416</v>
      </c>
      <c r="BE86" s="175">
        <f t="shared" ref="BE86:BJ86" si="29">MAX(BE8:BE34)</f>
        <v>0</v>
      </c>
      <c r="BF86" s="173">
        <f t="shared" si="29"/>
        <v>1.1235080645161299</v>
      </c>
      <c r="BG86" s="173">
        <f t="shared" si="29"/>
        <v>1.2535080645161338</v>
      </c>
      <c r="BH86" s="173">
        <f t="shared" si="29"/>
        <v>0.56820512820513569</v>
      </c>
      <c r="BI86" s="422">
        <f t="shared" si="29"/>
        <v>1.0773674242424243</v>
      </c>
      <c r="BJ86" s="422">
        <f t="shared" si="29"/>
        <v>2.0924281692255562</v>
      </c>
      <c r="BK86" s="177"/>
      <c r="BL86" s="178"/>
    </row>
    <row r="87" spans="1:64" ht="10.5" customHeight="1" x14ac:dyDescent="0.2">
      <c r="A87" s="67"/>
      <c r="B87" s="21"/>
      <c r="C87" s="140"/>
      <c r="D87" s="146"/>
      <c r="E87" s="4"/>
      <c r="F87" s="21"/>
      <c r="H87" s="13"/>
      <c r="J87" s="20"/>
      <c r="K87" s="21"/>
      <c r="L87" s="21"/>
      <c r="M87" s="21"/>
      <c r="N87" s="22"/>
      <c r="O87" s="20"/>
      <c r="P87" s="21"/>
      <c r="Q87" s="21"/>
      <c r="R87" s="21"/>
      <c r="S87" s="21"/>
      <c r="T87" s="67"/>
      <c r="U87" s="21"/>
      <c r="V87" s="21"/>
      <c r="W87" s="21"/>
      <c r="X87" s="21"/>
      <c r="Y87" s="67"/>
      <c r="Z87" s="21"/>
      <c r="AA87" s="21"/>
      <c r="AB87" s="21"/>
      <c r="AC87" s="21"/>
      <c r="AD87" s="21"/>
      <c r="AE87" s="21"/>
      <c r="AF87" s="67"/>
      <c r="AG87" s="21"/>
      <c r="AH87" s="21"/>
      <c r="AI87" s="21"/>
      <c r="AJ87" s="21"/>
      <c r="AK87" s="67"/>
      <c r="AL87" s="21"/>
      <c r="AM87" s="67"/>
      <c r="AO87" s="88"/>
      <c r="AR87" s="6"/>
      <c r="AS87" s="21"/>
      <c r="AT87" s="22"/>
      <c r="AU87" s="21"/>
      <c r="AV87" s="21"/>
      <c r="AW87" s="21"/>
      <c r="AX87" s="21"/>
      <c r="AZ87" s="6"/>
      <c r="BA87" s="25"/>
      <c r="BB87" s="21"/>
      <c r="BC87" s="21"/>
      <c r="BD87" s="21"/>
      <c r="BE87" s="67"/>
      <c r="BF87" s="21"/>
      <c r="BG87" s="21"/>
      <c r="BH87" s="21"/>
      <c r="BI87" s="21"/>
      <c r="BJ87" s="21"/>
      <c r="BK87" s="67"/>
      <c r="BL87" s="95"/>
    </row>
    <row r="88" spans="1:64" s="327" customFormat="1" ht="10.5" customHeight="1" x14ac:dyDescent="0.2">
      <c r="C88" s="328"/>
    </row>
    <row r="89" spans="1:64" s="327" customFormat="1" ht="1.5" customHeight="1" x14ac:dyDescent="0.2">
      <c r="C89" s="328"/>
    </row>
    <row r="90" spans="1:64" s="331" customFormat="1" ht="11.25" x14ac:dyDescent="0.2">
      <c r="A90" s="331" t="s">
        <v>167</v>
      </c>
      <c r="B90" s="148" t="s">
        <v>2</v>
      </c>
      <c r="C90" s="148" t="s">
        <v>3</v>
      </c>
      <c r="D90" s="148" t="s">
        <v>4</v>
      </c>
      <c r="E90" s="147" t="s">
        <v>5</v>
      </c>
      <c r="F90" s="331" t="s">
        <v>332</v>
      </c>
      <c r="G90" s="331" t="s">
        <v>333</v>
      </c>
      <c r="H90" s="331" t="s">
        <v>348</v>
      </c>
      <c r="I90" s="331" t="s">
        <v>347</v>
      </c>
      <c r="K90" s="331" t="s">
        <v>167</v>
      </c>
      <c r="L90" s="331" t="s">
        <v>167</v>
      </c>
      <c r="M90" s="147" t="s">
        <v>184</v>
      </c>
      <c r="N90" s="331" t="s">
        <v>167</v>
      </c>
      <c r="O90" s="331" t="s">
        <v>167</v>
      </c>
      <c r="P90" s="331" t="s">
        <v>167</v>
      </c>
      <c r="Q90" s="331" t="s">
        <v>167</v>
      </c>
      <c r="S90" s="331" t="s">
        <v>167</v>
      </c>
      <c r="U90" s="331" t="s">
        <v>204</v>
      </c>
      <c r="V90" s="331" t="s">
        <v>346</v>
      </c>
      <c r="W90" s="786" t="s">
        <v>229</v>
      </c>
      <c r="X90" s="786"/>
      <c r="Y90" s="331" t="s">
        <v>167</v>
      </c>
      <c r="Z90" s="147" t="s">
        <v>144</v>
      </c>
      <c r="AA90" s="147" t="s">
        <v>185</v>
      </c>
      <c r="AB90" s="147" t="s">
        <v>236</v>
      </c>
      <c r="AC90" s="147" t="s">
        <v>237</v>
      </c>
      <c r="AD90" s="331" t="s">
        <v>167</v>
      </c>
      <c r="AE90" s="278" t="s">
        <v>345</v>
      </c>
      <c r="AF90" s="331" t="s">
        <v>344</v>
      </c>
      <c r="AG90" s="147" t="s">
        <v>155</v>
      </c>
      <c r="AH90" s="147" t="s">
        <v>183</v>
      </c>
      <c r="AI90" s="331" t="s">
        <v>328</v>
      </c>
      <c r="AJ90" s="147" t="s">
        <v>117</v>
      </c>
      <c r="AK90" s="331" t="s">
        <v>167</v>
      </c>
      <c r="AL90" s="147" t="s">
        <v>118</v>
      </c>
      <c r="AM90" s="331" t="s">
        <v>329</v>
      </c>
      <c r="AN90" s="331" t="s">
        <v>168</v>
      </c>
      <c r="AO90" s="331" t="s">
        <v>329</v>
      </c>
      <c r="AQ90" s="147"/>
      <c r="AR90" s="331" t="s">
        <v>329</v>
      </c>
      <c r="AS90" s="331" t="s">
        <v>256</v>
      </c>
      <c r="AT90" s="331" t="s">
        <v>253</v>
      </c>
      <c r="AU90" s="331" t="s">
        <v>346</v>
      </c>
      <c r="AV90" s="147" t="s">
        <v>196</v>
      </c>
      <c r="AW90" s="147" t="s">
        <v>145</v>
      </c>
      <c r="AX90" s="147" t="s">
        <v>146</v>
      </c>
      <c r="AY90" s="147" t="s">
        <v>400</v>
      </c>
      <c r="AZ90" s="147" t="s">
        <v>124</v>
      </c>
      <c r="BA90" s="147" t="s">
        <v>145</v>
      </c>
      <c r="BB90" s="147" t="s">
        <v>146</v>
      </c>
      <c r="BC90" s="331" t="s">
        <v>330</v>
      </c>
      <c r="BD90" s="331" t="s">
        <v>331</v>
      </c>
      <c r="BE90" s="147" t="s">
        <v>327</v>
      </c>
      <c r="BF90" s="331" t="s">
        <v>167</v>
      </c>
      <c r="BG90" s="147" t="s">
        <v>163</v>
      </c>
      <c r="BH90" s="147" t="s">
        <v>399</v>
      </c>
      <c r="BI90" s="147" t="s">
        <v>401</v>
      </c>
      <c r="BJ90" s="147" t="s">
        <v>119</v>
      </c>
      <c r="BK90" s="331" t="s">
        <v>327</v>
      </c>
    </row>
    <row r="91" spans="1:64" ht="12.75" x14ac:dyDescent="0.2">
      <c r="A91" s="8">
        <f t="shared" ref="A91:A121" si="30">IF(ISBLANK(K4),NA(),N4)</f>
        <v>27</v>
      </c>
      <c r="B91" s="125">
        <f t="shared" ref="B91:B121" si="31">$F$39</f>
        <v>3.2</v>
      </c>
      <c r="C91" s="125">
        <f t="shared" ref="C91:C121" si="32">$G$39</f>
        <v>7.8</v>
      </c>
      <c r="D91" s="125">
        <f>AVERAGE(B91:C91)</f>
        <v>5.5</v>
      </c>
      <c r="E91" s="125">
        <f t="shared" ref="E91:E121" si="33">C91-B91</f>
        <v>4.5999999999999996</v>
      </c>
      <c r="F91" s="7">
        <v>3.657916666666666</v>
      </c>
      <c r="G91" s="7">
        <v>8.9312500000000004</v>
      </c>
      <c r="H91" s="7">
        <f>AVERAGE(F91:G91)</f>
        <v>6.2945833333333336</v>
      </c>
      <c r="I91" s="7">
        <f>G91-F91</f>
        <v>5.2733333333333343</v>
      </c>
      <c r="K91" s="7">
        <f t="shared" ref="K91:K121" si="34">IF(ISBLANK(G4),NA(),I4)</f>
        <v>5.7</v>
      </c>
      <c r="L91" s="7">
        <f t="shared" ref="L91:L121" si="35">IF(ISBLANK(G4),NA(),AY49)</f>
        <v>8.75</v>
      </c>
      <c r="M91" s="370">
        <f t="shared" ref="M91:M121" si="36">IF(ISBLANK(U4),NA(),AY4)</f>
        <v>4.2</v>
      </c>
      <c r="N91" s="1">
        <f t="shared" ref="N91:N121" si="37">IF(ISBLANK(F4),NA(),BJ91)</f>
        <v>2.0333333333333332</v>
      </c>
      <c r="O91" s="7">
        <f t="shared" ref="O91:O121" si="38">IF(ISBLANK(M4),NA(),AW4)</f>
        <v>81</v>
      </c>
      <c r="P91" s="7">
        <f t="shared" ref="P91:P121" si="39">IF(ISBLANK(F4),NA(),AS4)</f>
        <v>5.9</v>
      </c>
      <c r="Q91" s="7">
        <f t="shared" ref="Q91:Q121" si="40">IF(ISBLANK(G4),NA(),AT4)</f>
        <v>11.6</v>
      </c>
      <c r="R91" s="7">
        <f t="shared" ref="R91:R121" si="41">IF(ISBLANK(H4),NA(),AU4)</f>
        <v>9.5</v>
      </c>
      <c r="S91" s="7">
        <f t="shared" ref="S91:S121" si="42">IF(ISBLANK(G4),NA(),AV4)</f>
        <v>5.7</v>
      </c>
      <c r="T91" s="1">
        <v>32</v>
      </c>
      <c r="U91" s="333">
        <f t="shared" ref="U91:U121" si="43">$Z$39/$E$34</f>
        <v>2.129032258064516</v>
      </c>
      <c r="V91" s="4">
        <v>1</v>
      </c>
      <c r="W91" s="7">
        <f t="shared" ref="W91:W121" si="44">0.273*V91</f>
        <v>0.27300000000000002</v>
      </c>
      <c r="X91" s="7">
        <f t="shared" ref="X91:X121" si="45">0.273*T91</f>
        <v>8.7360000000000007</v>
      </c>
      <c r="Y91" s="8">
        <f t="shared" ref="Y91:Y121" si="46">IF(ISBLANK(Q4),NA(),S4)</f>
        <v>4</v>
      </c>
      <c r="Z91" s="7">
        <f>IF(ISBLANK(Z4),NA(),SUM($Z$4:Z4))</f>
        <v>6.1</v>
      </c>
      <c r="AA91" s="7">
        <f>$AB$48*E4</f>
        <v>2.129032258064516</v>
      </c>
      <c r="AB91" s="26">
        <f>IF(ISBLANK(Z4),"",SUM($Z$4:Z4))</f>
        <v>6.1</v>
      </c>
      <c r="AC91" s="115">
        <f>IF(ISBLANK(Z4),NA(),AB91/AA91)</f>
        <v>2.8651515151515152</v>
      </c>
      <c r="AD91" s="8">
        <f t="shared" ref="AD91:AD121" si="47">IF(ISBLANK(P4),NA(),AX4)</f>
        <v>1007</v>
      </c>
      <c r="AE91" s="610">
        <f t="shared" ref="AE91:AE121" si="48">IF(ISNA(AG91),"",AG91/AH91)</f>
        <v>0.6262304077121944</v>
      </c>
      <c r="AF91" s="524">
        <f t="shared" ref="AF91:AF121" si="49">IF(ISTEXT(BI49),NA(),IF(ISBLANK(BI49),NA(),BI49))</f>
        <v>7.7083333333333337E-2</v>
      </c>
      <c r="AG91" s="22">
        <f>IF(ISBLANK(AP4),NA(),SUM($AP$4:AP4))</f>
        <v>1</v>
      </c>
      <c r="AH91" s="7">
        <f>SUM($AS$91:AS91)</f>
        <v>1.5968563450205124</v>
      </c>
      <c r="AI91" s="115">
        <f t="shared" ref="AI91:AI121" si="50">IF(ISBLANK(AP4),NA(),AG91/AH91)</f>
        <v>0.6262304077121944</v>
      </c>
      <c r="AJ91" s="124">
        <f t="shared" ref="AJ91:AJ121" si="51">IF(ISBLANK(F4),"",IF(Z4&gt;0.1,1,0))</f>
        <v>1</v>
      </c>
      <c r="AK91" s="8">
        <f t="shared" ref="AK91:AK121" si="52">IF(ISBLANK(P4),NA(),R4)</f>
        <v>1007</v>
      </c>
      <c r="AL91" s="124">
        <f t="shared" ref="AL91:AL121" si="53">IF(ISBLANK(Z4),"",IF(Z4&gt;0.9,1,0))</f>
        <v>1</v>
      </c>
      <c r="AM91" s="524">
        <f t="shared" ref="AM91:AM121" si="54">IF(ISTEXT(BH49),NA(),IF(ISBLANK(BH49),NA(),BH49))</f>
        <v>0.55833333333333335</v>
      </c>
      <c r="AN91" s="109">
        <f xml:space="preserve"> SUM(COUNTIF(AN4:AN34,"-"),COUNTIF(AN4:AN34,"*yy*"))</f>
        <v>19</v>
      </c>
      <c r="AO91" s="524">
        <f t="shared" ref="AO91:AO121" si="55">IF(ISTEXT(BG49),NA(),IF(ISBLANK(BG49),NA(),BG49))</f>
        <v>0.5</v>
      </c>
      <c r="AR91" s="524">
        <f t="shared" ref="AR91:AR121" si="56">IF(ISTEXT(BF49),NA(),IF(ISBLANK(BF49),NA(),BF49))</f>
        <v>2.0833333333333332E-2</v>
      </c>
      <c r="AS91" s="7">
        <f t="shared" ref="AS91:AS121" si="57">AT91/($AT$123/$AP$39)</f>
        <v>1.5968563450205124</v>
      </c>
      <c r="AT91" s="7">
        <v>7.2880630224910243</v>
      </c>
      <c r="AU91" s="4">
        <v>1</v>
      </c>
      <c r="AV91" s="127">
        <f t="shared" ref="AV91:AV121" si="58">IF(ISBLANK(AP4),"",IF(AP4&gt;0.25*AT91,1,0))</f>
        <v>0</v>
      </c>
      <c r="AW91" s="124">
        <f>IF(ISBLANK(F4),"",IF(AY49&lt;BC91,1,0))</f>
        <v>0</v>
      </c>
      <c r="AX91" s="124">
        <f>IF(ISBLANK(G4),"",IF(AY49&gt;BD91,1,0))</f>
        <v>1</v>
      </c>
      <c r="AY91" s="124">
        <f t="shared" ref="AY91:AY121" si="59">IF(ISBLANK(F4),"",IF(P4&gt;1013,1,0))</f>
        <v>0</v>
      </c>
      <c r="AZ91" s="125">
        <f t="shared" ref="AZ91:AZ121" si="60">$U$39</f>
        <v>5.0999999999999996</v>
      </c>
      <c r="BA91" s="125">
        <f t="shared" ref="BA91:BA121" si="61">$BB$83</f>
        <v>3.9666666666666668</v>
      </c>
      <c r="BB91" s="125">
        <f t="shared" ref="BB91:BB121" si="62">$BC$83</f>
        <v>7.0333333333333332</v>
      </c>
      <c r="BC91" s="7">
        <v>4.5368055555555538</v>
      </c>
      <c r="BD91" s="7">
        <v>8.0523611111111073</v>
      </c>
      <c r="BE91" s="124"/>
      <c r="BF91" s="8">
        <f t="shared" ref="BF91:BF121" si="63">IF(ISBLANK(M4),NA(),M4)</f>
        <v>81</v>
      </c>
      <c r="BG91" s="21">
        <f t="shared" ref="BG91:BG121" si="64">IF(ISBLANK(H4),NA(),H4)</f>
        <v>9.5</v>
      </c>
      <c r="BH91" s="124">
        <f t="shared" ref="BH91:BH121" si="65">IF(ISBLANK(F4),"",IF(Q4&lt;1013,1,0))</f>
        <v>1</v>
      </c>
      <c r="BI91" s="124">
        <f>IF(ISBLANK(L4),"",IF(AQ4&gt;0.4,1,0))</f>
        <v>1</v>
      </c>
      <c r="BJ91" s="144">
        <f t="shared" ref="BJ91:BJ121" si="66">IF(ISBLANK(Z4),"",Z4/3)</f>
        <v>2.0333333333333332</v>
      </c>
      <c r="BL91" s="99">
        <v>1</v>
      </c>
    </row>
    <row r="92" spans="1:64" ht="12.75" x14ac:dyDescent="0.2">
      <c r="A92" s="8">
        <f t="shared" si="30"/>
        <v>18</v>
      </c>
      <c r="B92" s="125">
        <f t="shared" si="31"/>
        <v>3.2</v>
      </c>
      <c r="C92" s="125">
        <f t="shared" si="32"/>
        <v>7.8</v>
      </c>
      <c r="D92" s="125">
        <f t="shared" ref="D92:D121" si="67">AVERAGE(B92:C92)</f>
        <v>5.5</v>
      </c>
      <c r="E92" s="125">
        <f t="shared" si="33"/>
        <v>4.5999999999999996</v>
      </c>
      <c r="F92" s="7">
        <v>3.6233333333333326</v>
      </c>
      <c r="G92" s="7">
        <v>8.8499999999999943</v>
      </c>
      <c r="H92" s="7">
        <f t="shared" ref="H92:H121" si="68">AVERAGE(F92:G92)</f>
        <v>6.2366666666666637</v>
      </c>
      <c r="I92" s="7">
        <f t="shared" ref="I92:I121" si="69">G92-F92</f>
        <v>5.2266666666666612</v>
      </c>
      <c r="K92" s="7">
        <f t="shared" si="34"/>
        <v>5.4</v>
      </c>
      <c r="L92" s="7">
        <f t="shared" si="35"/>
        <v>5.4</v>
      </c>
      <c r="M92" s="370">
        <f t="shared" si="36"/>
        <v>4.3000000000000007</v>
      </c>
      <c r="N92" s="1">
        <f t="shared" si="37"/>
        <v>9.9999999999999992E-2</v>
      </c>
      <c r="O92" s="7">
        <f t="shared" si="38"/>
        <v>84.5</v>
      </c>
      <c r="P92" s="7">
        <f t="shared" si="39"/>
        <v>4.3000000000000007</v>
      </c>
      <c r="Q92" s="7">
        <f t="shared" si="40"/>
        <v>9.85</v>
      </c>
      <c r="R92" s="7">
        <f t="shared" si="41"/>
        <v>7.4</v>
      </c>
      <c r="S92" s="7">
        <f t="shared" si="42"/>
        <v>5.5500000000000007</v>
      </c>
      <c r="T92" s="1">
        <v>33</v>
      </c>
      <c r="U92" s="333">
        <f t="shared" si="43"/>
        <v>2.129032258064516</v>
      </c>
      <c r="V92" s="4">
        <v>2</v>
      </c>
      <c r="W92" s="7">
        <f t="shared" si="44"/>
        <v>0.54600000000000004</v>
      </c>
      <c r="X92" s="7">
        <f t="shared" si="45"/>
        <v>9.0090000000000003</v>
      </c>
      <c r="Y92" s="8">
        <f t="shared" si="46"/>
        <v>8</v>
      </c>
      <c r="Z92" s="7">
        <f>IF(ISBLANK(Z5),NA(),SUM($Z$4:Z5))</f>
        <v>6.3999999999999995</v>
      </c>
      <c r="AA92" s="7">
        <f t="shared" ref="AA92:AA121" si="70">$AB$48*E5</f>
        <v>4.258064516129032</v>
      </c>
      <c r="AB92" s="26">
        <f>IF(ISBLANK(Z5),"",SUM($Z$4:Z5))</f>
        <v>6.3999999999999995</v>
      </c>
      <c r="AC92" s="115">
        <f t="shared" ref="AC92:AC121" si="71">IF(ISBLANK(Z5),NA(),AB92/AA92)</f>
        <v>1.5030303030303029</v>
      </c>
      <c r="AD92" s="8">
        <f t="shared" si="47"/>
        <v>1008.5</v>
      </c>
      <c r="AE92" s="610">
        <f t="shared" si="48"/>
        <v>1.8823392078426053</v>
      </c>
      <c r="AF92" s="524">
        <f t="shared" si="49"/>
        <v>0.3833333333333333</v>
      </c>
      <c r="AG92" s="22">
        <f>IF(ISBLANK(AP5),NA(),SUM($AP$4:AP5))</f>
        <v>6</v>
      </c>
      <c r="AH92" s="7">
        <f>SUM($AS$91:AS92)</f>
        <v>3.18752325563932</v>
      </c>
      <c r="AI92" s="115">
        <f t="shared" si="50"/>
        <v>1.8823392078426053</v>
      </c>
      <c r="AJ92" s="124">
        <f t="shared" si="51"/>
        <v>1</v>
      </c>
      <c r="AK92" s="8">
        <f t="shared" si="52"/>
        <v>1010</v>
      </c>
      <c r="AL92" s="124">
        <f t="shared" si="53"/>
        <v>0</v>
      </c>
      <c r="AM92" s="524" t="e">
        <f t="shared" si="54"/>
        <v>#N/A</v>
      </c>
      <c r="AN92" s="45">
        <f t="array" ref="AN92">MAX(FREQUENCY(IF(AJ91:AJ121=0,ROW(91:121)),IF(AJ91:AJ121&lt;&gt;0,ROW(91:121))))</f>
        <v>4</v>
      </c>
      <c r="AO92" s="524">
        <f t="shared" si="55"/>
        <v>0.58333333333333337</v>
      </c>
      <c r="AP92" s="59" t="s">
        <v>113</v>
      </c>
      <c r="AQ92" s="447">
        <v>0.16800000000000001</v>
      </c>
      <c r="AR92" s="524">
        <f t="shared" si="56"/>
        <v>0.31527777777777777</v>
      </c>
      <c r="AS92" s="7">
        <f t="shared" si="57"/>
        <v>1.5906669106188078</v>
      </c>
      <c r="AT92" s="7">
        <v>7.2598144025485603</v>
      </c>
      <c r="AU92" s="4">
        <v>2</v>
      </c>
      <c r="AV92" s="127">
        <f t="shared" si="58"/>
        <v>1</v>
      </c>
      <c r="AW92" s="124">
        <f t="shared" ref="AW92:AW121" si="72">IF(ISBLANK(F5),"",IF(AY50&lt;BC92,1,0))</f>
        <v>0</v>
      </c>
      <c r="AX92" s="124">
        <f t="shared" ref="AX92:AX121" si="73">IF(ISBLANK(G5),"",IF(AY50&gt;BD92,1,0))</f>
        <v>0</v>
      </c>
      <c r="AY92" s="124">
        <f t="shared" si="59"/>
        <v>0</v>
      </c>
      <c r="AZ92" s="125">
        <f t="shared" si="60"/>
        <v>5.0999999999999996</v>
      </c>
      <c r="BA92" s="125">
        <f t="shared" si="61"/>
        <v>3.9666666666666668</v>
      </c>
      <c r="BB92" s="125">
        <f t="shared" si="62"/>
        <v>7.0333333333333332</v>
      </c>
      <c r="BC92" s="7">
        <v>4.4944444444444436</v>
      </c>
      <c r="BD92" s="7">
        <v>7.9788888888888838</v>
      </c>
      <c r="BE92" s="124"/>
      <c r="BF92" s="8">
        <f t="shared" si="63"/>
        <v>88</v>
      </c>
      <c r="BG92" s="21">
        <f t="shared" si="64"/>
        <v>5.3</v>
      </c>
      <c r="BH92" s="124">
        <f t="shared" si="65"/>
        <v>0</v>
      </c>
      <c r="BI92" s="124">
        <f t="shared" ref="BI92:BI121" si="74">IF(ISBLANK(L5),"",IF(AQ5&gt;0.4,1,0))</f>
        <v>1</v>
      </c>
      <c r="BJ92" s="144">
        <f t="shared" si="66"/>
        <v>9.9999999999999992E-2</v>
      </c>
      <c r="BL92" s="99">
        <v>2</v>
      </c>
    </row>
    <row r="93" spans="1:64" ht="12.75" x14ac:dyDescent="0.2">
      <c r="A93" s="8">
        <f t="shared" si="30"/>
        <v>38</v>
      </c>
      <c r="B93" s="125">
        <f t="shared" si="31"/>
        <v>3.2</v>
      </c>
      <c r="C93" s="125">
        <f t="shared" si="32"/>
        <v>7.8</v>
      </c>
      <c r="D93" s="125">
        <f t="shared" si="67"/>
        <v>5.5</v>
      </c>
      <c r="E93" s="125">
        <f t="shared" si="33"/>
        <v>4.5999999999999996</v>
      </c>
      <c r="F93" s="7">
        <v>3.5887500000000001</v>
      </c>
      <c r="G93" s="7">
        <v>8.7687499999999936</v>
      </c>
      <c r="H93" s="7">
        <f t="shared" si="68"/>
        <v>6.1787499999999973</v>
      </c>
      <c r="I93" s="7">
        <f t="shared" si="69"/>
        <v>5.1799999999999935</v>
      </c>
      <c r="K93" s="7">
        <f t="shared" si="34"/>
        <v>3.6</v>
      </c>
      <c r="L93" s="7">
        <f t="shared" si="35"/>
        <v>9.5</v>
      </c>
      <c r="M93" s="370">
        <f t="shared" si="36"/>
        <v>5.2</v>
      </c>
      <c r="N93" s="1">
        <f t="shared" si="37"/>
        <v>0.16666666666666666</v>
      </c>
      <c r="O93" s="7">
        <f t="shared" si="38"/>
        <v>82.333333333333329</v>
      </c>
      <c r="P93" s="7">
        <f t="shared" si="39"/>
        <v>5.4333333333333336</v>
      </c>
      <c r="Q93" s="7">
        <f t="shared" si="40"/>
        <v>10.333333333333334</v>
      </c>
      <c r="R93" s="7">
        <f t="shared" si="41"/>
        <v>8.2333333333333343</v>
      </c>
      <c r="S93" s="7">
        <f t="shared" si="42"/>
        <v>4.9000000000000004</v>
      </c>
      <c r="T93" s="1">
        <v>34</v>
      </c>
      <c r="U93" s="333">
        <f t="shared" si="43"/>
        <v>2.129032258064516</v>
      </c>
      <c r="V93" s="4">
        <v>3</v>
      </c>
      <c r="W93" s="7">
        <f t="shared" si="44"/>
        <v>0.81900000000000006</v>
      </c>
      <c r="X93" s="7">
        <f t="shared" si="45"/>
        <v>9.282</v>
      </c>
      <c r="Y93" s="8">
        <f t="shared" si="46"/>
        <v>6</v>
      </c>
      <c r="Z93" s="7">
        <f>IF(ISBLANK(Z6),NA(),SUM($Z$4:Z6))</f>
        <v>6.8999999999999995</v>
      </c>
      <c r="AA93" s="7">
        <f t="shared" si="70"/>
        <v>6.387096774193548</v>
      </c>
      <c r="AB93" s="26">
        <f>IF(ISBLANK(Z6),"",SUM($Z$4:Z6))</f>
        <v>6.8999999999999995</v>
      </c>
      <c r="AC93" s="115">
        <f t="shared" si="71"/>
        <v>1.0803030303030303</v>
      </c>
      <c r="AD93" s="8">
        <f t="shared" si="47"/>
        <v>1006.6666666666666</v>
      </c>
      <c r="AE93" s="610">
        <f t="shared" si="48"/>
        <v>1.5715765047272165</v>
      </c>
      <c r="AF93" s="524">
        <f t="shared" si="49"/>
        <v>0.27083333333333331</v>
      </c>
      <c r="AG93" s="22">
        <f>IF(ISBLANK(AP6),NA(),SUM($AP$4:AP6))</f>
        <v>7.5</v>
      </c>
      <c r="AH93" s="7">
        <f>SUM($AS$91:AS93)</f>
        <v>4.772278013472719</v>
      </c>
      <c r="AI93" s="115">
        <f t="shared" si="50"/>
        <v>1.5715765047272165</v>
      </c>
      <c r="AJ93" s="124">
        <f t="shared" si="51"/>
        <v>1</v>
      </c>
      <c r="AK93" s="8">
        <f t="shared" si="52"/>
        <v>1003</v>
      </c>
      <c r="AL93" s="124">
        <f t="shared" si="53"/>
        <v>0</v>
      </c>
      <c r="AM93" s="524">
        <f t="shared" si="54"/>
        <v>0.59097222222222223</v>
      </c>
      <c r="AN93" s="150">
        <f>COUNTIF(E72:E80, "&lt;-0.5")</f>
        <v>0</v>
      </c>
      <c r="AO93" s="524">
        <f t="shared" si="55"/>
        <v>0.54027777777777775</v>
      </c>
      <c r="AP93" s="59" t="s">
        <v>206</v>
      </c>
      <c r="AQ93" s="447">
        <v>0.13500000000000001</v>
      </c>
      <c r="AR93" s="524" t="e">
        <f t="shared" si="56"/>
        <v>#N/A</v>
      </c>
      <c r="AS93" s="7">
        <f t="shared" si="57"/>
        <v>1.5847547578333987</v>
      </c>
      <c r="AT93" s="7">
        <v>7.232831297754557</v>
      </c>
      <c r="AU93" s="4">
        <v>3</v>
      </c>
      <c r="AV93" s="127">
        <f t="shared" si="58"/>
        <v>0</v>
      </c>
      <c r="AW93" s="124">
        <f t="shared" si="72"/>
        <v>0</v>
      </c>
      <c r="AX93" s="124">
        <f t="shared" si="73"/>
        <v>1</v>
      </c>
      <c r="AY93" s="124">
        <f t="shared" si="59"/>
        <v>0</v>
      </c>
      <c r="AZ93" s="125">
        <f t="shared" si="60"/>
        <v>5.0999999999999996</v>
      </c>
      <c r="BA93" s="125">
        <f t="shared" si="61"/>
        <v>3.9666666666666668</v>
      </c>
      <c r="BB93" s="125">
        <f t="shared" si="62"/>
        <v>7.0333333333333332</v>
      </c>
      <c r="BC93" s="7">
        <v>4.4520833333333316</v>
      </c>
      <c r="BD93" s="7">
        <v>7.9054166666666612</v>
      </c>
      <c r="BE93" s="124"/>
      <c r="BF93" s="8">
        <f t="shared" si="63"/>
        <v>78</v>
      </c>
      <c r="BG93" s="21">
        <f t="shared" si="64"/>
        <v>9.9</v>
      </c>
      <c r="BH93" s="124">
        <f t="shared" si="65"/>
        <v>1</v>
      </c>
      <c r="BI93" s="124">
        <f t="shared" si="74"/>
        <v>1</v>
      </c>
      <c r="BJ93" s="144">
        <f t="shared" si="66"/>
        <v>0.16666666666666666</v>
      </c>
      <c r="BL93" s="99">
        <v>3</v>
      </c>
    </row>
    <row r="94" spans="1:64" ht="12.75" x14ac:dyDescent="0.2">
      <c r="A94" s="8">
        <f t="shared" si="30"/>
        <v>12</v>
      </c>
      <c r="B94" s="125">
        <f t="shared" si="31"/>
        <v>3.2</v>
      </c>
      <c r="C94" s="125">
        <f t="shared" si="32"/>
        <v>7.8</v>
      </c>
      <c r="D94" s="125">
        <f t="shared" si="67"/>
        <v>5.5</v>
      </c>
      <c r="E94" s="125">
        <f t="shared" si="33"/>
        <v>4.5999999999999996</v>
      </c>
      <c r="F94" s="7">
        <v>3.5541666666666658</v>
      </c>
      <c r="G94" s="7">
        <v>8.6874999999999929</v>
      </c>
      <c r="H94" s="7">
        <f t="shared" si="68"/>
        <v>6.1208333333333291</v>
      </c>
      <c r="I94" s="7">
        <f t="shared" si="69"/>
        <v>5.1333333333333275</v>
      </c>
      <c r="K94" s="7">
        <f t="shared" si="34"/>
        <v>5.4</v>
      </c>
      <c r="L94" s="7">
        <f t="shared" si="35"/>
        <v>6.6000000000000005</v>
      </c>
      <c r="M94" s="370">
        <f t="shared" si="36"/>
        <v>5.2250000000000005</v>
      </c>
      <c r="N94" s="1">
        <f t="shared" si="37"/>
        <v>9.9999999999999992E-2</v>
      </c>
      <c r="O94" s="7">
        <f t="shared" si="38"/>
        <v>81.5</v>
      </c>
      <c r="P94" s="7">
        <f t="shared" si="39"/>
        <v>5.05</v>
      </c>
      <c r="Q94" s="7">
        <f t="shared" si="40"/>
        <v>10.074999999999999</v>
      </c>
      <c r="R94" s="7">
        <f t="shared" si="41"/>
        <v>8.0500000000000007</v>
      </c>
      <c r="S94" s="7">
        <f t="shared" si="42"/>
        <v>5.0250000000000004</v>
      </c>
      <c r="T94" s="1">
        <v>35</v>
      </c>
      <c r="U94" s="333">
        <f t="shared" si="43"/>
        <v>2.129032258064516</v>
      </c>
      <c r="V94" s="4">
        <v>4</v>
      </c>
      <c r="W94" s="7">
        <f t="shared" si="44"/>
        <v>1.0920000000000001</v>
      </c>
      <c r="X94" s="7">
        <f t="shared" si="45"/>
        <v>9.5550000000000015</v>
      </c>
      <c r="Y94" s="8">
        <f t="shared" si="46"/>
        <v>8</v>
      </c>
      <c r="Z94" s="7">
        <f>IF(ISBLANK(Z7),NA(),SUM($Z$4:Z7))</f>
        <v>7.1999999999999993</v>
      </c>
      <c r="AA94" s="7">
        <f t="shared" si="70"/>
        <v>8.5161290322580641</v>
      </c>
      <c r="AB94" s="26">
        <f>IF(ISBLANK(Z7),"",SUM($Z$4:Z7))</f>
        <v>7.1999999999999993</v>
      </c>
      <c r="AC94" s="115">
        <f t="shared" si="71"/>
        <v>0.84545454545454546</v>
      </c>
      <c r="AD94" s="8">
        <f t="shared" si="47"/>
        <v>1005</v>
      </c>
      <c r="AE94" s="610">
        <f t="shared" si="48"/>
        <v>1.196586000286469</v>
      </c>
      <c r="AF94" s="524" t="e">
        <f t="shared" si="49"/>
        <v>#N/A</v>
      </c>
      <c r="AG94" s="22">
        <f>IF(ISBLANK(AP7),NA(),SUM($AP$4:AP7))</f>
        <v>7.6</v>
      </c>
      <c r="AH94" s="7">
        <f>SUM($AS$91:AS94)</f>
        <v>6.3514030735613822</v>
      </c>
      <c r="AI94" s="115">
        <f t="shared" si="50"/>
        <v>1.196586000286469</v>
      </c>
      <c r="AJ94" s="124">
        <f t="shared" si="51"/>
        <v>1</v>
      </c>
      <c r="AK94" s="8">
        <f t="shared" si="52"/>
        <v>1000</v>
      </c>
      <c r="AL94" s="124">
        <f t="shared" si="53"/>
        <v>0</v>
      </c>
      <c r="AM94" s="524">
        <f t="shared" si="54"/>
        <v>0.52152777777777781</v>
      </c>
      <c r="AN94" s="141">
        <f t="array" ref="AN94">MAX(FREQUENCY(IF(BI91:BI121=1,ROW(91:121)),IF(BI91:BI121&lt;&gt;1,ROW(91:121))))</f>
        <v>7</v>
      </c>
      <c r="AO94" s="524">
        <f t="shared" si="55"/>
        <v>0.58958333333333335</v>
      </c>
      <c r="AP94" s="449" t="s">
        <v>105</v>
      </c>
      <c r="AQ94" s="448">
        <v>7.5999999999999998E-2</v>
      </c>
      <c r="AR94" s="524">
        <f t="shared" si="56"/>
        <v>0.2638888888888889</v>
      </c>
      <c r="AS94" s="7">
        <f t="shared" si="57"/>
        <v>1.5791250600886628</v>
      </c>
      <c r="AT94" s="7">
        <v>7.2071373196524231</v>
      </c>
      <c r="AU94" s="4">
        <v>4</v>
      </c>
      <c r="AV94" s="127">
        <f t="shared" si="58"/>
        <v>0</v>
      </c>
      <c r="AW94" s="124">
        <f t="shared" si="72"/>
        <v>0</v>
      </c>
      <c r="AX94" s="124">
        <f t="shared" si="73"/>
        <v>0</v>
      </c>
      <c r="AY94" s="124">
        <f t="shared" si="59"/>
        <v>0</v>
      </c>
      <c r="AZ94" s="125">
        <f t="shared" si="60"/>
        <v>5.0999999999999996</v>
      </c>
      <c r="BA94" s="125">
        <f t="shared" si="61"/>
        <v>3.9666666666666668</v>
      </c>
      <c r="BB94" s="125">
        <f t="shared" si="62"/>
        <v>7.0333333333333332</v>
      </c>
      <c r="BC94" s="7">
        <v>4.4097222222222197</v>
      </c>
      <c r="BD94" s="7">
        <v>7.8319444444444386</v>
      </c>
      <c r="BE94" s="124"/>
      <c r="BF94" s="8">
        <f t="shared" si="63"/>
        <v>79</v>
      </c>
      <c r="BG94" s="21">
        <f t="shared" si="64"/>
        <v>7.5</v>
      </c>
      <c r="BH94" s="124">
        <f t="shared" si="65"/>
        <v>1</v>
      </c>
      <c r="BI94" s="124">
        <f t="shared" si="74"/>
        <v>1</v>
      </c>
      <c r="BJ94" s="144">
        <f t="shared" si="66"/>
        <v>9.9999999999999992E-2</v>
      </c>
      <c r="BL94" s="99">
        <v>4</v>
      </c>
    </row>
    <row r="95" spans="1:64" ht="12.75" x14ac:dyDescent="0.2">
      <c r="A95" s="8">
        <f t="shared" si="30"/>
        <v>27</v>
      </c>
      <c r="B95" s="125">
        <f t="shared" si="31"/>
        <v>3.2</v>
      </c>
      <c r="C95" s="125">
        <f t="shared" si="32"/>
        <v>7.8</v>
      </c>
      <c r="D95" s="125">
        <f t="shared" si="67"/>
        <v>5.5</v>
      </c>
      <c r="E95" s="125">
        <f t="shared" si="33"/>
        <v>4.5999999999999996</v>
      </c>
      <c r="F95" s="7">
        <v>3.5195833333333324</v>
      </c>
      <c r="G95" s="7">
        <v>8.6062499999999922</v>
      </c>
      <c r="H95" s="7">
        <f t="shared" si="68"/>
        <v>6.0629166666666627</v>
      </c>
      <c r="I95" s="7">
        <f t="shared" si="69"/>
        <v>5.0866666666666598</v>
      </c>
      <c r="K95" s="7">
        <f t="shared" si="34"/>
        <v>4.5999999999999996</v>
      </c>
      <c r="L95" s="7">
        <f t="shared" si="35"/>
        <v>4.5999999999999996</v>
      </c>
      <c r="M95" s="370">
        <f t="shared" si="36"/>
        <v>5.4</v>
      </c>
      <c r="N95" s="1">
        <f t="shared" si="37"/>
        <v>0</v>
      </c>
      <c r="O95" s="7">
        <f t="shared" si="38"/>
        <v>80.2</v>
      </c>
      <c r="P95" s="7">
        <f t="shared" si="39"/>
        <v>4.5</v>
      </c>
      <c r="Q95" s="7">
        <f t="shared" si="40"/>
        <v>9.44</v>
      </c>
      <c r="R95" s="7">
        <f t="shared" si="41"/>
        <v>7.2800000000000011</v>
      </c>
      <c r="S95" s="7">
        <f t="shared" si="42"/>
        <v>4.9400000000000004</v>
      </c>
      <c r="T95" s="1">
        <v>36</v>
      </c>
      <c r="U95" s="333">
        <f t="shared" si="43"/>
        <v>2.129032258064516</v>
      </c>
      <c r="V95" s="4">
        <v>5</v>
      </c>
      <c r="W95" s="7">
        <f t="shared" si="44"/>
        <v>1.3650000000000002</v>
      </c>
      <c r="X95" s="7">
        <f t="shared" si="45"/>
        <v>9.8280000000000012</v>
      </c>
      <c r="Y95" s="8">
        <f t="shared" si="46"/>
        <v>5</v>
      </c>
      <c r="Z95" s="7">
        <f>IF(ISBLANK(Z8),NA(),SUM($Z$4:Z8))</f>
        <v>7.1999999999999993</v>
      </c>
      <c r="AA95" s="7">
        <f t="shared" si="70"/>
        <v>10.64516129032258</v>
      </c>
      <c r="AB95" s="26">
        <f>IF(ISBLANK(Z8),"",SUM($Z$4:Z8))</f>
        <v>7.1999999999999993</v>
      </c>
      <c r="AC95" s="115">
        <f t="shared" si="71"/>
        <v>0.67636363636363628</v>
      </c>
      <c r="AD95" s="8">
        <f t="shared" si="47"/>
        <v>1004.9</v>
      </c>
      <c r="AE95" s="610">
        <f t="shared" si="48"/>
        <v>1.4636880629086721</v>
      </c>
      <c r="AF95" s="524">
        <f t="shared" si="49"/>
        <v>1.7361111111111112E-2</v>
      </c>
      <c r="AG95" s="22">
        <f>IF(ISBLANK(AP8),NA(),SUM($AP$4:AP8))</f>
        <v>11.6</v>
      </c>
      <c r="AH95" s="7">
        <f>SUM($AS$91:AS95)</f>
        <v>7.9251859012556487</v>
      </c>
      <c r="AI95" s="115">
        <f t="shared" si="50"/>
        <v>1.4636880629086721</v>
      </c>
      <c r="AJ95" s="124">
        <f t="shared" si="51"/>
        <v>0</v>
      </c>
      <c r="AK95" s="8">
        <f t="shared" si="52"/>
        <v>1004.5</v>
      </c>
      <c r="AL95" s="124">
        <f t="shared" si="53"/>
        <v>0</v>
      </c>
      <c r="AM95" s="524">
        <f t="shared" si="54"/>
        <v>0.60486111111111118</v>
      </c>
      <c r="AN95" s="141">
        <f t="array" ref="AN95">MAX(FREQUENCY(IF(BI91:BI121=0,ROW(91:121)),IF(BI91:BI121&lt;&gt;0,ROW(91:121))))</f>
        <v>4</v>
      </c>
      <c r="AO95" s="524">
        <f t="shared" si="55"/>
        <v>0.58194444444444449</v>
      </c>
      <c r="AP95" s="449" t="s">
        <v>207</v>
      </c>
      <c r="AQ95" s="448">
        <v>6.4000000000000001E-2</v>
      </c>
      <c r="AR95" s="524">
        <f t="shared" si="56"/>
        <v>0.33611111111111108</v>
      </c>
      <c r="AS95" s="7">
        <f t="shared" si="57"/>
        <v>1.5737828276942667</v>
      </c>
      <c r="AT95" s="7">
        <v>7.1827553353289355</v>
      </c>
      <c r="AU95" s="4">
        <v>5</v>
      </c>
      <c r="AV95" s="127">
        <f t="shared" si="58"/>
        <v>1</v>
      </c>
      <c r="AW95" s="124">
        <f t="shared" si="72"/>
        <v>0</v>
      </c>
      <c r="AX95" s="124">
        <f t="shared" si="73"/>
        <v>0</v>
      </c>
      <c r="AY95" s="124">
        <f t="shared" si="59"/>
        <v>0</v>
      </c>
      <c r="AZ95" s="125">
        <f t="shared" si="60"/>
        <v>5.0999999999999996</v>
      </c>
      <c r="BA95" s="125">
        <f t="shared" si="61"/>
        <v>3.9666666666666668</v>
      </c>
      <c r="BB95" s="125">
        <f t="shared" si="62"/>
        <v>7.0333333333333332</v>
      </c>
      <c r="BC95" s="7">
        <v>4.3673611111111095</v>
      </c>
      <c r="BD95" s="7">
        <v>7.758472222222216</v>
      </c>
      <c r="BE95" s="124"/>
      <c r="BF95" s="8">
        <f t="shared" si="63"/>
        <v>75</v>
      </c>
      <c r="BG95" s="21">
        <f t="shared" si="64"/>
        <v>4.2</v>
      </c>
      <c r="BH95" s="124">
        <f t="shared" si="65"/>
        <v>1</v>
      </c>
      <c r="BI95" s="124">
        <f t="shared" si="74"/>
        <v>0</v>
      </c>
      <c r="BJ95" s="144">
        <f t="shared" si="66"/>
        <v>0</v>
      </c>
      <c r="BL95" s="99">
        <v>5</v>
      </c>
    </row>
    <row r="96" spans="1:64" ht="12.75" x14ac:dyDescent="0.2">
      <c r="A96" s="8">
        <f t="shared" si="30"/>
        <v>16</v>
      </c>
      <c r="B96" s="125">
        <f t="shared" si="31"/>
        <v>3.2</v>
      </c>
      <c r="C96" s="125">
        <f t="shared" si="32"/>
        <v>7.8</v>
      </c>
      <c r="D96" s="125">
        <f t="shared" si="67"/>
        <v>5.5</v>
      </c>
      <c r="E96" s="125">
        <f t="shared" si="33"/>
        <v>4.5999999999999996</v>
      </c>
      <c r="F96" s="7">
        <v>3.4849999999999999</v>
      </c>
      <c r="G96" s="7">
        <v>8.5249999999999915</v>
      </c>
      <c r="H96" s="7">
        <f t="shared" si="68"/>
        <v>6.0049999999999955</v>
      </c>
      <c r="I96" s="7">
        <f t="shared" si="69"/>
        <v>5.039999999999992</v>
      </c>
      <c r="K96" s="7">
        <f t="shared" si="34"/>
        <v>4</v>
      </c>
      <c r="L96" s="7">
        <f t="shared" si="35"/>
        <v>4.5999999999999996</v>
      </c>
      <c r="M96" s="370">
        <f t="shared" si="36"/>
        <v>5.45</v>
      </c>
      <c r="N96" s="1">
        <f t="shared" si="37"/>
        <v>0</v>
      </c>
      <c r="O96" s="7">
        <f t="shared" si="38"/>
        <v>80.166666666666671</v>
      </c>
      <c r="P96" s="7">
        <f t="shared" si="39"/>
        <v>4.1833333333333336</v>
      </c>
      <c r="Q96" s="7">
        <f t="shared" si="40"/>
        <v>8.9666666666666668</v>
      </c>
      <c r="R96" s="7">
        <f t="shared" si="41"/>
        <v>6.8333333333333348</v>
      </c>
      <c r="S96" s="7">
        <f t="shared" si="42"/>
        <v>4.7833333333333341</v>
      </c>
      <c r="T96" s="1">
        <v>37</v>
      </c>
      <c r="U96" s="333">
        <f t="shared" si="43"/>
        <v>2.129032258064516</v>
      </c>
      <c r="V96" s="4">
        <v>6</v>
      </c>
      <c r="W96" s="7">
        <f t="shared" si="44"/>
        <v>1.6380000000000001</v>
      </c>
      <c r="X96" s="7">
        <f t="shared" si="45"/>
        <v>10.101000000000001</v>
      </c>
      <c r="Y96" s="8">
        <f t="shared" si="46"/>
        <v>4</v>
      </c>
      <c r="Z96" s="7">
        <f>IF(ISBLANK(Z9),NA(),SUM($Z$4:Z9))</f>
        <v>7.1999999999999993</v>
      </c>
      <c r="AA96" s="7">
        <f t="shared" si="70"/>
        <v>12.774193548387096</v>
      </c>
      <c r="AB96" s="26">
        <f>IF(ISBLANK(Z9),"",SUM($Z$4:Z9))</f>
        <v>7.1999999999999993</v>
      </c>
      <c r="AC96" s="115">
        <f t="shared" si="71"/>
        <v>0.5636363636363636</v>
      </c>
      <c r="AD96" s="8">
        <f t="shared" si="47"/>
        <v>1005.25</v>
      </c>
      <c r="AE96" s="610">
        <f t="shared" si="48"/>
        <v>1.4324959266867383</v>
      </c>
      <c r="AF96" s="524" t="e">
        <f t="shared" si="49"/>
        <v>#N/A</v>
      </c>
      <c r="AG96" s="22">
        <f>IF(ISBLANK(AP9),NA(),SUM($AP$4:AP9))</f>
        <v>13.6</v>
      </c>
      <c r="AH96" s="7">
        <f>SUM($AS$91:AS96)</f>
        <v>9.4939187935115719</v>
      </c>
      <c r="AI96" s="115">
        <f t="shared" si="50"/>
        <v>1.4324959266867383</v>
      </c>
      <c r="AJ96" s="124">
        <f t="shared" si="51"/>
        <v>0</v>
      </c>
      <c r="AK96" s="8">
        <f t="shared" si="52"/>
        <v>1007</v>
      </c>
      <c r="AL96" s="124">
        <f t="shared" si="53"/>
        <v>0</v>
      </c>
      <c r="AM96" s="524">
        <f t="shared" si="54"/>
        <v>0.61458333333333337</v>
      </c>
      <c r="AN96" s="124">
        <f>COUNTIF(AU50:AU60, "&lt;-0.5")</f>
        <v>0</v>
      </c>
      <c r="AO96" s="524">
        <f t="shared" si="55"/>
        <v>0.60277777777777775</v>
      </c>
      <c r="AP96" s="449" t="s">
        <v>106</v>
      </c>
      <c r="AQ96" s="448">
        <v>2.5999999999999999E-2</v>
      </c>
      <c r="AR96" s="524">
        <f t="shared" si="56"/>
        <v>0.16527777777777777</v>
      </c>
      <c r="AS96" s="7">
        <f t="shared" si="57"/>
        <v>1.5687328922559236</v>
      </c>
      <c r="AT96" s="7">
        <v>7.1597073962648343</v>
      </c>
      <c r="AU96" s="4">
        <v>6</v>
      </c>
      <c r="AV96" s="127">
        <f t="shared" si="58"/>
        <v>1</v>
      </c>
      <c r="AW96" s="124">
        <f t="shared" si="72"/>
        <v>0</v>
      </c>
      <c r="AX96" s="124">
        <f t="shared" si="73"/>
        <v>0</v>
      </c>
      <c r="AY96" s="124">
        <f t="shared" si="59"/>
        <v>0</v>
      </c>
      <c r="AZ96" s="125">
        <f t="shared" si="60"/>
        <v>5.0999999999999996</v>
      </c>
      <c r="BA96" s="125">
        <f t="shared" si="61"/>
        <v>3.9666666666666668</v>
      </c>
      <c r="BB96" s="125">
        <f t="shared" si="62"/>
        <v>7.0333333333333332</v>
      </c>
      <c r="BC96" s="7">
        <v>4.3250000000000002</v>
      </c>
      <c r="BD96" s="7">
        <v>7.6849999999999925</v>
      </c>
      <c r="BE96" s="124"/>
      <c r="BF96" s="8">
        <f t="shared" si="63"/>
        <v>80</v>
      </c>
      <c r="BG96" s="21">
        <f t="shared" si="64"/>
        <v>4.5999999999999996</v>
      </c>
      <c r="BH96" s="124">
        <f t="shared" si="65"/>
        <v>1</v>
      </c>
      <c r="BI96" s="124">
        <f t="shared" si="74"/>
        <v>1</v>
      </c>
      <c r="BJ96" s="144">
        <f t="shared" si="66"/>
        <v>0</v>
      </c>
      <c r="BL96" s="99">
        <v>6</v>
      </c>
    </row>
    <row r="97" spans="1:64" ht="12.75" x14ac:dyDescent="0.2">
      <c r="A97" s="8">
        <f t="shared" si="30"/>
        <v>44</v>
      </c>
      <c r="B97" s="125">
        <f t="shared" si="31"/>
        <v>3.2</v>
      </c>
      <c r="C97" s="125">
        <f t="shared" si="32"/>
        <v>7.8</v>
      </c>
      <c r="D97" s="125">
        <f t="shared" si="67"/>
        <v>5.5</v>
      </c>
      <c r="E97" s="125">
        <f t="shared" si="33"/>
        <v>4.5999999999999996</v>
      </c>
      <c r="F97" s="7">
        <v>3.4504166666666656</v>
      </c>
      <c r="G97" s="7">
        <v>8.4437499999999908</v>
      </c>
      <c r="H97" s="7">
        <f t="shared" si="68"/>
        <v>5.9470833333333282</v>
      </c>
      <c r="I97" s="7">
        <f t="shared" si="69"/>
        <v>4.9933333333333252</v>
      </c>
      <c r="K97" s="7">
        <f t="shared" si="34"/>
        <v>4.2</v>
      </c>
      <c r="L97" s="7">
        <f t="shared" si="35"/>
        <v>6.6</v>
      </c>
      <c r="M97" s="370">
        <f t="shared" si="36"/>
        <v>5.8</v>
      </c>
      <c r="N97" s="1">
        <f t="shared" si="37"/>
        <v>9.9999999999999992E-2</v>
      </c>
      <c r="O97" s="7">
        <f t="shared" si="38"/>
        <v>78.142857142857139</v>
      </c>
      <c r="P97" s="7">
        <f t="shared" si="39"/>
        <v>4.2285714285714286</v>
      </c>
      <c r="Q97" s="7">
        <f t="shared" si="40"/>
        <v>8.9285714285714288</v>
      </c>
      <c r="R97" s="7">
        <f t="shared" si="41"/>
        <v>6.8714285714285728</v>
      </c>
      <c r="S97" s="7">
        <f t="shared" si="42"/>
        <v>4.7000000000000011</v>
      </c>
      <c r="T97" s="1">
        <v>38</v>
      </c>
      <c r="U97" s="333">
        <f t="shared" si="43"/>
        <v>2.129032258064516</v>
      </c>
      <c r="V97" s="4">
        <v>7</v>
      </c>
      <c r="W97" s="7">
        <f t="shared" si="44"/>
        <v>1.911</v>
      </c>
      <c r="X97" s="7">
        <f t="shared" si="45"/>
        <v>10.374000000000001</v>
      </c>
      <c r="Y97" s="8">
        <f t="shared" si="46"/>
        <v>18</v>
      </c>
      <c r="Z97" s="7">
        <f>IF(ISBLANK(Z10),NA(),SUM($Z$4:Z10))</f>
        <v>7.4999999999999991</v>
      </c>
      <c r="AA97" s="7">
        <f t="shared" si="70"/>
        <v>14.903225806451612</v>
      </c>
      <c r="AB97" s="26">
        <f>IF(ISBLANK(Z10),"",SUM($Z$4:Z10))</f>
        <v>7.4999999999999991</v>
      </c>
      <c r="AC97" s="115">
        <f t="shared" si="71"/>
        <v>0.50324675324675316</v>
      </c>
      <c r="AD97" s="8">
        <f t="shared" si="47"/>
        <v>1006.0714285714286</v>
      </c>
      <c r="AE97" s="610">
        <f t="shared" si="48"/>
        <v>1.727272110601666</v>
      </c>
      <c r="AF97" s="524">
        <f t="shared" si="49"/>
        <v>5.4166666666666669E-2</v>
      </c>
      <c r="AG97" s="22">
        <f>IF(ISBLANK(AP10),NA(),SUM($AP$4:AP10))</f>
        <v>19.100000000000001</v>
      </c>
      <c r="AH97" s="7">
        <f>SUM($AS$91:AS97)</f>
        <v>11.057898684734068</v>
      </c>
      <c r="AI97" s="115">
        <f t="shared" si="50"/>
        <v>1.727272110601666</v>
      </c>
      <c r="AJ97" s="124">
        <f t="shared" si="51"/>
        <v>1</v>
      </c>
      <c r="AK97" s="8">
        <f t="shared" si="52"/>
        <v>1011</v>
      </c>
      <c r="AL97" s="124">
        <f t="shared" si="53"/>
        <v>0</v>
      </c>
      <c r="AM97" s="524">
        <f t="shared" si="54"/>
        <v>0.62777777777777777</v>
      </c>
      <c r="AN97" s="150">
        <f>COUNTIF(E48:E66,"&gt;0.5")</f>
        <v>2</v>
      </c>
      <c r="AO97" s="524">
        <f t="shared" si="55"/>
        <v>0.53472222222222221</v>
      </c>
      <c r="AP97" s="449" t="s">
        <v>208</v>
      </c>
      <c r="AQ97" s="448">
        <v>1.4E-2</v>
      </c>
      <c r="AR97" s="524" t="e">
        <f t="shared" si="56"/>
        <v>#N/A</v>
      </c>
      <c r="AS97" s="7">
        <f t="shared" si="57"/>
        <v>1.5639798912224965</v>
      </c>
      <c r="AT97" s="7">
        <v>7.1380146678077008</v>
      </c>
      <c r="AU97" s="4">
        <v>7</v>
      </c>
      <c r="AV97" s="127">
        <f t="shared" si="58"/>
        <v>1</v>
      </c>
      <c r="AW97" s="124">
        <f t="shared" si="72"/>
        <v>0</v>
      </c>
      <c r="AX97" s="124">
        <f t="shared" si="73"/>
        <v>0</v>
      </c>
      <c r="AY97" s="124">
        <f t="shared" si="59"/>
        <v>0</v>
      </c>
      <c r="AZ97" s="125">
        <f t="shared" si="60"/>
        <v>5.0999999999999996</v>
      </c>
      <c r="BA97" s="125">
        <f t="shared" si="61"/>
        <v>3.9666666666666668</v>
      </c>
      <c r="BB97" s="125">
        <f t="shared" si="62"/>
        <v>7.0333333333333332</v>
      </c>
      <c r="BC97" s="7">
        <v>4.2826388888888864</v>
      </c>
      <c r="BD97" s="7">
        <v>7.6115277777777699</v>
      </c>
      <c r="BE97" s="124"/>
      <c r="BF97" s="8">
        <f t="shared" si="63"/>
        <v>66</v>
      </c>
      <c r="BG97" s="21">
        <f t="shared" si="64"/>
        <v>7.1</v>
      </c>
      <c r="BH97" s="124">
        <f t="shared" si="65"/>
        <v>0</v>
      </c>
      <c r="BI97" s="124">
        <f t="shared" si="74"/>
        <v>0</v>
      </c>
      <c r="BJ97" s="144">
        <f t="shared" si="66"/>
        <v>9.9999999999999992E-2</v>
      </c>
      <c r="BL97" s="99">
        <v>7</v>
      </c>
    </row>
    <row r="98" spans="1:64" ht="12.75" x14ac:dyDescent="0.2">
      <c r="A98" s="8">
        <f t="shared" si="30"/>
        <v>20</v>
      </c>
      <c r="B98" s="125">
        <f t="shared" si="31"/>
        <v>3.2</v>
      </c>
      <c r="C98" s="125">
        <f t="shared" si="32"/>
        <v>7.8</v>
      </c>
      <c r="D98" s="125">
        <f t="shared" si="67"/>
        <v>5.5</v>
      </c>
      <c r="E98" s="125">
        <f t="shared" si="33"/>
        <v>4.5999999999999996</v>
      </c>
      <c r="F98" s="7">
        <v>3.4158333333333322</v>
      </c>
      <c r="G98" s="7">
        <v>8.3624999999999901</v>
      </c>
      <c r="H98" s="7">
        <f t="shared" si="68"/>
        <v>5.8891666666666609</v>
      </c>
      <c r="I98" s="7">
        <f t="shared" si="69"/>
        <v>4.9466666666666583</v>
      </c>
      <c r="K98" s="7">
        <f t="shared" si="34"/>
        <v>8.9</v>
      </c>
      <c r="L98" s="7">
        <f t="shared" si="35"/>
        <v>8.25</v>
      </c>
      <c r="M98" s="370">
        <f t="shared" si="36"/>
        <v>6.2625000000000002</v>
      </c>
      <c r="N98" s="1">
        <f t="shared" si="37"/>
        <v>0.26666666666666666</v>
      </c>
      <c r="O98" s="7">
        <f t="shared" si="38"/>
        <v>78.25</v>
      </c>
      <c r="P98" s="7">
        <f t="shared" si="39"/>
        <v>4.1749999999999998</v>
      </c>
      <c r="Q98" s="7">
        <f t="shared" si="40"/>
        <v>9.4</v>
      </c>
      <c r="R98" s="7">
        <f t="shared" si="41"/>
        <v>7.1125000000000007</v>
      </c>
      <c r="S98" s="7">
        <f t="shared" si="42"/>
        <v>5.2250000000000005</v>
      </c>
      <c r="T98" s="1">
        <v>39</v>
      </c>
      <c r="U98" s="333">
        <f t="shared" si="43"/>
        <v>2.129032258064516</v>
      </c>
      <c r="V98" s="4">
        <v>8</v>
      </c>
      <c r="W98" s="7">
        <f t="shared" si="44"/>
        <v>2.1840000000000002</v>
      </c>
      <c r="X98" s="7">
        <f t="shared" si="45"/>
        <v>10.647</v>
      </c>
      <c r="Y98" s="8">
        <f t="shared" si="46"/>
        <v>19</v>
      </c>
      <c r="Z98" s="7">
        <f>IF(ISBLANK(Z11),NA(),SUM($Z$4:Z11))</f>
        <v>8.2999999999999989</v>
      </c>
      <c r="AA98" s="7">
        <f t="shared" si="70"/>
        <v>17.032258064516128</v>
      </c>
      <c r="AB98" s="26">
        <f>IF(ISBLANK(Z11),"",SUM($Z$4:Z11))</f>
        <v>8.2999999999999989</v>
      </c>
      <c r="AC98" s="115">
        <f t="shared" si="71"/>
        <v>0.487310606060606</v>
      </c>
      <c r="AD98" s="8">
        <f t="shared" si="47"/>
        <v>1006.625</v>
      </c>
      <c r="AE98" s="610">
        <f t="shared" si="48"/>
        <v>1.5137793224215972</v>
      </c>
      <c r="AF98" s="524" t="e">
        <f t="shared" si="49"/>
        <v>#N/A</v>
      </c>
      <c r="AG98" s="22">
        <f>IF(ISBLANK(AP11),NA(),SUM($AP$4:AP11))</f>
        <v>19.100000000000001</v>
      </c>
      <c r="AH98" s="7">
        <f>SUM($AS$91:AS98)</f>
        <v>12.61742693739909</v>
      </c>
      <c r="AI98" s="115">
        <f t="shared" si="50"/>
        <v>1.5137793224215972</v>
      </c>
      <c r="AJ98" s="124">
        <f t="shared" si="51"/>
        <v>1</v>
      </c>
      <c r="AK98" s="8">
        <f t="shared" si="52"/>
        <v>1010.5</v>
      </c>
      <c r="AL98" s="124">
        <f t="shared" si="53"/>
        <v>0</v>
      </c>
      <c r="AM98" s="524" t="e">
        <f t="shared" si="54"/>
        <v>#N/A</v>
      </c>
      <c r="AN98" s="150">
        <f>COUNTIF(E72:E80, "&gt;0.5")</f>
        <v>0</v>
      </c>
      <c r="AO98" s="524" t="e">
        <f t="shared" si="55"/>
        <v>#N/A</v>
      </c>
      <c r="AP98" s="449" t="s">
        <v>112</v>
      </c>
      <c r="AQ98" s="448">
        <v>0.01</v>
      </c>
      <c r="AR98" s="524">
        <f t="shared" si="56"/>
        <v>7.013888888888889E-2</v>
      </c>
      <c r="AS98" s="7">
        <f t="shared" si="57"/>
        <v>1.5595282526650218</v>
      </c>
      <c r="AT98" s="7">
        <v>7.117697359703314</v>
      </c>
      <c r="AU98" s="4">
        <v>8</v>
      </c>
      <c r="AV98" s="127">
        <f t="shared" si="58"/>
        <v>0</v>
      </c>
      <c r="AW98" s="124">
        <f t="shared" si="72"/>
        <v>0</v>
      </c>
      <c r="AX98" s="124">
        <f t="shared" si="73"/>
        <v>1</v>
      </c>
      <c r="AY98" s="124">
        <f t="shared" si="59"/>
        <v>0</v>
      </c>
      <c r="AZ98" s="125">
        <f t="shared" si="60"/>
        <v>5.0999999999999996</v>
      </c>
      <c r="BA98" s="125">
        <f t="shared" si="61"/>
        <v>3.9666666666666668</v>
      </c>
      <c r="BB98" s="125">
        <f t="shared" si="62"/>
        <v>7.0333333333333332</v>
      </c>
      <c r="BC98" s="7">
        <v>4.2402777777777745</v>
      </c>
      <c r="BD98" s="7">
        <v>7.5380555555555473</v>
      </c>
      <c r="BE98" s="124"/>
      <c r="BF98" s="8">
        <f t="shared" si="63"/>
        <v>79</v>
      </c>
      <c r="BG98" s="21">
        <f t="shared" si="64"/>
        <v>8.8000000000000007</v>
      </c>
      <c r="BH98" s="124">
        <f t="shared" si="65"/>
        <v>0</v>
      </c>
      <c r="BI98" s="124">
        <f t="shared" si="74"/>
        <v>1</v>
      </c>
      <c r="BJ98" s="144">
        <f t="shared" si="66"/>
        <v>0.26666666666666666</v>
      </c>
      <c r="BL98" s="99">
        <v>8</v>
      </c>
    </row>
    <row r="99" spans="1:64" ht="12.75" x14ac:dyDescent="0.2">
      <c r="A99" s="8">
        <f t="shared" si="30"/>
        <v>19</v>
      </c>
      <c r="B99" s="125">
        <f t="shared" si="31"/>
        <v>3.2</v>
      </c>
      <c r="C99" s="125">
        <f t="shared" si="32"/>
        <v>7.8</v>
      </c>
      <c r="D99" s="125">
        <f t="shared" si="67"/>
        <v>5.5</v>
      </c>
      <c r="E99" s="125">
        <f t="shared" si="33"/>
        <v>4.5999999999999996</v>
      </c>
      <c r="F99" s="7">
        <v>3.3812500000000001</v>
      </c>
      <c r="G99" s="7">
        <v>8.2812499999999893</v>
      </c>
      <c r="H99" s="7">
        <f t="shared" si="68"/>
        <v>5.8312499999999945</v>
      </c>
      <c r="I99" s="7">
        <f t="shared" si="69"/>
        <v>4.8999999999999897</v>
      </c>
      <c r="K99" s="7">
        <f t="shared" si="34"/>
        <v>5.7</v>
      </c>
      <c r="L99" s="7">
        <f t="shared" si="35"/>
        <v>4.75</v>
      </c>
      <c r="M99" s="370">
        <f t="shared" si="36"/>
        <v>6.2888888888888888</v>
      </c>
      <c r="N99" s="1">
        <f t="shared" si="37"/>
        <v>0</v>
      </c>
      <c r="O99" s="7">
        <f t="shared" si="38"/>
        <v>77.111111111111114</v>
      </c>
      <c r="P99" s="7">
        <f t="shared" si="39"/>
        <v>3.9222222222222221</v>
      </c>
      <c r="Q99" s="7">
        <f t="shared" si="40"/>
        <v>9.1999999999999993</v>
      </c>
      <c r="R99" s="7">
        <f t="shared" si="41"/>
        <v>6.8777777777777782</v>
      </c>
      <c r="S99" s="7">
        <f t="shared" si="42"/>
        <v>5.2777777777777786</v>
      </c>
      <c r="T99" s="1">
        <v>40</v>
      </c>
      <c r="U99" s="333">
        <f t="shared" si="43"/>
        <v>2.129032258064516</v>
      </c>
      <c r="V99" s="4">
        <v>9</v>
      </c>
      <c r="W99" s="7">
        <f t="shared" si="44"/>
        <v>2.4570000000000003</v>
      </c>
      <c r="X99" s="7">
        <f t="shared" si="45"/>
        <v>10.920000000000002</v>
      </c>
      <c r="Y99" s="8">
        <f t="shared" si="46"/>
        <v>8</v>
      </c>
      <c r="Z99" s="7">
        <f>IF(ISBLANK(Z12),NA(),SUM($Z$4:Z12))</f>
        <v>8.2999999999999989</v>
      </c>
      <c r="AA99" s="7">
        <f t="shared" si="70"/>
        <v>19.161290322580644</v>
      </c>
      <c r="AB99" s="26">
        <f>IF(ISBLANK(Z12),"",SUM($Z$4:Z12))</f>
        <v>8.2999999999999989</v>
      </c>
      <c r="AC99" s="115">
        <f t="shared" si="71"/>
        <v>0.43316498316498314</v>
      </c>
      <c r="AD99" s="8">
        <f t="shared" si="47"/>
        <v>1007</v>
      </c>
      <c r="AE99" s="610">
        <f t="shared" si="48"/>
        <v>1.7709968286034934</v>
      </c>
      <c r="AF99" s="524" t="e">
        <f t="shared" si="49"/>
        <v>#N/A</v>
      </c>
      <c r="AG99" s="22">
        <f>IF(ISBLANK(AP12),NA(),SUM($AP$4:AP12))</f>
        <v>25.1</v>
      </c>
      <c r="AH99" s="7">
        <f>SUM($AS$91:AS99)</f>
        <v>14.172809117785052</v>
      </c>
      <c r="AI99" s="115">
        <f t="shared" si="50"/>
        <v>1.7709968286034934</v>
      </c>
      <c r="AJ99" s="124">
        <f t="shared" si="51"/>
        <v>0</v>
      </c>
      <c r="AK99" s="8">
        <f t="shared" si="52"/>
        <v>1010</v>
      </c>
      <c r="AL99" s="124">
        <f t="shared" si="53"/>
        <v>0</v>
      </c>
      <c r="AM99" s="524">
        <f t="shared" si="54"/>
        <v>0.56458333333333333</v>
      </c>
      <c r="AN99" s="7">
        <f>I39/3</f>
        <v>1.5333333333333332</v>
      </c>
      <c r="AO99" s="524">
        <f t="shared" si="55"/>
        <v>0.5854166666666667</v>
      </c>
      <c r="AP99" s="449" t="s">
        <v>209</v>
      </c>
      <c r="AQ99" s="448">
        <v>1.4E-2</v>
      </c>
      <c r="AR99" s="524">
        <f t="shared" si="56"/>
        <v>0.35416666666666669</v>
      </c>
      <c r="AS99" s="7">
        <f t="shared" si="57"/>
        <v>1.5553821803859618</v>
      </c>
      <c r="AT99" s="7">
        <v>7.0987746581341851</v>
      </c>
      <c r="AU99" s="4">
        <v>9</v>
      </c>
      <c r="AV99" s="127">
        <f t="shared" si="58"/>
        <v>1</v>
      </c>
      <c r="AW99" s="124">
        <f t="shared" si="72"/>
        <v>0</v>
      </c>
      <c r="AX99" s="124">
        <f t="shared" si="73"/>
        <v>0</v>
      </c>
      <c r="AY99" s="124">
        <f t="shared" si="59"/>
        <v>0</v>
      </c>
      <c r="AZ99" s="125">
        <f t="shared" si="60"/>
        <v>5.0999999999999996</v>
      </c>
      <c r="BA99" s="125">
        <f t="shared" si="61"/>
        <v>3.9666666666666668</v>
      </c>
      <c r="BB99" s="125">
        <f t="shared" si="62"/>
        <v>7.0333333333333332</v>
      </c>
      <c r="BC99" s="7">
        <v>4.1979166666666634</v>
      </c>
      <c r="BD99" s="7">
        <v>7.4645833333333238</v>
      </c>
      <c r="BE99" s="124"/>
      <c r="BF99" s="8">
        <f t="shared" si="63"/>
        <v>68</v>
      </c>
      <c r="BG99" s="21">
        <f t="shared" si="64"/>
        <v>5</v>
      </c>
      <c r="BH99" s="124">
        <f t="shared" si="65"/>
        <v>0</v>
      </c>
      <c r="BI99" s="124">
        <f t="shared" si="74"/>
        <v>0</v>
      </c>
      <c r="BJ99" s="144">
        <f t="shared" si="66"/>
        <v>0</v>
      </c>
      <c r="BL99" s="99">
        <v>9</v>
      </c>
    </row>
    <row r="100" spans="1:64" ht="12.75" x14ac:dyDescent="0.2">
      <c r="A100" s="8">
        <f t="shared" si="30"/>
        <v>15</v>
      </c>
      <c r="B100" s="125">
        <f t="shared" si="31"/>
        <v>3.2</v>
      </c>
      <c r="C100" s="125">
        <f t="shared" si="32"/>
        <v>7.8</v>
      </c>
      <c r="D100" s="125">
        <f t="shared" si="67"/>
        <v>5.5</v>
      </c>
      <c r="E100" s="125">
        <f t="shared" si="33"/>
        <v>4.5999999999999996</v>
      </c>
      <c r="F100" s="7">
        <v>3.3466666666666653</v>
      </c>
      <c r="G100" s="7">
        <v>8.1999999999999886</v>
      </c>
      <c r="H100" s="7">
        <f t="shared" si="68"/>
        <v>5.7733333333333272</v>
      </c>
      <c r="I100" s="7">
        <f t="shared" si="69"/>
        <v>4.8533333333333228</v>
      </c>
      <c r="K100" s="7">
        <f t="shared" si="34"/>
        <v>4.8</v>
      </c>
      <c r="L100" s="7">
        <f t="shared" si="35"/>
        <v>2.6999999999999997</v>
      </c>
      <c r="M100" s="370">
        <f t="shared" si="36"/>
        <v>6.1300000000000008</v>
      </c>
      <c r="N100" s="1">
        <f t="shared" si="37"/>
        <v>0</v>
      </c>
      <c r="O100" s="7">
        <f t="shared" si="38"/>
        <v>77.2</v>
      </c>
      <c r="P100" s="7">
        <f t="shared" si="39"/>
        <v>3.5599999999999996</v>
      </c>
      <c r="Q100" s="7">
        <f t="shared" si="40"/>
        <v>8.7899999999999991</v>
      </c>
      <c r="R100" s="7">
        <f t="shared" si="41"/>
        <v>6.45</v>
      </c>
      <c r="S100" s="7">
        <f t="shared" si="42"/>
        <v>5.23</v>
      </c>
      <c r="T100" s="1">
        <v>41</v>
      </c>
      <c r="U100" s="333">
        <f t="shared" si="43"/>
        <v>2.129032258064516</v>
      </c>
      <c r="V100" s="4">
        <v>10</v>
      </c>
      <c r="W100" s="7">
        <f t="shared" si="44"/>
        <v>2.7300000000000004</v>
      </c>
      <c r="X100" s="7">
        <f t="shared" si="45"/>
        <v>11.193000000000001</v>
      </c>
      <c r="Y100" s="8">
        <f t="shared" si="46"/>
        <v>2</v>
      </c>
      <c r="Z100" s="7">
        <f>IF(ISBLANK(Z13),NA(),SUM($Z$4:Z13))</f>
        <v>8.2999999999999989</v>
      </c>
      <c r="AA100" s="7">
        <f t="shared" si="70"/>
        <v>21.29032258064516</v>
      </c>
      <c r="AB100" s="26">
        <f>IF(ISBLANK(Z13),"",SUM($Z$4:Z13))</f>
        <v>8.2999999999999989</v>
      </c>
      <c r="AC100" s="115">
        <f t="shared" si="71"/>
        <v>0.38984848484848483</v>
      </c>
      <c r="AD100" s="8">
        <f t="shared" si="47"/>
        <v>1007.8</v>
      </c>
      <c r="AE100" s="610">
        <f t="shared" si="48"/>
        <v>2.0096214113614193</v>
      </c>
      <c r="AF100" s="524">
        <f t="shared" si="49"/>
        <v>0.3833333333333333</v>
      </c>
      <c r="AG100" s="22">
        <f>IF(ISBLANK(AP13),NA(),SUM($AP$4:AP13))</f>
        <v>31.6</v>
      </c>
      <c r="AH100" s="7">
        <f>SUM($AS$91:AS100)</f>
        <v>15.724354757243836</v>
      </c>
      <c r="AI100" s="115">
        <f t="shared" si="50"/>
        <v>2.0096214113614193</v>
      </c>
      <c r="AJ100" s="124">
        <f t="shared" si="51"/>
        <v>0</v>
      </c>
      <c r="AK100" s="8">
        <f t="shared" si="52"/>
        <v>1015</v>
      </c>
      <c r="AL100" s="124">
        <f t="shared" si="53"/>
        <v>0</v>
      </c>
      <c r="AM100" s="524">
        <f t="shared" si="54"/>
        <v>0.63680555555555551</v>
      </c>
      <c r="AN100" s="150">
        <f>COUNTIF(E48:E66,"&lt;-0.5")</f>
        <v>1</v>
      </c>
      <c r="AO100" s="524">
        <f t="shared" si="55"/>
        <v>0.63958333333333328</v>
      </c>
      <c r="AP100" s="449" t="s">
        <v>111</v>
      </c>
      <c r="AQ100" s="448">
        <v>4.2000000000000003E-2</v>
      </c>
      <c r="AR100" s="524">
        <f t="shared" si="56"/>
        <v>0.30972222222222223</v>
      </c>
      <c r="AS100" s="7">
        <f t="shared" si="57"/>
        <v>1.551545639458783</v>
      </c>
      <c r="AT100" s="7">
        <v>7.0812646597220947</v>
      </c>
      <c r="AU100" s="4">
        <v>10</v>
      </c>
      <c r="AV100" s="127">
        <f t="shared" si="58"/>
        <v>1</v>
      </c>
      <c r="AW100" s="124">
        <f t="shared" si="72"/>
        <v>1</v>
      </c>
      <c r="AX100" s="124">
        <f t="shared" si="73"/>
        <v>0</v>
      </c>
      <c r="AY100" s="124">
        <f t="shared" si="59"/>
        <v>1</v>
      </c>
      <c r="AZ100" s="125">
        <f t="shared" si="60"/>
        <v>5.0999999999999996</v>
      </c>
      <c r="BA100" s="125">
        <f t="shared" si="61"/>
        <v>3.9666666666666668</v>
      </c>
      <c r="BB100" s="125">
        <f t="shared" si="62"/>
        <v>7.0333333333333332</v>
      </c>
      <c r="BC100" s="7">
        <v>4.1555555555555532</v>
      </c>
      <c r="BD100" s="7">
        <v>7.3911111111111012</v>
      </c>
      <c r="BE100" s="124"/>
      <c r="BF100" s="8">
        <f t="shared" si="63"/>
        <v>78</v>
      </c>
      <c r="BG100" s="21">
        <f t="shared" si="64"/>
        <v>2.6</v>
      </c>
      <c r="BH100" s="124">
        <f t="shared" si="65"/>
        <v>0</v>
      </c>
      <c r="BI100" s="124">
        <f t="shared" si="74"/>
        <v>0</v>
      </c>
      <c r="BJ100" s="144">
        <f t="shared" si="66"/>
        <v>0</v>
      </c>
      <c r="BL100" s="99">
        <v>10</v>
      </c>
    </row>
    <row r="101" spans="1:64" ht="12.75" x14ac:dyDescent="0.2">
      <c r="A101" s="8">
        <f t="shared" si="30"/>
        <v>18</v>
      </c>
      <c r="B101" s="125">
        <f t="shared" si="31"/>
        <v>3.2</v>
      </c>
      <c r="C101" s="125">
        <f t="shared" si="32"/>
        <v>7.8</v>
      </c>
      <c r="D101" s="125">
        <f t="shared" si="67"/>
        <v>5.5</v>
      </c>
      <c r="E101" s="125">
        <f t="shared" si="33"/>
        <v>4.5999999999999996</v>
      </c>
      <c r="F101" s="7">
        <v>3.3120833333333319</v>
      </c>
      <c r="G101" s="7">
        <v>8.1187499999999879</v>
      </c>
      <c r="H101" s="7">
        <f t="shared" si="68"/>
        <v>5.7154166666666599</v>
      </c>
      <c r="I101" s="7">
        <f t="shared" si="69"/>
        <v>4.806666666666656</v>
      </c>
      <c r="K101" s="7">
        <f t="shared" si="34"/>
        <v>5.5</v>
      </c>
      <c r="L101" s="7">
        <f t="shared" si="35"/>
        <v>5.8</v>
      </c>
      <c r="M101" s="370">
        <f t="shared" si="36"/>
        <v>6.0909090909090908</v>
      </c>
      <c r="N101" s="1">
        <f t="shared" si="37"/>
        <v>1.8666666666666665</v>
      </c>
      <c r="O101" s="7">
        <f t="shared" si="38"/>
        <v>77.818181818181813</v>
      </c>
      <c r="P101" s="7">
        <f t="shared" si="39"/>
        <v>3.5090909090909084</v>
      </c>
      <c r="Q101" s="7">
        <f t="shared" si="40"/>
        <v>8.7727272727272716</v>
      </c>
      <c r="R101" s="7">
        <f t="shared" si="41"/>
        <v>6.463636363636363</v>
      </c>
      <c r="S101" s="7">
        <f t="shared" si="42"/>
        <v>5.2545454545454549</v>
      </c>
      <c r="T101" s="1">
        <v>42</v>
      </c>
      <c r="U101" s="333">
        <f t="shared" si="43"/>
        <v>2.129032258064516</v>
      </c>
      <c r="V101" s="4">
        <v>11</v>
      </c>
      <c r="W101" s="7">
        <f t="shared" si="44"/>
        <v>3.0030000000000001</v>
      </c>
      <c r="X101" s="7">
        <f t="shared" si="45"/>
        <v>11.466000000000001</v>
      </c>
      <c r="Y101" s="8">
        <f t="shared" si="46"/>
        <v>15</v>
      </c>
      <c r="Z101" s="7">
        <f>IF(ISBLANK(Z14),NA(),SUM($Z$4:Z14))</f>
        <v>13.899999999999999</v>
      </c>
      <c r="AA101" s="7">
        <f t="shared" si="70"/>
        <v>23.419354838709676</v>
      </c>
      <c r="AB101" s="26">
        <f>IF(ISBLANK(Z14),"",SUM($Z$4:Z14))</f>
        <v>13.899999999999999</v>
      </c>
      <c r="AC101" s="115">
        <f t="shared" si="71"/>
        <v>0.59352617079889802</v>
      </c>
      <c r="AD101" s="8">
        <f t="shared" si="47"/>
        <v>1007.8636363636364</v>
      </c>
      <c r="AE101" s="610">
        <f t="shared" si="48"/>
        <v>1.8295107742197818</v>
      </c>
      <c r="AF101" s="524" t="e">
        <f t="shared" si="49"/>
        <v>#N/A</v>
      </c>
      <c r="AG101" s="22">
        <f>IF(ISBLANK(AP14),NA(),SUM($AP$4:AP14))</f>
        <v>31.6</v>
      </c>
      <c r="AH101" s="7">
        <f>SUM($AS$91:AS101)</f>
        <v>17.272377099542485</v>
      </c>
      <c r="AI101" s="115">
        <f t="shared" si="50"/>
        <v>1.8295107742197818</v>
      </c>
      <c r="AJ101" s="124">
        <f t="shared" si="51"/>
        <v>1</v>
      </c>
      <c r="AK101" s="8">
        <f t="shared" si="52"/>
        <v>1008.5</v>
      </c>
      <c r="AL101" s="124">
        <f t="shared" si="53"/>
        <v>1</v>
      </c>
      <c r="AM101" s="524">
        <f t="shared" si="54"/>
        <v>0.62847222222222221</v>
      </c>
      <c r="AN101" s="124">
        <f>COUNTIF(AU50:AU60, "&gt;0.5")</f>
        <v>1</v>
      </c>
      <c r="AO101" s="524">
        <f t="shared" si="55"/>
        <v>0.61041666666666672</v>
      </c>
      <c r="AP101" s="449" t="s">
        <v>210</v>
      </c>
      <c r="AQ101" s="450">
        <v>5.3999999999999999E-2</v>
      </c>
      <c r="AR101" s="524">
        <f t="shared" si="56"/>
        <v>6.1805555555555558E-2</v>
      </c>
      <c r="AS101" s="7">
        <f t="shared" si="57"/>
        <v>1.5480223422986508</v>
      </c>
      <c r="AT101" s="7">
        <v>7.0651843079546497</v>
      </c>
      <c r="AU101" s="4">
        <v>11</v>
      </c>
      <c r="AV101" s="127">
        <f t="shared" si="58"/>
        <v>0</v>
      </c>
      <c r="AW101" s="124">
        <f t="shared" si="72"/>
        <v>0</v>
      </c>
      <c r="AX101" s="124">
        <f t="shared" si="73"/>
        <v>0</v>
      </c>
      <c r="AY101" s="124">
        <f t="shared" si="59"/>
        <v>0</v>
      </c>
      <c r="AZ101" s="125">
        <f t="shared" si="60"/>
        <v>5.0999999999999996</v>
      </c>
      <c r="BA101" s="125">
        <f t="shared" si="61"/>
        <v>3.9666666666666668</v>
      </c>
      <c r="BB101" s="125">
        <f t="shared" si="62"/>
        <v>7.0333333333333332</v>
      </c>
      <c r="BC101" s="7">
        <v>4.1131944444444413</v>
      </c>
      <c r="BD101" s="7">
        <v>7.3176388888888786</v>
      </c>
      <c r="BE101" s="124"/>
      <c r="BF101" s="8">
        <f t="shared" si="63"/>
        <v>84</v>
      </c>
      <c r="BG101" s="21">
        <f t="shared" si="64"/>
        <v>6.6</v>
      </c>
      <c r="BH101" s="124">
        <f t="shared" si="65"/>
        <v>0</v>
      </c>
      <c r="BI101" s="124">
        <f t="shared" si="74"/>
        <v>1</v>
      </c>
      <c r="BJ101" s="144">
        <f t="shared" si="66"/>
        <v>1.8666666666666665</v>
      </c>
      <c r="BL101" s="99">
        <v>11</v>
      </c>
    </row>
    <row r="102" spans="1:64" ht="12.75" x14ac:dyDescent="0.2">
      <c r="A102" s="8">
        <f t="shared" si="30"/>
        <v>22</v>
      </c>
      <c r="B102" s="125">
        <f t="shared" si="31"/>
        <v>3.2</v>
      </c>
      <c r="C102" s="125">
        <f t="shared" si="32"/>
        <v>7.8</v>
      </c>
      <c r="D102" s="125">
        <f t="shared" si="67"/>
        <v>5.5</v>
      </c>
      <c r="E102" s="125">
        <f t="shared" si="33"/>
        <v>4.5999999999999996</v>
      </c>
      <c r="F102" s="7">
        <v>3.2774999999999999</v>
      </c>
      <c r="G102" s="7">
        <v>8.0374999999999872</v>
      </c>
      <c r="H102" s="7">
        <f t="shared" si="68"/>
        <v>5.6574999999999935</v>
      </c>
      <c r="I102" s="7">
        <f t="shared" si="69"/>
        <v>4.7599999999999874</v>
      </c>
      <c r="K102" s="7">
        <f t="shared" si="34"/>
        <v>7.2</v>
      </c>
      <c r="L102" s="7">
        <f t="shared" si="35"/>
        <v>6.3000000000000007</v>
      </c>
      <c r="M102" s="370">
        <f t="shared" si="36"/>
        <v>6.208333333333333</v>
      </c>
      <c r="N102" s="1">
        <f t="shared" si="37"/>
        <v>1.6333333333333335</v>
      </c>
      <c r="O102" s="7">
        <f t="shared" si="38"/>
        <v>78.583333333333329</v>
      </c>
      <c r="P102" s="7">
        <f t="shared" si="39"/>
        <v>3.4416666666666664</v>
      </c>
      <c r="Q102" s="7">
        <f t="shared" si="40"/>
        <v>8.8666666666666654</v>
      </c>
      <c r="R102" s="7">
        <f t="shared" si="41"/>
        <v>6.4499999999999993</v>
      </c>
      <c r="S102" s="7">
        <f t="shared" si="42"/>
        <v>5.416666666666667</v>
      </c>
      <c r="T102" s="1">
        <v>43</v>
      </c>
      <c r="U102" s="333">
        <f t="shared" si="43"/>
        <v>2.129032258064516</v>
      </c>
      <c r="V102" s="4">
        <v>12</v>
      </c>
      <c r="W102" s="7">
        <f t="shared" si="44"/>
        <v>3.2760000000000002</v>
      </c>
      <c r="X102" s="7">
        <f t="shared" si="45"/>
        <v>11.739000000000001</v>
      </c>
      <c r="Y102" s="8">
        <f t="shared" si="46"/>
        <v>20</v>
      </c>
      <c r="Z102" s="7">
        <f>IF(ISBLANK(Z15),NA(),SUM($Z$4:Z15))</f>
        <v>18.799999999999997</v>
      </c>
      <c r="AA102" s="7">
        <f t="shared" si="70"/>
        <v>25.548387096774192</v>
      </c>
      <c r="AB102" s="26">
        <f>IF(ISBLANK(Z15),"",SUM($Z$4:Z15))</f>
        <v>18.799999999999997</v>
      </c>
      <c r="AC102" s="115">
        <f t="shared" si="71"/>
        <v>0.73585858585858577</v>
      </c>
      <c r="AD102" s="8">
        <f t="shared" si="47"/>
        <v>1007.0416666666666</v>
      </c>
      <c r="AE102" s="610">
        <f t="shared" si="48"/>
        <v>1.9981726461478111</v>
      </c>
      <c r="AF102" s="524" t="e">
        <f t="shared" si="49"/>
        <v>#N/A</v>
      </c>
      <c r="AG102" s="22">
        <f>IF(ISBLANK(AP15),NA(),SUM($AP$4:AP15))</f>
        <v>37.6</v>
      </c>
      <c r="AH102" s="7">
        <f>SUM($AS$91:AS102)</f>
        <v>18.817192834907125</v>
      </c>
      <c r="AI102" s="115">
        <f t="shared" si="50"/>
        <v>1.9981726461478111</v>
      </c>
      <c r="AJ102" s="124">
        <f t="shared" si="51"/>
        <v>1</v>
      </c>
      <c r="AK102" s="8">
        <f t="shared" si="52"/>
        <v>998</v>
      </c>
      <c r="AL102" s="124">
        <f t="shared" si="53"/>
        <v>1</v>
      </c>
      <c r="AM102" s="524">
        <f t="shared" si="54"/>
        <v>0.65833333333333333</v>
      </c>
      <c r="AN102" s="141">
        <f t="array" ref="AN102">MAX(FREQUENCY(IF(AJ91:AJ121=1,ROW(91:121)),IF(AJ91:AJ121&lt;&gt;1,ROW(91:121))))</f>
        <v>7</v>
      </c>
      <c r="AO102" s="524">
        <f t="shared" si="55"/>
        <v>0.61111111111111105</v>
      </c>
      <c r="AP102" s="451" t="s">
        <v>110</v>
      </c>
      <c r="AQ102" s="450">
        <v>3.1E-2</v>
      </c>
      <c r="AR102" s="524">
        <f t="shared" si="56"/>
        <v>0.34027777777777773</v>
      </c>
      <c r="AS102" s="7">
        <f t="shared" si="57"/>
        <v>1.544815735364641</v>
      </c>
      <c r="AT102" s="7">
        <v>7.0505493324940867</v>
      </c>
      <c r="AU102" s="4">
        <v>12</v>
      </c>
      <c r="AV102" s="127">
        <f t="shared" si="58"/>
        <v>1</v>
      </c>
      <c r="AW102" s="124">
        <f t="shared" si="72"/>
        <v>0</v>
      </c>
      <c r="AX102" s="124">
        <f t="shared" si="73"/>
        <v>0</v>
      </c>
      <c r="AY102" s="124">
        <f t="shared" si="59"/>
        <v>0</v>
      </c>
      <c r="AZ102" s="125">
        <f t="shared" si="60"/>
        <v>5.0999999999999996</v>
      </c>
      <c r="BA102" s="125">
        <f t="shared" si="61"/>
        <v>3.9666666666666668</v>
      </c>
      <c r="BB102" s="125">
        <f t="shared" si="62"/>
        <v>7.0333333333333332</v>
      </c>
      <c r="BC102" s="7">
        <v>4.0708333333333293</v>
      </c>
      <c r="BD102" s="7">
        <v>7.244166666666656</v>
      </c>
      <c r="BE102" s="124"/>
      <c r="BF102" s="8">
        <f t="shared" si="63"/>
        <v>87</v>
      </c>
      <c r="BG102" s="21">
        <f t="shared" si="64"/>
        <v>6.3</v>
      </c>
      <c r="BH102" s="124">
        <f t="shared" si="65"/>
        <v>1</v>
      </c>
      <c r="BI102" s="124">
        <f t="shared" si="74"/>
        <v>1</v>
      </c>
      <c r="BJ102" s="144">
        <f t="shared" si="66"/>
        <v>1.6333333333333335</v>
      </c>
      <c r="BL102" s="99">
        <v>12</v>
      </c>
    </row>
    <row r="103" spans="1:64" ht="12.75" x14ac:dyDescent="0.2">
      <c r="A103" s="8">
        <f t="shared" si="30"/>
        <v>39</v>
      </c>
      <c r="B103" s="125">
        <f t="shared" si="31"/>
        <v>3.2</v>
      </c>
      <c r="C103" s="125">
        <f t="shared" si="32"/>
        <v>7.8</v>
      </c>
      <c r="D103" s="125">
        <f t="shared" si="67"/>
        <v>5.5</v>
      </c>
      <c r="E103" s="125">
        <f t="shared" si="33"/>
        <v>4.5999999999999996</v>
      </c>
      <c r="F103" s="7">
        <v>3.2429166666666651</v>
      </c>
      <c r="G103" s="7">
        <v>7.9562499999999874</v>
      </c>
      <c r="H103" s="7">
        <f t="shared" si="68"/>
        <v>5.5995833333333263</v>
      </c>
      <c r="I103" s="7">
        <f t="shared" si="69"/>
        <v>4.7133333333333223</v>
      </c>
      <c r="K103" s="7">
        <f t="shared" si="34"/>
        <v>7.2</v>
      </c>
      <c r="L103" s="7">
        <f t="shared" si="35"/>
        <v>8</v>
      </c>
      <c r="M103" s="370">
        <f t="shared" si="36"/>
        <v>6.4692307692307685</v>
      </c>
      <c r="N103" s="1">
        <f t="shared" si="37"/>
        <v>3.0333333333333332</v>
      </c>
      <c r="O103" s="7">
        <f t="shared" si="38"/>
        <v>78.307692307692307</v>
      </c>
      <c r="P103" s="7">
        <f t="shared" si="39"/>
        <v>3.5153846153846149</v>
      </c>
      <c r="Q103" s="7">
        <f t="shared" si="40"/>
        <v>9.0769230769230766</v>
      </c>
      <c r="R103" s="7">
        <f t="shared" si="41"/>
        <v>6.5384615384615374</v>
      </c>
      <c r="S103" s="7">
        <f t="shared" si="42"/>
        <v>5.5538461538461537</v>
      </c>
      <c r="T103" s="1">
        <v>44</v>
      </c>
      <c r="U103" s="333">
        <f t="shared" si="43"/>
        <v>2.129032258064516</v>
      </c>
      <c r="V103" s="4">
        <v>13</v>
      </c>
      <c r="W103" s="7">
        <f t="shared" si="44"/>
        <v>3.5490000000000004</v>
      </c>
      <c r="X103" s="7">
        <f t="shared" si="45"/>
        <v>12.012</v>
      </c>
      <c r="Y103" s="8">
        <f t="shared" si="46"/>
        <v>10</v>
      </c>
      <c r="Z103" s="7">
        <f>IF(ISBLANK(Z16),NA(),SUM($Z$4:Z16))</f>
        <v>27.9</v>
      </c>
      <c r="AA103" s="7">
        <f t="shared" si="70"/>
        <v>27.677419354838708</v>
      </c>
      <c r="AB103" s="26">
        <f>IF(ISBLANK(Z16),"",SUM($Z$4:Z16))</f>
        <v>27.9</v>
      </c>
      <c r="AC103" s="115">
        <f t="shared" si="71"/>
        <v>1.008041958041958</v>
      </c>
      <c r="AD103" s="8">
        <f t="shared" si="47"/>
        <v>1005.7307692307693</v>
      </c>
      <c r="AE103" s="610">
        <f t="shared" si="48"/>
        <v>2.0924281692255562</v>
      </c>
      <c r="AF103" s="524">
        <f t="shared" si="49"/>
        <v>6.5277777777777782E-2</v>
      </c>
      <c r="AG103" s="22">
        <f>IF(ISBLANK(AP16),NA(),SUM($AP$4:AP16))</f>
        <v>42.6</v>
      </c>
      <c r="AH103" s="7">
        <f>SUM($AS$91:AS103)</f>
        <v>20.359121821499372</v>
      </c>
      <c r="AI103" s="115">
        <f t="shared" si="50"/>
        <v>2.0924281692255562</v>
      </c>
      <c r="AJ103" s="124">
        <f t="shared" si="51"/>
        <v>1</v>
      </c>
      <c r="AK103" s="8">
        <f t="shared" si="52"/>
        <v>990</v>
      </c>
      <c r="AL103" s="124">
        <f t="shared" si="53"/>
        <v>1</v>
      </c>
      <c r="AM103" s="524">
        <f t="shared" si="54"/>
        <v>0.56597222222222221</v>
      </c>
      <c r="AN103" s="7">
        <f>I39/-3</f>
        <v>-1.5333333333333332</v>
      </c>
      <c r="AO103" s="524">
        <f t="shared" si="55"/>
        <v>0.54166666666666663</v>
      </c>
      <c r="AP103" s="451" t="s">
        <v>211</v>
      </c>
      <c r="AQ103" s="450">
        <v>6.0999999999999999E-2</v>
      </c>
      <c r="AR103" s="524">
        <f t="shared" si="56"/>
        <v>0.38194444444444442</v>
      </c>
      <c r="AS103" s="7">
        <f t="shared" si="57"/>
        <v>1.5419289865922448</v>
      </c>
      <c r="AT103" s="7">
        <v>7.0373741918191426</v>
      </c>
      <c r="AU103" s="4">
        <v>13</v>
      </c>
      <c r="AV103" s="127">
        <f t="shared" si="58"/>
        <v>1</v>
      </c>
      <c r="AW103" s="124">
        <f t="shared" si="72"/>
        <v>0</v>
      </c>
      <c r="AX103" s="124">
        <f t="shared" si="73"/>
        <v>1</v>
      </c>
      <c r="AY103" s="124">
        <f t="shared" si="59"/>
        <v>0</v>
      </c>
      <c r="AZ103" s="125">
        <f t="shared" si="60"/>
        <v>5.0999999999999996</v>
      </c>
      <c r="BA103" s="125">
        <f t="shared" si="61"/>
        <v>3.9666666666666668</v>
      </c>
      <c r="BB103" s="125">
        <f t="shared" si="62"/>
        <v>7.0333333333333332</v>
      </c>
      <c r="BC103" s="7">
        <v>4.0284722222222191</v>
      </c>
      <c r="BD103" s="7">
        <v>7.1706944444444334</v>
      </c>
      <c r="BE103" s="124"/>
      <c r="BF103" s="8">
        <f t="shared" si="63"/>
        <v>75</v>
      </c>
      <c r="BG103" s="21">
        <f t="shared" si="64"/>
        <v>7.6</v>
      </c>
      <c r="BH103" s="124">
        <f t="shared" si="65"/>
        <v>1</v>
      </c>
      <c r="BI103" s="124">
        <f t="shared" si="74"/>
        <v>1</v>
      </c>
      <c r="BJ103" s="144">
        <f t="shared" si="66"/>
        <v>3.0333333333333332</v>
      </c>
      <c r="BL103" s="99">
        <v>13</v>
      </c>
    </row>
    <row r="104" spans="1:64" ht="12.75" x14ac:dyDescent="0.2">
      <c r="A104" s="8">
        <f t="shared" si="30"/>
        <v>13</v>
      </c>
      <c r="B104" s="125">
        <f t="shared" si="31"/>
        <v>3.2</v>
      </c>
      <c r="C104" s="125">
        <f t="shared" si="32"/>
        <v>7.8</v>
      </c>
      <c r="D104" s="125">
        <f t="shared" si="67"/>
        <v>5.5</v>
      </c>
      <c r="E104" s="125">
        <f t="shared" si="33"/>
        <v>4.5999999999999996</v>
      </c>
      <c r="F104" s="7">
        <v>3.2083333333333317</v>
      </c>
      <c r="G104" s="7">
        <v>7.8749999999999876</v>
      </c>
      <c r="H104" s="7">
        <f t="shared" si="68"/>
        <v>5.5416666666666599</v>
      </c>
      <c r="I104" s="7">
        <f t="shared" si="69"/>
        <v>4.6666666666666554</v>
      </c>
      <c r="K104" s="7">
        <f t="shared" si="34"/>
        <v>1.9</v>
      </c>
      <c r="L104" s="7">
        <f t="shared" si="35"/>
        <v>4.95</v>
      </c>
      <c r="M104" s="370">
        <f t="shared" si="36"/>
        <v>6.4571428571428564</v>
      </c>
      <c r="N104" s="1">
        <f t="shared" si="37"/>
        <v>9.9999999999999992E-2</v>
      </c>
      <c r="O104" s="7">
        <f t="shared" si="38"/>
        <v>78.071428571428569</v>
      </c>
      <c r="P104" s="7">
        <f t="shared" si="39"/>
        <v>3.55</v>
      </c>
      <c r="Q104" s="7">
        <f t="shared" si="40"/>
        <v>8.85</v>
      </c>
      <c r="R104" s="7">
        <f t="shared" si="41"/>
        <v>6.4214285714285708</v>
      </c>
      <c r="S104" s="7">
        <f t="shared" si="42"/>
        <v>5.2928571428571436</v>
      </c>
      <c r="T104" s="1">
        <v>45</v>
      </c>
      <c r="U104" s="333">
        <f t="shared" si="43"/>
        <v>2.129032258064516</v>
      </c>
      <c r="V104" s="4">
        <v>14</v>
      </c>
      <c r="W104" s="7">
        <f t="shared" si="44"/>
        <v>3.8220000000000001</v>
      </c>
      <c r="X104" s="7">
        <f t="shared" si="45"/>
        <v>12.285</v>
      </c>
      <c r="Y104" s="8">
        <f t="shared" si="46"/>
        <v>7</v>
      </c>
      <c r="Z104" s="7">
        <f>IF(ISBLANK(Z17),NA(),SUM($Z$4:Z17))</f>
        <v>28.2</v>
      </c>
      <c r="AA104" s="7">
        <f t="shared" si="70"/>
        <v>29.806451612903224</v>
      </c>
      <c r="AB104" s="26">
        <f>IF(ISBLANK(Z17),"",SUM($Z$4:Z17))</f>
        <v>28.2</v>
      </c>
      <c r="AC104" s="115">
        <f t="shared" si="71"/>
        <v>0.94610389610389611</v>
      </c>
      <c r="AD104" s="8">
        <f t="shared" si="47"/>
        <v>1004.9285714285714</v>
      </c>
      <c r="AE104" s="610">
        <f t="shared" si="48"/>
        <v>2.0595030342455209</v>
      </c>
      <c r="AF104" s="524">
        <f t="shared" si="49"/>
        <v>0.39166666666666666</v>
      </c>
      <c r="AG104" s="22">
        <f>IF(ISBLANK(AP17),NA(),SUM($AP$4:AP17))</f>
        <v>45.1</v>
      </c>
      <c r="AH104" s="7">
        <f>SUM($AS$91:AS104)</f>
        <v>21.898486795151506</v>
      </c>
      <c r="AI104" s="115">
        <f t="shared" si="50"/>
        <v>2.0595030342455209</v>
      </c>
      <c r="AJ104" s="124">
        <f t="shared" si="51"/>
        <v>1</v>
      </c>
      <c r="AK104" s="8">
        <f t="shared" si="52"/>
        <v>994.5</v>
      </c>
      <c r="AL104" s="124">
        <f t="shared" si="53"/>
        <v>0</v>
      </c>
      <c r="AM104" s="524">
        <f t="shared" si="54"/>
        <v>0.5</v>
      </c>
      <c r="AN104" s="25">
        <f>AP39/E34</f>
        <v>1.5483870967741935</v>
      </c>
      <c r="AO104" s="524">
        <f t="shared" si="55"/>
        <v>0.49305555555555558</v>
      </c>
      <c r="AP104" s="451" t="s">
        <v>114</v>
      </c>
      <c r="AQ104" s="452">
        <v>5.6000000000000001E-2</v>
      </c>
      <c r="AR104" s="524">
        <f t="shared" si="56"/>
        <v>0.31944444444444448</v>
      </c>
      <c r="AS104" s="7">
        <f t="shared" si="57"/>
        <v>1.5393649736521349</v>
      </c>
      <c r="AT104" s="7">
        <v>7.0256720196379847</v>
      </c>
      <c r="AU104" s="4">
        <v>14</v>
      </c>
      <c r="AV104" s="127">
        <f t="shared" si="58"/>
        <v>1</v>
      </c>
      <c r="AW104" s="124">
        <f t="shared" si="72"/>
        <v>0</v>
      </c>
      <c r="AX104" s="124">
        <f t="shared" si="73"/>
        <v>0</v>
      </c>
      <c r="AY104" s="124">
        <f t="shared" si="59"/>
        <v>0</v>
      </c>
      <c r="AZ104" s="125">
        <f t="shared" si="60"/>
        <v>5.0999999999999996</v>
      </c>
      <c r="BA104" s="125">
        <f t="shared" si="61"/>
        <v>3.9666666666666668</v>
      </c>
      <c r="BB104" s="125">
        <f t="shared" si="62"/>
        <v>7.0333333333333332</v>
      </c>
      <c r="BC104" s="7">
        <v>3.9861111111111081</v>
      </c>
      <c r="BD104" s="7">
        <v>7.0972222222222117</v>
      </c>
      <c r="BE104" s="124"/>
      <c r="BF104" s="8">
        <f t="shared" si="63"/>
        <v>75</v>
      </c>
      <c r="BG104" s="21">
        <f t="shared" si="64"/>
        <v>4.9000000000000004</v>
      </c>
      <c r="BH104" s="124">
        <f t="shared" si="65"/>
        <v>1</v>
      </c>
      <c r="BI104" s="124">
        <f t="shared" si="74"/>
        <v>1</v>
      </c>
      <c r="BJ104" s="144">
        <f t="shared" si="66"/>
        <v>9.9999999999999992E-2</v>
      </c>
      <c r="BL104" s="99">
        <v>14</v>
      </c>
    </row>
    <row r="105" spans="1:64" ht="12.75" x14ac:dyDescent="0.2">
      <c r="A105" s="8">
        <f t="shared" si="30"/>
        <v>19</v>
      </c>
      <c r="B105" s="125">
        <f t="shared" si="31"/>
        <v>3.2</v>
      </c>
      <c r="C105" s="125">
        <f t="shared" si="32"/>
        <v>7.8</v>
      </c>
      <c r="D105" s="125">
        <f t="shared" si="67"/>
        <v>5.5</v>
      </c>
      <c r="E105" s="125">
        <f t="shared" si="33"/>
        <v>4.5999999999999996</v>
      </c>
      <c r="F105" s="7">
        <v>3.1737500000000001</v>
      </c>
      <c r="G105" s="7">
        <v>7.7937499999999877</v>
      </c>
      <c r="H105" s="7">
        <f t="shared" si="68"/>
        <v>5.4837499999999935</v>
      </c>
      <c r="I105" s="7">
        <f t="shared" si="69"/>
        <v>4.6199999999999877</v>
      </c>
      <c r="K105" s="7">
        <f t="shared" si="34"/>
        <v>3.9</v>
      </c>
      <c r="L105" s="7">
        <f t="shared" si="35"/>
        <v>5.95</v>
      </c>
      <c r="M105" s="370">
        <f t="shared" si="36"/>
        <v>6.4971973333333324</v>
      </c>
      <c r="N105" s="1">
        <f t="shared" si="37"/>
        <v>0.73333333333333339</v>
      </c>
      <c r="O105" s="7">
        <f t="shared" si="38"/>
        <v>77.86666666666666</v>
      </c>
      <c r="P105" s="7">
        <f t="shared" si="39"/>
        <v>3.5799999999999996</v>
      </c>
      <c r="Q105" s="7">
        <f t="shared" si="40"/>
        <v>8.7866666666666653</v>
      </c>
      <c r="R105" s="7">
        <f t="shared" si="41"/>
        <v>6.379999999999999</v>
      </c>
      <c r="S105" s="7">
        <f t="shared" si="42"/>
        <v>5.2000000000000011</v>
      </c>
      <c r="T105" s="1">
        <v>46</v>
      </c>
      <c r="U105" s="333">
        <f t="shared" si="43"/>
        <v>2.129032258064516</v>
      </c>
      <c r="V105" s="4">
        <v>15</v>
      </c>
      <c r="W105" s="7">
        <f t="shared" si="44"/>
        <v>4.0950000000000006</v>
      </c>
      <c r="X105" s="7">
        <f t="shared" si="45"/>
        <v>12.558000000000002</v>
      </c>
      <c r="Y105" s="8">
        <f t="shared" si="46"/>
        <v>13</v>
      </c>
      <c r="Z105" s="7">
        <f>IF(ISBLANK(Z18),NA(),SUM($Z$4:Z18))</f>
        <v>30.4</v>
      </c>
      <c r="AA105" s="7">
        <f t="shared" si="70"/>
        <v>31.93548387096774</v>
      </c>
      <c r="AB105" s="26">
        <f>IF(ISBLANK(Z18),"",SUM($Z$4:Z18))</f>
        <v>30.4</v>
      </c>
      <c r="AC105" s="115">
        <f t="shared" si="71"/>
        <v>0.95191919191919194</v>
      </c>
      <c r="AD105" s="8">
        <f t="shared" si="47"/>
        <v>1004.2333333333333</v>
      </c>
      <c r="AE105" s="610">
        <f t="shared" si="48"/>
        <v>2.0524319060851037</v>
      </c>
      <c r="AF105" s="524" t="e">
        <f t="shared" si="49"/>
        <v>#N/A</v>
      </c>
      <c r="AG105" s="22">
        <f>IF(ISBLANK(AP18),NA(),SUM($AP$4:AP18))</f>
        <v>48.1</v>
      </c>
      <c r="AH105" s="7">
        <f>SUM($AS$91:AS105)</f>
        <v>23.435613068278595</v>
      </c>
      <c r="AI105" s="115">
        <f t="shared" si="50"/>
        <v>2.0524319060851037</v>
      </c>
      <c r="AJ105" s="124">
        <f t="shared" si="51"/>
        <v>1</v>
      </c>
      <c r="AK105" s="8">
        <f t="shared" si="52"/>
        <v>994.5</v>
      </c>
      <c r="AL105" s="124">
        <f t="shared" si="53"/>
        <v>1</v>
      </c>
      <c r="AM105" s="524" t="e">
        <f t="shared" si="54"/>
        <v>#N/A</v>
      </c>
      <c r="AN105" s="1">
        <f t="array" ref="AN105">MAX(IF(F4:F34=$F$85,E4:E34,0))</f>
        <v>19</v>
      </c>
      <c r="AO105" s="524">
        <f t="shared" si="55"/>
        <v>0.58750000000000002</v>
      </c>
      <c r="AP105" s="451" t="s">
        <v>212</v>
      </c>
      <c r="AQ105" s="450">
        <v>6.4000000000000001E-2</v>
      </c>
      <c r="AR105" s="524">
        <f t="shared" si="56"/>
        <v>2.7777777777777779E-3</v>
      </c>
      <c r="AS105" s="7">
        <f t="shared" si="57"/>
        <v>1.5371262731270903</v>
      </c>
      <c r="AT105" s="7">
        <v>7.0154545754916242</v>
      </c>
      <c r="AU105" s="4">
        <v>15</v>
      </c>
      <c r="AV105" s="127">
        <f t="shared" si="58"/>
        <v>1</v>
      </c>
      <c r="AW105" s="124">
        <f t="shared" si="72"/>
        <v>0</v>
      </c>
      <c r="AX105" s="124">
        <f t="shared" si="73"/>
        <v>0</v>
      </c>
      <c r="AY105" s="124">
        <f t="shared" si="59"/>
        <v>0</v>
      </c>
      <c r="AZ105" s="125">
        <f t="shared" si="60"/>
        <v>5.0999999999999996</v>
      </c>
      <c r="BA105" s="125">
        <f t="shared" si="61"/>
        <v>3.9666666666666668</v>
      </c>
      <c r="BB105" s="125">
        <f t="shared" si="62"/>
        <v>7.0333333333333332</v>
      </c>
      <c r="BC105" s="7">
        <v>3.9437500000000001</v>
      </c>
      <c r="BD105" s="7">
        <v>7.0237499999999899</v>
      </c>
      <c r="BE105" s="124"/>
      <c r="BF105" s="8">
        <f t="shared" si="63"/>
        <v>75</v>
      </c>
      <c r="BG105" s="21">
        <f t="shared" si="64"/>
        <v>5.8</v>
      </c>
      <c r="BH105" s="124">
        <f t="shared" si="65"/>
        <v>1</v>
      </c>
      <c r="BI105" s="124">
        <f t="shared" si="74"/>
        <v>1</v>
      </c>
      <c r="BJ105" s="144">
        <f t="shared" si="66"/>
        <v>0.73333333333333339</v>
      </c>
      <c r="BL105" s="99">
        <v>15</v>
      </c>
    </row>
    <row r="106" spans="1:64" ht="12.75" x14ac:dyDescent="0.2">
      <c r="A106" s="8">
        <f t="shared" si="30"/>
        <v>20</v>
      </c>
      <c r="B106" s="125">
        <f t="shared" si="31"/>
        <v>3.2</v>
      </c>
      <c r="C106" s="125">
        <f t="shared" si="32"/>
        <v>7.8</v>
      </c>
      <c r="D106" s="125">
        <f t="shared" si="67"/>
        <v>5.5</v>
      </c>
      <c r="E106" s="125">
        <f t="shared" si="33"/>
        <v>4.5999999999999996</v>
      </c>
      <c r="F106" s="7">
        <v>3.1391666666666649</v>
      </c>
      <c r="G106" s="7">
        <v>7.7124999999999879</v>
      </c>
      <c r="H106" s="7">
        <f t="shared" si="68"/>
        <v>5.4258333333333262</v>
      </c>
      <c r="I106" s="7">
        <f t="shared" si="69"/>
        <v>4.5733333333333235</v>
      </c>
      <c r="K106" s="7">
        <f t="shared" si="34"/>
        <v>3.1</v>
      </c>
      <c r="L106" s="7">
        <f t="shared" si="35"/>
        <v>2.5499999999999998</v>
      </c>
      <c r="M106" s="370">
        <f t="shared" si="36"/>
        <v>6.4542124999999988</v>
      </c>
      <c r="N106" s="1">
        <f t="shared" si="37"/>
        <v>2.1</v>
      </c>
      <c r="O106" s="7">
        <f t="shared" si="38"/>
        <v>78.5625</v>
      </c>
      <c r="P106" s="7">
        <f t="shared" si="39"/>
        <v>3.4187499999999997</v>
      </c>
      <c r="Q106" s="7">
        <f t="shared" si="40"/>
        <v>8.4937499999999986</v>
      </c>
      <c r="R106" s="7">
        <f t="shared" si="41"/>
        <v>6.1562499999999991</v>
      </c>
      <c r="S106" s="7">
        <f t="shared" si="42"/>
        <v>5.0687500000000005</v>
      </c>
      <c r="T106" s="1">
        <v>47</v>
      </c>
      <c r="U106" s="333">
        <f t="shared" si="43"/>
        <v>2.129032258064516</v>
      </c>
      <c r="V106" s="4">
        <v>16</v>
      </c>
      <c r="W106" s="7">
        <f t="shared" si="44"/>
        <v>4.3680000000000003</v>
      </c>
      <c r="X106" s="7">
        <f t="shared" si="45"/>
        <v>12.831000000000001</v>
      </c>
      <c r="Y106" s="8">
        <f t="shared" si="46"/>
        <v>23</v>
      </c>
      <c r="Z106" s="7">
        <f>IF(ISBLANK(Z19),NA(),SUM($Z$4:Z19))</f>
        <v>36.699999999999996</v>
      </c>
      <c r="AA106" s="7">
        <f t="shared" si="70"/>
        <v>34.064516129032256</v>
      </c>
      <c r="AB106" s="26">
        <f>IF(ISBLANK(Z19),"",SUM($Z$4:Z19))</f>
        <v>36.699999999999996</v>
      </c>
      <c r="AC106" s="115">
        <f t="shared" si="71"/>
        <v>1.0773674242424243</v>
      </c>
      <c r="AD106" s="8">
        <f t="shared" si="47"/>
        <v>1003.4375</v>
      </c>
      <c r="AE106" s="610">
        <f t="shared" si="48"/>
        <v>1.946271047712979</v>
      </c>
      <c r="AF106" s="524">
        <f t="shared" si="49"/>
        <v>0.3979166666666667</v>
      </c>
      <c r="AG106" s="22">
        <f>IF(ISBLANK(AP19),NA(),SUM($AP$4:AP19))</f>
        <v>48.6</v>
      </c>
      <c r="AH106" s="7">
        <f>SUM($AS$91:AS106)</f>
        <v>24.970828218972279</v>
      </c>
      <c r="AI106" s="115">
        <f t="shared" si="50"/>
        <v>1.946271047712979</v>
      </c>
      <c r="AJ106" s="124">
        <f t="shared" si="51"/>
        <v>1</v>
      </c>
      <c r="AK106" s="8">
        <f t="shared" si="52"/>
        <v>991.5</v>
      </c>
      <c r="AL106" s="124">
        <f t="shared" si="53"/>
        <v>1</v>
      </c>
      <c r="AM106" s="524">
        <f t="shared" si="54"/>
        <v>0.63472222222222219</v>
      </c>
      <c r="AN106" s="1">
        <f t="array" ref="AN106">MAX(IF(G4:G34=$G$86,E4:E34,0))</f>
        <v>26</v>
      </c>
      <c r="AO106" s="524">
        <f t="shared" si="55"/>
        <v>0.625</v>
      </c>
      <c r="AP106" s="451" t="s">
        <v>128</v>
      </c>
      <c r="AQ106" s="450">
        <v>7.0999999999999994E-2</v>
      </c>
      <c r="AR106" s="524">
        <f t="shared" si="56"/>
        <v>0.32430555555555557</v>
      </c>
      <c r="AS106" s="7">
        <f t="shared" si="57"/>
        <v>1.5352151506936846</v>
      </c>
      <c r="AT106" s="7">
        <v>7.0067321999430723</v>
      </c>
      <c r="AU106" s="4">
        <v>16</v>
      </c>
      <c r="AV106" s="127">
        <f t="shared" si="58"/>
        <v>0</v>
      </c>
      <c r="AW106" s="124">
        <f t="shared" si="72"/>
        <v>1</v>
      </c>
      <c r="AX106" s="124">
        <f t="shared" si="73"/>
        <v>0</v>
      </c>
      <c r="AY106" s="124">
        <f t="shared" si="59"/>
        <v>0</v>
      </c>
      <c r="AZ106" s="125">
        <f t="shared" si="60"/>
        <v>5.0999999999999996</v>
      </c>
      <c r="BA106" s="125">
        <f t="shared" si="61"/>
        <v>3.9666666666666668</v>
      </c>
      <c r="BB106" s="125">
        <f t="shared" si="62"/>
        <v>7.0333333333333332</v>
      </c>
      <c r="BC106" s="7">
        <v>3.901388888888885</v>
      </c>
      <c r="BD106" s="7">
        <v>6.9502777777777673</v>
      </c>
      <c r="BE106" s="124"/>
      <c r="BF106" s="8">
        <f t="shared" si="63"/>
        <v>89</v>
      </c>
      <c r="BG106" s="21">
        <f t="shared" si="64"/>
        <v>2.8</v>
      </c>
      <c r="BH106" s="124">
        <f t="shared" si="65"/>
        <v>1</v>
      </c>
      <c r="BI106" s="124">
        <f t="shared" si="74"/>
        <v>1</v>
      </c>
      <c r="BJ106" s="144">
        <f t="shared" si="66"/>
        <v>2.1</v>
      </c>
      <c r="BL106" s="99">
        <v>16</v>
      </c>
    </row>
    <row r="107" spans="1:64" ht="12.75" x14ac:dyDescent="0.2">
      <c r="A107" s="8">
        <f t="shared" si="30"/>
        <v>18</v>
      </c>
      <c r="B107" s="125">
        <f t="shared" si="31"/>
        <v>3.2</v>
      </c>
      <c r="C107" s="125">
        <f t="shared" si="32"/>
        <v>7.8</v>
      </c>
      <c r="D107" s="125">
        <f t="shared" si="67"/>
        <v>5.5</v>
      </c>
      <c r="E107" s="125">
        <f t="shared" si="33"/>
        <v>4.5999999999999996</v>
      </c>
      <c r="F107" s="7">
        <v>3.1045833333333315</v>
      </c>
      <c r="G107" s="7">
        <v>7.6312499999999881</v>
      </c>
      <c r="H107" s="7">
        <f t="shared" si="68"/>
        <v>5.3679166666666598</v>
      </c>
      <c r="I107" s="7">
        <f t="shared" si="69"/>
        <v>4.5266666666666566</v>
      </c>
      <c r="K107" s="7">
        <f t="shared" si="34"/>
        <v>4.5</v>
      </c>
      <c r="L107" s="7">
        <f t="shared" si="35"/>
        <v>2.8499999999999996</v>
      </c>
      <c r="M107" s="370">
        <f t="shared" si="36"/>
        <v>6.3503364705882346</v>
      </c>
      <c r="N107" s="1">
        <f t="shared" si="37"/>
        <v>0.16666666666666666</v>
      </c>
      <c r="O107" s="7">
        <f t="shared" si="38"/>
        <v>79.058823529411768</v>
      </c>
      <c r="P107" s="7">
        <f t="shared" si="39"/>
        <v>3.2529411764705882</v>
      </c>
      <c r="Q107" s="7">
        <f t="shared" si="40"/>
        <v>8.2941176470588225</v>
      </c>
      <c r="R107" s="7">
        <f t="shared" si="41"/>
        <v>5.9470588235294102</v>
      </c>
      <c r="S107" s="7">
        <f t="shared" si="42"/>
        <v>5.0352941176470596</v>
      </c>
      <c r="T107" s="1">
        <v>48</v>
      </c>
      <c r="U107" s="333">
        <f t="shared" si="43"/>
        <v>2.129032258064516</v>
      </c>
      <c r="V107" s="4">
        <v>17</v>
      </c>
      <c r="W107" s="7">
        <f t="shared" si="44"/>
        <v>4.641</v>
      </c>
      <c r="X107" s="7">
        <f t="shared" si="45"/>
        <v>13.104000000000001</v>
      </c>
      <c r="Y107" s="8">
        <f t="shared" si="46"/>
        <v>11</v>
      </c>
      <c r="Z107" s="7">
        <f>IF(ISBLANK(Z20),NA(),SUM($Z$4:Z20))</f>
        <v>37.199999999999996</v>
      </c>
      <c r="AA107" s="7">
        <f t="shared" si="70"/>
        <v>36.193548387096769</v>
      </c>
      <c r="AB107" s="26">
        <f>IF(ISBLANK(Z20),"",SUM($Z$4:Z20))</f>
        <v>37.199999999999996</v>
      </c>
      <c r="AC107" s="115">
        <f t="shared" si="71"/>
        <v>1.0278074866310161</v>
      </c>
      <c r="AD107" s="8">
        <f t="shared" si="47"/>
        <v>1003.7352941176471</v>
      </c>
      <c r="AE107" s="610">
        <f t="shared" si="48"/>
        <v>1.984571520589635</v>
      </c>
      <c r="AF107" s="524">
        <f t="shared" si="49"/>
        <v>0.41666666666666669</v>
      </c>
      <c r="AG107" s="22">
        <f>IF(ISBLANK(AP20),NA(),SUM($AP$4:AP20))</f>
        <v>52.6</v>
      </c>
      <c r="AH107" s="7">
        <f>SUM($AS$91:AS107)</f>
        <v>26.504461771361125</v>
      </c>
      <c r="AI107" s="115">
        <f t="shared" si="50"/>
        <v>1.984571520589635</v>
      </c>
      <c r="AJ107" s="124">
        <f t="shared" si="51"/>
        <v>1</v>
      </c>
      <c r="AK107" s="8">
        <f t="shared" si="52"/>
        <v>1008.5</v>
      </c>
      <c r="AL107" s="124">
        <f t="shared" si="53"/>
        <v>0</v>
      </c>
      <c r="AM107" s="524">
        <f t="shared" si="54"/>
        <v>0.6479166666666667</v>
      </c>
      <c r="AN107" s="7">
        <f>C85-G39</f>
        <v>-4</v>
      </c>
      <c r="AO107" s="524">
        <f t="shared" si="55"/>
        <v>0.6069444444444444</v>
      </c>
      <c r="AP107" s="449" t="s">
        <v>213</v>
      </c>
      <c r="AQ107" s="448">
        <v>0.114</v>
      </c>
      <c r="AR107" s="524">
        <f t="shared" si="56"/>
        <v>0.30763888888888891</v>
      </c>
      <c r="AS107" s="7">
        <f t="shared" si="57"/>
        <v>1.5336335523888449</v>
      </c>
      <c r="AT107" s="7">
        <v>6.99951377471786</v>
      </c>
      <c r="AU107" s="4">
        <v>17</v>
      </c>
      <c r="AV107" s="127">
        <f t="shared" si="58"/>
        <v>1</v>
      </c>
      <c r="AW107" s="124">
        <f t="shared" si="72"/>
        <v>1</v>
      </c>
      <c r="AX107" s="124">
        <f t="shared" si="73"/>
        <v>0</v>
      </c>
      <c r="AY107" s="124">
        <f t="shared" si="59"/>
        <v>0</v>
      </c>
      <c r="AZ107" s="125">
        <f t="shared" si="60"/>
        <v>5.0999999999999996</v>
      </c>
      <c r="BA107" s="125">
        <f t="shared" si="61"/>
        <v>3.9666666666666668</v>
      </c>
      <c r="BB107" s="125">
        <f t="shared" si="62"/>
        <v>7.0333333333333332</v>
      </c>
      <c r="BC107" s="7">
        <v>3.8590277777777739</v>
      </c>
      <c r="BD107" s="7">
        <v>6.8768055555555456</v>
      </c>
      <c r="BE107" s="124"/>
      <c r="BF107" s="8">
        <f t="shared" si="63"/>
        <v>87</v>
      </c>
      <c r="BG107" s="21">
        <f t="shared" si="64"/>
        <v>2.6</v>
      </c>
      <c r="BH107" s="124">
        <f t="shared" si="65"/>
        <v>0</v>
      </c>
      <c r="BI107" s="124">
        <f t="shared" si="74"/>
        <v>1</v>
      </c>
      <c r="BJ107" s="144">
        <f t="shared" si="66"/>
        <v>0.16666666666666666</v>
      </c>
      <c r="BL107" s="99">
        <v>17</v>
      </c>
    </row>
    <row r="108" spans="1:64" ht="12.75" x14ac:dyDescent="0.2">
      <c r="A108" s="8">
        <f t="shared" si="30"/>
        <v>16</v>
      </c>
      <c r="B108" s="125">
        <f t="shared" si="31"/>
        <v>3.2</v>
      </c>
      <c r="C108" s="125">
        <f t="shared" si="32"/>
        <v>7.8</v>
      </c>
      <c r="D108" s="125">
        <f t="shared" si="67"/>
        <v>5.5</v>
      </c>
      <c r="E108" s="125">
        <f t="shared" si="33"/>
        <v>4.5999999999999996</v>
      </c>
      <c r="F108" s="7">
        <v>3.07</v>
      </c>
      <c r="G108" s="7">
        <v>7.55</v>
      </c>
      <c r="H108" s="7">
        <f t="shared" si="68"/>
        <v>5.31</v>
      </c>
      <c r="I108" s="7">
        <f t="shared" si="69"/>
        <v>4.4800000000000004</v>
      </c>
      <c r="K108" s="7">
        <f t="shared" si="34"/>
        <v>5.7</v>
      </c>
      <c r="L108" s="7">
        <f t="shared" si="35"/>
        <v>1.95</v>
      </c>
      <c r="M108" s="370">
        <f t="shared" si="36"/>
        <v>6.2296911111111104</v>
      </c>
      <c r="N108" s="1">
        <f t="shared" si="37"/>
        <v>0</v>
      </c>
      <c r="O108" s="7">
        <f t="shared" si="38"/>
        <v>79.333333333333329</v>
      </c>
      <c r="P108" s="7">
        <f t="shared" si="39"/>
        <v>3.0222222222222221</v>
      </c>
      <c r="Q108" s="7">
        <f t="shared" si="40"/>
        <v>8.1</v>
      </c>
      <c r="R108" s="7">
        <f t="shared" si="41"/>
        <v>5.6999999999999993</v>
      </c>
      <c r="S108" s="7">
        <f t="shared" si="42"/>
        <v>5.0722222222222229</v>
      </c>
      <c r="T108" s="1">
        <v>49</v>
      </c>
      <c r="U108" s="333">
        <f t="shared" si="43"/>
        <v>2.129032258064516</v>
      </c>
      <c r="V108" s="4">
        <v>18</v>
      </c>
      <c r="W108" s="7">
        <f t="shared" si="44"/>
        <v>4.9140000000000006</v>
      </c>
      <c r="X108" s="7">
        <f t="shared" si="45"/>
        <v>13.377000000000001</v>
      </c>
      <c r="Y108" s="8">
        <f t="shared" si="46"/>
        <v>5</v>
      </c>
      <c r="Z108" s="7">
        <f>IF(ISBLANK(Z21),NA(),SUM($Z$4:Z21))</f>
        <v>37.199999999999996</v>
      </c>
      <c r="AA108" s="7">
        <f t="shared" si="70"/>
        <v>38.322580645161288</v>
      </c>
      <c r="AB108" s="26">
        <f>IF(ISBLANK(Z21),"",SUM($Z$4:Z21))</f>
        <v>37.199999999999996</v>
      </c>
      <c r="AC108" s="115">
        <f t="shared" si="71"/>
        <v>0.97070707070707063</v>
      </c>
      <c r="AD108" s="8">
        <f t="shared" si="47"/>
        <v>1004.4444444444445</v>
      </c>
      <c r="AE108" s="610">
        <f t="shared" si="48"/>
        <v>1.9296037144673621</v>
      </c>
      <c r="AF108" s="524">
        <f t="shared" si="49"/>
        <v>0.41249999999999998</v>
      </c>
      <c r="AG108" s="22">
        <f>IF(ISBLANK(AP21),NA(),SUM($AP$4:AP21))</f>
        <v>54.1</v>
      </c>
      <c r="AH108" s="7">
        <f>SUM($AS$91:AS108)</f>
        <v>28.036844868394901</v>
      </c>
      <c r="AI108" s="115">
        <f t="shared" si="50"/>
        <v>1.9296037144673621</v>
      </c>
      <c r="AJ108" s="124">
        <f t="shared" si="51"/>
        <v>0</v>
      </c>
      <c r="AK108" s="8">
        <f t="shared" si="52"/>
        <v>1016.5</v>
      </c>
      <c r="AL108" s="124">
        <f t="shared" si="53"/>
        <v>0</v>
      </c>
      <c r="AM108" s="524">
        <f t="shared" si="54"/>
        <v>0.64375000000000004</v>
      </c>
      <c r="AN108" s="124">
        <f t="array" ref="AN108">SUM(IF(Z4:Z34&gt;10,1,0))</f>
        <v>0</v>
      </c>
      <c r="AO108" s="524">
        <f t="shared" si="55"/>
        <v>0.58402777777777781</v>
      </c>
      <c r="AP108" s="303"/>
      <c r="AQ108" s="303"/>
      <c r="AR108" s="524">
        <f t="shared" si="56"/>
        <v>0.3125</v>
      </c>
      <c r="AS108" s="7">
        <f t="shared" si="57"/>
        <v>1.5323830970337777</v>
      </c>
      <c r="AT108" s="7">
        <v>6.9938066881267842</v>
      </c>
      <c r="AU108" s="4">
        <v>18</v>
      </c>
      <c r="AV108" s="127">
        <f t="shared" si="58"/>
        <v>0</v>
      </c>
      <c r="AW108" s="124">
        <f t="shared" si="72"/>
        <v>1</v>
      </c>
      <c r="AX108" s="124">
        <f t="shared" si="73"/>
        <v>0</v>
      </c>
      <c r="AY108" s="124">
        <f t="shared" si="59"/>
        <v>1</v>
      </c>
      <c r="AZ108" s="125">
        <f t="shared" si="60"/>
        <v>5.0999999999999996</v>
      </c>
      <c r="BA108" s="125">
        <f t="shared" si="61"/>
        <v>3.9666666666666668</v>
      </c>
      <c r="BB108" s="125">
        <f t="shared" si="62"/>
        <v>7.0333333333333332</v>
      </c>
      <c r="BC108" s="7">
        <v>3.8166666666666673</v>
      </c>
      <c r="BD108" s="7">
        <v>6.8033333333333337</v>
      </c>
      <c r="BE108" s="124"/>
      <c r="BF108" s="8">
        <f t="shared" si="63"/>
        <v>84</v>
      </c>
      <c r="BG108" s="21">
        <f t="shared" si="64"/>
        <v>1.5</v>
      </c>
      <c r="BH108" s="124">
        <f t="shared" si="65"/>
        <v>0</v>
      </c>
      <c r="BI108" s="124">
        <f t="shared" si="74"/>
        <v>0</v>
      </c>
      <c r="BJ108" s="144">
        <f t="shared" si="66"/>
        <v>0</v>
      </c>
      <c r="BL108" s="99">
        <v>18</v>
      </c>
    </row>
    <row r="109" spans="1:64" ht="12.75" x14ac:dyDescent="0.2">
      <c r="A109" s="8">
        <f t="shared" si="30"/>
        <v>13</v>
      </c>
      <c r="B109" s="125">
        <f t="shared" si="31"/>
        <v>3.2</v>
      </c>
      <c r="C109" s="125">
        <f t="shared" si="32"/>
        <v>7.8</v>
      </c>
      <c r="D109" s="125">
        <f t="shared" si="67"/>
        <v>5.5</v>
      </c>
      <c r="E109" s="125">
        <f t="shared" si="33"/>
        <v>4.5999999999999996</v>
      </c>
      <c r="F109" s="7">
        <v>3.0415384615384617</v>
      </c>
      <c r="G109" s="7">
        <v>7.51</v>
      </c>
      <c r="H109" s="7">
        <f t="shared" si="68"/>
        <v>5.2757692307692308</v>
      </c>
      <c r="I109" s="7">
        <f t="shared" si="69"/>
        <v>4.468461538461538</v>
      </c>
      <c r="K109" s="7">
        <f t="shared" si="34"/>
        <v>7.6</v>
      </c>
      <c r="L109" s="7">
        <f t="shared" si="35"/>
        <v>2.5</v>
      </c>
      <c r="M109" s="370">
        <f t="shared" si="36"/>
        <v>6.1190631578947361</v>
      </c>
      <c r="N109" s="1">
        <f t="shared" si="37"/>
        <v>1.2</v>
      </c>
      <c r="O109" s="7">
        <f t="shared" si="38"/>
        <v>80.10526315789474</v>
      </c>
      <c r="P109" s="7">
        <f t="shared" si="39"/>
        <v>2.7947368421052632</v>
      </c>
      <c r="Q109" s="7">
        <f t="shared" si="40"/>
        <v>8.0052631578947366</v>
      </c>
      <c r="R109" s="7">
        <f t="shared" si="41"/>
        <v>5.5631578947368405</v>
      </c>
      <c r="S109" s="7">
        <f t="shared" si="42"/>
        <v>5.2052631578947368</v>
      </c>
      <c r="T109" s="1">
        <v>50</v>
      </c>
      <c r="U109" s="333">
        <f t="shared" si="43"/>
        <v>2.129032258064516</v>
      </c>
      <c r="V109" s="4">
        <v>19</v>
      </c>
      <c r="W109" s="7">
        <f t="shared" si="44"/>
        <v>5.1870000000000003</v>
      </c>
      <c r="X109" s="7">
        <f t="shared" si="45"/>
        <v>13.65</v>
      </c>
      <c r="Y109" s="8">
        <f t="shared" si="46"/>
        <v>10</v>
      </c>
      <c r="Z109" s="7">
        <f>IF(ISBLANK(Z22),NA(),SUM($Z$4:Z22))</f>
        <v>40.799999999999997</v>
      </c>
      <c r="AA109" s="7">
        <f t="shared" si="70"/>
        <v>40.451612903225808</v>
      </c>
      <c r="AB109" s="26">
        <f>IF(ISBLANK(Z22),"",SUM($Z$4:Z22))</f>
        <v>40.799999999999997</v>
      </c>
      <c r="AC109" s="115">
        <f t="shared" si="71"/>
        <v>1.0086124401913874</v>
      </c>
      <c r="AD109" s="8">
        <f t="shared" si="47"/>
        <v>1004.9473684210526</v>
      </c>
      <c r="AE109" s="610">
        <f t="shared" si="48"/>
        <v>1.8330435561973792</v>
      </c>
      <c r="AF109" s="524" t="e">
        <f t="shared" si="49"/>
        <v>#N/A</v>
      </c>
      <c r="AG109" s="22">
        <f>IF(ISBLANK(AP22),NA(),SUM($AP$4:AP22))</f>
        <v>54.2</v>
      </c>
      <c r="AH109" s="7">
        <f>SUM($AS$91:AS109)</f>
        <v>29.568309938273956</v>
      </c>
      <c r="AI109" s="115">
        <f t="shared" si="50"/>
        <v>1.8330435561973792</v>
      </c>
      <c r="AJ109" s="124">
        <f t="shared" si="51"/>
        <v>1</v>
      </c>
      <c r="AK109" s="8">
        <f t="shared" si="52"/>
        <v>1014</v>
      </c>
      <c r="AL109" s="124">
        <f t="shared" si="53"/>
        <v>1</v>
      </c>
      <c r="AM109" s="524" t="e">
        <f t="shared" si="54"/>
        <v>#N/A</v>
      </c>
      <c r="AO109" s="524" t="e">
        <f t="shared" si="55"/>
        <v>#N/A</v>
      </c>
      <c r="AP109" s="423" t="s">
        <v>129</v>
      </c>
      <c r="AQ109" s="453">
        <f>MAX(AQ92:AQ107)</f>
        <v>0.16800000000000001</v>
      </c>
      <c r="AR109" s="524">
        <f t="shared" si="56"/>
        <v>1.8749999999999999E-2</v>
      </c>
      <c r="AS109" s="7">
        <f t="shared" si="57"/>
        <v>1.5314650698790544</v>
      </c>
      <c r="AT109" s="7">
        <v>6.9896168060620356</v>
      </c>
      <c r="AU109" s="4">
        <v>19</v>
      </c>
      <c r="AV109" s="127">
        <f t="shared" si="58"/>
        <v>0</v>
      </c>
      <c r="AW109" s="124">
        <f t="shared" si="72"/>
        <v>1</v>
      </c>
      <c r="AX109" s="124">
        <f t="shared" si="73"/>
        <v>0</v>
      </c>
      <c r="AY109" s="124">
        <f t="shared" si="59"/>
        <v>0</v>
      </c>
      <c r="AZ109" s="125">
        <f t="shared" si="60"/>
        <v>5.0999999999999996</v>
      </c>
      <c r="BA109" s="125">
        <f t="shared" si="61"/>
        <v>3.9666666666666668</v>
      </c>
      <c r="BB109" s="125">
        <f t="shared" si="62"/>
        <v>7.0333333333333332</v>
      </c>
      <c r="BC109" s="7">
        <v>3.7862820512820514</v>
      </c>
      <c r="BD109" s="7">
        <v>6.7652564102564101</v>
      </c>
      <c r="BE109" s="124"/>
      <c r="BF109" s="8">
        <f t="shared" si="63"/>
        <v>94</v>
      </c>
      <c r="BG109" s="21">
        <f t="shared" si="64"/>
        <v>3.1</v>
      </c>
      <c r="BH109" s="124">
        <f t="shared" si="65"/>
        <v>0</v>
      </c>
      <c r="BI109" s="124">
        <f t="shared" si="74"/>
        <v>1</v>
      </c>
      <c r="BJ109" s="144">
        <f t="shared" si="66"/>
        <v>1.2</v>
      </c>
      <c r="BL109" s="99">
        <v>19</v>
      </c>
    </row>
    <row r="110" spans="1:64" ht="12.75" x14ac:dyDescent="0.2">
      <c r="A110" s="8">
        <f t="shared" si="30"/>
        <v>29</v>
      </c>
      <c r="B110" s="125">
        <f t="shared" si="31"/>
        <v>3.2</v>
      </c>
      <c r="C110" s="125">
        <f t="shared" si="32"/>
        <v>7.8</v>
      </c>
      <c r="D110" s="125">
        <f t="shared" si="67"/>
        <v>5.5</v>
      </c>
      <c r="E110" s="125">
        <f t="shared" si="33"/>
        <v>4.5999999999999996</v>
      </c>
      <c r="F110" s="7">
        <v>3.0130769230769232</v>
      </c>
      <c r="G110" s="7">
        <v>7.47</v>
      </c>
      <c r="H110" s="7">
        <f t="shared" si="68"/>
        <v>5.241538461538461</v>
      </c>
      <c r="I110" s="7">
        <f t="shared" si="69"/>
        <v>4.4569230769230765</v>
      </c>
      <c r="K110" s="7">
        <f t="shared" si="34"/>
        <v>2.4</v>
      </c>
      <c r="L110" s="7">
        <f t="shared" si="35"/>
        <v>6.5</v>
      </c>
      <c r="M110" s="370">
        <f t="shared" si="36"/>
        <v>6.0704579999999995</v>
      </c>
      <c r="N110" s="1">
        <f t="shared" si="37"/>
        <v>0.3</v>
      </c>
      <c r="O110" s="7">
        <f t="shared" si="38"/>
        <v>80.25</v>
      </c>
      <c r="P110" s="7">
        <f t="shared" si="39"/>
        <v>2.92</v>
      </c>
      <c r="Q110" s="7">
        <f t="shared" si="40"/>
        <v>7.9899999999999993</v>
      </c>
      <c r="R110" s="7">
        <f t="shared" si="41"/>
        <v>5.6049999999999986</v>
      </c>
      <c r="S110" s="7">
        <f t="shared" si="42"/>
        <v>5.0650000000000004</v>
      </c>
      <c r="T110" s="1">
        <v>51</v>
      </c>
      <c r="U110" s="333">
        <f t="shared" si="43"/>
        <v>2.129032258064516</v>
      </c>
      <c r="V110" s="4">
        <v>20</v>
      </c>
      <c r="W110" s="7">
        <f t="shared" si="44"/>
        <v>5.4600000000000009</v>
      </c>
      <c r="X110" s="7">
        <f t="shared" si="45"/>
        <v>13.923000000000002</v>
      </c>
      <c r="Y110" s="8">
        <f t="shared" si="46"/>
        <v>9</v>
      </c>
      <c r="Z110" s="7">
        <f>IF(ISBLANK(Z23),NA(),SUM($Z$4:Z23))</f>
        <v>41.699999999999996</v>
      </c>
      <c r="AA110" s="7">
        <f t="shared" si="70"/>
        <v>42.58064516129032</v>
      </c>
      <c r="AB110" s="26">
        <f>IF(ISBLANK(Z23),"",SUM($Z$4:Z23))</f>
        <v>41.699999999999996</v>
      </c>
      <c r="AC110" s="115">
        <f t="shared" si="71"/>
        <v>0.97931818181818175</v>
      </c>
      <c r="AD110" s="8">
        <f t="shared" si="47"/>
        <v>1005.475</v>
      </c>
      <c r="AE110" s="610">
        <f t="shared" si="48"/>
        <v>1.8553537677305101</v>
      </c>
      <c r="AF110" s="524">
        <f t="shared" si="49"/>
        <v>0</v>
      </c>
      <c r="AG110" s="22">
        <f>IF(ISBLANK(AP23),NA(),SUM($AP$4:AP23))</f>
        <v>57.7</v>
      </c>
      <c r="AH110" s="7">
        <f>SUM($AS$91:AS110)</f>
        <v>31.099190355798992</v>
      </c>
      <c r="AI110" s="115">
        <f t="shared" si="50"/>
        <v>1.8553537677305101</v>
      </c>
      <c r="AJ110" s="124">
        <f t="shared" si="51"/>
        <v>1</v>
      </c>
      <c r="AK110" s="8">
        <f t="shared" si="52"/>
        <v>1015.5</v>
      </c>
      <c r="AL110" s="124">
        <f t="shared" si="53"/>
        <v>0</v>
      </c>
      <c r="AM110" s="524">
        <f t="shared" si="54"/>
        <v>0.51736111111111105</v>
      </c>
      <c r="AO110" s="524">
        <f t="shared" si="55"/>
        <v>0.52013888888888882</v>
      </c>
      <c r="AR110" s="524">
        <f t="shared" si="56"/>
        <v>0.28611111111111115</v>
      </c>
      <c r="AS110" s="7">
        <f t="shared" si="57"/>
        <v>1.5308804175250363</v>
      </c>
      <c r="AT110" s="7">
        <v>6.9869484488139841</v>
      </c>
      <c r="AU110" s="4">
        <v>20</v>
      </c>
      <c r="AV110" s="127">
        <f t="shared" si="58"/>
        <v>1</v>
      </c>
      <c r="AW110" s="124">
        <f t="shared" si="72"/>
        <v>0</v>
      </c>
      <c r="AX110" s="124">
        <f t="shared" si="73"/>
        <v>0</v>
      </c>
      <c r="AY110" s="124">
        <f t="shared" si="59"/>
        <v>0</v>
      </c>
      <c r="AZ110" s="125">
        <f t="shared" si="60"/>
        <v>5.0999999999999996</v>
      </c>
      <c r="BA110" s="125">
        <f t="shared" si="61"/>
        <v>3.9666666666666668</v>
      </c>
      <c r="BB110" s="125">
        <f t="shared" si="62"/>
        <v>7.0333333333333332</v>
      </c>
      <c r="BC110" s="7">
        <v>3.7558974358974355</v>
      </c>
      <c r="BD110" s="7">
        <v>6.7271794871794866</v>
      </c>
      <c r="BE110" s="124"/>
      <c r="BF110" s="8">
        <f t="shared" si="63"/>
        <v>83</v>
      </c>
      <c r="BG110" s="21">
        <f t="shared" si="64"/>
        <v>6.4</v>
      </c>
      <c r="BH110" s="124">
        <f t="shared" si="65"/>
        <v>0</v>
      </c>
      <c r="BI110" s="124">
        <f t="shared" si="74"/>
        <v>1</v>
      </c>
      <c r="BJ110" s="144">
        <f t="shared" si="66"/>
        <v>0.3</v>
      </c>
      <c r="BL110" s="99">
        <v>20</v>
      </c>
    </row>
    <row r="111" spans="1:64" ht="12.75" x14ac:dyDescent="0.2">
      <c r="A111" s="8">
        <f t="shared" si="30"/>
        <v>11</v>
      </c>
      <c r="B111" s="125">
        <f t="shared" si="31"/>
        <v>3.2</v>
      </c>
      <c r="C111" s="125">
        <f t="shared" si="32"/>
        <v>7.8</v>
      </c>
      <c r="D111" s="125">
        <f t="shared" si="67"/>
        <v>5.5</v>
      </c>
      <c r="E111" s="125">
        <f t="shared" si="33"/>
        <v>4.5999999999999996</v>
      </c>
      <c r="F111" s="7">
        <v>2.9846153846153847</v>
      </c>
      <c r="G111" s="7">
        <v>7.43</v>
      </c>
      <c r="H111" s="7">
        <f t="shared" si="68"/>
        <v>5.2073076923076922</v>
      </c>
      <c r="I111" s="7">
        <f t="shared" si="69"/>
        <v>4.445384615384615</v>
      </c>
      <c r="K111" s="7">
        <f t="shared" si="34"/>
        <v>5.7</v>
      </c>
      <c r="L111" s="7">
        <f t="shared" si="35"/>
        <v>8.9499999999999993</v>
      </c>
      <c r="M111" s="370">
        <f t="shared" si="36"/>
        <v>5.9730952380952376</v>
      </c>
      <c r="N111" s="1">
        <f t="shared" si="37"/>
        <v>0.56666666666666665</v>
      </c>
      <c r="O111" s="7">
        <f t="shared" si="38"/>
        <v>80.904761904761898</v>
      </c>
      <c r="P111" s="7">
        <f t="shared" si="39"/>
        <v>3.0714285714285716</v>
      </c>
      <c r="Q111" s="7">
        <f t="shared" si="40"/>
        <v>8.1714285714285708</v>
      </c>
      <c r="R111" s="7">
        <f t="shared" si="41"/>
        <v>5.7857142857142847</v>
      </c>
      <c r="S111" s="7">
        <f t="shared" si="42"/>
        <v>5.0952380952380958</v>
      </c>
      <c r="T111" s="1">
        <v>52</v>
      </c>
      <c r="U111" s="333">
        <f t="shared" si="43"/>
        <v>2.129032258064516</v>
      </c>
      <c r="V111" s="4">
        <v>21</v>
      </c>
      <c r="W111" s="7">
        <f t="shared" si="44"/>
        <v>5.7330000000000005</v>
      </c>
      <c r="X111" s="7">
        <f t="shared" si="45"/>
        <v>14.196000000000002</v>
      </c>
      <c r="Y111" s="8">
        <f t="shared" si="46"/>
        <v>9</v>
      </c>
      <c r="Z111" s="7">
        <f>IF(ISBLANK(Z24),NA(),SUM($Z$4:Z24))</f>
        <v>43.4</v>
      </c>
      <c r="AA111" s="7">
        <f t="shared" si="70"/>
        <v>44.709677419354833</v>
      </c>
      <c r="AB111" s="26">
        <f>IF(ISBLANK(Z24),"",SUM($Z$4:Z24))</f>
        <v>43.4</v>
      </c>
      <c r="AC111" s="115">
        <f t="shared" si="71"/>
        <v>0.97070707070707085</v>
      </c>
      <c r="AD111" s="8">
        <f t="shared" si="47"/>
        <v>1006.0952380952381</v>
      </c>
      <c r="AE111" s="610">
        <f t="shared" si="48"/>
        <v>1.7683211192473014</v>
      </c>
      <c r="AF111" s="524">
        <f t="shared" si="49"/>
        <v>0.47638888888888892</v>
      </c>
      <c r="AG111" s="22">
        <f>IF(ISBLANK(AP24),NA(),SUM($AP$4:AP24))</f>
        <v>57.7</v>
      </c>
      <c r="AH111" s="7">
        <f>SUM($AS$91:AS111)</f>
        <v>32.629820099960362</v>
      </c>
      <c r="AI111" s="115">
        <f t="shared" si="50"/>
        <v>1.7683211192473014</v>
      </c>
      <c r="AJ111" s="124">
        <f t="shared" si="51"/>
        <v>1</v>
      </c>
      <c r="AK111" s="8">
        <f t="shared" si="52"/>
        <v>1018.5</v>
      </c>
      <c r="AL111" s="124">
        <f t="shared" si="53"/>
        <v>1</v>
      </c>
      <c r="AM111" s="524" t="e">
        <f t="shared" si="54"/>
        <v>#N/A</v>
      </c>
      <c r="AO111" s="524" t="e">
        <f t="shared" si="55"/>
        <v>#N/A</v>
      </c>
      <c r="AQ111" s="377">
        <f>SUM(AQ92:AQ107)</f>
        <v>1.0000000000000004</v>
      </c>
      <c r="AR111" s="524">
        <f t="shared" si="56"/>
        <v>4.1666666666666664E-2</v>
      </c>
      <c r="AS111" s="7">
        <f t="shared" si="57"/>
        <v>1.5306297441613734</v>
      </c>
      <c r="AT111" s="7">
        <v>6.9858043739082287</v>
      </c>
      <c r="AU111" s="4">
        <v>21</v>
      </c>
      <c r="AV111" s="127">
        <f t="shared" si="58"/>
        <v>0</v>
      </c>
      <c r="AW111" s="124">
        <f t="shared" si="72"/>
        <v>0</v>
      </c>
      <c r="AX111" s="124">
        <f t="shared" si="73"/>
        <v>1</v>
      </c>
      <c r="AY111" s="124">
        <f t="shared" si="59"/>
        <v>1</v>
      </c>
      <c r="AZ111" s="125">
        <f t="shared" si="60"/>
        <v>5.0999999999999996</v>
      </c>
      <c r="BA111" s="125">
        <f t="shared" si="61"/>
        <v>3.9666666666666668</v>
      </c>
      <c r="BB111" s="125">
        <f t="shared" si="62"/>
        <v>7.0333333333333332</v>
      </c>
      <c r="BC111" s="7">
        <v>3.7255128205128205</v>
      </c>
      <c r="BD111" s="7">
        <v>6.6891025641025639</v>
      </c>
      <c r="BE111" s="124"/>
      <c r="BF111" s="8">
        <f t="shared" si="63"/>
        <v>94</v>
      </c>
      <c r="BG111" s="21">
        <f t="shared" si="64"/>
        <v>9.4</v>
      </c>
      <c r="BH111" s="124">
        <f t="shared" si="65"/>
        <v>0</v>
      </c>
      <c r="BI111" s="124">
        <f t="shared" si="74"/>
        <v>1</v>
      </c>
      <c r="BJ111" s="144">
        <f t="shared" si="66"/>
        <v>0.56666666666666665</v>
      </c>
      <c r="BL111" s="99">
        <v>21</v>
      </c>
    </row>
    <row r="112" spans="1:64" ht="12.75" x14ac:dyDescent="0.2">
      <c r="A112" s="8">
        <f t="shared" si="30"/>
        <v>16</v>
      </c>
      <c r="B112" s="125">
        <f t="shared" si="31"/>
        <v>3.2</v>
      </c>
      <c r="C112" s="125">
        <f t="shared" si="32"/>
        <v>7.8</v>
      </c>
      <c r="D112" s="125">
        <f t="shared" si="67"/>
        <v>5.5</v>
      </c>
      <c r="E112" s="125">
        <f t="shared" si="33"/>
        <v>4.5999999999999996</v>
      </c>
      <c r="F112" s="7">
        <v>2.9561538461538461</v>
      </c>
      <c r="G112" s="7">
        <v>7.39</v>
      </c>
      <c r="H112" s="7">
        <f t="shared" si="68"/>
        <v>5.1730769230769234</v>
      </c>
      <c r="I112" s="7">
        <f t="shared" si="69"/>
        <v>4.4338461538461535</v>
      </c>
      <c r="K112" s="7">
        <f t="shared" si="34"/>
        <v>3.9</v>
      </c>
      <c r="L112" s="7">
        <f t="shared" si="35"/>
        <v>9.9499999999999993</v>
      </c>
      <c r="M112" s="370">
        <f t="shared" si="36"/>
        <v>5.942499999999999</v>
      </c>
      <c r="N112" s="1">
        <f t="shared" si="37"/>
        <v>0</v>
      </c>
      <c r="O112" s="7">
        <f t="shared" si="38"/>
        <v>81.272727272727266</v>
      </c>
      <c r="P112" s="7">
        <f t="shared" si="39"/>
        <v>3.2954545454545454</v>
      </c>
      <c r="Q112" s="7">
        <f t="shared" si="40"/>
        <v>8.3409090909090917</v>
      </c>
      <c r="R112" s="7">
        <f t="shared" si="41"/>
        <v>5.9772727272727275</v>
      </c>
      <c r="S112" s="7">
        <f t="shared" si="42"/>
        <v>5.0409090909090919</v>
      </c>
      <c r="T112" s="1">
        <v>53</v>
      </c>
      <c r="U112" s="333">
        <f t="shared" si="43"/>
        <v>2.129032258064516</v>
      </c>
      <c r="V112" s="4">
        <v>22</v>
      </c>
      <c r="W112" s="7">
        <f t="shared" si="44"/>
        <v>6.0060000000000002</v>
      </c>
      <c r="X112" s="7">
        <f t="shared" si="45"/>
        <v>14.469000000000001</v>
      </c>
      <c r="Y112" s="8">
        <f t="shared" si="46"/>
        <v>3</v>
      </c>
      <c r="Z112" s="7">
        <f>IF(ISBLANK(Z25),NA(),SUM($Z$4:Z25))</f>
        <v>43.4</v>
      </c>
      <c r="AA112" s="7">
        <f t="shared" si="70"/>
        <v>46.838709677419352</v>
      </c>
      <c r="AB112" s="26">
        <f>IF(ISBLANK(Z25),"",SUM($Z$4:Z25))</f>
        <v>43.4</v>
      </c>
      <c r="AC112" s="115">
        <f t="shared" si="71"/>
        <v>0.92658402203856749</v>
      </c>
      <c r="AD112" s="8">
        <f t="shared" si="47"/>
        <v>1006.9318181818181</v>
      </c>
      <c r="AE112" s="610">
        <f t="shared" si="48"/>
        <v>1.8793577320581301</v>
      </c>
      <c r="AF112" s="524">
        <f t="shared" si="49"/>
        <v>0.39652777777777781</v>
      </c>
      <c r="AG112" s="22">
        <f>IF(ISBLANK(AP25),NA(),SUM($AP$4:AP25))</f>
        <v>64.2</v>
      </c>
      <c r="AH112" s="7">
        <f>SUM($AS$91:AS112)</f>
        <v>34.160606522576749</v>
      </c>
      <c r="AI112" s="115">
        <f t="shared" si="50"/>
        <v>1.8793577320581301</v>
      </c>
      <c r="AJ112" s="124">
        <f t="shared" si="51"/>
        <v>0</v>
      </c>
      <c r="AK112" s="8">
        <f t="shared" si="52"/>
        <v>1024.5</v>
      </c>
      <c r="AL112" s="124">
        <f t="shared" si="53"/>
        <v>0</v>
      </c>
      <c r="AM112" s="524">
        <f t="shared" si="54"/>
        <v>0.65277777777777779</v>
      </c>
      <c r="AO112" s="524">
        <f t="shared" si="55"/>
        <v>0.59236111111111112</v>
      </c>
      <c r="AR112" s="524">
        <f t="shared" si="56"/>
        <v>0.31388888888888888</v>
      </c>
      <c r="AS112" s="7">
        <f t="shared" si="57"/>
        <v>1.5307864226163868</v>
      </c>
      <c r="AT112" s="7">
        <v>6.9865194554232088</v>
      </c>
      <c r="AU112" s="4">
        <v>22</v>
      </c>
      <c r="AV112" s="127">
        <f t="shared" si="58"/>
        <v>1</v>
      </c>
      <c r="AW112" s="124">
        <f t="shared" si="72"/>
        <v>0</v>
      </c>
      <c r="AX112" s="124">
        <f t="shared" si="73"/>
        <v>1</v>
      </c>
      <c r="AY112" s="124">
        <f t="shared" si="59"/>
        <v>1</v>
      </c>
      <c r="AZ112" s="125">
        <f t="shared" si="60"/>
        <v>5.0999999999999996</v>
      </c>
      <c r="BA112" s="125">
        <f t="shared" si="61"/>
        <v>3.9666666666666668</v>
      </c>
      <c r="BB112" s="125">
        <f t="shared" si="62"/>
        <v>7.0333333333333332</v>
      </c>
      <c r="BC112" s="7">
        <v>3.6951282051282055</v>
      </c>
      <c r="BD112" s="7">
        <v>6.6510256410256412</v>
      </c>
      <c r="BE112" s="124"/>
      <c r="BF112" s="8">
        <f t="shared" si="63"/>
        <v>89</v>
      </c>
      <c r="BG112" s="21">
        <f t="shared" si="64"/>
        <v>10</v>
      </c>
      <c r="BH112" s="124">
        <f t="shared" si="65"/>
        <v>0</v>
      </c>
      <c r="BI112" s="124">
        <f t="shared" si="74"/>
        <v>0</v>
      </c>
      <c r="BJ112" s="144">
        <f t="shared" si="66"/>
        <v>0</v>
      </c>
      <c r="BL112" s="99">
        <v>22</v>
      </c>
    </row>
    <row r="113" spans="1:64" ht="12.75" x14ac:dyDescent="0.2">
      <c r="A113" s="8">
        <f t="shared" si="30"/>
        <v>15</v>
      </c>
      <c r="B113" s="125">
        <f t="shared" si="31"/>
        <v>3.2</v>
      </c>
      <c r="C113" s="125">
        <f t="shared" si="32"/>
        <v>7.8</v>
      </c>
      <c r="D113" s="125">
        <f t="shared" si="67"/>
        <v>5.5</v>
      </c>
      <c r="E113" s="125">
        <f t="shared" si="33"/>
        <v>4.5999999999999996</v>
      </c>
      <c r="F113" s="7">
        <v>2.9276923076923076</v>
      </c>
      <c r="G113" s="7">
        <v>7.35</v>
      </c>
      <c r="H113" s="7">
        <f t="shared" si="68"/>
        <v>5.1388461538461536</v>
      </c>
      <c r="I113" s="7">
        <f t="shared" si="69"/>
        <v>4.4223076923076921</v>
      </c>
      <c r="K113" s="7">
        <f t="shared" si="34"/>
        <v>6.6</v>
      </c>
      <c r="L113" s="7">
        <f t="shared" si="35"/>
        <v>7.8999999999999995</v>
      </c>
      <c r="M113" s="370">
        <f t="shared" si="36"/>
        <v>6.0232608695652177</v>
      </c>
      <c r="N113" s="1">
        <f t="shared" si="37"/>
        <v>1.3666666666666665</v>
      </c>
      <c r="O113" s="7">
        <f t="shared" si="38"/>
        <v>81.434782608695656</v>
      </c>
      <c r="P113" s="7">
        <f t="shared" si="39"/>
        <v>3.3521739130434782</v>
      </c>
      <c r="Q113" s="7">
        <f t="shared" si="40"/>
        <v>8.465217391304348</v>
      </c>
      <c r="R113" s="7">
        <f t="shared" si="41"/>
        <v>6.1173913043478256</v>
      </c>
      <c r="S113" s="7">
        <f t="shared" si="42"/>
        <v>5.108695652173914</v>
      </c>
      <c r="T113" s="1">
        <v>54</v>
      </c>
      <c r="U113" s="333">
        <f t="shared" si="43"/>
        <v>2.129032258064516</v>
      </c>
      <c r="V113" s="4">
        <v>23</v>
      </c>
      <c r="W113" s="7">
        <f t="shared" si="44"/>
        <v>6.2790000000000008</v>
      </c>
      <c r="X113" s="7">
        <f t="shared" si="45"/>
        <v>14.742000000000001</v>
      </c>
      <c r="Y113" s="8">
        <f t="shared" si="46"/>
        <v>16</v>
      </c>
      <c r="Z113" s="7">
        <f>IF(ISBLANK(Z26),NA(),SUM($Z$4:Z26))</f>
        <v>47.5</v>
      </c>
      <c r="AA113" s="7">
        <f t="shared" si="70"/>
        <v>48.967741935483872</v>
      </c>
      <c r="AB113" s="26">
        <f>IF(ISBLANK(Z26),"",SUM($Z$4:Z26))</f>
        <v>47.5</v>
      </c>
      <c r="AC113" s="115">
        <f t="shared" si="71"/>
        <v>0.97002635046113306</v>
      </c>
      <c r="AD113" s="8">
        <f t="shared" si="47"/>
        <v>1007.3260869565217</v>
      </c>
      <c r="AE113" s="610">
        <f t="shared" si="48"/>
        <v>1.7987277373786736</v>
      </c>
      <c r="AF113" s="524" t="e">
        <f t="shared" si="49"/>
        <v>#N/A</v>
      </c>
      <c r="AG113" s="22">
        <f>IF(ISBLANK(AP26),NA(),SUM($AP$4:AP26))</f>
        <v>64.2</v>
      </c>
      <c r="AH113" s="7">
        <f>SUM($AS$91:AS113)</f>
        <v>35.691894146003499</v>
      </c>
      <c r="AI113" s="115">
        <f t="shared" si="50"/>
        <v>1.7987277373786736</v>
      </c>
      <c r="AJ113" s="124">
        <f t="shared" si="51"/>
        <v>1</v>
      </c>
      <c r="AK113" s="8">
        <f t="shared" si="52"/>
        <v>1016</v>
      </c>
      <c r="AL113" s="124">
        <f t="shared" si="53"/>
        <v>1</v>
      </c>
      <c r="AM113" s="524">
        <f t="shared" si="54"/>
        <v>0.4375</v>
      </c>
      <c r="AO113" s="524">
        <f t="shared" si="55"/>
        <v>0.47847222222222219</v>
      </c>
      <c r="AR113" s="524">
        <f t="shared" si="56"/>
        <v>0.35416666666666669</v>
      </c>
      <c r="AS113" s="7">
        <f t="shared" si="57"/>
        <v>1.5312876234267472</v>
      </c>
      <c r="AT113" s="7">
        <v>6.9888069392687164</v>
      </c>
      <c r="AU113" s="4">
        <v>23</v>
      </c>
      <c r="AV113" s="127">
        <f t="shared" si="58"/>
        <v>0</v>
      </c>
      <c r="AW113" s="124">
        <f t="shared" si="72"/>
        <v>0</v>
      </c>
      <c r="AX113" s="124">
        <f t="shared" si="73"/>
        <v>1</v>
      </c>
      <c r="AY113" s="124">
        <f t="shared" si="59"/>
        <v>0</v>
      </c>
      <c r="AZ113" s="125">
        <f t="shared" si="60"/>
        <v>5.0999999999999996</v>
      </c>
      <c r="BA113" s="125">
        <f t="shared" si="61"/>
        <v>3.9666666666666668</v>
      </c>
      <c r="BB113" s="125">
        <f t="shared" si="62"/>
        <v>7.0333333333333332</v>
      </c>
      <c r="BC113" s="7">
        <v>3.6647435897435896</v>
      </c>
      <c r="BD113" s="7">
        <v>6.6129487179487176</v>
      </c>
      <c r="BE113" s="124"/>
      <c r="BF113" s="8">
        <f t="shared" si="63"/>
        <v>85</v>
      </c>
      <c r="BG113" s="21">
        <f t="shared" si="64"/>
        <v>9.1999999999999993</v>
      </c>
      <c r="BH113" s="124">
        <f t="shared" si="65"/>
        <v>0</v>
      </c>
      <c r="BI113" s="124">
        <f t="shared" si="74"/>
        <v>1</v>
      </c>
      <c r="BJ113" s="144">
        <f t="shared" si="66"/>
        <v>1.3666666666666665</v>
      </c>
      <c r="BL113" s="99">
        <v>23</v>
      </c>
    </row>
    <row r="114" spans="1:64" ht="12.75" x14ac:dyDescent="0.2">
      <c r="A114" s="8">
        <f t="shared" si="30"/>
        <v>12</v>
      </c>
      <c r="B114" s="125">
        <f t="shared" si="31"/>
        <v>3.2</v>
      </c>
      <c r="C114" s="125">
        <f t="shared" si="32"/>
        <v>7.8</v>
      </c>
      <c r="D114" s="125">
        <f t="shared" si="67"/>
        <v>5.5</v>
      </c>
      <c r="E114" s="125">
        <f t="shared" si="33"/>
        <v>4.5999999999999996</v>
      </c>
      <c r="F114" s="7">
        <v>2.8992307692307691</v>
      </c>
      <c r="G114" s="7">
        <v>7.31</v>
      </c>
      <c r="H114" s="7">
        <f t="shared" si="68"/>
        <v>5.1046153846153839</v>
      </c>
      <c r="I114" s="7">
        <f t="shared" si="69"/>
        <v>4.4107692307692306</v>
      </c>
      <c r="K114" s="7">
        <f t="shared" si="34"/>
        <v>5.2</v>
      </c>
      <c r="L114" s="7">
        <f t="shared" si="35"/>
        <v>5.6</v>
      </c>
      <c r="M114" s="370">
        <f t="shared" si="36"/>
        <v>6.0097916666666658</v>
      </c>
      <c r="N114" s="1">
        <f t="shared" si="37"/>
        <v>9.9999999999999992E-2</v>
      </c>
      <c r="O114" s="7">
        <f t="shared" si="38"/>
        <v>81.375</v>
      </c>
      <c r="P114" s="7">
        <f t="shared" si="39"/>
        <v>3.3374999999999999</v>
      </c>
      <c r="Q114" s="7">
        <f t="shared" si="40"/>
        <v>8.4541666666666657</v>
      </c>
      <c r="R114" s="7">
        <f t="shared" si="41"/>
        <v>6.0958333333333323</v>
      </c>
      <c r="S114" s="7">
        <f t="shared" si="42"/>
        <v>5.1125000000000007</v>
      </c>
      <c r="T114" s="1">
        <v>55</v>
      </c>
      <c r="U114" s="333">
        <f t="shared" si="43"/>
        <v>2.129032258064516</v>
      </c>
      <c r="V114" s="4">
        <v>24</v>
      </c>
      <c r="W114" s="7">
        <f t="shared" si="44"/>
        <v>6.5520000000000005</v>
      </c>
      <c r="X114" s="7">
        <f t="shared" si="45"/>
        <v>15.015000000000001</v>
      </c>
      <c r="Y114" s="8">
        <f t="shared" si="46"/>
        <v>10</v>
      </c>
      <c r="Z114" s="7">
        <f>IF(ISBLANK(Z27),NA(),SUM($Z$4:Z27))</f>
        <v>47.8</v>
      </c>
      <c r="AA114" s="7">
        <f t="shared" si="70"/>
        <v>51.096774193548384</v>
      </c>
      <c r="AB114" s="26">
        <f>IF(ISBLANK(Z27),"",SUM($Z$4:Z27))</f>
        <v>47.8</v>
      </c>
      <c r="AC114" s="115">
        <f t="shared" si="71"/>
        <v>0.93547979797979797</v>
      </c>
      <c r="AD114" s="8">
        <f t="shared" si="47"/>
        <v>1008.1458333333334</v>
      </c>
      <c r="AE114" s="610">
        <f t="shared" si="48"/>
        <v>1.7434980438139067</v>
      </c>
      <c r="AF114" s="524" t="e">
        <f t="shared" si="49"/>
        <v>#N/A</v>
      </c>
      <c r="AG114" s="22">
        <f>IF(ISBLANK(AP27),NA(),SUM($AP$4:AP27))</f>
        <v>64.900000000000006</v>
      </c>
      <c r="AH114" s="7">
        <f>SUM($AS$91:AS114)</f>
        <v>37.224016528307125</v>
      </c>
      <c r="AI114" s="115">
        <f t="shared" si="50"/>
        <v>1.7434980438139067</v>
      </c>
      <c r="AJ114" s="124">
        <f t="shared" si="51"/>
        <v>1</v>
      </c>
      <c r="AK114" s="8">
        <f t="shared" si="52"/>
        <v>1027</v>
      </c>
      <c r="AL114" s="124">
        <f t="shared" si="53"/>
        <v>0</v>
      </c>
      <c r="AM114" s="524" t="e">
        <f t="shared" si="54"/>
        <v>#N/A</v>
      </c>
      <c r="AO114" s="524">
        <f t="shared" si="55"/>
        <v>0.64583333333333337</v>
      </c>
      <c r="AR114" s="524">
        <f t="shared" si="56"/>
        <v>0.34652777777777777</v>
      </c>
      <c r="AS114" s="7">
        <f t="shared" si="57"/>
        <v>1.5321223823036278</v>
      </c>
      <c r="AT114" s="7">
        <v>6.9926167843573248</v>
      </c>
      <c r="AU114" s="4">
        <v>24</v>
      </c>
      <c r="AV114" s="127">
        <f t="shared" si="58"/>
        <v>0</v>
      </c>
      <c r="AW114" s="124">
        <f t="shared" si="72"/>
        <v>0</v>
      </c>
      <c r="AX114" s="124">
        <f t="shared" si="73"/>
        <v>0</v>
      </c>
      <c r="AY114" s="124">
        <f t="shared" si="59"/>
        <v>1</v>
      </c>
      <c r="AZ114" s="125">
        <f t="shared" si="60"/>
        <v>5.0999999999999996</v>
      </c>
      <c r="BA114" s="125">
        <f t="shared" si="61"/>
        <v>3.9666666666666668</v>
      </c>
      <c r="BB114" s="125">
        <f t="shared" si="62"/>
        <v>7.0333333333333332</v>
      </c>
      <c r="BC114" s="7">
        <v>3.6343589743589737</v>
      </c>
      <c r="BD114" s="7">
        <v>6.5748717948717941</v>
      </c>
      <c r="BE114" s="124"/>
      <c r="BF114" s="8">
        <f t="shared" si="63"/>
        <v>80</v>
      </c>
      <c r="BG114" s="21">
        <f t="shared" si="64"/>
        <v>5.6</v>
      </c>
      <c r="BH114" s="124">
        <f t="shared" si="65"/>
        <v>0</v>
      </c>
      <c r="BI114" s="124">
        <f t="shared" si="74"/>
        <v>1</v>
      </c>
      <c r="BJ114" s="144">
        <f t="shared" si="66"/>
        <v>9.9999999999999992E-2</v>
      </c>
      <c r="BL114" s="99">
        <v>24</v>
      </c>
    </row>
    <row r="115" spans="1:64" ht="12.75" x14ac:dyDescent="0.2">
      <c r="A115" s="8">
        <f t="shared" si="30"/>
        <v>10</v>
      </c>
      <c r="B115" s="125">
        <f t="shared" si="31"/>
        <v>3.2</v>
      </c>
      <c r="C115" s="125">
        <f t="shared" si="32"/>
        <v>7.8</v>
      </c>
      <c r="D115" s="125">
        <f t="shared" si="67"/>
        <v>5.5</v>
      </c>
      <c r="E115" s="125">
        <f t="shared" si="33"/>
        <v>4.5999999999999996</v>
      </c>
      <c r="F115" s="7">
        <v>2.8707692307692305</v>
      </c>
      <c r="G115" s="7">
        <v>7.27</v>
      </c>
      <c r="H115" s="7">
        <f t="shared" si="68"/>
        <v>5.070384615384615</v>
      </c>
      <c r="I115" s="7">
        <f t="shared" si="69"/>
        <v>4.3992307692307691</v>
      </c>
      <c r="K115" s="7">
        <f t="shared" si="34"/>
        <v>3.7</v>
      </c>
      <c r="L115" s="7">
        <f t="shared" si="35"/>
        <v>10.050000000000001</v>
      </c>
      <c r="M115" s="370">
        <f t="shared" si="36"/>
        <v>6.0653999999999995</v>
      </c>
      <c r="N115" s="1">
        <f t="shared" si="37"/>
        <v>0</v>
      </c>
      <c r="O115" s="7">
        <f t="shared" si="38"/>
        <v>81.44</v>
      </c>
      <c r="P115" s="7">
        <f t="shared" si="39"/>
        <v>3.532</v>
      </c>
      <c r="Q115" s="7">
        <f t="shared" si="40"/>
        <v>8.5919999999999987</v>
      </c>
      <c r="R115" s="7">
        <f t="shared" si="41"/>
        <v>6.2719999999999994</v>
      </c>
      <c r="S115" s="7">
        <f t="shared" si="42"/>
        <v>5.0560000000000009</v>
      </c>
      <c r="T115" s="1">
        <v>56</v>
      </c>
      <c r="U115" s="333">
        <f t="shared" si="43"/>
        <v>2.129032258064516</v>
      </c>
      <c r="V115" s="4">
        <v>25</v>
      </c>
      <c r="W115" s="7">
        <f t="shared" si="44"/>
        <v>6.8250000000000002</v>
      </c>
      <c r="X115" s="7">
        <f t="shared" si="45"/>
        <v>15.288</v>
      </c>
      <c r="Y115" s="8">
        <f t="shared" si="46"/>
        <v>4</v>
      </c>
      <c r="Z115" s="7">
        <f>IF(ISBLANK(Z28),NA(),SUM($Z$4:Z28))</f>
        <v>47.8</v>
      </c>
      <c r="AA115" s="7">
        <f t="shared" si="70"/>
        <v>53.225806451612897</v>
      </c>
      <c r="AB115" s="26">
        <f>IF(ISBLANK(Z28),"",SUM($Z$4:Z28))</f>
        <v>47.8</v>
      </c>
      <c r="AC115" s="115">
        <f t="shared" si="71"/>
        <v>0.89806060606060611</v>
      </c>
      <c r="AD115" s="8">
        <f t="shared" si="47"/>
        <v>1008.98</v>
      </c>
      <c r="AE115" s="610">
        <f t="shared" si="48"/>
        <v>1.6771031347160841</v>
      </c>
      <c r="AF115" s="524">
        <f t="shared" si="49"/>
        <v>8.819444444444445E-2</v>
      </c>
      <c r="AG115" s="22">
        <f>IF(ISBLANK(AP28),NA(),SUM($AP$4:AP28))</f>
        <v>65</v>
      </c>
      <c r="AH115" s="7">
        <f>SUM($AS$91:AS115)</f>
        <v>38.757306366256252</v>
      </c>
      <c r="AI115" s="115">
        <f t="shared" si="50"/>
        <v>1.6771031347160841</v>
      </c>
      <c r="AJ115" s="124">
        <f t="shared" si="51"/>
        <v>0</v>
      </c>
      <c r="AK115" s="8">
        <f t="shared" si="52"/>
        <v>1029</v>
      </c>
      <c r="AL115" s="124">
        <f t="shared" si="53"/>
        <v>0</v>
      </c>
      <c r="AM115" s="524">
        <f t="shared" si="54"/>
        <v>0.63611111111111118</v>
      </c>
      <c r="AO115" s="524">
        <f t="shared" si="55"/>
        <v>0.59375</v>
      </c>
      <c r="AR115" s="524" t="e">
        <f t="shared" si="56"/>
        <v>#N/A</v>
      </c>
      <c r="AS115" s="7">
        <f t="shared" si="57"/>
        <v>1.5332898379491271</v>
      </c>
      <c r="AT115" s="7">
        <v>6.9979450597196609</v>
      </c>
      <c r="AU115" s="4">
        <v>25</v>
      </c>
      <c r="AV115" s="127">
        <f t="shared" si="58"/>
        <v>0</v>
      </c>
      <c r="AW115" s="124">
        <f t="shared" si="72"/>
        <v>0</v>
      </c>
      <c r="AX115" s="124">
        <f t="shared" si="73"/>
        <v>1</v>
      </c>
      <c r="AY115" s="124">
        <f t="shared" si="59"/>
        <v>1</v>
      </c>
      <c r="AZ115" s="125">
        <f t="shared" si="60"/>
        <v>5.0999999999999996</v>
      </c>
      <c r="BA115" s="125">
        <f t="shared" si="61"/>
        <v>3.9666666666666668</v>
      </c>
      <c r="BB115" s="125">
        <f t="shared" si="62"/>
        <v>7.0333333333333332</v>
      </c>
      <c r="BC115" s="7">
        <v>3.6039743589743587</v>
      </c>
      <c r="BD115" s="7">
        <v>6.5367948717948714</v>
      </c>
      <c r="BF115" s="8">
        <f t="shared" si="63"/>
        <v>83</v>
      </c>
      <c r="BG115" s="21">
        <f t="shared" si="64"/>
        <v>10.5</v>
      </c>
      <c r="BH115" s="124">
        <f t="shared" si="65"/>
        <v>0</v>
      </c>
      <c r="BI115" s="124">
        <f t="shared" si="74"/>
        <v>0</v>
      </c>
      <c r="BJ115" s="144">
        <f t="shared" si="66"/>
        <v>0</v>
      </c>
      <c r="BL115" s="99">
        <v>25</v>
      </c>
    </row>
    <row r="116" spans="1:64" ht="12.75" x14ac:dyDescent="0.2">
      <c r="A116" s="8">
        <f t="shared" si="30"/>
        <v>18</v>
      </c>
      <c r="B116" s="125">
        <f t="shared" si="31"/>
        <v>3.2</v>
      </c>
      <c r="C116" s="125">
        <f t="shared" si="32"/>
        <v>7.8</v>
      </c>
      <c r="D116" s="125">
        <f t="shared" si="67"/>
        <v>5.5</v>
      </c>
      <c r="E116" s="125">
        <f t="shared" si="33"/>
        <v>4.5999999999999996</v>
      </c>
      <c r="F116" s="7">
        <v>2.842307692307692</v>
      </c>
      <c r="G116" s="7">
        <v>7.23</v>
      </c>
      <c r="H116" s="7">
        <f t="shared" si="68"/>
        <v>5.0361538461538462</v>
      </c>
      <c r="I116" s="7">
        <f t="shared" si="69"/>
        <v>4.3876923076923084</v>
      </c>
      <c r="K116" s="7">
        <f t="shared" si="34"/>
        <v>3</v>
      </c>
      <c r="L116" s="7">
        <f t="shared" si="35"/>
        <v>11.4</v>
      </c>
      <c r="M116" s="370">
        <f t="shared" si="36"/>
        <v>6.1167307692307693</v>
      </c>
      <c r="N116" s="1">
        <f t="shared" si="37"/>
        <v>0</v>
      </c>
      <c r="O116" s="7">
        <f t="shared" si="38"/>
        <v>81.5</v>
      </c>
      <c r="P116" s="7">
        <f t="shared" si="39"/>
        <v>3.7769230769230768</v>
      </c>
      <c r="Q116" s="7">
        <f t="shared" si="40"/>
        <v>8.7576923076923077</v>
      </c>
      <c r="R116" s="7">
        <f t="shared" si="41"/>
        <v>6.4769230769230761</v>
      </c>
      <c r="S116" s="7">
        <f t="shared" si="42"/>
        <v>4.9769230769230779</v>
      </c>
      <c r="T116" s="1">
        <v>57</v>
      </c>
      <c r="U116" s="333">
        <f t="shared" si="43"/>
        <v>2.129032258064516</v>
      </c>
      <c r="V116" s="4">
        <v>26</v>
      </c>
      <c r="W116" s="7">
        <f t="shared" si="44"/>
        <v>7.0980000000000008</v>
      </c>
      <c r="X116" s="7">
        <f t="shared" si="45"/>
        <v>15.561000000000002</v>
      </c>
      <c r="Y116" s="8">
        <f t="shared" si="46"/>
        <v>3</v>
      </c>
      <c r="Z116" s="7">
        <f>IF(ISBLANK(Z29),NA(),SUM($Z$4:Z29))</f>
        <v>47.8</v>
      </c>
      <c r="AA116" s="7">
        <f t="shared" si="70"/>
        <v>55.354838709677416</v>
      </c>
      <c r="AB116" s="26">
        <f>IF(ISBLANK(Z29),"",SUM($Z$4:Z29))</f>
        <v>47.8</v>
      </c>
      <c r="AC116" s="115">
        <f t="shared" si="71"/>
        <v>0.86351981351981355</v>
      </c>
      <c r="AD116" s="8">
        <f t="shared" si="47"/>
        <v>1009.8846153846154</v>
      </c>
      <c r="AE116" s="610">
        <f t="shared" si="48"/>
        <v>1.615701535216447</v>
      </c>
      <c r="AF116" s="524">
        <f t="shared" si="49"/>
        <v>0.40625</v>
      </c>
      <c r="AG116" s="22">
        <f>IF(ISBLANK(AP29),NA(),SUM($AP$4:AP29))</f>
        <v>65.099999999999994</v>
      </c>
      <c r="AH116" s="7">
        <f>SUM($AS$91:AS116)</f>
        <v>40.292095155606134</v>
      </c>
      <c r="AI116" s="115">
        <f t="shared" si="50"/>
        <v>1.615701535216447</v>
      </c>
      <c r="AJ116" s="124">
        <f t="shared" si="51"/>
        <v>0</v>
      </c>
      <c r="AK116" s="8">
        <f t="shared" si="52"/>
        <v>1032.5</v>
      </c>
      <c r="AL116" s="124">
        <f t="shared" si="53"/>
        <v>0</v>
      </c>
      <c r="AM116" s="524" t="e">
        <f t="shared" si="54"/>
        <v>#N/A</v>
      </c>
      <c r="AO116" s="524">
        <f t="shared" si="55"/>
        <v>0.55763888888888891</v>
      </c>
      <c r="AR116" s="524">
        <f t="shared" si="56"/>
        <v>0.35416666666666669</v>
      </c>
      <c r="AS116" s="7">
        <f t="shared" si="57"/>
        <v>1.5347887893498802</v>
      </c>
      <c r="AT116" s="7">
        <v>7.0047862839227051</v>
      </c>
      <c r="AU116" s="4">
        <v>26</v>
      </c>
      <c r="AV116" s="127">
        <f t="shared" si="58"/>
        <v>0</v>
      </c>
      <c r="AW116" s="124">
        <f t="shared" si="72"/>
        <v>0</v>
      </c>
      <c r="AX116" s="124">
        <f t="shared" si="73"/>
        <v>1</v>
      </c>
      <c r="AY116" s="124">
        <f t="shared" si="59"/>
        <v>1</v>
      </c>
      <c r="AZ116" s="125">
        <f t="shared" si="60"/>
        <v>5.0999999999999996</v>
      </c>
      <c r="BA116" s="125">
        <f t="shared" si="61"/>
        <v>3.9666666666666668</v>
      </c>
      <c r="BB116" s="125">
        <f t="shared" si="62"/>
        <v>7.0333333333333332</v>
      </c>
      <c r="BC116" s="7">
        <v>3.5735897435897437</v>
      </c>
      <c r="BD116" s="7">
        <v>6.4987179487179487</v>
      </c>
      <c r="BF116" s="8">
        <f t="shared" si="63"/>
        <v>83</v>
      </c>
      <c r="BG116" s="21">
        <f t="shared" si="64"/>
        <v>11.6</v>
      </c>
      <c r="BH116" s="124">
        <f t="shared" si="65"/>
        <v>0</v>
      </c>
      <c r="BI116" s="124">
        <f t="shared" si="74"/>
        <v>0</v>
      </c>
      <c r="BJ116" s="144">
        <f t="shared" si="66"/>
        <v>0</v>
      </c>
      <c r="BL116" s="99">
        <v>26</v>
      </c>
    </row>
    <row r="117" spans="1:64" ht="12.75" x14ac:dyDescent="0.2">
      <c r="A117" s="8">
        <f t="shared" si="30"/>
        <v>13</v>
      </c>
      <c r="B117" s="125">
        <f t="shared" si="31"/>
        <v>3.2</v>
      </c>
      <c r="C117" s="125">
        <f t="shared" si="32"/>
        <v>7.8</v>
      </c>
      <c r="D117" s="125">
        <f t="shared" si="67"/>
        <v>5.5</v>
      </c>
      <c r="E117" s="125">
        <f t="shared" si="33"/>
        <v>4.5999999999999996</v>
      </c>
      <c r="F117" s="7">
        <v>2.8138461538461534</v>
      </c>
      <c r="G117" s="7">
        <v>7.19</v>
      </c>
      <c r="H117" s="7">
        <f t="shared" si="68"/>
        <v>5.0019230769230774</v>
      </c>
      <c r="I117" s="7">
        <f t="shared" si="69"/>
        <v>4.3761538461538469</v>
      </c>
      <c r="K117" s="7">
        <f t="shared" si="34"/>
        <v>2.2000000000000002</v>
      </c>
      <c r="L117" s="7">
        <f t="shared" si="35"/>
        <v>9.3000000000000007</v>
      </c>
      <c r="M117" s="370">
        <f t="shared" si="36"/>
        <v>6.1012962962962956</v>
      </c>
      <c r="N117" s="1">
        <f t="shared" si="37"/>
        <v>0</v>
      </c>
      <c r="O117" s="7">
        <f t="shared" si="38"/>
        <v>81.111111111111114</v>
      </c>
      <c r="P117" s="7">
        <f t="shared" si="39"/>
        <v>3.9407407407407411</v>
      </c>
      <c r="Q117" s="7">
        <f t="shared" si="40"/>
        <v>8.818518518518518</v>
      </c>
      <c r="R117" s="7">
        <f t="shared" si="41"/>
        <v>6.6</v>
      </c>
      <c r="S117" s="7">
        <f t="shared" si="42"/>
        <v>4.8740740740740751</v>
      </c>
      <c r="T117" s="1">
        <v>58</v>
      </c>
      <c r="U117" s="333">
        <f t="shared" si="43"/>
        <v>2.129032258064516</v>
      </c>
      <c r="V117" s="4">
        <v>27</v>
      </c>
      <c r="W117" s="7">
        <f t="shared" si="44"/>
        <v>7.3710000000000004</v>
      </c>
      <c r="X117" s="7">
        <f t="shared" si="45"/>
        <v>15.834000000000001</v>
      </c>
      <c r="Y117" s="8">
        <f t="shared" si="46"/>
        <v>8</v>
      </c>
      <c r="Z117" s="7">
        <f>IF(ISBLANK(Z30),NA(),SUM($Z$4:Z30))</f>
        <v>47.8</v>
      </c>
      <c r="AA117" s="7">
        <f t="shared" si="70"/>
        <v>57.483870967741936</v>
      </c>
      <c r="AB117" s="26">
        <f>IF(ISBLANK(Z30),"",SUM($Z$4:Z30))</f>
        <v>47.8</v>
      </c>
      <c r="AC117" s="115">
        <f t="shared" si="71"/>
        <v>0.83153759820426476</v>
      </c>
      <c r="AD117" s="8">
        <f t="shared" si="47"/>
        <v>1010.6666666666666</v>
      </c>
      <c r="AE117" s="610">
        <f t="shared" si="48"/>
        <v>1.5563471968143339</v>
      </c>
      <c r="AF117" s="524" t="e">
        <f t="shared" si="49"/>
        <v>#N/A</v>
      </c>
      <c r="AG117" s="22">
        <f>IF(ISBLANK(AP30),NA(),SUM($AP$4:AP30))</f>
        <v>65.099999999999994</v>
      </c>
      <c r="AH117" s="7">
        <f>SUM($AS$91:AS117)</f>
        <v>41.828712856136669</v>
      </c>
      <c r="AI117" s="115">
        <f t="shared" si="50"/>
        <v>1.5563471968143339</v>
      </c>
      <c r="AJ117" s="124">
        <f t="shared" si="51"/>
        <v>0</v>
      </c>
      <c r="AK117" s="8">
        <f t="shared" si="52"/>
        <v>1031</v>
      </c>
      <c r="AL117" s="124">
        <f t="shared" si="53"/>
        <v>0</v>
      </c>
      <c r="AM117" s="524">
        <f t="shared" si="54"/>
        <v>0.72361111111111109</v>
      </c>
      <c r="AO117" s="524">
        <f t="shared" si="55"/>
        <v>0.47847222222222219</v>
      </c>
      <c r="AR117" s="524">
        <f t="shared" si="56"/>
        <v>0.33333333333333331</v>
      </c>
      <c r="AS117" s="7">
        <f t="shared" si="57"/>
        <v>1.5366177005305344</v>
      </c>
      <c r="AT117" s="7">
        <v>7.0131334467646917</v>
      </c>
      <c r="AU117" s="4">
        <v>27</v>
      </c>
      <c r="AV117" s="127">
        <f t="shared" si="58"/>
        <v>0</v>
      </c>
      <c r="AW117" s="124">
        <f t="shared" si="72"/>
        <v>0</v>
      </c>
      <c r="AX117" s="124">
        <f t="shared" si="73"/>
        <v>1</v>
      </c>
      <c r="AY117" s="124">
        <f t="shared" si="59"/>
        <v>1</v>
      </c>
      <c r="AZ117" s="125">
        <f t="shared" si="60"/>
        <v>5.0999999999999996</v>
      </c>
      <c r="BA117" s="125">
        <f t="shared" si="61"/>
        <v>3.9666666666666668</v>
      </c>
      <c r="BB117" s="125">
        <f t="shared" si="62"/>
        <v>7.0333333333333332</v>
      </c>
      <c r="BC117" s="7">
        <v>3.5432051282051278</v>
      </c>
      <c r="BD117" s="7">
        <v>6.4606410256410252</v>
      </c>
      <c r="BF117" s="8">
        <f t="shared" si="63"/>
        <v>71</v>
      </c>
      <c r="BG117" s="21">
        <f t="shared" si="64"/>
        <v>9.8000000000000007</v>
      </c>
      <c r="BH117" s="124">
        <f t="shared" si="65"/>
        <v>0</v>
      </c>
      <c r="BI117" s="124">
        <f t="shared" si="74"/>
        <v>0</v>
      </c>
      <c r="BJ117" s="144">
        <f t="shared" si="66"/>
        <v>0</v>
      </c>
      <c r="BL117" s="99">
        <v>27</v>
      </c>
    </row>
    <row r="118" spans="1:64" ht="12.75" x14ac:dyDescent="0.2">
      <c r="A118" s="8">
        <f t="shared" si="30"/>
        <v>27</v>
      </c>
      <c r="B118" s="125">
        <f t="shared" si="31"/>
        <v>3.2</v>
      </c>
      <c r="C118" s="125">
        <f t="shared" si="32"/>
        <v>7.8</v>
      </c>
      <c r="D118" s="125">
        <f t="shared" si="67"/>
        <v>5.5</v>
      </c>
      <c r="E118" s="125">
        <f t="shared" si="33"/>
        <v>4.5999999999999996</v>
      </c>
      <c r="F118" s="7">
        <v>2.7853846153846149</v>
      </c>
      <c r="G118" s="7">
        <v>7.15</v>
      </c>
      <c r="H118" s="7">
        <f t="shared" si="68"/>
        <v>4.9676923076923076</v>
      </c>
      <c r="I118" s="7">
        <f t="shared" si="69"/>
        <v>4.3646153846153855</v>
      </c>
      <c r="K118" s="7">
        <f t="shared" si="34"/>
        <v>5.2</v>
      </c>
      <c r="L118" s="7">
        <f t="shared" si="35"/>
        <v>8.1999999999999993</v>
      </c>
      <c r="M118" s="370">
        <f t="shared" si="36"/>
        <v>6.1762499999999987</v>
      </c>
      <c r="N118" s="1">
        <f t="shared" si="37"/>
        <v>0</v>
      </c>
      <c r="O118" s="7">
        <f t="shared" si="38"/>
        <v>80.857142857142861</v>
      </c>
      <c r="P118" s="7">
        <f t="shared" si="39"/>
        <v>4</v>
      </c>
      <c r="Q118" s="7">
        <f t="shared" si="40"/>
        <v>8.8892857142857142</v>
      </c>
      <c r="R118" s="7">
        <f t="shared" si="41"/>
        <v>6.6749999999999989</v>
      </c>
      <c r="S118" s="7">
        <f t="shared" si="42"/>
        <v>4.8857142857142861</v>
      </c>
      <c r="T118" s="1">
        <v>59</v>
      </c>
      <c r="U118" s="333">
        <f t="shared" si="43"/>
        <v>2.129032258064516</v>
      </c>
      <c r="V118" s="4">
        <v>28</v>
      </c>
      <c r="W118" s="7">
        <f t="shared" si="44"/>
        <v>7.6440000000000001</v>
      </c>
      <c r="X118" s="7">
        <f t="shared" si="45"/>
        <v>16.107000000000003</v>
      </c>
      <c r="Y118" s="8">
        <f t="shared" si="46"/>
        <v>8</v>
      </c>
      <c r="Z118" s="7">
        <f>IF(ISBLANK(Z31),NA(),SUM($Z$4:Z31))</f>
        <v>47.8</v>
      </c>
      <c r="AA118" s="7">
        <f t="shared" si="70"/>
        <v>59.612903225806448</v>
      </c>
      <c r="AB118" s="26">
        <f>IF(ISBLANK(Z31),"",SUM($Z$4:Z31))</f>
        <v>47.8</v>
      </c>
      <c r="AC118" s="115">
        <f t="shared" si="71"/>
        <v>0.8018398268398268</v>
      </c>
      <c r="AD118" s="8">
        <f t="shared" si="47"/>
        <v>1011.1071428571429</v>
      </c>
      <c r="AE118" s="610">
        <f t="shared" si="48"/>
        <v>1.5472420417009325</v>
      </c>
      <c r="AF118" s="524">
        <f t="shared" si="49"/>
        <v>0.34375</v>
      </c>
      <c r="AG118" s="22">
        <f>IF(ISBLANK(AP31),NA(),SUM($AP$4:AP31))</f>
        <v>67.099999999999994</v>
      </c>
      <c r="AH118" s="7">
        <f>SUM($AS$91:AS118)</f>
        <v>43.367487562731185</v>
      </c>
      <c r="AI118" s="115">
        <f t="shared" si="50"/>
        <v>1.5472420417009325</v>
      </c>
      <c r="AJ118" s="124">
        <f t="shared" si="51"/>
        <v>0</v>
      </c>
      <c r="AK118" s="8">
        <f t="shared" si="52"/>
        <v>1023</v>
      </c>
      <c r="AL118" s="124">
        <f t="shared" si="53"/>
        <v>0</v>
      </c>
      <c r="AM118" s="524">
        <f t="shared" si="54"/>
        <v>0.6791666666666667</v>
      </c>
      <c r="AO118" s="524">
        <f t="shared" si="55"/>
        <v>0.47152777777777777</v>
      </c>
      <c r="AR118" s="524">
        <f t="shared" si="56"/>
        <v>0</v>
      </c>
      <c r="AS118" s="7">
        <f t="shared" si="57"/>
        <v>1.5387747065945188</v>
      </c>
      <c r="AT118" s="7">
        <v>7.0229780368452177</v>
      </c>
      <c r="AU118" s="4">
        <v>28</v>
      </c>
      <c r="AV118" s="127">
        <f t="shared" si="58"/>
        <v>1</v>
      </c>
      <c r="AW118" s="124">
        <f t="shared" si="72"/>
        <v>0</v>
      </c>
      <c r="AX118" s="124">
        <f t="shared" si="73"/>
        <v>1</v>
      </c>
      <c r="AY118" s="124">
        <f t="shared" si="59"/>
        <v>1</v>
      </c>
      <c r="AZ118" s="125">
        <f t="shared" si="60"/>
        <v>5.0999999999999996</v>
      </c>
      <c r="BA118" s="125">
        <f t="shared" si="61"/>
        <v>3.9666666666666668</v>
      </c>
      <c r="BB118" s="125">
        <f t="shared" si="62"/>
        <v>7.0333333333333332</v>
      </c>
      <c r="BC118" s="7">
        <v>3.5128205128205119</v>
      </c>
      <c r="BD118" s="7">
        <v>6.4225641025641016</v>
      </c>
      <c r="BF118" s="8">
        <f t="shared" si="63"/>
        <v>74</v>
      </c>
      <c r="BG118" s="21">
        <f t="shared" si="64"/>
        <v>8.6999999999999993</v>
      </c>
      <c r="BH118" s="124">
        <f t="shared" si="65"/>
        <v>0</v>
      </c>
      <c r="BI118" s="124">
        <f t="shared" si="74"/>
        <v>0</v>
      </c>
      <c r="BJ118" s="144">
        <f t="shared" si="66"/>
        <v>0</v>
      </c>
      <c r="BL118" s="99">
        <v>28</v>
      </c>
    </row>
    <row r="119" spans="1:64" ht="12.75" x14ac:dyDescent="0.2">
      <c r="A119" s="8">
        <f t="shared" si="30"/>
        <v>14</v>
      </c>
      <c r="B119" s="125">
        <f t="shared" si="31"/>
        <v>3.2</v>
      </c>
      <c r="C119" s="125">
        <f t="shared" si="32"/>
        <v>7.8</v>
      </c>
      <c r="D119" s="125">
        <f t="shared" si="67"/>
        <v>5.5</v>
      </c>
      <c r="E119" s="125">
        <f t="shared" si="33"/>
        <v>4.5999999999999996</v>
      </c>
      <c r="F119" s="7">
        <v>2.7569230769230764</v>
      </c>
      <c r="G119" s="7">
        <v>7.11</v>
      </c>
      <c r="H119" s="7">
        <f t="shared" si="68"/>
        <v>4.9334615384615379</v>
      </c>
      <c r="I119" s="7">
        <f t="shared" si="69"/>
        <v>4.353076923076924</v>
      </c>
      <c r="K119" s="7">
        <f t="shared" si="34"/>
        <v>4.7</v>
      </c>
      <c r="L119" s="7">
        <f t="shared" si="35"/>
        <v>7.35</v>
      </c>
      <c r="M119" s="370">
        <f t="shared" si="36"/>
        <v>6.2322413793103442</v>
      </c>
      <c r="N119" s="1">
        <f t="shared" si="37"/>
        <v>1.0999999999999999</v>
      </c>
      <c r="O119" s="7">
        <f t="shared" si="38"/>
        <v>80.58620689655173</v>
      </c>
      <c r="P119" s="7">
        <f t="shared" si="39"/>
        <v>4.0344827586206895</v>
      </c>
      <c r="Q119" s="7">
        <f t="shared" si="40"/>
        <v>8.9172413793103456</v>
      </c>
      <c r="R119" s="7">
        <f t="shared" si="41"/>
        <v>6.686206896551723</v>
      </c>
      <c r="S119" s="7">
        <f t="shared" si="42"/>
        <v>4.8793103448275863</v>
      </c>
      <c r="T119" s="1">
        <v>60</v>
      </c>
      <c r="U119" s="333">
        <f t="shared" si="43"/>
        <v>2.129032258064516</v>
      </c>
      <c r="V119" s="4">
        <v>29</v>
      </c>
      <c r="W119" s="7">
        <f t="shared" si="44"/>
        <v>7.9170000000000007</v>
      </c>
      <c r="X119" s="7">
        <f t="shared" si="45"/>
        <v>16.380000000000003</v>
      </c>
      <c r="Y119" s="8">
        <f t="shared" si="46"/>
        <v>11</v>
      </c>
      <c r="Z119" s="7">
        <f>IF(ISBLANK(Z32),NA(),SUM($Z$4:Z32))</f>
        <v>51.099999999999994</v>
      </c>
      <c r="AA119" s="7">
        <f t="shared" si="70"/>
        <v>61.741935483870961</v>
      </c>
      <c r="AB119" s="26">
        <f>IF(ISBLANK(Z32),"",SUM($Z$4:Z32))</f>
        <v>51.099999999999994</v>
      </c>
      <c r="AC119" s="115">
        <f t="shared" si="71"/>
        <v>0.82763845350052245</v>
      </c>
      <c r="AD119" s="8">
        <f t="shared" si="47"/>
        <v>1011.3965517241379</v>
      </c>
      <c r="AE119" s="610">
        <f t="shared" si="48"/>
        <v>1.5052747460084535</v>
      </c>
      <c r="AF119" s="524" t="e">
        <f t="shared" si="49"/>
        <v>#N/A</v>
      </c>
      <c r="AG119" s="22">
        <f>IF(ISBLANK(AP32),NA(),SUM($AP$4:AP32))</f>
        <v>67.599999999999994</v>
      </c>
      <c r="AH119" s="7">
        <f>SUM($AS$91:AS119)</f>
        <v>44.908745183731632</v>
      </c>
      <c r="AI119" s="115">
        <f t="shared" si="50"/>
        <v>1.5052747460084535</v>
      </c>
      <c r="AJ119" s="124">
        <f t="shared" si="51"/>
        <v>1</v>
      </c>
      <c r="AK119" s="8">
        <f t="shared" si="52"/>
        <v>1019.5</v>
      </c>
      <c r="AL119" s="124">
        <f t="shared" si="53"/>
        <v>1</v>
      </c>
      <c r="AM119" s="524" t="e">
        <f t="shared" si="54"/>
        <v>#N/A</v>
      </c>
      <c r="AO119" s="524">
        <f t="shared" si="55"/>
        <v>0.67222222222222217</v>
      </c>
      <c r="AR119" s="524">
        <f t="shared" si="56"/>
        <v>0.15416666666666667</v>
      </c>
      <c r="AS119" s="7">
        <f t="shared" si="57"/>
        <v>1.5412576210004458</v>
      </c>
      <c r="AT119" s="7">
        <v>7.0343100747747878</v>
      </c>
      <c r="AU119" s="4">
        <v>29</v>
      </c>
      <c r="AV119" s="127">
        <f t="shared" si="58"/>
        <v>0</v>
      </c>
      <c r="AW119" s="124">
        <f t="shared" si="72"/>
        <v>0</v>
      </c>
      <c r="AX119" s="124">
        <f t="shared" si="73"/>
        <v>1</v>
      </c>
      <c r="AY119" s="124">
        <f t="shared" si="59"/>
        <v>1</v>
      </c>
      <c r="AZ119" s="125">
        <f t="shared" si="60"/>
        <v>5.0999999999999996</v>
      </c>
      <c r="BA119" s="125">
        <f t="shared" si="61"/>
        <v>3.9666666666666668</v>
      </c>
      <c r="BB119" s="125">
        <f t="shared" si="62"/>
        <v>7.0333333333333332</v>
      </c>
      <c r="BC119" s="7">
        <v>3.4824358974358969</v>
      </c>
      <c r="BD119" s="7">
        <v>6.3844871794871789</v>
      </c>
      <c r="BF119" s="8">
        <f t="shared" si="63"/>
        <v>73</v>
      </c>
      <c r="BG119" s="21">
        <f t="shared" si="64"/>
        <v>7</v>
      </c>
      <c r="BH119" s="124">
        <f t="shared" si="65"/>
        <v>0</v>
      </c>
      <c r="BI119" s="124">
        <f t="shared" si="74"/>
        <v>1</v>
      </c>
      <c r="BJ119" s="144">
        <f t="shared" si="66"/>
        <v>1.0999999999999999</v>
      </c>
      <c r="BL119" s="99">
        <v>29</v>
      </c>
    </row>
    <row r="120" spans="1:64" ht="12.75" x14ac:dyDescent="0.2">
      <c r="A120" s="8">
        <f t="shared" si="30"/>
        <v>5</v>
      </c>
      <c r="B120" s="125">
        <f t="shared" si="31"/>
        <v>3.2</v>
      </c>
      <c r="C120" s="125">
        <f t="shared" si="32"/>
        <v>7.8</v>
      </c>
      <c r="D120" s="125">
        <f t="shared" si="67"/>
        <v>5.5</v>
      </c>
      <c r="E120" s="125">
        <f t="shared" si="33"/>
        <v>4.5999999999999996</v>
      </c>
      <c r="F120" s="7">
        <v>2.7284615384615378</v>
      </c>
      <c r="G120" s="7">
        <v>7.07</v>
      </c>
      <c r="H120" s="7">
        <f t="shared" si="68"/>
        <v>4.8992307692307691</v>
      </c>
      <c r="I120" s="7">
        <f t="shared" si="69"/>
        <v>4.3415384615384625</v>
      </c>
      <c r="K120" s="7">
        <f t="shared" si="34"/>
        <v>5.5</v>
      </c>
      <c r="L120" s="7">
        <f t="shared" si="35"/>
        <v>7.85</v>
      </c>
      <c r="M120" s="370">
        <f t="shared" si="36"/>
        <v>6.1978333333333326</v>
      </c>
      <c r="N120" s="1">
        <f t="shared" si="37"/>
        <v>1.5999999999999999</v>
      </c>
      <c r="O120" s="7">
        <f t="shared" si="38"/>
        <v>80.566666666666663</v>
      </c>
      <c r="P120" s="7">
        <f t="shared" si="39"/>
        <v>4.0699999999999994</v>
      </c>
      <c r="Q120" s="7">
        <f t="shared" si="40"/>
        <v>8.9733333333333345</v>
      </c>
      <c r="R120" s="7">
        <f t="shared" si="41"/>
        <v>6.6866666666666656</v>
      </c>
      <c r="S120" s="7">
        <f t="shared" si="42"/>
        <v>4.9000000000000004</v>
      </c>
      <c r="T120" s="1">
        <v>61</v>
      </c>
      <c r="U120" s="333">
        <f t="shared" si="43"/>
        <v>2.129032258064516</v>
      </c>
      <c r="V120" s="4">
        <v>30</v>
      </c>
      <c r="W120" s="7">
        <f t="shared" si="44"/>
        <v>8.1900000000000013</v>
      </c>
      <c r="X120" s="7">
        <f t="shared" si="45"/>
        <v>16.653000000000002</v>
      </c>
      <c r="Y120" s="8">
        <f t="shared" si="46"/>
        <v>11</v>
      </c>
      <c r="Z120" s="7">
        <f>IF(ISBLANK(Z33),NA(),SUM($Z$4:Z33))</f>
        <v>55.899999999999991</v>
      </c>
      <c r="AA120" s="7">
        <f t="shared" si="70"/>
        <v>63.87096774193548</v>
      </c>
      <c r="AB120" s="26">
        <f>IF(ISBLANK(Z33),"",SUM($Z$4:Z33))</f>
        <v>55.899999999999991</v>
      </c>
      <c r="AC120" s="115">
        <f t="shared" si="71"/>
        <v>0.87520202020202009</v>
      </c>
      <c r="AD120" s="8">
        <f t="shared" si="47"/>
        <v>1011.5</v>
      </c>
      <c r="AE120" s="610">
        <f t="shared" si="48"/>
        <v>1.4573930246893425</v>
      </c>
      <c r="AF120" s="524" t="e">
        <f t="shared" si="49"/>
        <v>#N/A</v>
      </c>
      <c r="AG120" s="22">
        <f>IF(ISBLANK(AP33),NA(),SUM($AP$4:AP33))</f>
        <v>67.699999999999989</v>
      </c>
      <c r="AH120" s="7">
        <f>SUM($AS$91:AS120)</f>
        <v>46.452809127744317</v>
      </c>
      <c r="AI120" s="115">
        <f t="shared" si="50"/>
        <v>1.4573930246893425</v>
      </c>
      <c r="AJ120" s="124">
        <f t="shared" si="51"/>
        <v>1</v>
      </c>
      <c r="AK120" s="8">
        <f t="shared" si="52"/>
        <v>1014.5</v>
      </c>
      <c r="AL120" s="124">
        <f t="shared" si="53"/>
        <v>1</v>
      </c>
      <c r="AM120" s="524" t="e">
        <f t="shared" si="54"/>
        <v>#N/A</v>
      </c>
      <c r="AO120" s="524">
        <f t="shared" si="55"/>
        <v>0.58333333333333337</v>
      </c>
      <c r="AR120" s="524">
        <f t="shared" si="56"/>
        <v>0.36805555555555558</v>
      </c>
      <c r="AS120" s="7">
        <f t="shared" si="57"/>
        <v>1.5440639440126827</v>
      </c>
      <c r="AT120" s="7">
        <v>7.0471181517432813</v>
      </c>
      <c r="AU120" s="4">
        <v>30</v>
      </c>
      <c r="AV120" s="127">
        <f t="shared" si="58"/>
        <v>0</v>
      </c>
      <c r="AW120" s="124">
        <f t="shared" si="72"/>
        <v>0</v>
      </c>
      <c r="AX120" s="124">
        <f t="shared" si="73"/>
        <v>1</v>
      </c>
      <c r="AY120" s="124">
        <f t="shared" si="59"/>
        <v>0</v>
      </c>
      <c r="AZ120" s="125">
        <f t="shared" si="60"/>
        <v>5.0999999999999996</v>
      </c>
      <c r="BA120" s="125">
        <f t="shared" si="61"/>
        <v>3.9666666666666668</v>
      </c>
      <c r="BB120" s="125">
        <f t="shared" si="62"/>
        <v>7.0333333333333332</v>
      </c>
      <c r="BC120" s="7">
        <v>3.4520512820512819</v>
      </c>
      <c r="BD120" s="7">
        <v>6.3464102564102562</v>
      </c>
      <c r="BF120" s="8">
        <f t="shared" si="63"/>
        <v>80</v>
      </c>
      <c r="BG120" s="21">
        <f t="shared" si="64"/>
        <v>6.7</v>
      </c>
      <c r="BH120" s="124">
        <f t="shared" si="65"/>
        <v>0</v>
      </c>
      <c r="BI120" s="124">
        <f t="shared" si="74"/>
        <v>1</v>
      </c>
      <c r="BJ120" s="144">
        <f t="shared" si="66"/>
        <v>1.5999999999999999</v>
      </c>
      <c r="BL120" s="99">
        <v>30</v>
      </c>
    </row>
    <row r="121" spans="1:64" ht="12.75" customHeight="1" x14ac:dyDescent="0.2">
      <c r="A121" s="8">
        <f t="shared" si="30"/>
        <v>10</v>
      </c>
      <c r="B121" s="125">
        <f t="shared" si="31"/>
        <v>3.2</v>
      </c>
      <c r="C121" s="125">
        <f t="shared" si="32"/>
        <v>7.8</v>
      </c>
      <c r="D121" s="125">
        <f t="shared" si="67"/>
        <v>5.5</v>
      </c>
      <c r="E121" s="125">
        <f t="shared" si="33"/>
        <v>4.5999999999999996</v>
      </c>
      <c r="F121" s="7">
        <v>2.7</v>
      </c>
      <c r="G121" s="7">
        <v>7.03</v>
      </c>
      <c r="H121" s="7">
        <f t="shared" si="68"/>
        <v>4.8650000000000002</v>
      </c>
      <c r="I121" s="7">
        <f t="shared" si="69"/>
        <v>4.33</v>
      </c>
      <c r="K121" s="7">
        <f t="shared" si="34"/>
        <v>1.9</v>
      </c>
      <c r="L121" s="7">
        <f t="shared" si="35"/>
        <v>11.55</v>
      </c>
      <c r="M121" s="370">
        <f t="shared" si="36"/>
        <v>6.2398387096774188</v>
      </c>
      <c r="N121" s="1">
        <f t="shared" si="37"/>
        <v>9.9999999999999992E-2</v>
      </c>
      <c r="O121" s="7">
        <f t="shared" si="38"/>
        <v>80.903225806451616</v>
      </c>
      <c r="P121" s="7">
        <f t="shared" si="39"/>
        <v>4.2806451612903222</v>
      </c>
      <c r="Q121" s="7">
        <f t="shared" si="40"/>
        <v>9.0870967741935491</v>
      </c>
      <c r="R121" s="7">
        <f t="shared" si="41"/>
        <v>6.848387096774192</v>
      </c>
      <c r="S121" s="7">
        <f t="shared" si="42"/>
        <v>4.8032258064516133</v>
      </c>
      <c r="T121" s="1">
        <v>62</v>
      </c>
      <c r="U121" s="333">
        <f t="shared" si="43"/>
        <v>2.129032258064516</v>
      </c>
      <c r="V121" s="4">
        <v>31</v>
      </c>
      <c r="W121" s="7">
        <f t="shared" si="44"/>
        <v>8.463000000000001</v>
      </c>
      <c r="X121" s="7">
        <f t="shared" si="45"/>
        <v>16.926000000000002</v>
      </c>
      <c r="Y121" s="8">
        <f t="shared" si="46"/>
        <v>3</v>
      </c>
      <c r="Z121" s="7">
        <f>IF(ISBLANK(Z34),NA(),SUM($Z$4:Z34))</f>
        <v>56.199999999999989</v>
      </c>
      <c r="AA121" s="7">
        <f t="shared" si="70"/>
        <v>66</v>
      </c>
      <c r="AB121" s="26">
        <f>IF(ISBLANK(Z6),"",SUM($Z$4:Z34))</f>
        <v>56.199999999999989</v>
      </c>
      <c r="AC121" s="115">
        <f t="shared" si="71"/>
        <v>0.85151515151515134</v>
      </c>
      <c r="AD121" s="8">
        <f t="shared" si="47"/>
        <v>1011.4354838709677</v>
      </c>
      <c r="AE121" s="610">
        <f t="shared" si="48"/>
        <v>1.4104166666666664</v>
      </c>
      <c r="AF121" s="524">
        <f t="shared" si="49"/>
        <v>2.361111111111111E-2</v>
      </c>
      <c r="AG121" s="22">
        <f>IF(ISBLANK(AP34),NA(),SUM($AP$4:AP34))</f>
        <v>67.699999999999989</v>
      </c>
      <c r="AH121" s="7">
        <f>SUM($AS$91:AS121)</f>
        <v>48</v>
      </c>
      <c r="AI121" s="115">
        <f t="shared" si="50"/>
        <v>1.4104166666666664</v>
      </c>
      <c r="AJ121" s="124">
        <f t="shared" si="51"/>
        <v>1</v>
      </c>
      <c r="AK121" s="8">
        <f t="shared" si="52"/>
        <v>1009.5</v>
      </c>
      <c r="AL121" s="124">
        <f t="shared" si="53"/>
        <v>0</v>
      </c>
      <c r="AM121" s="524">
        <f t="shared" si="54"/>
        <v>0.61875000000000002</v>
      </c>
      <c r="AO121" s="524">
        <f t="shared" si="55"/>
        <v>0.625</v>
      </c>
      <c r="AR121" s="524" t="e">
        <f t="shared" si="56"/>
        <v>#N/A</v>
      </c>
      <c r="AS121" s="7">
        <f t="shared" si="57"/>
        <v>1.5471908722556831</v>
      </c>
      <c r="AT121" s="7">
        <v>7.061389473125983</v>
      </c>
      <c r="AU121" s="4">
        <v>31</v>
      </c>
      <c r="AV121" s="127">
        <f t="shared" si="58"/>
        <v>0</v>
      </c>
      <c r="AW121" s="124">
        <f t="shared" si="72"/>
        <v>0</v>
      </c>
      <c r="AX121" s="124">
        <f t="shared" si="73"/>
        <v>1</v>
      </c>
      <c r="AY121" s="124">
        <f t="shared" si="59"/>
        <v>0</v>
      </c>
      <c r="AZ121" s="125">
        <f t="shared" si="60"/>
        <v>5.0999999999999996</v>
      </c>
      <c r="BA121" s="125">
        <f t="shared" si="61"/>
        <v>3.9666666666666668</v>
      </c>
      <c r="BB121" s="125">
        <f t="shared" si="62"/>
        <v>7.0333333333333332</v>
      </c>
      <c r="BC121" s="7">
        <v>3.4216666666666669</v>
      </c>
      <c r="BD121" s="7">
        <v>6.3083333333333336</v>
      </c>
      <c r="BF121" s="8">
        <f t="shared" si="63"/>
        <v>91</v>
      </c>
      <c r="BG121" s="21">
        <f t="shared" si="64"/>
        <v>11.7</v>
      </c>
      <c r="BH121" s="124">
        <f t="shared" si="65"/>
        <v>1</v>
      </c>
      <c r="BI121" s="124">
        <f t="shared" si="74"/>
        <v>1</v>
      </c>
      <c r="BJ121" s="144">
        <f t="shared" si="66"/>
        <v>9.9999999999999992E-2</v>
      </c>
      <c r="BL121" s="99"/>
    </row>
    <row r="122" spans="1:64" ht="6" customHeight="1" x14ac:dyDescent="0.2">
      <c r="C122" s="1"/>
      <c r="D122" s="125"/>
      <c r="E122" s="125"/>
      <c r="F122" s="125"/>
      <c r="G122" s="125"/>
      <c r="H122" s="21"/>
      <c r="I122" s="7"/>
      <c r="K122" s="7"/>
      <c r="M122" s="8"/>
      <c r="N122" s="8"/>
      <c r="P122" s="125"/>
      <c r="R122" s="8"/>
      <c r="S122" s="8"/>
      <c r="U122" s="333"/>
      <c r="V122" s="4"/>
      <c r="W122" s="7"/>
      <c r="Z122" s="7"/>
      <c r="AA122" s="7"/>
      <c r="AB122" s="127"/>
      <c r="AC122" s="7"/>
      <c r="AD122" s="115"/>
      <c r="AE122" s="115"/>
      <c r="AG122" s="22"/>
      <c r="AH122" s="8"/>
      <c r="AI122" s="115"/>
      <c r="AJ122" s="124"/>
      <c r="AK122" s="67"/>
      <c r="AL122" s="124"/>
      <c r="AQ122" s="7"/>
      <c r="AS122" s="7"/>
      <c r="AT122" s="7"/>
      <c r="AU122" s="8"/>
      <c r="AV122" s="127"/>
      <c r="AW122" s="124"/>
      <c r="AX122" s="124"/>
      <c r="AY122" s="124"/>
      <c r="AZ122" s="127"/>
      <c r="BA122" s="125"/>
      <c r="BG122" s="127"/>
      <c r="BH122" s="124"/>
      <c r="BI122" s="124"/>
      <c r="BJ122" s="144"/>
      <c r="BL122" s="99"/>
    </row>
    <row r="123" spans="1:64" ht="12.75" x14ac:dyDescent="0.2">
      <c r="C123" s="1"/>
      <c r="R123" s="8"/>
      <c r="S123" s="8"/>
      <c r="V123" s="11" t="s">
        <v>4</v>
      </c>
      <c r="W123" s="7">
        <f>IF(Z38&lt;1,"",AVERAGE(AB4:AB33))</f>
        <v>0.81875000000000009</v>
      </c>
      <c r="X123" s="7">
        <f>MAX(AB4:AB34)</f>
        <v>3</v>
      </c>
      <c r="AH123" s="115">
        <f>MIN(AE95:AE121)</f>
        <v>1.4104166666666664</v>
      </c>
      <c r="AI123" s="115">
        <f>MAX(AE95:AE121)</f>
        <v>2.0924281692255562</v>
      </c>
      <c r="AJ123" s="117"/>
      <c r="AK123" s="240"/>
      <c r="AL123" s="117"/>
      <c r="AS123" s="7">
        <f>SUM(AS91:AS121)</f>
        <v>48</v>
      </c>
      <c r="AT123" s="7">
        <f>SUM(AT91:AT121)</f>
        <v>219.07232054432265</v>
      </c>
      <c r="AV123" s="124"/>
      <c r="AW123" s="124"/>
      <c r="AX123" s="124"/>
      <c r="AY123" s="124"/>
      <c r="AZ123" s="124"/>
      <c r="BA123" s="124"/>
      <c r="BE123" s="124"/>
      <c r="BG123" s="7"/>
      <c r="BH123" s="124"/>
      <c r="BL123" s="4"/>
    </row>
    <row r="124" spans="1:64" s="95" customFormat="1" ht="18.75" customHeight="1" x14ac:dyDescent="0.2">
      <c r="C124" s="116"/>
      <c r="R124" s="325"/>
      <c r="S124" s="325"/>
      <c r="AY124" s="326"/>
      <c r="AZ124" s="326"/>
      <c r="BA124" s="326"/>
      <c r="BB124" s="326"/>
      <c r="BC124" s="326"/>
      <c r="BD124" s="326"/>
      <c r="BE124" s="326"/>
      <c r="BF124" s="326"/>
      <c r="BH124" s="326"/>
      <c r="BL124" s="81"/>
    </row>
    <row r="125" spans="1:64" ht="12.75" hidden="1" x14ac:dyDescent="0.2">
      <c r="AY125" s="124"/>
      <c r="AZ125" s="124"/>
      <c r="BA125" s="124"/>
      <c r="BB125" s="124"/>
      <c r="BC125" s="124"/>
      <c r="BD125" s="124"/>
      <c r="BE125" s="124"/>
      <c r="BF125" s="124"/>
      <c r="BG125" s="124"/>
      <c r="BH125" s="124"/>
    </row>
    <row r="126" spans="1:64" ht="12.75" hidden="1" x14ac:dyDescent="0.2">
      <c r="AY126" s="124"/>
      <c r="AZ126" s="124"/>
      <c r="BA126" s="124"/>
      <c r="BB126" s="124"/>
      <c r="BC126" s="124"/>
      <c r="BD126" s="124"/>
      <c r="BE126" s="124"/>
      <c r="BF126" s="124"/>
      <c r="BG126" s="124"/>
      <c r="BH126" s="124"/>
    </row>
    <row r="127" spans="1:64" ht="12.75" hidden="1" x14ac:dyDescent="0.2">
      <c r="AY127" s="124"/>
      <c r="AZ127" s="124"/>
      <c r="BA127" s="124"/>
      <c r="BB127" s="124"/>
      <c r="BC127" s="124"/>
      <c r="BD127" s="124"/>
      <c r="BE127" s="124"/>
      <c r="BF127" s="124"/>
      <c r="BG127" s="124"/>
      <c r="BH127" s="124"/>
    </row>
    <row r="128" spans="1:64" ht="12.75" hidden="1" x14ac:dyDescent="0.2">
      <c r="AY128" s="124"/>
      <c r="AZ128" s="124"/>
      <c r="BA128" s="124"/>
      <c r="BB128" s="124"/>
      <c r="BC128" s="124"/>
      <c r="BD128" s="124"/>
      <c r="BE128" s="124"/>
      <c r="BF128" s="124"/>
      <c r="BG128" s="124"/>
      <c r="BH128" s="124"/>
    </row>
    <row r="129" spans="13:60" ht="12.75" hidden="1" x14ac:dyDescent="0.2">
      <c r="AY129" s="124"/>
      <c r="AZ129" s="124"/>
      <c r="BA129" s="124"/>
      <c r="BB129" s="124"/>
      <c r="BC129" s="124"/>
      <c r="BD129" s="124"/>
      <c r="BE129" s="124"/>
      <c r="BF129" s="124"/>
      <c r="BG129" s="124"/>
      <c r="BH129" s="124"/>
    </row>
    <row r="130" spans="13:60" ht="12.75" hidden="1" x14ac:dyDescent="0.2"/>
    <row r="131" spans="13:60" ht="12.75" hidden="1" x14ac:dyDescent="0.2"/>
    <row r="132" spans="13:60" ht="12.75" hidden="1" x14ac:dyDescent="0.2"/>
    <row r="133" spans="13:60" ht="12.75" hidden="1" x14ac:dyDescent="0.2"/>
    <row r="134" spans="13:60" ht="12.75" hidden="1" x14ac:dyDescent="0.2">
      <c r="M134" s="10"/>
    </row>
  </sheetData>
  <sheetCalcPr fullCalcOnLoad="1"/>
  <mergeCells count="173">
    <mergeCell ref="AD73:AE81"/>
    <mergeCell ref="W90:X90"/>
    <mergeCell ref="W57:W58"/>
    <mergeCell ref="X57:X58"/>
    <mergeCell ref="Q76:AB78"/>
    <mergeCell ref="Q79:AB79"/>
    <mergeCell ref="Q80:AB80"/>
    <mergeCell ref="Q81:AB81"/>
    <mergeCell ref="Q73:AB73"/>
    <mergeCell ref="U1:X1"/>
    <mergeCell ref="Q52:R52"/>
    <mergeCell ref="Q50:R50"/>
    <mergeCell ref="Z49:AA49"/>
    <mergeCell ref="Q51:R51"/>
    <mergeCell ref="AA54:AA55"/>
    <mergeCell ref="Z54:Z55"/>
    <mergeCell ref="Z52:Z53"/>
    <mergeCell ref="AA52:AA53"/>
    <mergeCell ref="AG49:AJ49"/>
    <mergeCell ref="Z50:Z51"/>
    <mergeCell ref="AG52:AJ52"/>
    <mergeCell ref="AC51:AC52"/>
    <mergeCell ref="AD51:AD52"/>
    <mergeCell ref="AC50:AD50"/>
    <mergeCell ref="B51:D51"/>
    <mergeCell ref="H50:I50"/>
    <mergeCell ref="H51:I51"/>
    <mergeCell ref="AG1:AJ1"/>
    <mergeCell ref="AD1:AE1"/>
    <mergeCell ref="Z1:AC1"/>
    <mergeCell ref="B1:B2"/>
    <mergeCell ref="C1:C2"/>
    <mergeCell ref="F1:I1"/>
    <mergeCell ref="K1:N1"/>
    <mergeCell ref="BF1:BJ1"/>
    <mergeCell ref="D4:D43"/>
    <mergeCell ref="BA37:BB37"/>
    <mergeCell ref="BA39:BB39"/>
    <mergeCell ref="BA40:BB40"/>
    <mergeCell ref="AL1:AL2"/>
    <mergeCell ref="AN1:AN2"/>
    <mergeCell ref="AP1:AP2"/>
    <mergeCell ref="AQ1:AQ2"/>
    <mergeCell ref="P1:S1"/>
    <mergeCell ref="BA38:BB38"/>
    <mergeCell ref="B36:C36"/>
    <mergeCell ref="BA36:BB36"/>
    <mergeCell ref="B38:C38"/>
    <mergeCell ref="AL38:AL43"/>
    <mergeCell ref="B42:C42"/>
    <mergeCell ref="AP53:AQ53"/>
    <mergeCell ref="B48:D48"/>
    <mergeCell ref="B46:E46"/>
    <mergeCell ref="B47:D47"/>
    <mergeCell ref="Z46:Z47"/>
    <mergeCell ref="AA46:AA47"/>
    <mergeCell ref="K48:N48"/>
    <mergeCell ref="B49:D49"/>
    <mergeCell ref="B50:D50"/>
    <mergeCell ref="AG51:AJ51"/>
    <mergeCell ref="BF46:BJ46"/>
    <mergeCell ref="BF47:BJ47"/>
    <mergeCell ref="AY47:BD47"/>
    <mergeCell ref="AP52:AQ52"/>
    <mergeCell ref="AS48:AU48"/>
    <mergeCell ref="AS49:AT49"/>
    <mergeCell ref="AS46:AX46"/>
    <mergeCell ref="B54:D54"/>
    <mergeCell ref="AS51:AT51"/>
    <mergeCell ref="AA50:AA51"/>
    <mergeCell ref="AS52:AT52"/>
    <mergeCell ref="AS53:AT53"/>
    <mergeCell ref="AH50:AI50"/>
    <mergeCell ref="AH53:AI53"/>
    <mergeCell ref="AS50:AT50"/>
    <mergeCell ref="B52:D52"/>
    <mergeCell ref="B53:D53"/>
    <mergeCell ref="B55:D55"/>
    <mergeCell ref="H57:I58"/>
    <mergeCell ref="K57:N57"/>
    <mergeCell ref="P57:S57"/>
    <mergeCell ref="B58:D58"/>
    <mergeCell ref="B59:D59"/>
    <mergeCell ref="H59:I59"/>
    <mergeCell ref="AG59:AJ59"/>
    <mergeCell ref="AP56:AQ58"/>
    <mergeCell ref="V57:V58"/>
    <mergeCell ref="B56:D56"/>
    <mergeCell ref="AG56:AJ56"/>
    <mergeCell ref="B57:D57"/>
    <mergeCell ref="U57:U58"/>
    <mergeCell ref="Z57:AB57"/>
    <mergeCell ref="AC57:AE57"/>
    <mergeCell ref="B60:D60"/>
    <mergeCell ref="H60:I60"/>
    <mergeCell ref="B61:D61"/>
    <mergeCell ref="B62:D62"/>
    <mergeCell ref="H62:I62"/>
    <mergeCell ref="H70:I70"/>
    <mergeCell ref="B68:D68"/>
    <mergeCell ref="H68:I68"/>
    <mergeCell ref="AP69:AQ72"/>
    <mergeCell ref="B65:D65"/>
    <mergeCell ref="B66:D66"/>
    <mergeCell ref="H66:I66"/>
    <mergeCell ref="B67:D67"/>
    <mergeCell ref="H67:I67"/>
    <mergeCell ref="AG67:AJ67"/>
    <mergeCell ref="AG66:AJ66"/>
    <mergeCell ref="B69:D69"/>
    <mergeCell ref="H69:I69"/>
    <mergeCell ref="AP63:AQ68"/>
    <mergeCell ref="B64:D64"/>
    <mergeCell ref="H64:I64"/>
    <mergeCell ref="AG64:AJ64"/>
    <mergeCell ref="H63:I63"/>
    <mergeCell ref="B63:D63"/>
    <mergeCell ref="AH65:AI65"/>
    <mergeCell ref="B72:D72"/>
    <mergeCell ref="B78:D78"/>
    <mergeCell ref="H78:H79"/>
    <mergeCell ref="B76:D76"/>
    <mergeCell ref="H76:H77"/>
    <mergeCell ref="B77:D77"/>
    <mergeCell ref="B79:D79"/>
    <mergeCell ref="H74:H75"/>
    <mergeCell ref="AG74:AJ74"/>
    <mergeCell ref="B75:D75"/>
    <mergeCell ref="Q74:AB75"/>
    <mergeCell ref="AH75:AI75"/>
    <mergeCell ref="AH60:AI60"/>
    <mergeCell ref="B74:D74"/>
    <mergeCell ref="B71:D71"/>
    <mergeCell ref="H71:I71"/>
    <mergeCell ref="B73:D73"/>
    <mergeCell ref="B83:D83"/>
    <mergeCell ref="Q83:AB83"/>
    <mergeCell ref="Q82:AB82"/>
    <mergeCell ref="B80:D80"/>
    <mergeCell ref="H80:H81"/>
    <mergeCell ref="B81:D81"/>
    <mergeCell ref="B82:D82"/>
    <mergeCell ref="H82:H83"/>
    <mergeCell ref="AH82:AI82"/>
    <mergeCell ref="AG71:AJ71"/>
    <mergeCell ref="AG73:AJ73"/>
    <mergeCell ref="AP73:AQ75"/>
    <mergeCell ref="AP76:AQ78"/>
    <mergeCell ref="AP79:AQ81"/>
    <mergeCell ref="AG81:AJ81"/>
    <mergeCell ref="AP82:AQ84"/>
    <mergeCell ref="AG78:AJ78"/>
    <mergeCell ref="AH72:AI72"/>
    <mergeCell ref="BF84:BJ84"/>
    <mergeCell ref="BB81:BC81"/>
    <mergeCell ref="AS63:AT63"/>
    <mergeCell ref="AS62:AT62"/>
    <mergeCell ref="AS54:AT54"/>
    <mergeCell ref="AS59:AT59"/>
    <mergeCell ref="AS57:AT57"/>
    <mergeCell ref="AS55:AT55"/>
    <mergeCell ref="AS56:AT56"/>
    <mergeCell ref="AS58:AT58"/>
    <mergeCell ref="AH79:AI79"/>
    <mergeCell ref="BA1:BD1"/>
    <mergeCell ref="AH68:AI68"/>
    <mergeCell ref="Q53:R53"/>
    <mergeCell ref="AG58:AJ58"/>
    <mergeCell ref="AP59:AQ59"/>
    <mergeCell ref="AP60:AQ62"/>
    <mergeCell ref="AH57:AI57"/>
    <mergeCell ref="AS1:AY1"/>
    <mergeCell ref="AS60:AT60"/>
  </mergeCells>
  <phoneticPr fontId="4" type="noConversion"/>
  <conditionalFormatting sqref="C4:C34">
    <cfRule type="cellIs" dxfId="137" priority="1" stopIfTrue="1" operator="notEqual">
      <formula>G4</formula>
    </cfRule>
  </conditionalFormatting>
  <conditionalFormatting sqref="AC4:AC34">
    <cfRule type="cellIs" dxfId="136" priority="2" stopIfTrue="1" operator="equal">
      <formula>$AC$86</formula>
    </cfRule>
    <cfRule type="cellIs" dxfId="135" priority="3" stopIfTrue="1" operator="equal">
      <formula>0</formula>
    </cfRule>
    <cfRule type="expression" dxfId="134" priority="4" stopIfTrue="1">
      <formula>Z4=0.1</formula>
    </cfRule>
  </conditionalFormatting>
  <conditionalFormatting sqref="W46:W53">
    <cfRule type="expression" dxfId="133" priority="5" stopIfTrue="1">
      <formula>X46=$X$55</formula>
    </cfRule>
  </conditionalFormatting>
  <conditionalFormatting sqref="V50">
    <cfRule type="expression" dxfId="132" priority="6" stopIfTrue="1">
      <formula>U50&lt;0</formula>
    </cfRule>
  </conditionalFormatting>
  <conditionalFormatting sqref="B4:B34">
    <cfRule type="cellIs" dxfId="131" priority="7" stopIfTrue="1" operator="notEqual">
      <formula>F4</formula>
    </cfRule>
  </conditionalFormatting>
  <conditionalFormatting sqref="AP92:AP107">
    <cfRule type="expression" dxfId="130" priority="8" stopIfTrue="1">
      <formula>AQ92=$AQ$109</formula>
    </cfRule>
  </conditionalFormatting>
  <conditionalFormatting sqref="BG49:BG79 BF53">
    <cfRule type="expression" dxfId="129" priority="9" stopIfTrue="1">
      <formula>IF(I4=1,1,0)</formula>
    </cfRule>
  </conditionalFormatting>
  <conditionalFormatting sqref="B72:D80 B48:C66 D48 D51:D52 D54:D66">
    <cfRule type="expression" dxfId="128" priority="10" stopIfTrue="1">
      <formula>IF(F48&gt;0.5,1,0)</formula>
    </cfRule>
    <cfRule type="expression" dxfId="127" priority="11" stopIfTrue="1">
      <formula>IF(F48&lt;0.2,1,0)</formula>
    </cfRule>
  </conditionalFormatting>
  <conditionalFormatting sqref="AS50:AT60">
    <cfRule type="expression" dxfId="126" priority="12" stopIfTrue="1">
      <formula>IF(AV50&gt;0.5,1,0)</formula>
    </cfRule>
    <cfRule type="expression" dxfId="125" priority="13" stopIfTrue="1">
      <formula>IF(AV50&lt;0.2,1,0)</formula>
    </cfRule>
  </conditionalFormatting>
  <conditionalFormatting sqref="BD35">
    <cfRule type="cellIs" dxfId="124" priority="14" stopIfTrue="1" operator="equal">
      <formula>#REF!</formula>
    </cfRule>
    <cfRule type="expression" dxfId="123" priority="15" stopIfTrue="1">
      <formula>AY123=1</formula>
    </cfRule>
    <cfRule type="expression" dxfId="122" priority="16" stopIfTrue="1">
      <formula>BH123=1</formula>
    </cfRule>
  </conditionalFormatting>
  <conditionalFormatting sqref="F4:F34">
    <cfRule type="cellIs" dxfId="121" priority="17" stopIfTrue="1" operator="equal">
      <formula>$F$85</formula>
    </cfRule>
    <cfRule type="cellIs" dxfId="120" priority="18" stopIfTrue="1" operator="equal">
      <formula>$F$86</formula>
    </cfRule>
    <cfRule type="expression" dxfId="119" priority="19" stopIfTrue="1">
      <formula>IF(B4&lt;0,1,0)</formula>
    </cfRule>
  </conditionalFormatting>
  <conditionalFormatting sqref="BF49:BF52 BF54:BF79">
    <cfRule type="cellIs" dxfId="118" priority="20" stopIfTrue="1" operator="greaterThan">
      <formula>0.9</formula>
    </cfRule>
    <cfRule type="expression" dxfId="117" priority="21" stopIfTrue="1">
      <formula>IF(O4=1,1,0)</formula>
    </cfRule>
  </conditionalFormatting>
  <conditionalFormatting sqref="D53">
    <cfRule type="expression" dxfId="116" priority="22" stopIfTrue="1">
      <formula>IF(H50&gt;0.5,1,0)</formula>
    </cfRule>
    <cfRule type="expression" dxfId="115" priority="23" stopIfTrue="1">
      <formula>IF(H50&lt;0.2,1,0)</formula>
    </cfRule>
  </conditionalFormatting>
  <conditionalFormatting sqref="D49:D50">
    <cfRule type="expression" dxfId="114" priority="24" stopIfTrue="1">
      <formula>IF(L53&gt;0.5,1,0)</formula>
    </cfRule>
    <cfRule type="expression" dxfId="113" priority="25" stopIfTrue="1">
      <formula>IF(L53&lt;0.2,1,0)</formula>
    </cfRule>
  </conditionalFormatting>
  <conditionalFormatting sqref="BA49:BA79">
    <cfRule type="cellIs" dxfId="112" priority="26" stopIfTrue="1" operator="equal">
      <formula>$BB$86</formula>
    </cfRule>
    <cfRule type="expression" dxfId="111" priority="27" stopIfTrue="1">
      <formula>IF(AX91=1,1,0)</formula>
    </cfRule>
    <cfRule type="expression" dxfId="110" priority="28" stopIfTrue="1">
      <formula>IF(AW91=1,1,0)</formula>
    </cfRule>
  </conditionalFormatting>
  <conditionalFormatting sqref="AQ92:AQ107">
    <cfRule type="cellIs" dxfId="109" priority="29" stopIfTrue="1" operator="equal">
      <formula>$AQ$109</formula>
    </cfRule>
  </conditionalFormatting>
  <conditionalFormatting sqref="AB91:AB121">
    <cfRule type="cellIs" dxfId="108" priority="30" stopIfTrue="1" operator="equal">
      <formula>0</formula>
    </cfRule>
  </conditionalFormatting>
  <conditionalFormatting sqref="AE4:AE34">
    <cfRule type="cellIs" dxfId="107" priority="31" stopIfTrue="1" operator="equal">
      <formula>$AD$86</formula>
    </cfRule>
    <cfRule type="cellIs" dxfId="106" priority="32" stopIfTrue="1" operator="equal">
      <formula>0</formula>
    </cfRule>
  </conditionalFormatting>
  <conditionalFormatting sqref="AZ49:AZ79">
    <cfRule type="cellIs" dxfId="105" priority="33" stopIfTrue="1" operator="equal">
      <formula>$BA$84</formula>
    </cfRule>
    <cfRule type="cellIs" dxfId="104" priority="34" stopIfTrue="1" operator="equal">
      <formula>$BB$84</formula>
    </cfRule>
  </conditionalFormatting>
  <conditionalFormatting sqref="AW4:AW34 BI35">
    <cfRule type="cellIs" dxfId="103" priority="35" stopIfTrue="1" operator="equal">
      <formula>$AW$85</formula>
    </cfRule>
    <cfRule type="cellIs" dxfId="102" priority="36" stopIfTrue="1" operator="equal">
      <formula>$AW$86</formula>
    </cfRule>
  </conditionalFormatting>
  <conditionalFormatting sqref="BC35 BD4:BD34">
    <cfRule type="cellIs" dxfId="101" priority="37" stopIfTrue="1" operator="equal">
      <formula>$BD$85</formula>
    </cfRule>
    <cfRule type="cellIs" dxfId="100" priority="38" stopIfTrue="1" operator="equal">
      <formula>$BD$86</formula>
    </cfRule>
  </conditionalFormatting>
  <conditionalFormatting sqref="BC49:BC80">
    <cfRule type="cellIs" dxfId="99" priority="39" stopIfTrue="1" operator="equal">
      <formula>$AU$85</formula>
    </cfRule>
    <cfRule type="cellIs" dxfId="98" priority="40" stopIfTrue="1" operator="equal">
      <formula>$AU$86</formula>
    </cfRule>
  </conditionalFormatting>
  <conditionalFormatting sqref="BD49:BD80">
    <cfRule type="cellIs" dxfId="97" priority="41" stopIfTrue="1" operator="equal">
      <formula>#REF!</formula>
    </cfRule>
    <cfRule type="cellIs" dxfId="96" priority="42" stopIfTrue="1" operator="equal">
      <formula>#REF!</formula>
    </cfRule>
  </conditionalFormatting>
  <conditionalFormatting sqref="BF35 BF4:BG34">
    <cfRule type="cellIs" dxfId="95" priority="43" stopIfTrue="1" operator="equal">
      <formula>$BF$85</formula>
    </cfRule>
    <cfRule type="cellIs" dxfId="94" priority="44" stopIfTrue="1" operator="equal">
      <formula>$BF$86</formula>
    </cfRule>
  </conditionalFormatting>
  <conditionalFormatting sqref="BG35">
    <cfRule type="cellIs" dxfId="93" priority="45" stopIfTrue="1" operator="equal">
      <formula>$BG$85</formula>
    </cfRule>
    <cfRule type="cellIs" dxfId="92" priority="46" stopIfTrue="1" operator="equal">
      <formula>$BG$86</formula>
    </cfRule>
  </conditionalFormatting>
  <conditionalFormatting sqref="BH4:BH35">
    <cfRule type="cellIs" dxfId="91" priority="47" stopIfTrue="1" operator="equal">
      <formula>$BH$85</formula>
    </cfRule>
    <cfRule type="cellIs" dxfId="90" priority="48" stopIfTrue="1" operator="equal">
      <formula>$BH$86</formula>
    </cfRule>
  </conditionalFormatting>
  <conditionalFormatting sqref="BA4:BA35 BB4:BB34">
    <cfRule type="cellIs" dxfId="89" priority="49" stopIfTrue="1" operator="equal">
      <formula>$BA$85</formula>
    </cfRule>
    <cfRule type="cellIs" dxfId="88" priority="50" stopIfTrue="1" operator="equal">
      <formula>$BA$86</formula>
    </cfRule>
  </conditionalFormatting>
  <conditionalFormatting sqref="BF80">
    <cfRule type="cellIs" dxfId="87" priority="51" stopIfTrue="1" operator="greaterThan">
      <formula>0.9</formula>
    </cfRule>
  </conditionalFormatting>
  <conditionalFormatting sqref="BG80">
    <cfRule type="cellIs" dxfId="86" priority="52" stopIfTrue="1" operator="lessThan">
      <formula>0.3</formula>
    </cfRule>
  </conditionalFormatting>
  <conditionalFormatting sqref="BJ8:BJ35">
    <cfRule type="cellIs" dxfId="85" priority="53" stopIfTrue="1" operator="equal">
      <formula>$BJ$85</formula>
    </cfRule>
    <cfRule type="cellIs" dxfId="84" priority="54" stopIfTrue="1" operator="equal">
      <formula>$BJ$86</formula>
    </cfRule>
  </conditionalFormatting>
  <conditionalFormatting sqref="BI4:BI34">
    <cfRule type="cellIs" dxfId="83" priority="55" stopIfTrue="1" operator="equal">
      <formula>$BI$86</formula>
    </cfRule>
    <cfRule type="cellIs" dxfId="82" priority="56" stopIfTrue="1" operator="equal">
      <formula>$BI$85</formula>
    </cfRule>
  </conditionalFormatting>
  <conditionalFormatting sqref="AY35:AZ35">
    <cfRule type="cellIs" dxfId="81" priority="57" stopIfTrue="1" operator="equal">
      <formula>$AY$85</formula>
    </cfRule>
    <cfRule type="cellIs" dxfId="80" priority="58" stopIfTrue="1" operator="equal">
      <formula>$AY$86</formula>
    </cfRule>
  </conditionalFormatting>
  <conditionalFormatting sqref="AY4:AY34">
    <cfRule type="cellIs" dxfId="79" priority="59" stopIfTrue="1" operator="equal">
      <formula>$AY$85</formula>
    </cfRule>
    <cfRule type="cellIs" dxfId="78" priority="60" stopIfTrue="1" operator="equal">
      <formula>$AY$86</formula>
    </cfRule>
  </conditionalFormatting>
  <conditionalFormatting sqref="AM4:AM34 X4:X34">
    <cfRule type="cellIs" dxfId="77" priority="61" stopIfTrue="1" operator="equal">
      <formula>10</formula>
    </cfRule>
    <cfRule type="cellIs" priority="62" stopIfTrue="1" operator="equal">
      <formula>0</formula>
    </cfRule>
  </conditionalFormatting>
  <conditionalFormatting sqref="AK4:AK34">
    <cfRule type="cellIs" dxfId="76" priority="63" stopIfTrue="1" operator="equal">
      <formula>$AH$86</formula>
    </cfRule>
    <cfRule type="cellIs" dxfId="75" priority="64" stopIfTrue="1" operator="equal">
      <formula>$AH$85</formula>
    </cfRule>
  </conditionalFormatting>
  <conditionalFormatting sqref="AR4:AR34">
    <cfRule type="cellIs" dxfId="74" priority="65" stopIfTrue="1" operator="equal">
      <formula>$M$92</formula>
    </cfRule>
  </conditionalFormatting>
  <conditionalFormatting sqref="AV50:AV60 F72:F80 F48:F66">
    <cfRule type="cellIs" dxfId="73" priority="66" stopIfTrue="1" operator="between">
      <formula>0.45</formula>
      <formula>0.55</formula>
    </cfRule>
  </conditionalFormatting>
  <conditionalFormatting sqref="AS8:AS34">
    <cfRule type="cellIs" dxfId="72" priority="67" stopIfTrue="1" operator="equal">
      <formula>$AS$85</formula>
    </cfRule>
    <cfRule type="cellIs" dxfId="71" priority="68" stopIfTrue="1" operator="equal">
      <formula>$AS$86</formula>
    </cfRule>
  </conditionalFormatting>
  <conditionalFormatting sqref="AI4:AI35">
    <cfRule type="cellIs" dxfId="70" priority="69" stopIfTrue="1" operator="equal">
      <formula>$AI$85</formula>
    </cfRule>
    <cfRule type="cellIs" dxfId="69" priority="70" stopIfTrue="1" operator="equal">
      <formula>$AI$86</formula>
    </cfRule>
  </conditionalFormatting>
  <conditionalFormatting sqref="AJ4:AJ35">
    <cfRule type="cellIs" dxfId="68" priority="71" stopIfTrue="1" operator="equal">
      <formula>$AJ$85</formula>
    </cfRule>
    <cfRule type="cellIs" dxfId="67" priority="72" stopIfTrue="1" operator="equal">
      <formula>$AJ$86</formula>
    </cfRule>
  </conditionalFormatting>
  <conditionalFormatting sqref="AT4:AT35">
    <cfRule type="cellIs" dxfId="66" priority="73" stopIfTrue="1" operator="equal">
      <formula>$AT$85</formula>
    </cfRule>
    <cfRule type="cellIs" dxfId="65" priority="74" stopIfTrue="1" operator="equal">
      <formula>$AT$86</formula>
    </cfRule>
  </conditionalFormatting>
  <conditionalFormatting sqref="AU4:AU35">
    <cfRule type="cellIs" dxfId="64" priority="75" stopIfTrue="1" operator="equal">
      <formula>$AU$85</formula>
    </cfRule>
    <cfRule type="cellIs" dxfId="63" priority="76" stopIfTrue="1" operator="equal">
      <formula>$AU$86</formula>
    </cfRule>
  </conditionalFormatting>
  <conditionalFormatting sqref="AV35:AW35 AV4:AV34">
    <cfRule type="cellIs" dxfId="62" priority="77" stopIfTrue="1" operator="equal">
      <formula>$AV$85</formula>
    </cfRule>
    <cfRule type="cellIs" dxfId="61" priority="78" stopIfTrue="1" operator="equal">
      <formula>$AV$86</formula>
    </cfRule>
  </conditionalFormatting>
  <conditionalFormatting sqref="AX4:AX35">
    <cfRule type="cellIs" dxfId="60" priority="79" stopIfTrue="1" operator="equal">
      <formula>$AX$85</formula>
    </cfRule>
    <cfRule type="cellIs" dxfId="59" priority="80" stopIfTrue="1" operator="equal">
      <formula>$AX$86</formula>
    </cfRule>
  </conditionalFormatting>
  <conditionalFormatting sqref="AG4:AG34">
    <cfRule type="cellIs" dxfId="58" priority="81" stopIfTrue="1" operator="equal">
      <formula>$AG$85</formula>
    </cfRule>
    <cfRule type="cellIs" dxfId="57" priority="82" stopIfTrue="1" operator="equal">
      <formula>$AG$86</formula>
    </cfRule>
  </conditionalFormatting>
  <conditionalFormatting sqref="AH4:AH35">
    <cfRule type="cellIs" dxfId="56" priority="83" stopIfTrue="1" operator="equal">
      <formula>$AH$85</formula>
    </cfRule>
    <cfRule type="cellIs" dxfId="55" priority="84" stopIfTrue="1" operator="equal">
      <formula>$AH$86</formula>
    </cfRule>
  </conditionalFormatting>
  <conditionalFormatting sqref="AP4:AP34">
    <cfRule type="cellIs" dxfId="54" priority="85" stopIfTrue="1" operator="equal">
      <formula>$AP$86</formula>
    </cfRule>
    <cfRule type="cellIs" dxfId="53" priority="86" stopIfTrue="1" operator="equal">
      <formula>0.001</formula>
    </cfRule>
  </conditionalFormatting>
  <conditionalFormatting sqref="BH49:BH79">
    <cfRule type="cellIs" dxfId="52" priority="87" stopIfTrue="1" operator="greaterThan">
      <formula>0.9</formula>
    </cfRule>
  </conditionalFormatting>
  <conditionalFormatting sqref="BI49:BI79">
    <cfRule type="cellIs" dxfId="51" priority="88" stopIfTrue="1" operator="greaterThan">
      <formula>0.5</formula>
    </cfRule>
  </conditionalFormatting>
  <conditionalFormatting sqref="X46:X53">
    <cfRule type="cellIs" dxfId="50" priority="89" stopIfTrue="1" operator="equal">
      <formula>$X$55</formula>
    </cfRule>
  </conditionalFormatting>
  <conditionalFormatting sqref="L4:L34">
    <cfRule type="cellIs" dxfId="49" priority="90" stopIfTrue="1" operator="equal">
      <formula>98</formula>
    </cfRule>
    <cfRule type="cellIs" dxfId="48" priority="91" stopIfTrue="1" operator="equal">
      <formula>$L$85</formula>
    </cfRule>
    <cfRule type="cellIs" dxfId="47" priority="92" stopIfTrue="1" operator="equal">
      <formula>$L$86</formula>
    </cfRule>
  </conditionalFormatting>
  <conditionalFormatting sqref="K4:K34">
    <cfRule type="cellIs" dxfId="46" priority="93" stopIfTrue="1" operator="equal">
      <formula>$K$85</formula>
    </cfRule>
    <cfRule type="cellIs" dxfId="45" priority="94" stopIfTrue="1" operator="equal">
      <formula>$K$86</formula>
    </cfRule>
  </conditionalFormatting>
  <conditionalFormatting sqref="I4:I34">
    <cfRule type="cellIs" dxfId="44" priority="95" stopIfTrue="1" operator="equal">
      <formula>$I$85</formula>
    </cfRule>
    <cfRule type="cellIs" dxfId="43" priority="96" stopIfTrue="1" operator="equal">
      <formula>$I$86</formula>
    </cfRule>
  </conditionalFormatting>
  <conditionalFormatting sqref="N4:N34">
    <cfRule type="cellIs" dxfId="42" priority="97" stopIfTrue="1" operator="equal">
      <formula>$N$85</formula>
    </cfRule>
    <cfRule type="cellIs" dxfId="41" priority="98" stopIfTrue="1" operator="equal">
      <formula>$N$86</formula>
    </cfRule>
  </conditionalFormatting>
  <conditionalFormatting sqref="AA4:AB34">
    <cfRule type="cellIs" dxfId="40" priority="99" stopIfTrue="1" operator="equal">
      <formula>$AA$86</formula>
    </cfRule>
  </conditionalFormatting>
  <conditionalFormatting sqref="P4:P34">
    <cfRule type="cellIs" dxfId="39" priority="100" stopIfTrue="1" operator="equal">
      <formula>$P$85</formula>
    </cfRule>
    <cfRule type="cellIs" dxfId="38" priority="101" stopIfTrue="1" operator="equal">
      <formula>$P$86</formula>
    </cfRule>
  </conditionalFormatting>
  <conditionalFormatting sqref="S4:S34">
    <cfRule type="cellIs" dxfId="37" priority="102" stopIfTrue="1" operator="equal">
      <formula>$S$85</formula>
    </cfRule>
    <cfRule type="cellIs" dxfId="36" priority="103" stopIfTrue="1" operator="equal">
      <formula>$S$86</formula>
    </cfRule>
  </conditionalFormatting>
  <conditionalFormatting sqref="R4:R34">
    <cfRule type="cellIs" dxfId="35" priority="104" stopIfTrue="1" operator="equal">
      <formula>$R$85</formula>
    </cfRule>
    <cfRule type="cellIs" dxfId="34" priority="105" stopIfTrue="1" operator="equal">
      <formula>$R$86</formula>
    </cfRule>
  </conditionalFormatting>
  <conditionalFormatting sqref="Q4:Q34">
    <cfRule type="cellIs" dxfId="33" priority="106" stopIfTrue="1" operator="equal">
      <formula>$Q$85</formula>
    </cfRule>
    <cfRule type="cellIs" dxfId="32" priority="107" stopIfTrue="1" operator="equal">
      <formula>$Q$86</formula>
    </cfRule>
  </conditionalFormatting>
  <conditionalFormatting sqref="U47 U49:U50 U53:U56">
    <cfRule type="cellIs" dxfId="31" priority="108" stopIfTrue="1" operator="equal">
      <formula>$W$86</formula>
    </cfRule>
    <cfRule type="cellIs" dxfId="30" priority="109" stopIfTrue="1" operator="equal">
      <formula>$W$85</formula>
    </cfRule>
  </conditionalFormatting>
  <conditionalFormatting sqref="H4:H35">
    <cfRule type="cellIs" dxfId="29" priority="110" stopIfTrue="1" operator="equal">
      <formula>$H$85</formula>
    </cfRule>
    <cfRule type="cellIs" dxfId="28" priority="111" stopIfTrue="1" operator="equal">
      <formula>$H$86</formula>
    </cfRule>
  </conditionalFormatting>
  <conditionalFormatting sqref="M4:M34">
    <cfRule type="cellIs" dxfId="27" priority="112" stopIfTrue="1" operator="equal">
      <formula>$M$85</formula>
    </cfRule>
    <cfRule type="cellIs" dxfId="26" priority="113" stopIfTrue="1" operator="equal">
      <formula>$M$86</formula>
    </cfRule>
  </conditionalFormatting>
  <conditionalFormatting sqref="G4:G34">
    <cfRule type="cellIs" dxfId="25" priority="114" stopIfTrue="1" operator="equal">
      <formula>$G$86</formula>
    </cfRule>
    <cfRule type="cellIs" dxfId="24" priority="115" stopIfTrue="1" operator="equal">
      <formula>$G$85</formula>
    </cfRule>
    <cfRule type="cellIs" dxfId="23" priority="116" stopIfTrue="1" operator="greaterThan">
      <formula>25</formula>
    </cfRule>
  </conditionalFormatting>
  <conditionalFormatting sqref="AD4:AD34">
    <cfRule type="cellIs" dxfId="22" priority="117" stopIfTrue="1" operator="equal">
      <formula>$AE$86</formula>
    </cfRule>
    <cfRule type="cellIs" dxfId="21" priority="118" stopIfTrue="1" operator="equal">
      <formula>$AE$85</formula>
    </cfRule>
  </conditionalFormatting>
  <conditionalFormatting sqref="AQ4:AQ34">
    <cfRule type="cellIs" dxfId="20" priority="119" stopIfTrue="1" operator="equal">
      <formula>0</formula>
    </cfRule>
    <cfRule type="cellIs" dxfId="19" priority="120" stopIfTrue="1" operator="equal">
      <formula>$AQ$86</formula>
    </cfRule>
    <cfRule type="cellIs" dxfId="18" priority="121" stopIfTrue="1" operator="between">
      <formula>0.1</formula>
      <formula>0.4</formula>
    </cfRule>
  </conditionalFormatting>
  <conditionalFormatting sqref="U4:U34">
    <cfRule type="cellIs" dxfId="17" priority="122" stopIfTrue="1" operator="equal">
      <formula>$U$86</formula>
    </cfRule>
    <cfRule type="cellIs" dxfId="16" priority="123" stopIfTrue="1" operator="equal">
      <formula>$U$85</formula>
    </cfRule>
  </conditionalFormatting>
  <conditionalFormatting sqref="V4:V34">
    <cfRule type="cellIs" dxfId="15" priority="124" stopIfTrue="1" operator="equal">
      <formula>$V$86</formula>
    </cfRule>
    <cfRule type="cellIs" dxfId="14" priority="125" stopIfTrue="1" operator="equal">
      <formula>$V$85</formula>
    </cfRule>
  </conditionalFormatting>
  <conditionalFormatting sqref="W4:W34">
    <cfRule type="cellIs" dxfId="13" priority="126" stopIfTrue="1" operator="equal">
      <formula>$W$86</formula>
    </cfRule>
    <cfRule type="cellIs" dxfId="12" priority="127" stopIfTrue="1" operator="equal">
      <formula>$W$85</formula>
    </cfRule>
  </conditionalFormatting>
  <conditionalFormatting sqref="AY49:AY79">
    <cfRule type="cellIs" dxfId="11" priority="128" stopIfTrue="1" operator="equal">
      <formula>$BA$84</formula>
    </cfRule>
    <cfRule type="cellIs" dxfId="10" priority="129" stopIfTrue="1" operator="equal">
      <formula>$BB$84</formula>
    </cfRule>
    <cfRule type="expression" dxfId="9" priority="130" stopIfTrue="1">
      <formula>ISNA(AY49)</formula>
    </cfRule>
  </conditionalFormatting>
  <conditionalFormatting sqref="Z4:Z34">
    <cfRule type="cellIs" dxfId="8" priority="131" stopIfTrue="1" operator="equal">
      <formula>0</formula>
    </cfRule>
    <cfRule type="cellIs" dxfId="7" priority="132" stopIfTrue="1" operator="equal">
      <formula>$Z$86</formula>
    </cfRule>
    <cfRule type="cellIs" dxfId="6" priority="133" stopIfTrue="1" operator="lessThan">
      <formula>0.2</formula>
    </cfRule>
  </conditionalFormatting>
  <conditionalFormatting sqref="E48:E66 AU50:AU60">
    <cfRule type="cellIs" dxfId="5" priority="134" stopIfTrue="1" operator="notBetween">
      <formula>-0.5</formula>
      <formula>0.5</formula>
    </cfRule>
    <cfRule type="cellIs" dxfId="4" priority="135" stopIfTrue="1" operator="between">
      <formula>-0.2</formula>
      <formula>0.2</formula>
    </cfRule>
  </conditionalFormatting>
  <conditionalFormatting sqref="E72:E80">
    <cfRule type="cellIs" dxfId="3" priority="136" stopIfTrue="1" operator="notBetween">
      <formula>-0.5</formula>
      <formula>0.5</formula>
    </cfRule>
    <cfRule type="cellIs" dxfId="2" priority="137" stopIfTrue="1" operator="between">
      <formula>-0.2</formula>
      <formula>0.2</formula>
    </cfRule>
  </conditionalFormatting>
  <conditionalFormatting sqref="BC4:BC34">
    <cfRule type="cellIs" dxfId="1" priority="138" stopIfTrue="1" operator="equal">
      <formula>$BC$85</formula>
    </cfRule>
    <cfRule type="cellIs" dxfId="0" priority="139" stopIfTrue="1" operator="equal">
      <formula>$BC$86</formula>
    </cfRule>
  </conditionalFormatting>
  <pageMargins left="0.75" right="0.75" top="1" bottom="1" header="0.5" footer="0.5"/>
  <pageSetup paperSize="9" orientation="portrait" horizontalDpi="4294967293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Jan G</vt:lpstr>
      <vt:lpstr>JAN</vt:lpstr>
      <vt:lpstr>Feb G</vt:lpstr>
      <vt:lpstr>Feb</vt:lpstr>
      <vt:lpstr>Mar G</vt:lpstr>
      <vt:lpstr>Mar</vt:lpstr>
      <vt:lpstr>Apr G</vt:lpstr>
      <vt:lpstr>Apr</vt:lpstr>
      <vt:lpstr>May G</vt:lpstr>
      <vt:lpstr>May</vt:lpstr>
      <vt:lpstr>Jun G</vt:lpstr>
      <vt:lpstr>Jun</vt:lpstr>
      <vt:lpstr>July G</vt:lpstr>
      <vt:lpstr>Jul</vt:lpstr>
      <vt:lpstr>Aug G</vt:lpstr>
      <vt:lpstr>Aug</vt:lpstr>
      <vt:lpstr>Sep G</vt:lpstr>
      <vt:lpstr>Sep</vt:lpstr>
      <vt:lpstr>Oct G</vt:lpstr>
      <vt:lpstr>Oct</vt:lpstr>
      <vt:lpstr>Nov G</vt:lpstr>
      <vt:lpstr>Nov</vt:lpstr>
      <vt:lpstr>Dec G</vt:lpstr>
      <vt:lpstr>Dec</vt:lpstr>
    </vt:vector>
  </TitlesOfParts>
  <Company>Home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subject>Weather Data</dc:subject>
  <dc:creator>BLR Ben</dc:creator>
  <cp:lastModifiedBy>Ben LR</cp:lastModifiedBy>
  <dcterms:created xsi:type="dcterms:W3CDTF">2008-03-21T21:36:50Z</dcterms:created>
  <dcterms:modified xsi:type="dcterms:W3CDTF">2014-01-05T11:03:20Z</dcterms:modified>
</cp:coreProperties>
</file>